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EstaPastaDeTrabalho"/>
  <mc:AlternateContent xmlns:mc="http://schemas.openxmlformats.org/markup-compatibility/2006">
    <mc:Choice Requires="x15">
      <x15ac:absPath xmlns:x15ac="http://schemas.microsoft.com/office/spreadsheetml/2010/11/ac" url="C:\Users\6496\Desktop\01-Engenharia\DSEE\2020\Expresso\Rev_19\FINAL-26-05-2020\Projeto_Expresso-Caixas_Modulares_Rev19\"/>
    </mc:Choice>
  </mc:AlternateContent>
  <xr:revisionPtr revIDLastSave="0" documentId="8_{DD631153-45F7-49E1-8599-7450B6CA5B92}" xr6:coauthVersionLast="36" xr6:coauthVersionMax="36" xr10:uidLastSave="{00000000-0000-0000-0000-000000000000}"/>
  <workbookProtection workbookAlgorithmName="SHA-512" workbookHashValue="ujdBptjU9JdR94uP7RafKHitadM2W1890Z0tNB/d1q2KiVfircUy3wybrPNko2wNvG89WAP8ZOTteg9rIiYrQw==" workbookSaltValue="QcfE3o7RmxL65yKOBI2QJA==" workbookSpinCount="100000" lockStructure="1"/>
  <bookViews>
    <workbookView xWindow="0" yWindow="0" windowWidth="20490" windowHeight="7755" tabRatio="820" activeTab="1" xr2:uid="{00000000-000D-0000-FFFF-FFFF00000000}"/>
  </bookViews>
  <sheets>
    <sheet name="xCNAEx" sheetId="14" r:id="rId1"/>
    <sheet name="PROJETO_AUTOMÁTICO" sheetId="1" r:id="rId2"/>
    <sheet name="RELAÇÃO_DE_CARGA" sheetId="2" r:id="rId3"/>
    <sheet name="CROQUI" sheetId="7" r:id="rId4"/>
    <sheet name="MEMORIAL" sheetId="3" r:id="rId5"/>
    <sheet name="Check List" sheetId="4" state="hidden" r:id="rId6"/>
    <sheet name="CondutorXcorrenteXproteção" sheetId="5" state="hidden" r:id="rId7"/>
    <sheet name="tab. ilum" sheetId="6" state="hidden" r:id="rId8"/>
    <sheet name="CENTRO_DE_MEDIÇÃO" sheetId="8" r:id="rId9"/>
    <sheet name="Histórico_Revisões" sheetId="15" state="hidden" r:id="rId10"/>
    <sheet name="tab aparelhos" sheetId="9" state="hidden" r:id="rId11"/>
    <sheet name="tab ar" sheetId="10" state="hidden" r:id="rId12"/>
    <sheet name="SIMULTANEIDADE" sheetId="11" state="hidden" r:id="rId13"/>
    <sheet name="Tab. Demanda trafo" sheetId="12" state="hidden" r:id="rId14"/>
    <sheet name="calculo" sheetId="13" state="hidden" r:id="rId15"/>
  </sheets>
  <definedNames>
    <definedName name="_xlnm.Print_Area" localSheetId="8">CENTRO_DE_MEDIÇÃO!$A$1:$K$65</definedName>
    <definedName name="cnae_sap" localSheetId="0">xCNAEx!$A$2:$B$1306</definedName>
    <definedName name="_xlnm.Criteria" localSheetId="10">'tab aparelhos'!$B$1:$B$2</definedName>
    <definedName name="Z_3D0BF824_B70B_411D_8F8F_CCBEF08DF0BD_.wvu.Cols" localSheetId="8" hidden="1">CENTRO_DE_MEDIÇÃO!$M:$XFD</definedName>
    <definedName name="Z_3D0BF824_B70B_411D_8F8F_CCBEF08DF0BD_.wvu.Cols" localSheetId="3" hidden="1">CROQUI!$M:$XFD</definedName>
    <definedName name="Z_3D0BF824_B70B_411D_8F8F_CCBEF08DF0BD_.wvu.Cols" localSheetId="4" hidden="1">MEMORIAL!$P:$XFD</definedName>
    <definedName name="Z_3D0BF824_B70B_411D_8F8F_CCBEF08DF0BD_.wvu.Cols" localSheetId="1" hidden="1">PROJETO_AUTOMÁTICO!$R:$XFD</definedName>
    <definedName name="Z_3D0BF824_B70B_411D_8F8F_CCBEF08DF0BD_.wvu.Cols" localSheetId="2" hidden="1">RELAÇÃO_DE_CARGA!$AL:$XFD</definedName>
    <definedName name="Z_3D0BF824_B70B_411D_8F8F_CCBEF08DF0BD_.wvu.Cols" localSheetId="0" hidden="1">xCNAEx!$C:$XFD</definedName>
    <definedName name="Z_3D0BF824_B70B_411D_8F8F_CCBEF08DF0BD_.wvu.Rows" localSheetId="8" hidden="1">CENTRO_DE_MEDIÇÃO!$71:$1048576,CENTRO_DE_MEDIÇÃO!$52:$64,CENTRO_DE_MEDIÇÃO!$67:$69</definedName>
    <definedName name="Z_3D0BF824_B70B_411D_8F8F_CCBEF08DF0BD_.wvu.Rows" localSheetId="3" hidden="1">CROQUI!$32:$1048576,CROQUI!$22:$31</definedName>
    <definedName name="Z_3D0BF824_B70B_411D_8F8F_CCBEF08DF0BD_.wvu.Rows" localSheetId="4" hidden="1">MEMORIAL!$62:$1048576,MEMORIAL!$61:$61</definedName>
    <definedName name="Z_3D0BF824_B70B_411D_8F8F_CCBEF08DF0BD_.wvu.Rows" localSheetId="1" hidden="1">PROJETO_AUTOMÁTICO!$51:$1048576</definedName>
    <definedName name="Z_3D0BF824_B70B_411D_8F8F_CCBEF08DF0BD_.wvu.Rows" localSheetId="2" hidden="1">RELAÇÃO_DE_CARGA!$65538:$1048576,RELAÇÃO_DE_CARGA!$50:$50,RELAÇÃO_DE_CARGA!$62:$65,RELAÇÃO_DE_CARGA!$85:$65537</definedName>
    <definedName name="Z_3D0BF824_B70B_411D_8F8F_CCBEF08DF0BD_.wvu.Rows" localSheetId="0" hidden="1">xCNAEx!$4335:$1048576</definedName>
  </definedNames>
  <calcPr calcId="191029"/>
  <customWorkbookViews>
    <customWorkbookView name="B005657 - Modo de exibição pessoal" guid="{3D0BF824-B70B-411D-8F8F-CCBEF08DF0BD}" mergeInterval="0" personalView="1" maximized="1" xWindow="1" yWindow="1" windowWidth="1676" windowHeight="829" tabRatio="820"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4" i="13" l="1"/>
  <c r="S14" i="13" s="1"/>
  <c r="R15" i="13"/>
  <c r="S15" i="13" s="1"/>
  <c r="R16" i="13"/>
  <c r="S16" i="13" s="1"/>
  <c r="R17" i="13"/>
  <c r="S17" i="13" s="1"/>
  <c r="R18" i="13"/>
  <c r="S18" i="13" s="1"/>
  <c r="R19" i="13"/>
  <c r="S19" i="13" s="1"/>
  <c r="R20" i="13"/>
  <c r="S20" i="13" s="1"/>
  <c r="R21" i="13"/>
  <c r="S21" i="13" s="1"/>
  <c r="R22" i="13"/>
  <c r="S22" i="13" s="1"/>
  <c r="R23" i="13"/>
  <c r="S23" i="13" s="1"/>
  <c r="R24" i="13"/>
  <c r="S24" i="13" s="1"/>
  <c r="R25" i="13"/>
  <c r="S25" i="13" s="1"/>
  <c r="R26" i="13"/>
  <c r="S26" i="13" s="1"/>
  <c r="R27" i="13"/>
  <c r="S27" i="13" s="1"/>
  <c r="R28" i="13"/>
  <c r="S28" i="13" s="1"/>
  <c r="R29" i="13"/>
  <c r="S29" i="13" s="1"/>
  <c r="R30" i="13"/>
  <c r="S30" i="13" s="1"/>
  <c r="R13" i="13"/>
  <c r="S13" i="13" s="1"/>
  <c r="E19" i="5"/>
  <c r="AJ1" i="13" l="1"/>
  <c r="G28" i="8" s="1"/>
  <c r="K28" i="8" s="1"/>
  <c r="AG1" i="13"/>
  <c r="G27" i="8" s="1"/>
  <c r="K27" i="8" s="1"/>
  <c r="AD1" i="13"/>
  <c r="G26" i="8" s="1"/>
  <c r="K26" i="8" s="1"/>
  <c r="AA1" i="13"/>
  <c r="G25" i="8" s="1"/>
  <c r="K25" i="8" s="1"/>
  <c r="X1" i="13"/>
  <c r="G24" i="8" s="1"/>
  <c r="K24" i="8" s="1"/>
  <c r="U1" i="13"/>
  <c r="G23" i="8" s="1"/>
  <c r="K23" i="8" s="1"/>
  <c r="R1" i="13"/>
  <c r="G22" i="8" s="1"/>
  <c r="K22" i="8" s="1"/>
  <c r="O1" i="13"/>
  <c r="G21" i="8" s="1"/>
  <c r="K21" i="8" s="1"/>
  <c r="L1" i="13"/>
  <c r="G20" i="8" s="1"/>
  <c r="K20" i="8" s="1"/>
  <c r="I1" i="13"/>
  <c r="G19" i="8" s="1"/>
  <c r="K19" i="8" s="1"/>
  <c r="F1" i="13"/>
  <c r="C1" i="13"/>
  <c r="A10" i="8"/>
  <c r="L54" i="3"/>
  <c r="CO5" i="13"/>
  <c r="CR5" i="13"/>
  <c r="CU5" i="13"/>
  <c r="CX5" i="13"/>
  <c r="DA5" i="13"/>
  <c r="DD5" i="13"/>
  <c r="DG5" i="13"/>
  <c r="DJ5" i="13"/>
  <c r="DM5" i="13"/>
  <c r="DP5" i="13"/>
  <c r="CL28" i="13"/>
  <c r="CU28" i="13"/>
  <c r="DW28" i="13"/>
  <c r="FN28" i="13"/>
  <c r="HE28" i="13"/>
  <c r="CL29" i="13"/>
  <c r="CU29" i="13"/>
  <c r="DW29" i="13"/>
  <c r="FN29" i="13"/>
  <c r="HE29" i="13"/>
  <c r="CL30" i="13"/>
  <c r="CU30" i="13"/>
  <c r="DW30" i="13"/>
  <c r="FN30" i="13"/>
  <c r="HE30" i="13"/>
  <c r="CL31" i="13"/>
  <c r="CU31" i="13"/>
  <c r="DW31" i="13"/>
  <c r="FN31" i="13"/>
  <c r="HE31" i="13"/>
  <c r="CL32" i="13"/>
  <c r="CU32" i="13"/>
  <c r="DP32" i="13"/>
  <c r="DW32" i="13"/>
  <c r="FN32" i="13"/>
  <c r="HE32" i="13"/>
  <c r="CL33" i="13"/>
  <c r="CU33" i="13"/>
  <c r="DP33" i="13"/>
  <c r="DQ33" i="13" s="1"/>
  <c r="DW33" i="13"/>
  <c r="FN33" i="13"/>
  <c r="HE33" i="13"/>
  <c r="CL34" i="13"/>
  <c r="CU34" i="13"/>
  <c r="DW34" i="13"/>
  <c r="FN34" i="13"/>
  <c r="HE34" i="13"/>
  <c r="CL35" i="13"/>
  <c r="CU35" i="13"/>
  <c r="DW35" i="13"/>
  <c r="FN35" i="13"/>
  <c r="HE35" i="13"/>
  <c r="CL36" i="13"/>
  <c r="CU36" i="13"/>
  <c r="DW36" i="13"/>
  <c r="FN36" i="13"/>
  <c r="HE36" i="13"/>
  <c r="CL37" i="13"/>
  <c r="CU37" i="13"/>
  <c r="DW37" i="13"/>
  <c r="FN37" i="13"/>
  <c r="HE37" i="13"/>
  <c r="CL38" i="13"/>
  <c r="CU38" i="13"/>
  <c r="DW38" i="13"/>
  <c r="FN38" i="13"/>
  <c r="HE38" i="13"/>
  <c r="CL39" i="13"/>
  <c r="CU39" i="13"/>
  <c r="DW39" i="13"/>
  <c r="FN39" i="13"/>
  <c r="HE39" i="13"/>
  <c r="CL40" i="13"/>
  <c r="CU40" i="13"/>
  <c r="DW40" i="13"/>
  <c r="FN40" i="13"/>
  <c r="HE40" i="13"/>
  <c r="CL41" i="13"/>
  <c r="CU41" i="13"/>
  <c r="DW41" i="13"/>
  <c r="FN41" i="13"/>
  <c r="HE41" i="13"/>
  <c r="CL42" i="13"/>
  <c r="CU42" i="13"/>
  <c r="DW42" i="13"/>
  <c r="FN42" i="13"/>
  <c r="HE42" i="13"/>
  <c r="CL43" i="13"/>
  <c r="CU43" i="13"/>
  <c r="DW43" i="13"/>
  <c r="FN43" i="13"/>
  <c r="HE43" i="13"/>
  <c r="CL44" i="13"/>
  <c r="CU44" i="13"/>
  <c r="DW44" i="13"/>
  <c r="FN44" i="13"/>
  <c r="HE44" i="13"/>
  <c r="CL47" i="13"/>
  <c r="CU47" i="13"/>
  <c r="DW47" i="13"/>
  <c r="FN47" i="13"/>
  <c r="HE47" i="13"/>
  <c r="CL48" i="13"/>
  <c r="CU48" i="13"/>
  <c r="DW48" i="13"/>
  <c r="FN48" i="13"/>
  <c r="HE48" i="13"/>
  <c r="CL49" i="13"/>
  <c r="CU49" i="13"/>
  <c r="DW49" i="13"/>
  <c r="FN49" i="13"/>
  <c r="HE49" i="13"/>
  <c r="CL50" i="13"/>
  <c r="CU50" i="13"/>
  <c r="DW50" i="13"/>
  <c r="FN50" i="13"/>
  <c r="HE50" i="13"/>
  <c r="CL51" i="13"/>
  <c r="CU51" i="13"/>
  <c r="DW51" i="13"/>
  <c r="FN51" i="13"/>
  <c r="HE51" i="13"/>
  <c r="CL52" i="13"/>
  <c r="CU52" i="13"/>
  <c r="DW52" i="13"/>
  <c r="FN52" i="13"/>
  <c r="HE52" i="13"/>
  <c r="CL53" i="13"/>
  <c r="CU53" i="13"/>
  <c r="DW53" i="13"/>
  <c r="FN53" i="13"/>
  <c r="HE53" i="13"/>
  <c r="CL54" i="13"/>
  <c r="CU54" i="13"/>
  <c r="DW54" i="13"/>
  <c r="FN54" i="13"/>
  <c r="HE54" i="13"/>
  <c r="CL55" i="13"/>
  <c r="CU55" i="13"/>
  <c r="DW55" i="13"/>
  <c r="FN55" i="13"/>
  <c r="HE55" i="13"/>
  <c r="CL56" i="13"/>
  <c r="CU56" i="13"/>
  <c r="DW56" i="13"/>
  <c r="FN56" i="13"/>
  <c r="HE56" i="13"/>
  <c r="CL57" i="13"/>
  <c r="CU57" i="13"/>
  <c r="DW57" i="13"/>
  <c r="FN57" i="13"/>
  <c r="HE57" i="13"/>
  <c r="CL58" i="13"/>
  <c r="CU58" i="13"/>
  <c r="DW58" i="13"/>
  <c r="FN58" i="13"/>
  <c r="HE58" i="13"/>
  <c r="CL59" i="13"/>
  <c r="CU59" i="13"/>
  <c r="DW59" i="13"/>
  <c r="FN59" i="13"/>
  <c r="HE59" i="13"/>
  <c r="CK62" i="13"/>
  <c r="CL62" i="13"/>
  <c r="CL63" i="13" s="1"/>
  <c r="CL64" i="13" s="1"/>
  <c r="CL65" i="13" s="1"/>
  <c r="CL66" i="13" s="1"/>
  <c r="CL67" i="13" s="1"/>
  <c r="CL68" i="13" s="1"/>
  <c r="CL69" i="13" s="1"/>
  <c r="CK63" i="13"/>
  <c r="CK64" i="13"/>
  <c r="CK65" i="13"/>
  <c r="CK66" i="13"/>
  <c r="CK67" i="13"/>
  <c r="CK68" i="13"/>
  <c r="CK69" i="13"/>
  <c r="GF97" i="13"/>
  <c r="GG99" i="13" s="1"/>
  <c r="GH98" i="13"/>
  <c r="GK98" i="13"/>
  <c r="GN98" i="13"/>
  <c r="GQ98" i="13"/>
  <c r="GT98" i="13"/>
  <c r="GW98" i="13"/>
  <c r="GZ98" i="13"/>
  <c r="HC98" i="13"/>
  <c r="HF98" i="13"/>
  <c r="HI98" i="13"/>
  <c r="GE121" i="13"/>
  <c r="GE122" i="13"/>
  <c r="GE123" i="13"/>
  <c r="GE124" i="13"/>
  <c r="GE125" i="13"/>
  <c r="HI125" i="13"/>
  <c r="GE126" i="13"/>
  <c r="HI126" i="13"/>
  <c r="GE127" i="13"/>
  <c r="GE128" i="13"/>
  <c r="GE129" i="13"/>
  <c r="GE130" i="13"/>
  <c r="GE131" i="13"/>
  <c r="GE132" i="13"/>
  <c r="GE133" i="13"/>
  <c r="GE134" i="13"/>
  <c r="GE135" i="13"/>
  <c r="GE136" i="13"/>
  <c r="GE137" i="13"/>
  <c r="GE140" i="13"/>
  <c r="GE141" i="13"/>
  <c r="GE142" i="13"/>
  <c r="GE143" i="13"/>
  <c r="GE144" i="13"/>
  <c r="GE145" i="13"/>
  <c r="GE146" i="13"/>
  <c r="GE147" i="13"/>
  <c r="GE148" i="13"/>
  <c r="GE149" i="13"/>
  <c r="GE150" i="13"/>
  <c r="GE151" i="13"/>
  <c r="GE152" i="13"/>
  <c r="GD155" i="13"/>
  <c r="GE155" i="13"/>
  <c r="GE156" i="13" s="1"/>
  <c r="GE157" i="13" s="1"/>
  <c r="GE158" i="13" s="1"/>
  <c r="GE159" i="13" s="1"/>
  <c r="GE160" i="13" s="1"/>
  <c r="GE161" i="13" s="1"/>
  <c r="GE162" i="13" s="1"/>
  <c r="GF155" i="13"/>
  <c r="GJ155" i="13" s="1"/>
  <c r="GD156" i="13"/>
  <c r="GF156" i="13"/>
  <c r="GJ156" i="13" s="1"/>
  <c r="GD157" i="13"/>
  <c r="GF157" i="13"/>
  <c r="GJ157" i="13" s="1"/>
  <c r="GD158" i="13"/>
  <c r="GF158" i="13"/>
  <c r="GJ158" i="13" s="1"/>
  <c r="GD159" i="13"/>
  <c r="GF159" i="13"/>
  <c r="GJ159" i="13" s="1"/>
  <c r="GD160" i="13"/>
  <c r="GF161" i="13"/>
  <c r="GJ161" i="13" s="1"/>
  <c r="GD162" i="13"/>
  <c r="GF162" i="13"/>
  <c r="GJ162" i="13" s="1"/>
  <c r="GI162" i="13"/>
  <c r="D16" i="8"/>
  <c r="GI161" i="13" l="1"/>
  <c r="GI156" i="13"/>
  <c r="GI155" i="13"/>
  <c r="BZ99" i="13"/>
  <c r="BZ102" i="13"/>
  <c r="BZ100" i="13"/>
  <c r="CA100" i="13"/>
  <c r="CA99" i="13"/>
  <c r="CA102" i="13"/>
  <c r="CB102" i="13"/>
  <c r="CB99" i="13"/>
  <c r="CB100" i="13"/>
  <c r="BY100" i="13"/>
  <c r="BY102" i="13"/>
  <c r="BY99" i="13"/>
  <c r="CC100" i="13"/>
  <c r="CC102" i="13"/>
  <c r="CC99" i="13"/>
  <c r="BU102" i="13"/>
  <c r="BU100" i="13"/>
  <c r="BU99" i="13"/>
  <c r="BT99" i="13"/>
  <c r="BT102" i="13"/>
  <c r="BT100" i="13"/>
  <c r="BW102" i="13"/>
  <c r="BW100" i="13"/>
  <c r="BW99" i="13"/>
  <c r="HJ126" i="13"/>
  <c r="DS32" i="13"/>
  <c r="GI159" i="13"/>
  <c r="GI158" i="13"/>
  <c r="GI157" i="13"/>
  <c r="G24" i="3"/>
  <c r="G23" i="3"/>
  <c r="G22" i="3"/>
  <c r="G21" i="3"/>
  <c r="G20" i="3"/>
  <c r="G19" i="3"/>
  <c r="G18" i="3"/>
  <c r="G17" i="3"/>
  <c r="G16" i="3"/>
  <c r="G15" i="3"/>
  <c r="G14" i="3"/>
  <c r="G13" i="3"/>
  <c r="E16" i="8"/>
  <c r="H15" i="8"/>
  <c r="D13" i="8"/>
  <c r="H5" i="8"/>
  <c r="G5" i="8"/>
  <c r="L18" i="8"/>
  <c r="L17" i="8"/>
  <c r="G145" i="4"/>
  <c r="G144" i="4"/>
  <c r="AE3" i="7"/>
  <c r="AE2" i="7"/>
  <c r="AE1" i="7"/>
  <c r="W2" i="7"/>
  <c r="T5" i="7"/>
  <c r="L10" i="3"/>
  <c r="E69" i="2"/>
  <c r="E70" i="2"/>
  <c r="E71" i="2"/>
  <c r="E72" i="2"/>
  <c r="E73" i="2"/>
  <c r="E74" i="2"/>
  <c r="E75" i="2"/>
  <c r="E68" i="2"/>
  <c r="G141" i="4"/>
  <c r="N53" i="3"/>
  <c r="G140" i="4" s="1"/>
  <c r="M52" i="3"/>
  <c r="G139" i="4" s="1"/>
  <c r="A55" i="3"/>
  <c r="G138" i="4" s="1"/>
  <c r="A53" i="3"/>
  <c r="G137" i="4" s="1"/>
  <c r="A52" i="3"/>
  <c r="G136" i="4" s="1"/>
  <c r="A51" i="3"/>
  <c r="G135" i="4" s="1"/>
  <c r="N49" i="3"/>
  <c r="G134" i="4" s="1"/>
  <c r="A49" i="3"/>
  <c r="G133" i="4" s="1"/>
  <c r="N48" i="3"/>
  <c r="G132" i="4" s="1"/>
  <c r="A48" i="3"/>
  <c r="G131" i="4" s="1"/>
  <c r="M43" i="3"/>
  <c r="G128" i="4" s="1"/>
  <c r="M44" i="3"/>
  <c r="G130" i="4" s="1"/>
  <c r="A44" i="3"/>
  <c r="G129" i="4" s="1"/>
  <c r="A43" i="3"/>
  <c r="G127" i="4" s="1"/>
  <c r="A31" i="1"/>
  <c r="B31" i="1" s="1"/>
  <c r="I53" i="5"/>
  <c r="F15" i="5"/>
  <c r="M42" i="3"/>
  <c r="G126" i="4" s="1"/>
  <c r="HU5" i="13" l="1"/>
  <c r="HV6" i="13" s="1"/>
  <c r="IA5" i="13"/>
  <c r="IB6" i="13" s="1"/>
  <c r="IG5" i="13"/>
  <c r="IH6" i="13" s="1"/>
  <c r="IJ4" i="13"/>
  <c r="IK6" i="13" s="1"/>
  <c r="HL5" i="13"/>
  <c r="HM6" i="13" s="1"/>
  <c r="ID5" i="13"/>
  <c r="IE6" i="13" s="1"/>
  <c r="IE8" i="13"/>
  <c r="IF8" i="13" s="1"/>
  <c r="ID8" i="13"/>
  <c r="DQ4" i="13"/>
  <c r="DR6" i="13" s="1"/>
  <c r="CP5" i="13"/>
  <c r="CQ6" i="13" s="1"/>
  <c r="CV5" i="13"/>
  <c r="CW6" i="13" s="1"/>
  <c r="DB5" i="13"/>
  <c r="DC6" i="13" s="1"/>
  <c r="DH5" i="13"/>
  <c r="DI6" i="13" s="1"/>
  <c r="DK5" i="13"/>
  <c r="DL6" i="13" s="1"/>
  <c r="DN5" i="13"/>
  <c r="DO6" i="13" s="1"/>
  <c r="EM5" i="13"/>
  <c r="EN6" i="13" s="1"/>
  <c r="ES5" i="13"/>
  <c r="ET6" i="13" s="1"/>
  <c r="EY5" i="13"/>
  <c r="EZ6" i="13" s="1"/>
  <c r="GM5" i="13"/>
  <c r="GN6" i="13" s="1"/>
  <c r="DL8" i="13"/>
  <c r="DM8" i="13" s="1"/>
  <c r="EW8" i="13"/>
  <c r="EX8" i="13" s="1"/>
  <c r="GM8" i="13"/>
  <c r="FB4" i="13"/>
  <c r="FC6" i="13" s="1"/>
  <c r="GS4" i="13"/>
  <c r="GT6" i="13" s="1"/>
  <c r="EV5" i="13"/>
  <c r="EW6" i="13" s="1"/>
  <c r="FR5" i="13"/>
  <c r="FS6" i="13" s="1"/>
  <c r="FX5" i="13"/>
  <c r="FY6" i="13" s="1"/>
  <c r="GD5" i="13"/>
  <c r="GE6" i="13" s="1"/>
  <c r="GJ5" i="13"/>
  <c r="GK6" i="13" s="1"/>
  <c r="GP5" i="13"/>
  <c r="GQ6" i="13" s="1"/>
  <c r="DK8" i="13"/>
  <c r="EV8" i="13"/>
  <c r="GN8" i="13"/>
  <c r="GO8" i="13" s="1"/>
  <c r="HE101" i="13"/>
  <c r="HJ97" i="13"/>
  <c r="HK99" i="13" s="1"/>
  <c r="GI98" i="13"/>
  <c r="GJ99" i="13" s="1"/>
  <c r="GO98" i="13"/>
  <c r="GP99" i="13" s="1"/>
  <c r="GU98" i="13"/>
  <c r="GV99" i="13" s="1"/>
  <c r="HA98" i="13"/>
  <c r="HB99" i="13" s="1"/>
  <c r="HD98" i="13"/>
  <c r="HE99" i="13" s="1"/>
  <c r="HG98" i="13"/>
  <c r="HH99" i="13" s="1"/>
  <c r="HD101" i="13"/>
  <c r="AJ63" i="13"/>
  <c r="AJ61" i="13"/>
  <c r="AJ59" i="13"/>
  <c r="AJ57" i="13"/>
  <c r="AJ55" i="13"/>
  <c r="AJ53" i="13"/>
  <c r="AJ49" i="13"/>
  <c r="AJ47" i="13"/>
  <c r="AJ45" i="13"/>
  <c r="AJ43" i="13"/>
  <c r="AJ41" i="13"/>
  <c r="AJ39" i="13"/>
  <c r="AJ37" i="13"/>
  <c r="AJ35" i="13"/>
  <c r="AJ33" i="13"/>
  <c r="AK29" i="13"/>
  <c r="AJ28" i="13"/>
  <c r="AK28" i="13" s="1"/>
  <c r="AJ26" i="13"/>
  <c r="AK26" i="13" s="1"/>
  <c r="AJ24" i="13"/>
  <c r="AK24" i="13" s="1"/>
  <c r="AJ22" i="13"/>
  <c r="AK22" i="13" s="1"/>
  <c r="AJ20" i="13"/>
  <c r="AK20" i="13" s="1"/>
  <c r="AJ18" i="13"/>
  <c r="AK18" i="13" s="1"/>
  <c r="AJ16" i="13"/>
  <c r="AK16" i="13" s="1"/>
  <c r="AJ14" i="13"/>
  <c r="AK14" i="13" s="1"/>
  <c r="AJ10" i="13"/>
  <c r="AJ8" i="13"/>
  <c r="AJ6" i="13"/>
  <c r="AJ4" i="13"/>
  <c r="AJ64" i="13"/>
  <c r="AJ62" i="13"/>
  <c r="AJ60" i="13"/>
  <c r="AJ56" i="13"/>
  <c r="AJ54" i="13"/>
  <c r="AJ52" i="13"/>
  <c r="AJ48" i="13"/>
  <c r="AJ46" i="13"/>
  <c r="AJ44" i="13"/>
  <c r="AJ42" i="13"/>
  <c r="AJ38" i="13"/>
  <c r="AJ36" i="13"/>
  <c r="AJ30" i="13"/>
  <c r="AK30" i="13" s="1"/>
  <c r="AJ27" i="13"/>
  <c r="AK27" i="13" s="1"/>
  <c r="AJ25" i="13"/>
  <c r="AK25" i="13" s="1"/>
  <c r="AJ21" i="13"/>
  <c r="AK21" i="13" s="1"/>
  <c r="AJ17" i="13"/>
  <c r="AK17" i="13" s="1"/>
  <c r="AJ13" i="13"/>
  <c r="AJ7" i="13"/>
  <c r="AJ58" i="13"/>
  <c r="AJ40" i="13"/>
  <c r="AJ34" i="13"/>
  <c r="AJ29" i="13"/>
  <c r="AJ23" i="13"/>
  <c r="AK23" i="13" s="1"/>
  <c r="AJ19" i="13"/>
  <c r="AK19" i="13" s="1"/>
  <c r="AJ15" i="13"/>
  <c r="AK15" i="13" s="1"/>
  <c r="AJ9" i="13"/>
  <c r="AJ5" i="13"/>
  <c r="AG63" i="13"/>
  <c r="AG61" i="13"/>
  <c r="AG59" i="13"/>
  <c r="AG57" i="13"/>
  <c r="AG55" i="13"/>
  <c r="AG53" i="13"/>
  <c r="AG49" i="13"/>
  <c r="AG47" i="13"/>
  <c r="AG45" i="13"/>
  <c r="AG43" i="13"/>
  <c r="AG41" i="13"/>
  <c r="AG39" i="13"/>
  <c r="AG37" i="13"/>
  <c r="AG35" i="13"/>
  <c r="AG33" i="13"/>
  <c r="AH29" i="13"/>
  <c r="AG28" i="13"/>
  <c r="AH28" i="13" s="1"/>
  <c r="AG26" i="13"/>
  <c r="AH26" i="13" s="1"/>
  <c r="AG24" i="13"/>
  <c r="AH24" i="13" s="1"/>
  <c r="AG22" i="13"/>
  <c r="AH22" i="13" s="1"/>
  <c r="AG20" i="13"/>
  <c r="AH20" i="13" s="1"/>
  <c r="AG18" i="13"/>
  <c r="AH18" i="13" s="1"/>
  <c r="AG16" i="13"/>
  <c r="AH16" i="13" s="1"/>
  <c r="AG14" i="13"/>
  <c r="AH14" i="13" s="1"/>
  <c r="AG10" i="13"/>
  <c r="AG8" i="13"/>
  <c r="AG6" i="13"/>
  <c r="AG4" i="13"/>
  <c r="AG64" i="13"/>
  <c r="AG62" i="13"/>
  <c r="AG60" i="13"/>
  <c r="AG58" i="13"/>
  <c r="AG56" i="13"/>
  <c r="AG54" i="13"/>
  <c r="AG52" i="13"/>
  <c r="AG48" i="13"/>
  <c r="AG46" i="13"/>
  <c r="AG44" i="13"/>
  <c r="AG42" i="13"/>
  <c r="AG40" i="13"/>
  <c r="AG38" i="13"/>
  <c r="AG36" i="13"/>
  <c r="AG34" i="13"/>
  <c r="AG30" i="13"/>
  <c r="AH30" i="13" s="1"/>
  <c r="AG29" i="13"/>
  <c r="AG27" i="13"/>
  <c r="AH27" i="13" s="1"/>
  <c r="AG25" i="13"/>
  <c r="AH25" i="13" s="1"/>
  <c r="AG23" i="13"/>
  <c r="AH23" i="13" s="1"/>
  <c r="AG21" i="13"/>
  <c r="AH21" i="13" s="1"/>
  <c r="AG19" i="13"/>
  <c r="AH19" i="13" s="1"/>
  <c r="AG17" i="13"/>
  <c r="AH17" i="13" s="1"/>
  <c r="AG15" i="13"/>
  <c r="AH15" i="13" s="1"/>
  <c r="AG13" i="13"/>
  <c r="AG9" i="13"/>
  <c r="AG7" i="13"/>
  <c r="AG5" i="13"/>
  <c r="AD63" i="13"/>
  <c r="AD61" i="13"/>
  <c r="AD59" i="13"/>
  <c r="AD57" i="13"/>
  <c r="AD55" i="13"/>
  <c r="AD53" i="13"/>
  <c r="AD49" i="13"/>
  <c r="AD47" i="13"/>
  <c r="AD45" i="13"/>
  <c r="AD43" i="13"/>
  <c r="AD41" i="13"/>
  <c r="AD39" i="13"/>
  <c r="AD37" i="13"/>
  <c r="AD35" i="13"/>
  <c r="AD33" i="13"/>
  <c r="AE29" i="13"/>
  <c r="AD28" i="13"/>
  <c r="AE28" i="13" s="1"/>
  <c r="AD26" i="13"/>
  <c r="AE26" i="13" s="1"/>
  <c r="AD24" i="13"/>
  <c r="AE24" i="13" s="1"/>
  <c r="AD22" i="13"/>
  <c r="AE22" i="13" s="1"/>
  <c r="AD20" i="13"/>
  <c r="AE20" i="13" s="1"/>
  <c r="AD18" i="13"/>
  <c r="AE18" i="13" s="1"/>
  <c r="AD16" i="13"/>
  <c r="AE16" i="13" s="1"/>
  <c r="AD14" i="13"/>
  <c r="AE14" i="13" s="1"/>
  <c r="AD10" i="13"/>
  <c r="AD8" i="13"/>
  <c r="AD6" i="13"/>
  <c r="AD4" i="13"/>
  <c r="AD64" i="13"/>
  <c r="AD62" i="13"/>
  <c r="AD60" i="13"/>
  <c r="AD58" i="13"/>
  <c r="AD56" i="13"/>
  <c r="AD54" i="13"/>
  <c r="AD52" i="13"/>
  <c r="AD48" i="13"/>
  <c r="AD46" i="13"/>
  <c r="AD44" i="13"/>
  <c r="AD42" i="13"/>
  <c r="AD40" i="13"/>
  <c r="AD38" i="13"/>
  <c r="AD36" i="13"/>
  <c r="AD34" i="13"/>
  <c r="AD30" i="13"/>
  <c r="AE30" i="13" s="1"/>
  <c r="AD29" i="13"/>
  <c r="AD27" i="13"/>
  <c r="AE27" i="13" s="1"/>
  <c r="AD25" i="13"/>
  <c r="AE25" i="13" s="1"/>
  <c r="AD23" i="13"/>
  <c r="AE23" i="13" s="1"/>
  <c r="AD21" i="13"/>
  <c r="AE21" i="13" s="1"/>
  <c r="AD19" i="13"/>
  <c r="AE19" i="13" s="1"/>
  <c r="AD17" i="13"/>
  <c r="AE17" i="13" s="1"/>
  <c r="AD15" i="13"/>
  <c r="AE15" i="13" s="1"/>
  <c r="AD13" i="13"/>
  <c r="AD9" i="13"/>
  <c r="AD7" i="13"/>
  <c r="AD5" i="13"/>
  <c r="AA63" i="13"/>
  <c r="AA61" i="13"/>
  <c r="AA59" i="13"/>
  <c r="AA57" i="13"/>
  <c r="AA55" i="13"/>
  <c r="AA53" i="13"/>
  <c r="AA49" i="13"/>
  <c r="AA47" i="13"/>
  <c r="AA45" i="13"/>
  <c r="AA43" i="13"/>
  <c r="AA41" i="13"/>
  <c r="AA39" i="13"/>
  <c r="AA37" i="13"/>
  <c r="AA35" i="13"/>
  <c r="AA33" i="13"/>
  <c r="AB29" i="13"/>
  <c r="AA28" i="13"/>
  <c r="AB28" i="13" s="1"/>
  <c r="AA26" i="13"/>
  <c r="AB26" i="13" s="1"/>
  <c r="AA24" i="13"/>
  <c r="AB24" i="13" s="1"/>
  <c r="AA22" i="13"/>
  <c r="AB22" i="13" s="1"/>
  <c r="AA20" i="13"/>
  <c r="AB20" i="13" s="1"/>
  <c r="AA18" i="13"/>
  <c r="AB18" i="13" s="1"/>
  <c r="AA16" i="13"/>
  <c r="AB16" i="13" s="1"/>
  <c r="AA14" i="13"/>
  <c r="AB14" i="13" s="1"/>
  <c r="AA10" i="13"/>
  <c r="AA8" i="13"/>
  <c r="AA6" i="13"/>
  <c r="AA4" i="13"/>
  <c r="AA64" i="13"/>
  <c r="AA62" i="13"/>
  <c r="AA60" i="13"/>
  <c r="AA58" i="13"/>
  <c r="AA56" i="13"/>
  <c r="AA54" i="13"/>
  <c r="AA52" i="13"/>
  <c r="AA48" i="13"/>
  <c r="AA46" i="13"/>
  <c r="AA44" i="13"/>
  <c r="AA42" i="13"/>
  <c r="AA40" i="13"/>
  <c r="AA38" i="13"/>
  <c r="AA36" i="13"/>
  <c r="AA34" i="13"/>
  <c r="AA30" i="13"/>
  <c r="AB30" i="13" s="1"/>
  <c r="AA29" i="13"/>
  <c r="AA27" i="13"/>
  <c r="AB27" i="13" s="1"/>
  <c r="AA25" i="13"/>
  <c r="AB25" i="13" s="1"/>
  <c r="AA23" i="13"/>
  <c r="AB23" i="13" s="1"/>
  <c r="AA21" i="13"/>
  <c r="AB21" i="13" s="1"/>
  <c r="AA19" i="13"/>
  <c r="AB19" i="13" s="1"/>
  <c r="AA17" i="13"/>
  <c r="AB17" i="13" s="1"/>
  <c r="AA15" i="13"/>
  <c r="AB15" i="13" s="1"/>
  <c r="AA13" i="13"/>
  <c r="AA9" i="13"/>
  <c r="AA7" i="13"/>
  <c r="AA5" i="13"/>
  <c r="X63" i="13"/>
  <c r="X61" i="13"/>
  <c r="X59" i="13"/>
  <c r="X57" i="13"/>
  <c r="X55" i="13"/>
  <c r="X53" i="13"/>
  <c r="X49" i="13"/>
  <c r="X47" i="13"/>
  <c r="X45" i="13"/>
  <c r="X43" i="13"/>
  <c r="X41" i="13"/>
  <c r="X39" i="13"/>
  <c r="X37" i="13"/>
  <c r="X35" i="13"/>
  <c r="X33" i="13"/>
  <c r="Y29" i="13"/>
  <c r="X28" i="13"/>
  <c r="Y28" i="13" s="1"/>
  <c r="X26" i="13"/>
  <c r="Y26" i="13" s="1"/>
  <c r="X24" i="13"/>
  <c r="Y24" i="13" s="1"/>
  <c r="X22" i="13"/>
  <c r="Y22" i="13" s="1"/>
  <c r="X20" i="13"/>
  <c r="Y20" i="13" s="1"/>
  <c r="X18" i="13"/>
  <c r="Y18" i="13" s="1"/>
  <c r="X16" i="13"/>
  <c r="Y16" i="13" s="1"/>
  <c r="X14" i="13"/>
  <c r="Y14" i="13" s="1"/>
  <c r="X10" i="13"/>
  <c r="X8" i="13"/>
  <c r="X6" i="13"/>
  <c r="X4" i="13"/>
  <c r="X64" i="13"/>
  <c r="X62" i="13"/>
  <c r="X60" i="13"/>
  <c r="X58" i="13"/>
  <c r="X56" i="13"/>
  <c r="X54" i="13"/>
  <c r="X52" i="13"/>
  <c r="X48" i="13"/>
  <c r="X46" i="13"/>
  <c r="X44" i="13"/>
  <c r="X42" i="13"/>
  <c r="X40" i="13"/>
  <c r="X38" i="13"/>
  <c r="X36" i="13"/>
  <c r="X34" i="13"/>
  <c r="X30" i="13"/>
  <c r="Y30" i="13" s="1"/>
  <c r="X29" i="13"/>
  <c r="X27" i="13"/>
  <c r="Y27" i="13" s="1"/>
  <c r="X25" i="13"/>
  <c r="Y25" i="13" s="1"/>
  <c r="X23" i="13"/>
  <c r="Y23" i="13" s="1"/>
  <c r="X21" i="13"/>
  <c r="Y21" i="13" s="1"/>
  <c r="X19" i="13"/>
  <c r="Y19" i="13" s="1"/>
  <c r="X17" i="13"/>
  <c r="Y17" i="13" s="1"/>
  <c r="X15" i="13"/>
  <c r="Y15" i="13" s="1"/>
  <c r="X13" i="13"/>
  <c r="X9" i="13"/>
  <c r="X7" i="13"/>
  <c r="X5" i="13"/>
  <c r="U63" i="13"/>
  <c r="U61" i="13"/>
  <c r="U59" i="13"/>
  <c r="U57" i="13"/>
  <c r="U55" i="13"/>
  <c r="U53" i="13"/>
  <c r="U49" i="13"/>
  <c r="U47" i="13"/>
  <c r="U45" i="13"/>
  <c r="U43" i="13"/>
  <c r="U41" i="13"/>
  <c r="U39" i="13"/>
  <c r="U37" i="13"/>
  <c r="U35" i="13"/>
  <c r="U33" i="13"/>
  <c r="V29" i="13"/>
  <c r="U28" i="13"/>
  <c r="V28" i="13" s="1"/>
  <c r="U26" i="13"/>
  <c r="V26" i="13" s="1"/>
  <c r="U24" i="13"/>
  <c r="V24" i="13" s="1"/>
  <c r="U22" i="13"/>
  <c r="V22" i="13" s="1"/>
  <c r="U20" i="13"/>
  <c r="V20" i="13" s="1"/>
  <c r="U18" i="13"/>
  <c r="V18" i="13" s="1"/>
  <c r="U16" i="13"/>
  <c r="V16" i="13" s="1"/>
  <c r="U14" i="13"/>
  <c r="V14" i="13" s="1"/>
  <c r="U10" i="13"/>
  <c r="U8" i="13"/>
  <c r="U6" i="13"/>
  <c r="U4" i="13"/>
  <c r="U64" i="13"/>
  <c r="U62" i="13"/>
  <c r="U60" i="13"/>
  <c r="U58" i="13"/>
  <c r="U56" i="13"/>
  <c r="U54" i="13"/>
  <c r="U52" i="13"/>
  <c r="U48" i="13"/>
  <c r="U46" i="13"/>
  <c r="U44" i="13"/>
  <c r="U42" i="13"/>
  <c r="U40" i="13"/>
  <c r="U38" i="13"/>
  <c r="U36" i="13"/>
  <c r="U34" i="13"/>
  <c r="U30" i="13"/>
  <c r="V30" i="13" s="1"/>
  <c r="U29" i="13"/>
  <c r="U27" i="13"/>
  <c r="V27" i="13" s="1"/>
  <c r="U25" i="13"/>
  <c r="V25" i="13" s="1"/>
  <c r="U23" i="13"/>
  <c r="V23" i="13" s="1"/>
  <c r="U21" i="13"/>
  <c r="V21" i="13" s="1"/>
  <c r="U19" i="13"/>
  <c r="V19" i="13" s="1"/>
  <c r="U17" i="13"/>
  <c r="V17" i="13" s="1"/>
  <c r="U15" i="13"/>
  <c r="V15" i="13" s="1"/>
  <c r="U13" i="13"/>
  <c r="U9" i="13"/>
  <c r="U7" i="13"/>
  <c r="U5" i="13"/>
  <c r="R63" i="13"/>
  <c r="R61" i="13"/>
  <c r="R59" i="13"/>
  <c r="R57" i="13"/>
  <c r="R55" i="13"/>
  <c r="R53" i="13"/>
  <c r="R49" i="13"/>
  <c r="R47" i="13"/>
  <c r="R45" i="13"/>
  <c r="R43" i="13"/>
  <c r="R41" i="13"/>
  <c r="R39" i="13"/>
  <c r="R37" i="13"/>
  <c r="R35" i="13"/>
  <c r="R33" i="13"/>
  <c r="R9" i="13"/>
  <c r="R7" i="13"/>
  <c r="R5" i="13"/>
  <c r="R64" i="13"/>
  <c r="R62" i="13"/>
  <c r="R60" i="13"/>
  <c r="R58" i="13"/>
  <c r="R56" i="13"/>
  <c r="R54" i="13"/>
  <c r="R52" i="13"/>
  <c r="R48" i="13"/>
  <c r="R46" i="13"/>
  <c r="R44" i="13"/>
  <c r="R42" i="13"/>
  <c r="R40" i="13"/>
  <c r="R38" i="13"/>
  <c r="R36" i="13"/>
  <c r="R34" i="13"/>
  <c r="R10" i="13"/>
  <c r="R8" i="13"/>
  <c r="R6" i="13"/>
  <c r="R4" i="13"/>
  <c r="BW15" i="13" s="1"/>
  <c r="O63" i="13"/>
  <c r="O61" i="13"/>
  <c r="O59" i="13"/>
  <c r="O57" i="13"/>
  <c r="O55" i="13"/>
  <c r="O53" i="13"/>
  <c r="O49" i="13"/>
  <c r="O47" i="13"/>
  <c r="O45" i="13"/>
  <c r="O43" i="13"/>
  <c r="O41" i="13"/>
  <c r="O39" i="13"/>
  <c r="O37" i="13"/>
  <c r="O35" i="13"/>
  <c r="O33" i="13"/>
  <c r="P29" i="13"/>
  <c r="O28" i="13"/>
  <c r="P28" i="13" s="1"/>
  <c r="O26" i="13"/>
  <c r="P26" i="13" s="1"/>
  <c r="O24" i="13"/>
  <c r="P24" i="13" s="1"/>
  <c r="O22" i="13"/>
  <c r="P22" i="13" s="1"/>
  <c r="O20" i="13"/>
  <c r="P20" i="13" s="1"/>
  <c r="O18" i="13"/>
  <c r="P18" i="13" s="1"/>
  <c r="O16" i="13"/>
  <c r="P16" i="13" s="1"/>
  <c r="O14" i="13"/>
  <c r="P14" i="13" s="1"/>
  <c r="O10" i="13"/>
  <c r="O8" i="13"/>
  <c r="O6" i="13"/>
  <c r="O4" i="13"/>
  <c r="O64" i="13"/>
  <c r="O62" i="13"/>
  <c r="O60" i="13"/>
  <c r="O58" i="13"/>
  <c r="O56" i="13"/>
  <c r="O54" i="13"/>
  <c r="O52" i="13"/>
  <c r="O48" i="13"/>
  <c r="O46" i="13"/>
  <c r="O44" i="13"/>
  <c r="O42" i="13"/>
  <c r="O40" i="13"/>
  <c r="O38" i="13"/>
  <c r="O36" i="13"/>
  <c r="O34" i="13"/>
  <c r="O30" i="13"/>
  <c r="P30" i="13" s="1"/>
  <c r="O29" i="13"/>
  <c r="O27" i="13"/>
  <c r="P27" i="13" s="1"/>
  <c r="O25" i="13"/>
  <c r="P25" i="13" s="1"/>
  <c r="O23" i="13"/>
  <c r="P23" i="13" s="1"/>
  <c r="O21" i="13"/>
  <c r="P21" i="13" s="1"/>
  <c r="O19" i="13"/>
  <c r="P19" i="13" s="1"/>
  <c r="O17" i="13"/>
  <c r="P17" i="13" s="1"/>
  <c r="O15" i="13"/>
  <c r="P15" i="13" s="1"/>
  <c r="O13" i="13"/>
  <c r="O9" i="13"/>
  <c r="O7" i="13"/>
  <c r="O5" i="13"/>
  <c r="L63" i="13"/>
  <c r="L61" i="13"/>
  <c r="L59" i="13"/>
  <c r="L57" i="13"/>
  <c r="L55" i="13"/>
  <c r="L53" i="13"/>
  <c r="L49" i="13"/>
  <c r="L47" i="13"/>
  <c r="L45" i="13"/>
  <c r="L43" i="13"/>
  <c r="L41" i="13"/>
  <c r="L39" i="13"/>
  <c r="L37" i="13"/>
  <c r="L35" i="13"/>
  <c r="L33" i="13"/>
  <c r="M29" i="13"/>
  <c r="L28" i="13"/>
  <c r="M28" i="13" s="1"/>
  <c r="L26" i="13"/>
  <c r="M26" i="13" s="1"/>
  <c r="L24" i="13"/>
  <c r="M24" i="13" s="1"/>
  <c r="L22" i="13"/>
  <c r="M22" i="13" s="1"/>
  <c r="L20" i="13"/>
  <c r="M20" i="13" s="1"/>
  <c r="L18" i="13"/>
  <c r="M18" i="13" s="1"/>
  <c r="L16" i="13"/>
  <c r="M16" i="13" s="1"/>
  <c r="L14" i="13"/>
  <c r="M14" i="13" s="1"/>
  <c r="L10" i="13"/>
  <c r="L8" i="13"/>
  <c r="L6" i="13"/>
  <c r="L4" i="13"/>
  <c r="L64" i="13"/>
  <c r="L62" i="13"/>
  <c r="L60" i="13"/>
  <c r="L58" i="13"/>
  <c r="L56" i="13"/>
  <c r="L54" i="13"/>
  <c r="L52" i="13"/>
  <c r="L48" i="13"/>
  <c r="L46" i="13"/>
  <c r="L44" i="13"/>
  <c r="L42" i="13"/>
  <c r="L40" i="13"/>
  <c r="L38" i="13"/>
  <c r="L36" i="13"/>
  <c r="L34" i="13"/>
  <c r="L30" i="13"/>
  <c r="M30" i="13" s="1"/>
  <c r="L29" i="13"/>
  <c r="L27" i="13"/>
  <c r="M27" i="13" s="1"/>
  <c r="L25" i="13"/>
  <c r="M25" i="13" s="1"/>
  <c r="L23" i="13"/>
  <c r="M23" i="13" s="1"/>
  <c r="L21" i="13"/>
  <c r="M21" i="13" s="1"/>
  <c r="L19" i="13"/>
  <c r="M19" i="13" s="1"/>
  <c r="L17" i="13"/>
  <c r="M17" i="13" s="1"/>
  <c r="L15" i="13"/>
  <c r="M15" i="13" s="1"/>
  <c r="L13" i="13"/>
  <c r="L9" i="13"/>
  <c r="L7" i="13"/>
  <c r="L5" i="13"/>
  <c r="I63" i="13"/>
  <c r="I61" i="13"/>
  <c r="I59" i="13"/>
  <c r="I57" i="13"/>
  <c r="I55" i="13"/>
  <c r="I53" i="13"/>
  <c r="I49" i="13"/>
  <c r="I47" i="13"/>
  <c r="I45" i="13"/>
  <c r="I43" i="13"/>
  <c r="I41" i="13"/>
  <c r="I39" i="13"/>
  <c r="I37" i="13"/>
  <c r="I35" i="13"/>
  <c r="I33" i="13"/>
  <c r="J29" i="13"/>
  <c r="BI184" i="13" s="1"/>
  <c r="I28" i="13"/>
  <c r="BH183" i="13" s="1"/>
  <c r="I26" i="13"/>
  <c r="BH181" i="13" s="1"/>
  <c r="I24" i="13"/>
  <c r="BH179" i="13" s="1"/>
  <c r="I22" i="13"/>
  <c r="BH177" i="13" s="1"/>
  <c r="I20" i="13"/>
  <c r="BH175" i="13" s="1"/>
  <c r="I18" i="13"/>
  <c r="BH173" i="13" s="1"/>
  <c r="I16" i="13"/>
  <c r="BH171" i="13" s="1"/>
  <c r="I14" i="13"/>
  <c r="BH169" i="13" s="1"/>
  <c r="I10" i="13"/>
  <c r="I8" i="13"/>
  <c r="I6" i="13"/>
  <c r="I4" i="13"/>
  <c r="I64" i="13"/>
  <c r="I62" i="13"/>
  <c r="I60" i="13"/>
  <c r="I58" i="13"/>
  <c r="I56" i="13"/>
  <c r="I54" i="13"/>
  <c r="I52" i="13"/>
  <c r="I48" i="13"/>
  <c r="I46" i="13"/>
  <c r="I44" i="13"/>
  <c r="I42" i="13"/>
  <c r="I40" i="13"/>
  <c r="I38" i="13"/>
  <c r="I36" i="13"/>
  <c r="I34" i="13"/>
  <c r="I30" i="13"/>
  <c r="BH185" i="13" s="1"/>
  <c r="I29" i="13"/>
  <c r="BH184" i="13" s="1"/>
  <c r="I27" i="13"/>
  <c r="BH182" i="13" s="1"/>
  <c r="I25" i="13"/>
  <c r="BH180" i="13" s="1"/>
  <c r="I23" i="13"/>
  <c r="BH178" i="13" s="1"/>
  <c r="I21" i="13"/>
  <c r="BH176" i="13" s="1"/>
  <c r="I19" i="13"/>
  <c r="BH174" i="13" s="1"/>
  <c r="I17" i="13"/>
  <c r="BH172" i="13" s="1"/>
  <c r="I15" i="13"/>
  <c r="BH170" i="13" s="1"/>
  <c r="I13" i="13"/>
  <c r="BH168" i="13" s="1"/>
  <c r="I9" i="13"/>
  <c r="I7" i="13"/>
  <c r="I5" i="13"/>
  <c r="AE4" i="7"/>
  <c r="AE5" i="7" s="1"/>
  <c r="G125" i="4"/>
  <c r="H36" i="3"/>
  <c r="G124" i="4" s="1"/>
  <c r="H35" i="3"/>
  <c r="G123" i="4" s="1"/>
  <c r="H34" i="3"/>
  <c r="G122" i="4" s="1"/>
  <c r="H33" i="3"/>
  <c r="G120" i="4" s="1"/>
  <c r="H32" i="3"/>
  <c r="G121" i="4" s="1"/>
  <c r="F28" i="3"/>
  <c r="G118" i="4" s="1"/>
  <c r="L8" i="3"/>
  <c r="E9" i="3"/>
  <c r="I84" i="5"/>
  <c r="I85" i="5"/>
  <c r="I86" i="5"/>
  <c r="I83" i="5"/>
  <c r="BT21" i="13" l="1"/>
  <c r="AK13" i="13"/>
  <c r="CC21" i="13"/>
  <c r="M13" i="13"/>
  <c r="BU21" i="13"/>
  <c r="P13" i="13"/>
  <c r="BV21" i="13"/>
  <c r="V13" i="13"/>
  <c r="BX21" i="13"/>
  <c r="Y13" i="13"/>
  <c r="BY21" i="13"/>
  <c r="AB13" i="13"/>
  <c r="BZ21" i="13"/>
  <c r="AE13" i="13"/>
  <c r="CA21" i="13"/>
  <c r="AH13" i="13"/>
  <c r="CB21" i="13"/>
  <c r="BW21" i="13"/>
  <c r="F43" i="8"/>
  <c r="F44" i="8"/>
  <c r="F45" i="8"/>
  <c r="F47" i="8"/>
  <c r="F48" i="8"/>
  <c r="F49" i="8"/>
  <c r="F50" i="8"/>
  <c r="F51" i="8"/>
  <c r="F46" i="8"/>
  <c r="EG5" i="13"/>
  <c r="EH6" i="13" s="1"/>
  <c r="EA5" i="13"/>
  <c r="EB6" i="13" s="1"/>
  <c r="J15" i="13"/>
  <c r="BI170" i="13" s="1"/>
  <c r="HF10" i="13"/>
  <c r="J19" i="13"/>
  <c r="BI174" i="13" s="1"/>
  <c r="HF14" i="13"/>
  <c r="J23" i="13"/>
  <c r="BI178" i="13" s="1"/>
  <c r="HF18" i="13"/>
  <c r="J27" i="13"/>
  <c r="BI182" i="13" s="1"/>
  <c r="HF22" i="13"/>
  <c r="IO22" i="13" s="1"/>
  <c r="J30" i="13"/>
  <c r="BI185" i="13" s="1"/>
  <c r="HF25" i="13"/>
  <c r="HF31" i="13"/>
  <c r="HF35" i="13"/>
  <c r="HF39" i="13"/>
  <c r="HF43" i="13"/>
  <c r="HF49" i="13"/>
  <c r="HF53" i="13"/>
  <c r="HF57" i="13"/>
  <c r="HF4" i="13"/>
  <c r="HG6" i="13" s="1"/>
  <c r="J14" i="13"/>
  <c r="BI169" i="13" s="1"/>
  <c r="HF9" i="13"/>
  <c r="J18" i="13"/>
  <c r="BI173" i="13" s="1"/>
  <c r="HF13" i="13"/>
  <c r="IO13" i="13" s="1"/>
  <c r="J22" i="13"/>
  <c r="BI177" i="13" s="1"/>
  <c r="HF17" i="13"/>
  <c r="J26" i="13"/>
  <c r="BI181" i="13" s="1"/>
  <c r="HF21" i="13"/>
  <c r="HG24" i="13"/>
  <c r="HF30" i="13"/>
  <c r="HF34" i="13"/>
  <c r="HF38" i="13"/>
  <c r="HF42" i="13"/>
  <c r="HF48" i="13"/>
  <c r="HF52" i="13"/>
  <c r="HF56" i="13"/>
  <c r="J13" i="13"/>
  <c r="BI168" i="13" s="1"/>
  <c r="HF8" i="13"/>
  <c r="J17" i="13"/>
  <c r="BI172" i="13" s="1"/>
  <c r="HF12" i="13"/>
  <c r="J21" i="13"/>
  <c r="BI176" i="13" s="1"/>
  <c r="HF16" i="13"/>
  <c r="J25" i="13"/>
  <c r="BI180" i="13" s="1"/>
  <c r="HF20" i="13"/>
  <c r="IO20" i="13" s="1"/>
  <c r="HF24" i="13"/>
  <c r="HF29" i="13"/>
  <c r="HF33" i="13"/>
  <c r="HF37" i="13"/>
  <c r="HF41" i="13"/>
  <c r="HF47" i="13"/>
  <c r="HF51" i="13"/>
  <c r="HF55" i="13"/>
  <c r="HF59" i="13"/>
  <c r="J16" i="13"/>
  <c r="BI171" i="13" s="1"/>
  <c r="HF11" i="13"/>
  <c r="J20" i="13"/>
  <c r="BI175" i="13" s="1"/>
  <c r="HF15" i="13"/>
  <c r="J24" i="13"/>
  <c r="BI179" i="13" s="1"/>
  <c r="HF19" i="13"/>
  <c r="J28" i="13"/>
  <c r="BI183" i="13" s="1"/>
  <c r="HF23" i="13"/>
  <c r="IO23" i="13" s="1"/>
  <c r="HF28" i="13"/>
  <c r="HF32" i="13"/>
  <c r="HF36" i="13"/>
  <c r="HF40" i="13"/>
  <c r="HF44" i="13"/>
  <c r="HF50" i="13"/>
  <c r="HF54" i="13"/>
  <c r="HF58" i="13"/>
  <c r="HF101" i="13"/>
  <c r="G142" i="4"/>
  <c r="G143" i="4"/>
  <c r="G119" i="4"/>
  <c r="K68" i="2"/>
  <c r="A13" i="3"/>
  <c r="G116" i="4"/>
  <c r="G114" i="4"/>
  <c r="G112" i="4"/>
  <c r="G86" i="4"/>
  <c r="G85" i="4"/>
  <c r="A18" i="8"/>
  <c r="G70" i="4"/>
  <c r="D28" i="8"/>
  <c r="D27" i="8"/>
  <c r="D26" i="8"/>
  <c r="D25" i="8"/>
  <c r="D24" i="8"/>
  <c r="D23" i="8"/>
  <c r="D22" i="8"/>
  <c r="D21" i="8"/>
  <c r="D20" i="8"/>
  <c r="D19" i="8"/>
  <c r="D18" i="8"/>
  <c r="G68" i="4"/>
  <c r="G67" i="4"/>
  <c r="G66" i="4"/>
  <c r="G65" i="4"/>
  <c r="G64" i="4"/>
  <c r="CY94" i="13"/>
  <c r="CX94" i="13"/>
  <c r="D36" i="5" s="1"/>
  <c r="CW94" i="13"/>
  <c r="CW95" i="13" s="1"/>
  <c r="CV94" i="13"/>
  <c r="CV95" i="13" s="1"/>
  <c r="CU94" i="13"/>
  <c r="D33" i="5" s="1"/>
  <c r="CT94" i="13"/>
  <c r="CS94" i="13"/>
  <c r="CR94" i="13"/>
  <c r="CQ94" i="13"/>
  <c r="CP94" i="13"/>
  <c r="CO94" i="13"/>
  <c r="CN94" i="13"/>
  <c r="CM94" i="13"/>
  <c r="CL94" i="13"/>
  <c r="CK94" i="13"/>
  <c r="CJ94" i="13"/>
  <c r="CI94" i="13"/>
  <c r="CH94" i="13"/>
  <c r="CG94" i="13"/>
  <c r="CF94" i="13"/>
  <c r="CF96" i="13" s="1"/>
  <c r="CL96" i="13" s="1"/>
  <c r="CE94" i="13"/>
  <c r="CD94" i="13"/>
  <c r="CC94" i="13"/>
  <c r="CB94" i="13"/>
  <c r="CA94" i="13"/>
  <c r="BZ94" i="13"/>
  <c r="BY94" i="13"/>
  <c r="BX94" i="13"/>
  <c r="BW94" i="13"/>
  <c r="BV94" i="13"/>
  <c r="BU94" i="13"/>
  <c r="BT94" i="13"/>
  <c r="BS94" i="13"/>
  <c r="BR94" i="13"/>
  <c r="D3" i="5" s="1"/>
  <c r="BE83" i="13"/>
  <c r="AR83" i="13"/>
  <c r="BE82" i="13"/>
  <c r="AR82" i="13"/>
  <c r="BE81" i="13"/>
  <c r="AR81" i="13"/>
  <c r="BE80" i="13"/>
  <c r="AR80" i="13"/>
  <c r="BE79" i="13"/>
  <c r="AR79" i="13"/>
  <c r="BE78" i="13"/>
  <c r="AR78" i="13"/>
  <c r="BE77" i="13"/>
  <c r="AR77" i="13"/>
  <c r="BE76" i="13"/>
  <c r="AR76" i="13"/>
  <c r="BE75" i="13"/>
  <c r="AR75" i="13"/>
  <c r="BE73" i="13"/>
  <c r="AR73" i="13"/>
  <c r="BE72" i="13"/>
  <c r="AR72" i="13"/>
  <c r="BE71" i="13"/>
  <c r="AR71" i="13"/>
  <c r="BE70" i="13"/>
  <c r="AR70" i="13"/>
  <c r="BE69" i="13"/>
  <c r="AR69" i="13"/>
  <c r="BE68" i="13"/>
  <c r="AR68" i="13"/>
  <c r="BE67" i="13"/>
  <c r="AR67" i="13"/>
  <c r="AF9" i="13"/>
  <c r="AF8" i="13"/>
  <c r="AF7" i="13"/>
  <c r="AF5" i="13"/>
  <c r="F37" i="5"/>
  <c r="F36" i="5"/>
  <c r="F35" i="5"/>
  <c r="F34" i="5"/>
  <c r="F33" i="5"/>
  <c r="F26" i="5"/>
  <c r="F21" i="5"/>
  <c r="F18" i="5"/>
  <c r="F31" i="5"/>
  <c r="F27" i="5" s="1"/>
  <c r="K39" i="5"/>
  <c r="E37" i="5"/>
  <c r="E36" i="5"/>
  <c r="E35" i="5"/>
  <c r="E34" i="5"/>
  <c r="E33" i="5"/>
  <c r="E31" i="5"/>
  <c r="E26" i="5"/>
  <c r="CY95" i="13"/>
  <c r="CX95" i="13"/>
  <c r="E32" i="5"/>
  <c r="E74" i="13"/>
  <c r="E83" i="13"/>
  <c r="E68" i="13"/>
  <c r="E69" i="13"/>
  <c r="E70" i="13"/>
  <c r="E71" i="13"/>
  <c r="E72" i="13"/>
  <c r="E73" i="13"/>
  <c r="E77" i="13"/>
  <c r="E78" i="13"/>
  <c r="E79" i="13"/>
  <c r="E80" i="13"/>
  <c r="E81" i="13"/>
  <c r="E82" i="13"/>
  <c r="E67" i="13"/>
  <c r="IO10" i="13" l="1"/>
  <c r="C2" i="4"/>
  <c r="E40" i="1" s="1"/>
  <c r="B39" i="1" s="1"/>
  <c r="IO18" i="13"/>
  <c r="HJ50" i="13"/>
  <c r="HI50" i="13"/>
  <c r="HI40" i="13"/>
  <c r="HJ40" i="13"/>
  <c r="HI32" i="13"/>
  <c r="HJ32" i="13"/>
  <c r="HG23" i="13"/>
  <c r="IO14" i="13"/>
  <c r="IO15" i="13"/>
  <c r="HG15" i="13"/>
  <c r="HJ51" i="13"/>
  <c r="HI51" i="13"/>
  <c r="HJ41" i="13"/>
  <c r="HI41" i="13"/>
  <c r="HJ33" i="13"/>
  <c r="HI33" i="13"/>
  <c r="HG20" i="13"/>
  <c r="HJ20" i="13" s="1"/>
  <c r="HG12" i="13"/>
  <c r="HJ12" i="13" s="1"/>
  <c r="HJ56" i="13"/>
  <c r="HI56" i="13"/>
  <c r="HJ48" i="13"/>
  <c r="HI48" i="13"/>
  <c r="HI38" i="13"/>
  <c r="HJ38" i="13"/>
  <c r="HJ30" i="13"/>
  <c r="HI30" i="13"/>
  <c r="HG17" i="13"/>
  <c r="HG9" i="13"/>
  <c r="HJ57" i="13"/>
  <c r="HI57" i="13"/>
  <c r="HJ53" i="13"/>
  <c r="HI53" i="13"/>
  <c r="HJ43" i="13"/>
  <c r="HI43" i="13"/>
  <c r="HJ35" i="13"/>
  <c r="HI35" i="13"/>
  <c r="HG25" i="13"/>
  <c r="HG18" i="13"/>
  <c r="HJ18" i="13" s="1"/>
  <c r="HG10" i="13"/>
  <c r="HJ10" i="13" s="1"/>
  <c r="IO8" i="13"/>
  <c r="IO17" i="13"/>
  <c r="IO9" i="13"/>
  <c r="HJ58" i="13"/>
  <c r="HI58" i="13"/>
  <c r="HJ54" i="13"/>
  <c r="HI54" i="13"/>
  <c r="HI44" i="13"/>
  <c r="HJ44" i="13"/>
  <c r="HI36" i="13"/>
  <c r="HJ36" i="13"/>
  <c r="HJ28" i="13"/>
  <c r="HI28" i="13"/>
  <c r="HG19" i="13"/>
  <c r="HG11" i="13"/>
  <c r="HJ59" i="13"/>
  <c r="HI59" i="13"/>
  <c r="HJ55" i="13"/>
  <c r="HI55" i="13"/>
  <c r="HJ47" i="13"/>
  <c r="HI47" i="13"/>
  <c r="HJ37" i="13"/>
  <c r="HI37" i="13"/>
  <c r="HJ29" i="13"/>
  <c r="HI29" i="13"/>
  <c r="HJ24" i="13"/>
  <c r="IO24" i="13"/>
  <c r="HH24" i="13" s="1"/>
  <c r="HG16" i="13"/>
  <c r="HJ16" i="13" s="1"/>
  <c r="IO11" i="13"/>
  <c r="IO12" i="13"/>
  <c r="HG8" i="13"/>
  <c r="HJ52" i="13"/>
  <c r="HI52" i="13"/>
  <c r="HI42" i="13"/>
  <c r="HJ42" i="13"/>
  <c r="HJ34" i="13"/>
  <c r="HI34" i="13"/>
  <c r="HG21" i="13"/>
  <c r="HG13" i="13"/>
  <c r="HJ49" i="13"/>
  <c r="HI49" i="13"/>
  <c r="HJ39" i="13"/>
  <c r="HI39" i="13"/>
  <c r="HJ31" i="13"/>
  <c r="HI31" i="13"/>
  <c r="HG22" i="13"/>
  <c r="HJ22" i="13" s="1"/>
  <c r="HG14" i="13"/>
  <c r="HJ14" i="13" s="1"/>
  <c r="IO19" i="13"/>
  <c r="IO16" i="13"/>
  <c r="E1" i="13"/>
  <c r="C18" i="8"/>
  <c r="G115" i="4"/>
  <c r="G113" i="4"/>
  <c r="BP94" i="13"/>
  <c r="D32" i="5" s="1"/>
  <c r="F4" i="13"/>
  <c r="E42" i="8" s="1"/>
  <c r="F5" i="13"/>
  <c r="F6" i="13"/>
  <c r="F9" i="13"/>
  <c r="F13" i="13"/>
  <c r="F16" i="13"/>
  <c r="G16" i="13" s="1"/>
  <c r="F106" i="13" s="1"/>
  <c r="F18" i="13"/>
  <c r="G18" i="13" s="1"/>
  <c r="F108" i="13" s="1"/>
  <c r="F21" i="13"/>
  <c r="G21" i="13" s="1"/>
  <c r="F111" i="13" s="1"/>
  <c r="F22" i="13"/>
  <c r="G22" i="13" s="1"/>
  <c r="F112" i="13" s="1"/>
  <c r="F24" i="13"/>
  <c r="G24" i="13" s="1"/>
  <c r="F26" i="13"/>
  <c r="G26" i="13" s="1"/>
  <c r="F116" i="13" s="1"/>
  <c r="G29" i="13"/>
  <c r="F119" i="13" s="1"/>
  <c r="I42" i="8" s="1"/>
  <c r="F30" i="13"/>
  <c r="G30" i="13" s="1"/>
  <c r="F120" i="13" s="1"/>
  <c r="F63" i="13"/>
  <c r="F153" i="13" s="1"/>
  <c r="F61" i="13"/>
  <c r="F151" i="13" s="1"/>
  <c r="F60" i="13"/>
  <c r="F150" i="13" s="1"/>
  <c r="F59" i="13"/>
  <c r="F58" i="13"/>
  <c r="F148" i="13" s="1"/>
  <c r="F56" i="13"/>
  <c r="F146" i="13" s="1"/>
  <c r="F55" i="13"/>
  <c r="F145" i="13" s="1"/>
  <c r="F54" i="13"/>
  <c r="F144" i="13" s="1"/>
  <c r="F53" i="13"/>
  <c r="F143" i="13" s="1"/>
  <c r="F52" i="13"/>
  <c r="F142" i="13" s="1"/>
  <c r="F49" i="13"/>
  <c r="F139" i="13" s="1"/>
  <c r="F48" i="13"/>
  <c r="F138" i="13" s="1"/>
  <c r="F47" i="13"/>
  <c r="F137" i="13" s="1"/>
  <c r="F45" i="13"/>
  <c r="F135" i="13" s="1"/>
  <c r="F44" i="13"/>
  <c r="F134" i="13" s="1"/>
  <c r="F43" i="13"/>
  <c r="F133" i="13" s="1"/>
  <c r="F42" i="13"/>
  <c r="F132" i="13" s="1"/>
  <c r="F41" i="13"/>
  <c r="F131" i="13" s="1"/>
  <c r="F40" i="13"/>
  <c r="F130" i="13" s="1"/>
  <c r="F39" i="13"/>
  <c r="F129" i="13" s="1"/>
  <c r="F37" i="13"/>
  <c r="F127" i="13" s="1"/>
  <c r="F35" i="13"/>
  <c r="F125" i="13" s="1"/>
  <c r="F64" i="13"/>
  <c r="F154" i="13" s="1"/>
  <c r="F62" i="13"/>
  <c r="F57" i="13"/>
  <c r="F147" i="13" s="1"/>
  <c r="F46" i="13"/>
  <c r="F136" i="13" s="1"/>
  <c r="F38" i="13"/>
  <c r="F128" i="13" s="1"/>
  <c r="F36" i="13"/>
  <c r="F7" i="13"/>
  <c r="F8" i="13"/>
  <c r="F10" i="13"/>
  <c r="G11" i="13" s="1"/>
  <c r="F14" i="13"/>
  <c r="G14" i="13" s="1"/>
  <c r="F104" i="13" s="1"/>
  <c r="F15" i="13"/>
  <c r="G15" i="13" s="1"/>
  <c r="F105" i="13" s="1"/>
  <c r="F17" i="13"/>
  <c r="G17" i="13" s="1"/>
  <c r="F107" i="13" s="1"/>
  <c r="F19" i="13"/>
  <c r="G19" i="13" s="1"/>
  <c r="F109" i="13" s="1"/>
  <c r="F20" i="13"/>
  <c r="G20" i="13" s="1"/>
  <c r="F23" i="13"/>
  <c r="G23" i="13" s="1"/>
  <c r="F113" i="13" s="1"/>
  <c r="F25" i="13"/>
  <c r="G25" i="13" s="1"/>
  <c r="F115" i="13" s="1"/>
  <c r="F27" i="13"/>
  <c r="G27" i="13" s="1"/>
  <c r="F28" i="13"/>
  <c r="G28" i="13" s="1"/>
  <c r="F29" i="13"/>
  <c r="BS36" i="13" s="1"/>
  <c r="F33" i="13"/>
  <c r="F123" i="13" s="1"/>
  <c r="F34" i="13"/>
  <c r="F124" i="13" s="1"/>
  <c r="CF95" i="13"/>
  <c r="CL95" i="13" s="1"/>
  <c r="CU96" i="13"/>
  <c r="D34" i="5"/>
  <c r="CU95" i="13"/>
  <c r="D35" i="5"/>
  <c r="D37" i="5"/>
  <c r="N37" i="5" s="1"/>
  <c r="CY96" i="13"/>
  <c r="CX96" i="13"/>
  <c r="CW96" i="13"/>
  <c r="CV96" i="13"/>
  <c r="D25" i="3"/>
  <c r="N25" i="2"/>
  <c r="N22" i="2"/>
  <c r="Q21" i="2"/>
  <c r="N21" i="2"/>
  <c r="N17" i="2"/>
  <c r="Q17" i="2"/>
  <c r="D42" i="8"/>
  <c r="D43" i="8"/>
  <c r="D44" i="8"/>
  <c r="D45" i="8"/>
  <c r="D46" i="8"/>
  <c r="D47" i="8"/>
  <c r="D48" i="8"/>
  <c r="D49" i="8"/>
  <c r="D50" i="8"/>
  <c r="D51" i="8"/>
  <c r="D52" i="8"/>
  <c r="B42" i="8"/>
  <c r="B43" i="8"/>
  <c r="B44" i="8"/>
  <c r="B45" i="8"/>
  <c r="B46" i="8"/>
  <c r="B47" i="8"/>
  <c r="B48" i="8"/>
  <c r="B49" i="8"/>
  <c r="B50" i="8"/>
  <c r="B51" i="8"/>
  <c r="B52" i="8"/>
  <c r="A42" i="8"/>
  <c r="A43" i="8"/>
  <c r="A44" i="8"/>
  <c r="A45" i="8"/>
  <c r="A46" i="8"/>
  <c r="A47" i="8"/>
  <c r="A48" i="8"/>
  <c r="A49" i="8"/>
  <c r="A50" i="8"/>
  <c r="A51" i="8"/>
  <c r="A52" i="8"/>
  <c r="J42" i="8"/>
  <c r="J43" i="8"/>
  <c r="J44" i="8"/>
  <c r="J45" i="8"/>
  <c r="J46" i="8"/>
  <c r="J47" i="8"/>
  <c r="J48" i="8"/>
  <c r="J49" i="8"/>
  <c r="J50" i="8"/>
  <c r="J51" i="8"/>
  <c r="J52" i="8"/>
  <c r="J41" i="8"/>
  <c r="A17" i="8"/>
  <c r="B30" i="3"/>
  <c r="AR15" i="2"/>
  <c r="AC15" i="2"/>
  <c r="AC14" i="2"/>
  <c r="Q15" i="2"/>
  <c r="N15" i="2"/>
  <c r="AR14" i="2"/>
  <c r="AR11" i="2"/>
  <c r="AI11" i="2"/>
  <c r="AF11" i="2"/>
  <c r="AC11" i="2"/>
  <c r="Z11" i="2"/>
  <c r="W11" i="2"/>
  <c r="T11" i="2"/>
  <c r="N11" i="2"/>
  <c r="Q11" i="2"/>
  <c r="K11" i="2"/>
  <c r="H11" i="2"/>
  <c r="E11" i="2"/>
  <c r="N14" i="2"/>
  <c r="E25" i="5"/>
  <c r="E30" i="5" s="1"/>
  <c r="E24" i="5"/>
  <c r="E29" i="5" s="1"/>
  <c r="E17" i="5"/>
  <c r="E28" i="5" s="1"/>
  <c r="E16" i="5"/>
  <c r="E22" i="5" s="1"/>
  <c r="E15" i="5"/>
  <c r="E18" i="5" s="1"/>
  <c r="E7" i="5"/>
  <c r="E8" i="5"/>
  <c r="E9" i="5"/>
  <c r="E10" i="5"/>
  <c r="E11" i="5"/>
  <c r="E12" i="5"/>
  <c r="E13" i="5"/>
  <c r="E14" i="5"/>
  <c r="CG96" i="13"/>
  <c r="CI96" i="13"/>
  <c r="CQ96" i="13" s="1"/>
  <c r="CJ95" i="13"/>
  <c r="CM95" i="13"/>
  <c r="CN95" i="13"/>
  <c r="CO96" i="13"/>
  <c r="CR96" i="13"/>
  <c r="CS95" i="13"/>
  <c r="CT96" i="13"/>
  <c r="D14" i="5"/>
  <c r="D13" i="5"/>
  <c r="D12" i="5"/>
  <c r="D11" i="5"/>
  <c r="D10" i="5"/>
  <c r="D9" i="5"/>
  <c r="D8" i="5"/>
  <c r="D7" i="5"/>
  <c r="D6" i="5"/>
  <c r="D5" i="5"/>
  <c r="D4" i="5"/>
  <c r="CL342" i="13"/>
  <c r="CL341" i="13"/>
  <c r="CL340" i="13"/>
  <c r="CL339" i="13"/>
  <c r="CL338" i="13"/>
  <c r="CL337" i="13"/>
  <c r="CL336" i="13"/>
  <c r="CL335" i="13"/>
  <c r="CL334" i="13"/>
  <c r="CL333" i="13"/>
  <c r="CL332" i="13"/>
  <c r="CL331" i="13"/>
  <c r="CL330" i="13"/>
  <c r="CL327" i="13"/>
  <c r="CL326" i="13"/>
  <c r="CL325" i="13"/>
  <c r="CL324" i="13"/>
  <c r="CL323" i="13"/>
  <c r="CL322" i="13"/>
  <c r="CL321" i="13"/>
  <c r="CL320" i="13"/>
  <c r="CL319" i="13"/>
  <c r="CL318" i="13"/>
  <c r="CL317" i="13"/>
  <c r="CL316" i="13"/>
  <c r="CL315" i="13"/>
  <c r="CL314" i="13"/>
  <c r="CL313" i="13"/>
  <c r="CL312" i="13"/>
  <c r="CL311" i="13"/>
  <c r="CR95" i="13"/>
  <c r="AU342" i="13"/>
  <c r="AU341" i="13"/>
  <c r="AU340" i="13"/>
  <c r="AU339" i="13"/>
  <c r="AU338" i="13"/>
  <c r="AU337" i="13"/>
  <c r="AU336" i="13"/>
  <c r="AU335" i="13"/>
  <c r="AU334" i="13"/>
  <c r="AU333" i="13"/>
  <c r="AU332" i="13"/>
  <c r="AU331" i="13"/>
  <c r="AU330" i="13"/>
  <c r="AU327" i="13"/>
  <c r="AU326" i="13"/>
  <c r="AU325" i="13"/>
  <c r="AU324" i="13"/>
  <c r="AU323" i="13"/>
  <c r="AU322" i="13"/>
  <c r="AU321" i="13"/>
  <c r="AU320" i="13"/>
  <c r="AU319" i="13"/>
  <c r="AU318" i="13"/>
  <c r="AU317" i="13"/>
  <c r="AU316" i="13"/>
  <c r="AU315" i="13"/>
  <c r="AU314" i="13"/>
  <c r="AU313" i="13"/>
  <c r="AU312" i="13"/>
  <c r="AU311" i="13"/>
  <c r="CT95" i="13"/>
  <c r="BP80" i="13"/>
  <c r="BO80" i="13"/>
  <c r="BN80" i="13"/>
  <c r="BM80" i="13"/>
  <c r="D342" i="13"/>
  <c r="D341" i="13"/>
  <c r="D340" i="13"/>
  <c r="D339" i="13"/>
  <c r="D338" i="13"/>
  <c r="D337" i="13"/>
  <c r="D336" i="13"/>
  <c r="D335" i="13"/>
  <c r="D334" i="13"/>
  <c r="D333" i="13"/>
  <c r="D332" i="13"/>
  <c r="D331" i="13"/>
  <c r="D330" i="13"/>
  <c r="D327" i="13"/>
  <c r="D326" i="13"/>
  <c r="D325" i="13"/>
  <c r="D324" i="13"/>
  <c r="D323" i="13"/>
  <c r="D322" i="13"/>
  <c r="D321" i="13"/>
  <c r="D320" i="13"/>
  <c r="D319" i="13"/>
  <c r="D318" i="13"/>
  <c r="D317" i="13"/>
  <c r="D316" i="13"/>
  <c r="D315" i="13"/>
  <c r="D314" i="13"/>
  <c r="D313" i="13"/>
  <c r="D312" i="13"/>
  <c r="D311" i="13"/>
  <c r="CL281" i="13"/>
  <c r="CL280" i="13"/>
  <c r="CL279" i="13"/>
  <c r="CL278" i="13"/>
  <c r="CL277" i="13"/>
  <c r="CL276" i="13"/>
  <c r="CL275" i="13"/>
  <c r="CL274" i="13"/>
  <c r="CL273" i="13"/>
  <c r="CL272" i="13"/>
  <c r="CL271" i="13"/>
  <c r="CL270" i="13"/>
  <c r="CL269" i="13"/>
  <c r="CL266" i="13"/>
  <c r="CL265" i="13"/>
  <c r="CL264" i="13"/>
  <c r="CL263" i="13"/>
  <c r="CL262" i="13"/>
  <c r="CL261" i="13"/>
  <c r="CL260" i="13"/>
  <c r="CL259" i="13"/>
  <c r="CL258" i="13"/>
  <c r="CL257" i="13"/>
  <c r="CL256" i="13"/>
  <c r="CL255" i="13"/>
  <c r="CL254" i="13"/>
  <c r="CL253" i="13"/>
  <c r="CL252" i="13"/>
  <c r="CL251" i="13"/>
  <c r="CL250" i="13"/>
  <c r="AU281" i="13"/>
  <c r="AU280" i="13"/>
  <c r="AU279" i="13"/>
  <c r="AU278" i="13"/>
  <c r="AU277" i="13"/>
  <c r="AU276" i="13"/>
  <c r="AU275" i="13"/>
  <c r="AU274" i="13"/>
  <c r="AU273" i="13"/>
  <c r="AU272" i="13"/>
  <c r="AU271" i="13"/>
  <c r="AU270" i="13"/>
  <c r="AU269" i="13"/>
  <c r="AU266" i="13"/>
  <c r="AU265" i="13"/>
  <c r="AU264" i="13"/>
  <c r="AU263" i="13"/>
  <c r="AU262" i="13"/>
  <c r="AU261" i="13"/>
  <c r="AU260" i="13"/>
  <c r="AU259" i="13"/>
  <c r="AU258" i="13"/>
  <c r="AU257" i="13"/>
  <c r="AU256" i="13"/>
  <c r="AU255" i="13"/>
  <c r="AU254" i="13"/>
  <c r="AU253" i="13"/>
  <c r="AU252" i="13"/>
  <c r="AU251" i="13"/>
  <c r="AU250" i="13"/>
  <c r="CO95" i="13"/>
  <c r="D281" i="13"/>
  <c r="D280" i="13"/>
  <c r="D279" i="13"/>
  <c r="D278" i="13"/>
  <c r="D277" i="13"/>
  <c r="D276" i="13"/>
  <c r="D275" i="13"/>
  <c r="D274" i="13"/>
  <c r="D273" i="13"/>
  <c r="D272" i="13"/>
  <c r="D271" i="13"/>
  <c r="D270" i="13"/>
  <c r="D269" i="13"/>
  <c r="D266" i="13"/>
  <c r="D265" i="13"/>
  <c r="D264" i="13"/>
  <c r="D263" i="13"/>
  <c r="D262" i="13"/>
  <c r="D261" i="13"/>
  <c r="D260" i="13"/>
  <c r="D259" i="13"/>
  <c r="D258" i="13"/>
  <c r="D257" i="13"/>
  <c r="D256" i="13"/>
  <c r="D255" i="13"/>
  <c r="D254" i="13"/>
  <c r="D253" i="13"/>
  <c r="D252" i="13"/>
  <c r="D251" i="13"/>
  <c r="D250" i="13"/>
  <c r="CL219" i="13"/>
  <c r="CL218" i="13"/>
  <c r="CL217" i="13"/>
  <c r="CL216" i="13"/>
  <c r="CL215" i="13"/>
  <c r="CL214" i="13"/>
  <c r="CL213" i="13"/>
  <c r="CL212" i="13"/>
  <c r="CL211" i="13"/>
  <c r="CL210" i="13"/>
  <c r="CL209" i="13"/>
  <c r="CL208" i="13"/>
  <c r="CL207" i="13"/>
  <c r="CL204" i="13"/>
  <c r="CL203" i="13"/>
  <c r="CL202" i="13"/>
  <c r="CL201" i="13"/>
  <c r="CL200" i="13"/>
  <c r="CL199" i="13"/>
  <c r="CL198" i="13"/>
  <c r="CL197" i="13"/>
  <c r="CL196" i="13"/>
  <c r="CL195" i="13"/>
  <c r="CL194" i="13"/>
  <c r="CL193" i="13"/>
  <c r="CL192" i="13"/>
  <c r="CL191" i="13"/>
  <c r="CL190" i="13"/>
  <c r="CL189" i="13"/>
  <c r="CL188" i="13"/>
  <c r="BC115" i="13"/>
  <c r="BC114" i="13"/>
  <c r="W9" i="13"/>
  <c r="BF9" i="13" s="1"/>
  <c r="AU219" i="13"/>
  <c r="AU218" i="13"/>
  <c r="AU217" i="13"/>
  <c r="AU216" i="13"/>
  <c r="AU215" i="13"/>
  <c r="AU214" i="13"/>
  <c r="AU213" i="13"/>
  <c r="AU212" i="13"/>
  <c r="AU211" i="13"/>
  <c r="AU210" i="13"/>
  <c r="AU209" i="13"/>
  <c r="AU208" i="13"/>
  <c r="AU207" i="13"/>
  <c r="AU204" i="13"/>
  <c r="AU203" i="13"/>
  <c r="AU202" i="13"/>
  <c r="AU201" i="13"/>
  <c r="AU200" i="13"/>
  <c r="AU199" i="13"/>
  <c r="AU198" i="13"/>
  <c r="AU197" i="13"/>
  <c r="AU196" i="13"/>
  <c r="AU195" i="13"/>
  <c r="AU194" i="13"/>
  <c r="AU193" i="13"/>
  <c r="AU192" i="13"/>
  <c r="AU191" i="13"/>
  <c r="AU190" i="13"/>
  <c r="AU189" i="13"/>
  <c r="AU188" i="13"/>
  <c r="CJ96" i="13"/>
  <c r="D219" i="13"/>
  <c r="D218" i="13"/>
  <c r="D217" i="13"/>
  <c r="D216" i="13"/>
  <c r="D215" i="13"/>
  <c r="D214" i="13"/>
  <c r="D213" i="13"/>
  <c r="D212" i="13"/>
  <c r="D211" i="13"/>
  <c r="D210" i="13"/>
  <c r="D209" i="13"/>
  <c r="D208" i="13"/>
  <c r="D207" i="13"/>
  <c r="D204" i="13"/>
  <c r="D203" i="13"/>
  <c r="D202" i="13"/>
  <c r="D201" i="13"/>
  <c r="D200" i="13"/>
  <c r="D199" i="13"/>
  <c r="D198" i="13"/>
  <c r="D197" i="13"/>
  <c r="D196" i="13"/>
  <c r="D195" i="13"/>
  <c r="D194" i="13"/>
  <c r="D193" i="13"/>
  <c r="D192" i="13"/>
  <c r="D191" i="13"/>
  <c r="D190" i="13"/>
  <c r="D189" i="13"/>
  <c r="D188" i="13"/>
  <c r="CE96" i="13"/>
  <c r="CK96" i="13" s="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 i="11"/>
  <c r="BS95" i="13"/>
  <c r="BU95" i="13"/>
  <c r="BW95" i="13"/>
  <c r="BY95" i="13"/>
  <c r="CA95" i="13"/>
  <c r="CC95" i="13"/>
  <c r="AI7" i="13"/>
  <c r="AI8" i="13"/>
  <c r="AI9" i="13"/>
  <c r="AC7" i="13"/>
  <c r="BJ7" i="13" s="1"/>
  <c r="AC8" i="13"/>
  <c r="AC9" i="13"/>
  <c r="BJ9" i="13" s="1"/>
  <c r="Z7" i="13"/>
  <c r="Z8" i="13"/>
  <c r="Z9" i="13"/>
  <c r="BH9" i="13" s="1"/>
  <c r="W7" i="13"/>
  <c r="W8" i="13"/>
  <c r="T7" i="13"/>
  <c r="BD7" i="13" s="1"/>
  <c r="T8" i="13"/>
  <c r="BD8" i="13" s="1"/>
  <c r="T9" i="13"/>
  <c r="BD9" i="13" s="1"/>
  <c r="Q7" i="13"/>
  <c r="Q8" i="13"/>
  <c r="BB8" i="13" s="1"/>
  <c r="Q9" i="13"/>
  <c r="BB9" i="13" s="1"/>
  <c r="AI5" i="13"/>
  <c r="AC5" i="13"/>
  <c r="Z5" i="13"/>
  <c r="W5" i="13"/>
  <c r="T5" i="13"/>
  <c r="Q5" i="13"/>
  <c r="N7" i="13"/>
  <c r="N8" i="13"/>
  <c r="N9" i="13"/>
  <c r="N5" i="13"/>
  <c r="Q14" i="2"/>
  <c r="A4" i="13"/>
  <c r="Z1" i="2"/>
  <c r="H10" i="8" s="1"/>
  <c r="AI25" i="2"/>
  <c r="AF25" i="2"/>
  <c r="AI22" i="2"/>
  <c r="AF22" i="2"/>
  <c r="AI21" i="2"/>
  <c r="AF21" i="2"/>
  <c r="AI17" i="2"/>
  <c r="AF17" i="2"/>
  <c r="AI15" i="2"/>
  <c r="AF15" i="2"/>
  <c r="AI14" i="2"/>
  <c r="AF14" i="2"/>
  <c r="Z25" i="2"/>
  <c r="W25" i="2"/>
  <c r="T25" i="2"/>
  <c r="Z22" i="2"/>
  <c r="W22" i="2"/>
  <c r="T22" i="2"/>
  <c r="Z21" i="2"/>
  <c r="W21" i="2"/>
  <c r="T21" i="2"/>
  <c r="Z17" i="2"/>
  <c r="W17" i="2"/>
  <c r="T17" i="2"/>
  <c r="Z15" i="2"/>
  <c r="W15" i="2"/>
  <c r="T15" i="2"/>
  <c r="Z14" i="2"/>
  <c r="W14" i="2"/>
  <c r="T14" i="2"/>
  <c r="C36" i="8"/>
  <c r="B36" i="8" s="1"/>
  <c r="K25" i="2"/>
  <c r="K22" i="2"/>
  <c r="K21" i="2"/>
  <c r="K17" i="2"/>
  <c r="K15" i="2"/>
  <c r="K14" i="2"/>
  <c r="H25" i="2"/>
  <c r="H22" i="2"/>
  <c r="H21" i="2"/>
  <c r="H17" i="2"/>
  <c r="H15" i="2"/>
  <c r="H14" i="2"/>
  <c r="E25" i="2"/>
  <c r="E21" i="2"/>
  <c r="E17" i="2"/>
  <c r="E15" i="2"/>
  <c r="E14" i="2"/>
  <c r="E22" i="2"/>
  <c r="D41" i="8"/>
  <c r="E39" i="5"/>
  <c r="E3" i="5"/>
  <c r="E4" i="5"/>
  <c r="E5" i="5"/>
  <c r="E6" i="5"/>
  <c r="I43" i="5"/>
  <c r="I44" i="5"/>
  <c r="I45" i="5"/>
  <c r="I46" i="5"/>
  <c r="I47" i="5"/>
  <c r="I48" i="5"/>
  <c r="I49" i="5"/>
  <c r="I50" i="5"/>
  <c r="I51" i="5"/>
  <c r="I52" i="5"/>
  <c r="E56" i="5"/>
  <c r="E57" i="5"/>
  <c r="I57" i="5" s="1"/>
  <c r="E59" i="5"/>
  <c r="F59" i="5"/>
  <c r="C63" i="5"/>
  <c r="C64" i="5"/>
  <c r="C65" i="5"/>
  <c r="C66" i="5"/>
  <c r="C67" i="5"/>
  <c r="C68" i="5"/>
  <c r="C69" i="5"/>
  <c r="C70" i="5"/>
  <c r="C71" i="5"/>
  <c r="C72" i="5"/>
  <c r="B5" i="13"/>
  <c r="E5" i="13"/>
  <c r="H5" i="13"/>
  <c r="K5" i="13"/>
  <c r="AX5" i="13" s="1"/>
  <c r="B7" i="13"/>
  <c r="E7" i="13"/>
  <c r="H7" i="13"/>
  <c r="K7" i="13"/>
  <c r="AX7" i="13" s="1"/>
  <c r="B8" i="13"/>
  <c r="E8" i="13"/>
  <c r="H8" i="13"/>
  <c r="K8" i="13"/>
  <c r="AX8" i="13" s="1"/>
  <c r="B9" i="13"/>
  <c r="E9" i="13"/>
  <c r="H9" i="13"/>
  <c r="AV9" i="13" s="1"/>
  <c r="K9" i="13"/>
  <c r="AX9" i="13" s="1"/>
  <c r="BN58" i="13"/>
  <c r="BO63" i="13"/>
  <c r="BO64" i="13"/>
  <c r="BO58" i="13"/>
  <c r="BP58" i="13"/>
  <c r="BO65" i="13"/>
  <c r="BM59" i="13"/>
  <c r="BN59" i="13"/>
  <c r="BO59" i="13"/>
  <c r="BP59" i="13"/>
  <c r="BO66" i="13"/>
  <c r="BM60" i="13"/>
  <c r="BN60" i="13"/>
  <c r="BO60" i="13"/>
  <c r="BP60" i="13"/>
  <c r="BM61" i="13"/>
  <c r="BN61" i="13"/>
  <c r="BO61" i="13"/>
  <c r="BP61" i="13"/>
  <c r="BM62" i="13"/>
  <c r="BN62" i="13"/>
  <c r="BO62" i="13"/>
  <c r="BP62" i="13"/>
  <c r="BO69" i="13"/>
  <c r="BM63" i="13"/>
  <c r="BN63" i="13"/>
  <c r="BP63" i="13"/>
  <c r="BP70" i="13"/>
  <c r="BM64" i="13"/>
  <c r="BN64" i="13"/>
  <c r="BP64" i="13"/>
  <c r="BM65" i="13"/>
  <c r="BN65" i="13"/>
  <c r="BP65" i="13"/>
  <c r="BM66" i="13"/>
  <c r="BN66" i="13"/>
  <c r="BP66" i="13"/>
  <c r="BM73" i="13"/>
  <c r="BN73" i="13"/>
  <c r="AS67" i="13"/>
  <c r="BM67" i="13"/>
  <c r="BN67" i="13"/>
  <c r="BO67" i="13"/>
  <c r="BP67" i="13"/>
  <c r="AS68" i="13"/>
  <c r="BM68" i="13"/>
  <c r="BN68" i="13"/>
  <c r="BO68" i="13"/>
  <c r="BP68" i="13"/>
  <c r="BN75" i="13"/>
  <c r="AS69" i="13"/>
  <c r="BM69" i="13"/>
  <c r="BN69" i="13"/>
  <c r="BP69" i="13"/>
  <c r="BN76" i="13"/>
  <c r="AS70" i="13"/>
  <c r="BM70" i="13"/>
  <c r="BN70" i="13"/>
  <c r="BO70" i="13"/>
  <c r="BM77" i="13"/>
  <c r="BN77" i="13"/>
  <c r="BO77" i="13"/>
  <c r="AS71" i="13"/>
  <c r="BP77" i="13"/>
  <c r="BN78" i="13"/>
  <c r="AS72" i="13"/>
  <c r="AS73" i="13"/>
  <c r="BO73" i="13"/>
  <c r="BP73" i="13"/>
  <c r="BN81" i="13"/>
  <c r="AS75" i="13"/>
  <c r="BP81" i="13"/>
  <c r="BM75" i="13"/>
  <c r="BO75" i="13"/>
  <c r="BP75" i="13"/>
  <c r="AS76" i="13"/>
  <c r="BM76" i="13"/>
  <c r="BO76" i="13"/>
  <c r="BP76" i="13"/>
  <c r="BN83" i="13"/>
  <c r="BO83" i="13"/>
  <c r="AS77" i="13"/>
  <c r="BN84" i="13"/>
  <c r="AS78" i="13"/>
  <c r="BP84" i="13"/>
  <c r="BM78" i="13"/>
  <c r="BO78" i="13"/>
  <c r="BP78" i="13"/>
  <c r="BN85" i="13"/>
  <c r="AS79" i="13"/>
  <c r="BP85" i="13"/>
  <c r="BM79" i="13"/>
  <c r="BN79" i="13"/>
  <c r="BO79" i="13"/>
  <c r="BP79" i="13"/>
  <c r="BM86" i="13"/>
  <c r="AS80" i="13"/>
  <c r="BP86" i="13"/>
  <c r="AS81" i="13"/>
  <c r="BM81" i="13"/>
  <c r="BO81" i="13"/>
  <c r="BN88" i="13"/>
  <c r="AS82" i="13"/>
  <c r="BP88" i="13"/>
  <c r="BM82" i="13"/>
  <c r="BN82" i="13"/>
  <c r="BO82" i="13"/>
  <c r="BP82" i="13"/>
  <c r="BN89" i="13"/>
  <c r="BO89" i="13"/>
  <c r="AS83" i="13"/>
  <c r="BM83" i="13"/>
  <c r="BP83" i="13"/>
  <c r="BM84" i="13"/>
  <c r="BO84" i="13"/>
  <c r="BM85" i="13"/>
  <c r="BO85" i="13"/>
  <c r="BN86" i="13"/>
  <c r="BO86" i="13"/>
  <c r="BM87" i="13"/>
  <c r="BN87" i="13"/>
  <c r="BO87" i="13"/>
  <c r="BP87" i="13"/>
  <c r="BM88" i="13"/>
  <c r="BO88" i="13"/>
  <c r="BM89" i="13"/>
  <c r="BP89" i="13"/>
  <c r="BA92" i="13"/>
  <c r="BB92" i="13"/>
  <c r="BC92" i="13"/>
  <c r="BD92" i="13"/>
  <c r="BA93" i="13"/>
  <c r="BB93" i="13"/>
  <c r="BC93" i="13"/>
  <c r="BD93" i="13"/>
  <c r="BA94" i="13"/>
  <c r="BB94" i="13"/>
  <c r="BC94" i="13"/>
  <c r="BD94" i="13"/>
  <c r="BA95" i="13"/>
  <c r="BB95" i="13"/>
  <c r="BC95" i="13"/>
  <c r="BD95" i="13"/>
  <c r="BA96" i="13"/>
  <c r="BB96" i="13"/>
  <c r="BC96" i="13"/>
  <c r="BD96" i="13"/>
  <c r="BA97" i="13"/>
  <c r="BB97" i="13"/>
  <c r="BC97" i="13"/>
  <c r="BD97" i="13"/>
  <c r="BA98" i="13"/>
  <c r="BB98" i="13"/>
  <c r="BC98" i="13"/>
  <c r="BD98" i="13"/>
  <c r="BA99" i="13"/>
  <c r="BB99" i="13"/>
  <c r="BC99" i="13"/>
  <c r="BD99" i="13"/>
  <c r="BA100" i="13"/>
  <c r="BB100" i="13"/>
  <c r="BC100" i="13"/>
  <c r="BD100" i="13"/>
  <c r="BA101" i="13"/>
  <c r="BB101" i="13"/>
  <c r="BC101" i="13"/>
  <c r="BD101" i="13"/>
  <c r="BA102" i="13"/>
  <c r="BB102" i="13"/>
  <c r="BC102" i="13"/>
  <c r="BD102" i="13"/>
  <c r="BA103" i="13"/>
  <c r="BB103" i="13"/>
  <c r="BC103" i="13"/>
  <c r="BD103" i="13"/>
  <c r="BA104" i="13"/>
  <c r="BB104" i="13"/>
  <c r="BC104" i="13"/>
  <c r="BD104" i="13"/>
  <c r="BA105" i="13"/>
  <c r="BB105" i="13"/>
  <c r="BC105" i="13"/>
  <c r="BD105" i="13"/>
  <c r="BA106" i="13"/>
  <c r="BB106" i="13"/>
  <c r="BC106" i="13"/>
  <c r="BD106" i="13"/>
  <c r="BA107" i="13"/>
  <c r="BB107" i="13"/>
  <c r="BC107" i="13"/>
  <c r="BD107" i="13"/>
  <c r="BA108" i="13"/>
  <c r="BB108" i="13"/>
  <c r="BC108" i="13"/>
  <c r="BD108" i="13"/>
  <c r="BQ109" i="13"/>
  <c r="BO113" i="13"/>
  <c r="BO114" i="13" s="1"/>
  <c r="I13" i="8"/>
  <c r="BK113" i="13" s="1"/>
  <c r="BK115" i="13" s="1"/>
  <c r="A41" i="8"/>
  <c r="BM58" i="13"/>
  <c r="B41" i="8"/>
  <c r="C42" i="8"/>
  <c r="BO112" i="13"/>
  <c r="BO109" i="13"/>
  <c r="BO108" i="13"/>
  <c r="BM112" i="13"/>
  <c r="CB95" i="13"/>
  <c r="BX95" i="13"/>
  <c r="BT95" i="13"/>
  <c r="CC96" i="13"/>
  <c r="CA96" i="13"/>
  <c r="BY96" i="13"/>
  <c r="BW96" i="13"/>
  <c r="BU96" i="13"/>
  <c r="BS96" i="13"/>
  <c r="Z165" i="13"/>
  <c r="AA166" i="13" s="1"/>
  <c r="AF165" i="13"/>
  <c r="AG166" i="13" s="1"/>
  <c r="CF21" i="13"/>
  <c r="CM96" i="13"/>
  <c r="AC230" i="13"/>
  <c r="AF227" i="13"/>
  <c r="AG228" i="13" s="1"/>
  <c r="Z227" i="13"/>
  <c r="AA228" i="13" s="1"/>
  <c r="AD230" i="13"/>
  <c r="AE230" i="13" s="1"/>
  <c r="AC227" i="13"/>
  <c r="AD228" i="13" s="1"/>
  <c r="BK112" i="13"/>
  <c r="AC165" i="13"/>
  <c r="AD166" i="13" s="1"/>
  <c r="CE95" i="13"/>
  <c r="CK95" i="13" s="1"/>
  <c r="CS96" i="13"/>
  <c r="CI95" i="13"/>
  <c r="CQ95" i="13" s="1"/>
  <c r="CN96" i="13"/>
  <c r="CD96" i="13"/>
  <c r="D29" i="5"/>
  <c r="D25" i="5"/>
  <c r="D21" i="5"/>
  <c r="D17" i="5"/>
  <c r="D30" i="5"/>
  <c r="D26" i="5"/>
  <c r="D22" i="5"/>
  <c r="D18" i="5"/>
  <c r="H27" i="8"/>
  <c r="F13" i="5" s="1"/>
  <c r="H26" i="8"/>
  <c r="F12" i="5" s="1"/>
  <c r="H25" i="8"/>
  <c r="F11" i="5" s="1"/>
  <c r="H24" i="8"/>
  <c r="F10" i="5" s="1"/>
  <c r="H23" i="8"/>
  <c r="H22" i="8"/>
  <c r="F8" i="5" s="1"/>
  <c r="H21" i="8"/>
  <c r="F7" i="5" s="1"/>
  <c r="H20" i="8"/>
  <c r="F6" i="5" s="1"/>
  <c r="H19" i="8"/>
  <c r="F5" i="5" s="1"/>
  <c r="H18" i="8"/>
  <c r="C6" i="13"/>
  <c r="C8" i="13"/>
  <c r="C10" i="13"/>
  <c r="D11" i="13" s="1"/>
  <c r="C14" i="13"/>
  <c r="DX9" i="13" s="1"/>
  <c r="C16" i="13"/>
  <c r="DX11" i="13" s="1"/>
  <c r="C18" i="13"/>
  <c r="DX13" i="13" s="1"/>
  <c r="C20" i="13"/>
  <c r="C22" i="13"/>
  <c r="DX17" i="13" s="1"/>
  <c r="C24" i="13"/>
  <c r="DX19" i="13" s="1"/>
  <c r="C26" i="13"/>
  <c r="DX21" i="13" s="1"/>
  <c r="C28" i="13"/>
  <c r="C30" i="13"/>
  <c r="DX25" i="13" s="1"/>
  <c r="C34" i="13"/>
  <c r="C36" i="13"/>
  <c r="BC36" i="13" s="1"/>
  <c r="C38" i="13"/>
  <c r="C40" i="13"/>
  <c r="C42" i="13"/>
  <c r="C44" i="13"/>
  <c r="C46" i="13"/>
  <c r="C48" i="13"/>
  <c r="C52" i="13"/>
  <c r="C54" i="13"/>
  <c r="C56" i="13"/>
  <c r="C58" i="13"/>
  <c r="C60" i="13"/>
  <c r="C62" i="13"/>
  <c r="C152" i="13" s="1"/>
  <c r="C64" i="13"/>
  <c r="C68" i="13"/>
  <c r="C70" i="13"/>
  <c r="C72" i="13"/>
  <c r="BF78" i="13" s="1"/>
  <c r="C5" i="13"/>
  <c r="C7" i="13"/>
  <c r="AR7" i="13" s="1"/>
  <c r="C9" i="13"/>
  <c r="AR9" i="13" s="1"/>
  <c r="C13" i="13"/>
  <c r="C15" i="13"/>
  <c r="C17" i="13"/>
  <c r="C19" i="13"/>
  <c r="C21" i="13"/>
  <c r="C23" i="13"/>
  <c r="C25" i="13"/>
  <c r="C27" i="13"/>
  <c r="C29" i="13"/>
  <c r="D29" i="13"/>
  <c r="DY24" i="13" s="1"/>
  <c r="C33" i="13"/>
  <c r="C35" i="13"/>
  <c r="C37" i="13"/>
  <c r="C39" i="13"/>
  <c r="C41" i="13"/>
  <c r="C43" i="13"/>
  <c r="C45" i="13"/>
  <c r="C47" i="13"/>
  <c r="BC47" i="13" s="1"/>
  <c r="C49" i="13"/>
  <c r="C53" i="13"/>
  <c r="C55" i="13"/>
  <c r="C57" i="13"/>
  <c r="C59" i="13"/>
  <c r="C61" i="13"/>
  <c r="C63" i="13"/>
  <c r="C67" i="13"/>
  <c r="C69" i="13"/>
  <c r="C71" i="13"/>
  <c r="CM66" i="13" s="1"/>
  <c r="C73" i="13"/>
  <c r="C4" i="13"/>
  <c r="F149" i="13"/>
  <c r="F126" i="13"/>
  <c r="F152" i="13"/>
  <c r="R105" i="13"/>
  <c r="R107" i="13"/>
  <c r="R109" i="13"/>
  <c r="R111" i="13"/>
  <c r="C45" i="8"/>
  <c r="R104" i="13"/>
  <c r="R106" i="13"/>
  <c r="R110" i="13"/>
  <c r="R112" i="13"/>
  <c r="U144" i="13"/>
  <c r="U146" i="13"/>
  <c r="AW58" i="13"/>
  <c r="AW62" i="13"/>
  <c r="U154" i="13"/>
  <c r="U124" i="13"/>
  <c r="U126" i="13"/>
  <c r="U128" i="13"/>
  <c r="U130" i="13"/>
  <c r="U132" i="13"/>
  <c r="U134" i="13"/>
  <c r="U136" i="13"/>
  <c r="U138" i="13"/>
  <c r="U123" i="13"/>
  <c r="U119" i="13"/>
  <c r="U105" i="13"/>
  <c r="U107" i="13"/>
  <c r="U109" i="13"/>
  <c r="U111" i="13"/>
  <c r="U113" i="13"/>
  <c r="U115" i="13"/>
  <c r="BX15" i="13"/>
  <c r="C47" i="8"/>
  <c r="AW53" i="13"/>
  <c r="AW55" i="13"/>
  <c r="AW57" i="13"/>
  <c r="AW59" i="13"/>
  <c r="AW61" i="13"/>
  <c r="AW63" i="13"/>
  <c r="AW52" i="13"/>
  <c r="AW35" i="13"/>
  <c r="AW37" i="13"/>
  <c r="AW39" i="13"/>
  <c r="AW41" i="13"/>
  <c r="AW43" i="13"/>
  <c r="AW45" i="13"/>
  <c r="AW47" i="13"/>
  <c r="AW49" i="13"/>
  <c r="U104" i="13"/>
  <c r="U106" i="13"/>
  <c r="U108" i="13"/>
  <c r="U110" i="13"/>
  <c r="U112" i="13"/>
  <c r="U114" i="13"/>
  <c r="U116" i="13"/>
  <c r="U120" i="13"/>
  <c r="BD6" i="13"/>
  <c r="C49" i="8"/>
  <c r="AA144" i="13"/>
  <c r="AA146" i="13"/>
  <c r="AA148" i="13"/>
  <c r="AA150" i="13"/>
  <c r="AA152" i="13"/>
  <c r="AA154" i="13"/>
  <c r="AA124" i="13"/>
  <c r="AA126" i="13"/>
  <c r="AA128" i="13"/>
  <c r="AA130" i="13"/>
  <c r="AA132" i="13"/>
  <c r="AA134" i="13"/>
  <c r="AA136" i="13"/>
  <c r="AA138" i="13"/>
  <c r="AA123" i="13"/>
  <c r="AA119" i="13"/>
  <c r="AA105" i="13"/>
  <c r="AA107" i="13"/>
  <c r="AA109" i="13"/>
  <c r="AA111" i="13"/>
  <c r="AA113" i="13"/>
  <c r="BZ36" i="13"/>
  <c r="AA103" i="13"/>
  <c r="BH7" i="13"/>
  <c r="AA143" i="13"/>
  <c r="AY55" i="13"/>
  <c r="AA147" i="13"/>
  <c r="AY59" i="13"/>
  <c r="AY61" i="13"/>
  <c r="AY63" i="13"/>
  <c r="AY52" i="13"/>
  <c r="AY35" i="13"/>
  <c r="AA127" i="13"/>
  <c r="AY39" i="13"/>
  <c r="AA131" i="13"/>
  <c r="AY43" i="13"/>
  <c r="AA135" i="13"/>
  <c r="AY47" i="13"/>
  <c r="AA139" i="13"/>
  <c r="AA104" i="13"/>
  <c r="AA108" i="13"/>
  <c r="AA110" i="13"/>
  <c r="AA112" i="13"/>
  <c r="AA114" i="13"/>
  <c r="AA116" i="13"/>
  <c r="AA120" i="13"/>
  <c r="BH6" i="13"/>
  <c r="BH8" i="13"/>
  <c r="E49" i="8"/>
  <c r="AG143" i="13"/>
  <c r="AG145" i="13"/>
  <c r="AG147" i="13"/>
  <c r="AG149" i="13"/>
  <c r="AG151" i="13"/>
  <c r="AG153" i="13"/>
  <c r="AG142" i="13"/>
  <c r="BA35" i="13"/>
  <c r="BA37" i="13"/>
  <c r="BA39" i="13"/>
  <c r="BA41" i="13"/>
  <c r="BA43" i="13"/>
  <c r="BA45" i="13"/>
  <c r="BA47" i="13"/>
  <c r="BA49" i="13"/>
  <c r="AG104" i="13"/>
  <c r="AG105" i="13"/>
  <c r="AG107" i="13"/>
  <c r="AG109" i="13"/>
  <c r="AG111" i="13"/>
  <c r="AG113" i="13"/>
  <c r="AG103" i="13"/>
  <c r="BL6" i="13"/>
  <c r="BL8" i="13"/>
  <c r="C51" i="8"/>
  <c r="AG144" i="13"/>
  <c r="AG146" i="13"/>
  <c r="AG148" i="13"/>
  <c r="AG150" i="13"/>
  <c r="AG152" i="13"/>
  <c r="AG154" i="13"/>
  <c r="AG124" i="13"/>
  <c r="AG126" i="13"/>
  <c r="AG128" i="13"/>
  <c r="AG130" i="13"/>
  <c r="AG132" i="13"/>
  <c r="AG134" i="13"/>
  <c r="AG136" i="13"/>
  <c r="AG138" i="13"/>
  <c r="AG123" i="13"/>
  <c r="AG119" i="13"/>
  <c r="AG110" i="13"/>
  <c r="AG114" i="13"/>
  <c r="AG116" i="13"/>
  <c r="BL9" i="13"/>
  <c r="CB15" i="13"/>
  <c r="H17" i="8"/>
  <c r="F3" i="5" s="1"/>
  <c r="I114" i="13"/>
  <c r="E43" i="8"/>
  <c r="AV7" i="13"/>
  <c r="AV5" i="13"/>
  <c r="I119" i="13"/>
  <c r="AS33" i="13"/>
  <c r="AS44" i="13"/>
  <c r="I132" i="13"/>
  <c r="AS40" i="13"/>
  <c r="AS38" i="13"/>
  <c r="AS36" i="13"/>
  <c r="AS34" i="13"/>
  <c r="AS60" i="13"/>
  <c r="AS58" i="13"/>
  <c r="AS56" i="13"/>
  <c r="AS54" i="13"/>
  <c r="L103" i="13"/>
  <c r="L115" i="13"/>
  <c r="L113" i="13"/>
  <c r="L111" i="13"/>
  <c r="L109" i="13"/>
  <c r="L107" i="13"/>
  <c r="L105" i="13"/>
  <c r="L119" i="13"/>
  <c r="AT33" i="13"/>
  <c r="AT48" i="13"/>
  <c r="L136" i="13"/>
  <c r="AT44" i="13"/>
  <c r="AT42" i="13"/>
  <c r="AT40" i="13"/>
  <c r="AT38" i="13"/>
  <c r="AT36" i="13"/>
  <c r="L124" i="13"/>
  <c r="AT64" i="13"/>
  <c r="L152" i="13"/>
  <c r="L150" i="13"/>
  <c r="L148" i="13"/>
  <c r="AT56" i="13"/>
  <c r="AT54" i="13"/>
  <c r="BU15" i="13"/>
  <c r="AZ8" i="13"/>
  <c r="AZ6" i="13"/>
  <c r="O103" i="13"/>
  <c r="O115" i="13"/>
  <c r="O113" i="13"/>
  <c r="O111" i="13"/>
  <c r="O109" i="13"/>
  <c r="O107" i="13"/>
  <c r="O105" i="13"/>
  <c r="O119" i="13"/>
  <c r="O123" i="13"/>
  <c r="AU48" i="13"/>
  <c r="O136" i="13"/>
  <c r="AU44" i="13"/>
  <c r="O132" i="13"/>
  <c r="AU40" i="13"/>
  <c r="O128" i="13"/>
  <c r="AU36" i="13"/>
  <c r="O124" i="13"/>
  <c r="O154" i="13"/>
  <c r="O152" i="13"/>
  <c r="O150" i="13"/>
  <c r="O148" i="13"/>
  <c r="O146" i="13"/>
  <c r="O144" i="13"/>
  <c r="R103" i="13"/>
  <c r="R120" i="13"/>
  <c r="R116" i="13"/>
  <c r="R114" i="13"/>
  <c r="C46" i="8"/>
  <c r="E46" i="8"/>
  <c r="AV54" i="13"/>
  <c r="AV58" i="13"/>
  <c r="R150" i="13"/>
  <c r="AV62" i="13"/>
  <c r="AV64" i="13"/>
  <c r="R124" i="13"/>
  <c r="AV36" i="13"/>
  <c r="R128" i="13"/>
  <c r="R132" i="13"/>
  <c r="AV44" i="13"/>
  <c r="R136" i="13"/>
  <c r="R143" i="13"/>
  <c r="R145" i="13"/>
  <c r="R147" i="13"/>
  <c r="R149" i="13"/>
  <c r="R151" i="13"/>
  <c r="R153" i="13"/>
  <c r="R142" i="13"/>
  <c r="AV35" i="13"/>
  <c r="R127" i="13"/>
  <c r="AV39" i="13"/>
  <c r="R131" i="13"/>
  <c r="AV43" i="13"/>
  <c r="R135" i="13"/>
  <c r="AV47" i="13"/>
  <c r="R139" i="13"/>
  <c r="X143" i="13"/>
  <c r="X145" i="13"/>
  <c r="AX59" i="13"/>
  <c r="X151" i="13"/>
  <c r="AX63" i="13"/>
  <c r="AX35" i="13"/>
  <c r="X127" i="13"/>
  <c r="AX39" i="13"/>
  <c r="X131" i="13"/>
  <c r="AX43" i="13"/>
  <c r="X135" i="13"/>
  <c r="AX47" i="13"/>
  <c r="X139" i="13"/>
  <c r="X104" i="13"/>
  <c r="X106" i="13"/>
  <c r="X108" i="13"/>
  <c r="X110" i="13"/>
  <c r="X112" i="13"/>
  <c r="X114" i="13"/>
  <c r="X116" i="13"/>
  <c r="X120" i="13"/>
  <c r="BF7" i="13"/>
  <c r="E48" i="8"/>
  <c r="C48" i="8"/>
  <c r="X144" i="13"/>
  <c r="X146" i="13"/>
  <c r="X148" i="13"/>
  <c r="X150" i="13"/>
  <c r="X152" i="13"/>
  <c r="X154" i="13"/>
  <c r="X124" i="13"/>
  <c r="X126" i="13"/>
  <c r="X128" i="13"/>
  <c r="X130" i="13"/>
  <c r="X132" i="13"/>
  <c r="X134" i="13"/>
  <c r="X136" i="13"/>
  <c r="X138" i="13"/>
  <c r="X123" i="13"/>
  <c r="X119" i="13"/>
  <c r="X105" i="13"/>
  <c r="X107" i="13"/>
  <c r="X109" i="13"/>
  <c r="X111" i="13"/>
  <c r="X113" i="13"/>
  <c r="BY36" i="13"/>
  <c r="X103" i="13"/>
  <c r="BF6" i="13"/>
  <c r="BF8" i="13"/>
  <c r="C50" i="8"/>
  <c r="AZ53" i="13"/>
  <c r="AZ55" i="13"/>
  <c r="AZ57" i="13"/>
  <c r="AZ59" i="13"/>
  <c r="AZ61" i="13"/>
  <c r="AZ63" i="13"/>
  <c r="AZ52" i="13"/>
  <c r="AZ35" i="13"/>
  <c r="AZ37" i="13"/>
  <c r="AZ39" i="13"/>
  <c r="AZ41" i="13"/>
  <c r="AZ43" i="13"/>
  <c r="AZ45" i="13"/>
  <c r="AZ47" i="13"/>
  <c r="AZ49" i="13"/>
  <c r="AD104" i="13"/>
  <c r="AD106" i="13"/>
  <c r="AD108" i="13"/>
  <c r="AD110" i="13"/>
  <c r="AD112" i="13"/>
  <c r="AD114" i="13"/>
  <c r="AD116" i="13"/>
  <c r="AD120" i="13"/>
  <c r="BJ5" i="13"/>
  <c r="E50" i="8"/>
  <c r="AZ54" i="13"/>
  <c r="AD146" i="13"/>
  <c r="AZ58" i="13"/>
  <c r="AD150" i="13"/>
  <c r="AZ62" i="13"/>
  <c r="AD154" i="13"/>
  <c r="AD124" i="13"/>
  <c r="AZ36" i="13"/>
  <c r="AD128" i="13"/>
  <c r="AZ40" i="13"/>
  <c r="AD132" i="13"/>
  <c r="AZ44" i="13"/>
  <c r="AZ46" i="13"/>
  <c r="AZ48" i="13"/>
  <c r="AZ33" i="13"/>
  <c r="AD119" i="13"/>
  <c r="AD105" i="13"/>
  <c r="AD107" i="13"/>
  <c r="AD109" i="13"/>
  <c r="AD111" i="13"/>
  <c r="AD113" i="13"/>
  <c r="AD115" i="13"/>
  <c r="AD103" i="13"/>
  <c r="BJ6" i="13"/>
  <c r="BJ8" i="13"/>
  <c r="BB54" i="13"/>
  <c r="BB58" i="13"/>
  <c r="BB62" i="13"/>
  <c r="AJ124" i="13"/>
  <c r="BB38" i="13"/>
  <c r="BB42" i="13"/>
  <c r="BB46" i="13"/>
  <c r="BB33" i="13"/>
  <c r="AJ119" i="13"/>
  <c r="AJ105" i="13"/>
  <c r="AJ109" i="13"/>
  <c r="AJ113" i="13"/>
  <c r="AJ103" i="13"/>
  <c r="BN8" i="13"/>
  <c r="AJ143" i="13"/>
  <c r="AJ147" i="13"/>
  <c r="AJ151" i="13"/>
  <c r="AJ142" i="13"/>
  <c r="AJ127" i="13"/>
  <c r="AJ131" i="13"/>
  <c r="AJ135" i="13"/>
  <c r="AJ139" i="13"/>
  <c r="AJ104" i="13"/>
  <c r="AJ112" i="13"/>
  <c r="AJ116" i="13"/>
  <c r="AJ120" i="13"/>
  <c r="CC15" i="13"/>
  <c r="AV8" i="13"/>
  <c r="AV6" i="13"/>
  <c r="AS49" i="13"/>
  <c r="AS45" i="13"/>
  <c r="I133" i="13"/>
  <c r="I131" i="13"/>
  <c r="I129" i="13"/>
  <c r="AS37" i="13"/>
  <c r="I125" i="13"/>
  <c r="I142" i="13"/>
  <c r="I153" i="13"/>
  <c r="AS61" i="13"/>
  <c r="AS59" i="13"/>
  <c r="I147" i="13"/>
  <c r="AS55" i="13"/>
  <c r="AS53" i="13"/>
  <c r="AX6" i="13"/>
  <c r="L120" i="13"/>
  <c r="L116" i="13"/>
  <c r="L114" i="13"/>
  <c r="L112" i="13"/>
  <c r="L110" i="13"/>
  <c r="L108" i="13"/>
  <c r="L106" i="13"/>
  <c r="L104" i="13"/>
  <c r="AT49" i="13"/>
  <c r="L137" i="13"/>
  <c r="L135" i="13"/>
  <c r="L133" i="13"/>
  <c r="L131" i="13"/>
  <c r="L129" i="13"/>
  <c r="L127" i="13"/>
  <c r="AT35" i="13"/>
  <c r="L142" i="13"/>
  <c r="AT63" i="13"/>
  <c r="AT61" i="13"/>
  <c r="AT59" i="13"/>
  <c r="L147" i="13"/>
  <c r="AT55" i="13"/>
  <c r="AT53" i="13"/>
  <c r="BV15" i="13"/>
  <c r="AZ9" i="13"/>
  <c r="AZ7" i="13"/>
  <c r="O120" i="13"/>
  <c r="O116" i="13"/>
  <c r="O114" i="13"/>
  <c r="O112" i="13"/>
  <c r="O110" i="13"/>
  <c r="O108" i="13"/>
  <c r="O106" i="13"/>
  <c r="O104" i="13"/>
  <c r="AU49" i="13"/>
  <c r="O135" i="13"/>
  <c r="O131" i="13"/>
  <c r="O127" i="13"/>
  <c r="O142" i="13"/>
  <c r="AU63" i="13"/>
  <c r="O151" i="13"/>
  <c r="O147" i="13"/>
  <c r="AU53" i="13"/>
  <c r="BB7" i="13"/>
  <c r="R119" i="13"/>
  <c r="R115" i="13"/>
  <c r="R113" i="13"/>
  <c r="E47" i="8"/>
  <c r="U150" i="13"/>
  <c r="AS35" i="13"/>
  <c r="AD126" i="13"/>
  <c r="AD127" i="13"/>
  <c r="AD143" i="13"/>
  <c r="AX40" i="13"/>
  <c r="AX56" i="13"/>
  <c r="AV61" i="13"/>
  <c r="AU58" i="13"/>
  <c r="AU34" i="13"/>
  <c r="AU42" i="13"/>
  <c r="AU33" i="13"/>
  <c r="L146" i="13"/>
  <c r="L154" i="13"/>
  <c r="L138" i="13"/>
  <c r="I150" i="13"/>
  <c r="AS64" i="13"/>
  <c r="I134" i="13"/>
  <c r="AS48" i="13"/>
  <c r="BA56" i="13"/>
  <c r="AG137" i="13"/>
  <c r="AG129" i="13"/>
  <c r="BA63" i="13"/>
  <c r="BA55" i="13"/>
  <c r="AA151" i="13"/>
  <c r="AY33" i="13"/>
  <c r="AY34" i="13"/>
  <c r="BX25" i="13"/>
  <c r="U139" i="13"/>
  <c r="U135" i="13"/>
  <c r="U131" i="13"/>
  <c r="U127" i="13"/>
  <c r="U142" i="13"/>
  <c r="U151" i="13"/>
  <c r="U147" i="13"/>
  <c r="U143" i="13"/>
  <c r="AW48" i="13"/>
  <c r="AW44" i="13"/>
  <c r="AW40" i="13"/>
  <c r="AW36" i="13"/>
  <c r="AW60" i="13"/>
  <c r="AB31" i="13"/>
  <c r="G46" i="4" s="1"/>
  <c r="AD123" i="13"/>
  <c r="AX49" i="13"/>
  <c r="R129" i="13"/>
  <c r="AT62" i="13"/>
  <c r="AY56" i="13"/>
  <c r="U125" i="13"/>
  <c r="F22" i="8" l="1"/>
  <c r="AR8" i="13"/>
  <c r="E21" i="5"/>
  <c r="EP5" i="13"/>
  <c r="EQ6" i="13" s="1"/>
  <c r="BG113" i="13"/>
  <c r="BG114" i="13" s="1"/>
  <c r="DX18" i="13"/>
  <c r="DX10" i="13"/>
  <c r="DX23" i="13"/>
  <c r="DX15" i="13"/>
  <c r="DX24" i="13"/>
  <c r="DZ24" i="13" s="1"/>
  <c r="BF77" i="13"/>
  <c r="DX16" i="13"/>
  <c r="DX22" i="13"/>
  <c r="DX14" i="13"/>
  <c r="DX20" i="13"/>
  <c r="DX12" i="13"/>
  <c r="HH12" i="13"/>
  <c r="F114" i="13"/>
  <c r="F110" i="13"/>
  <c r="G13" i="13"/>
  <c r="F103" i="13" s="1"/>
  <c r="BS21" i="13"/>
  <c r="AU14" i="13" s="1"/>
  <c r="DX8" i="13"/>
  <c r="BR21" i="13"/>
  <c r="F42" i="8"/>
  <c r="ED5" i="13"/>
  <c r="EE6" i="13" s="1"/>
  <c r="BS100" i="13"/>
  <c r="F41" i="8"/>
  <c r="AT6" i="13"/>
  <c r="AR6" i="13"/>
  <c r="BP95" i="13"/>
  <c r="AG216" i="13"/>
  <c r="AR5" i="13"/>
  <c r="HH18" i="13"/>
  <c r="EJ5" i="13"/>
  <c r="EK6" i="13" s="1"/>
  <c r="HH16" i="13"/>
  <c r="HH20" i="13"/>
  <c r="L27" i="8"/>
  <c r="G95" i="4" s="1"/>
  <c r="L25" i="8"/>
  <c r="L23" i="8"/>
  <c r="G91" i="4" s="1"/>
  <c r="L21" i="8"/>
  <c r="G89" i="4" s="1"/>
  <c r="L19" i="8"/>
  <c r="G87" i="4" s="1"/>
  <c r="L28" i="8"/>
  <c r="G96" i="4" s="1"/>
  <c r="L26" i="8"/>
  <c r="G94" i="4" s="1"/>
  <c r="L24" i="8"/>
  <c r="G92" i="4" s="1"/>
  <c r="L22" i="8"/>
  <c r="G90" i="4" s="1"/>
  <c r="L20" i="8"/>
  <c r="G88" i="4" s="1"/>
  <c r="J11" i="13"/>
  <c r="G4" i="4" s="1"/>
  <c r="P11" i="13"/>
  <c r="G6" i="4" s="1"/>
  <c r="Y11" i="13"/>
  <c r="G9" i="4" s="1"/>
  <c r="AE11" i="13"/>
  <c r="G11" i="4" s="1"/>
  <c r="AK11" i="13"/>
  <c r="S11" i="13"/>
  <c r="G7" i="4" s="1"/>
  <c r="M11" i="13"/>
  <c r="G5" i="4" s="1"/>
  <c r="V11" i="13"/>
  <c r="G8" i="4" s="1"/>
  <c r="AB11" i="13"/>
  <c r="G10" i="4" s="1"/>
  <c r="AH11" i="13"/>
  <c r="G12" i="4" s="1"/>
  <c r="HH10" i="13"/>
  <c r="E287" i="13"/>
  <c r="F289" i="13" s="1"/>
  <c r="FO4" i="13"/>
  <c r="FP6" i="13" s="1"/>
  <c r="CM4" i="13"/>
  <c r="CN6" i="13" s="1"/>
  <c r="DX4" i="13"/>
  <c r="DY6" i="13" s="1"/>
  <c r="DX58" i="13"/>
  <c r="EP58" i="13"/>
  <c r="EP54" i="13"/>
  <c r="DX54" i="13"/>
  <c r="EP50" i="13"/>
  <c r="DX50" i="13"/>
  <c r="DX44" i="13"/>
  <c r="EP44" i="13"/>
  <c r="EP40" i="13"/>
  <c r="DX40" i="13"/>
  <c r="DX36" i="13"/>
  <c r="EP36" i="13"/>
  <c r="EP32" i="13"/>
  <c r="DX32" i="13"/>
  <c r="DX28" i="13"/>
  <c r="EP28" i="13"/>
  <c r="DX57" i="13"/>
  <c r="EP57" i="13"/>
  <c r="EP53" i="13"/>
  <c r="DX53" i="13"/>
  <c r="EP49" i="13"/>
  <c r="DX49" i="13"/>
  <c r="EP43" i="13"/>
  <c r="DX43" i="13"/>
  <c r="DX39" i="13"/>
  <c r="EP39" i="13"/>
  <c r="EP35" i="13"/>
  <c r="DX35" i="13"/>
  <c r="EP31" i="13"/>
  <c r="DX31" i="13"/>
  <c r="DX56" i="13"/>
  <c r="EP56" i="13"/>
  <c r="EP52" i="13"/>
  <c r="DX52" i="13"/>
  <c r="DX48" i="13"/>
  <c r="EP48" i="13"/>
  <c r="DX42" i="13"/>
  <c r="EP42" i="13"/>
  <c r="EP38" i="13"/>
  <c r="DX38" i="13"/>
  <c r="EP34" i="13"/>
  <c r="DX34" i="13"/>
  <c r="EP30" i="13"/>
  <c r="DX30" i="13"/>
  <c r="DX59" i="13"/>
  <c r="EP59" i="13"/>
  <c r="EP55" i="13"/>
  <c r="DX55" i="13"/>
  <c r="EP51" i="13"/>
  <c r="DX51" i="13"/>
  <c r="DX47" i="13"/>
  <c r="EP47" i="13"/>
  <c r="EP41" i="13"/>
  <c r="DX41" i="13"/>
  <c r="DX37" i="13"/>
  <c r="EP37" i="13"/>
  <c r="EP33" i="13"/>
  <c r="DX33" i="13"/>
  <c r="EP29" i="13"/>
  <c r="DX29" i="13"/>
  <c r="BF79" i="13"/>
  <c r="CM68" i="13"/>
  <c r="AQ69" i="13"/>
  <c r="CM64" i="13"/>
  <c r="CM58" i="13"/>
  <c r="CV58" i="13"/>
  <c r="FO58" i="13"/>
  <c r="EH58" i="13"/>
  <c r="EW58" i="13"/>
  <c r="CM54" i="13"/>
  <c r="CV54" i="13"/>
  <c r="FO54" i="13"/>
  <c r="EH54" i="13"/>
  <c r="EW54" i="13"/>
  <c r="CM50" i="13"/>
  <c r="CV50" i="13"/>
  <c r="FO50" i="13"/>
  <c r="EH50" i="13"/>
  <c r="EW50" i="13"/>
  <c r="CM44" i="13"/>
  <c r="CV44" i="13"/>
  <c r="FO44" i="13"/>
  <c r="EW44" i="13"/>
  <c r="EH44" i="13"/>
  <c r="CM40" i="13"/>
  <c r="CV40" i="13"/>
  <c r="FO40" i="13"/>
  <c r="EW40" i="13"/>
  <c r="EH40" i="13"/>
  <c r="CM36" i="13"/>
  <c r="CV36" i="13"/>
  <c r="FO36" i="13"/>
  <c r="EW36" i="13"/>
  <c r="EH36" i="13"/>
  <c r="CM32" i="13"/>
  <c r="CV32" i="13"/>
  <c r="FO32" i="13"/>
  <c r="EW32" i="13"/>
  <c r="EH32" i="13"/>
  <c r="AQ33" i="13"/>
  <c r="CM28" i="13"/>
  <c r="FO28" i="13"/>
  <c r="CV28" i="13"/>
  <c r="EW28" i="13"/>
  <c r="EH28" i="13"/>
  <c r="GF117" i="13"/>
  <c r="FO24" i="13"/>
  <c r="CM24" i="13"/>
  <c r="EJ24" i="13"/>
  <c r="FO20" i="13"/>
  <c r="GX20" i="13" s="1"/>
  <c r="CM20" i="13"/>
  <c r="CL20" i="13" s="1"/>
  <c r="EJ20" i="13"/>
  <c r="FO16" i="13"/>
  <c r="CM16" i="13"/>
  <c r="EJ16" i="13"/>
  <c r="CM12" i="13"/>
  <c r="FO12" i="13"/>
  <c r="EJ12" i="13"/>
  <c r="GF101" i="13"/>
  <c r="EJ8" i="13"/>
  <c r="FO8" i="13"/>
  <c r="CM8" i="13"/>
  <c r="AQ72" i="13"/>
  <c r="CM67" i="13"/>
  <c r="BC68" i="13"/>
  <c r="CM63" i="13"/>
  <c r="CM57" i="13"/>
  <c r="CV57" i="13"/>
  <c r="FO57" i="13"/>
  <c r="EH57" i="13"/>
  <c r="EW57" i="13"/>
  <c r="CM53" i="13"/>
  <c r="CV53" i="13"/>
  <c r="FO53" i="13"/>
  <c r="EH53" i="13"/>
  <c r="EW53" i="13"/>
  <c r="CM49" i="13"/>
  <c r="FO49" i="13"/>
  <c r="CV49" i="13"/>
  <c r="EH49" i="13"/>
  <c r="EW49" i="13"/>
  <c r="CV43" i="13"/>
  <c r="CM43" i="13"/>
  <c r="FO43" i="13"/>
  <c r="EW43" i="13"/>
  <c r="EH43" i="13"/>
  <c r="CV39" i="13"/>
  <c r="CM39" i="13"/>
  <c r="FO39" i="13"/>
  <c r="EW39" i="13"/>
  <c r="EH39" i="13"/>
  <c r="CM35" i="13"/>
  <c r="CV35" i="13"/>
  <c r="FO35" i="13"/>
  <c r="EW35" i="13"/>
  <c r="EH35" i="13"/>
  <c r="CM31" i="13"/>
  <c r="FO31" i="13"/>
  <c r="CV31" i="13"/>
  <c r="EH31" i="13"/>
  <c r="EW31" i="13"/>
  <c r="GF118" i="13"/>
  <c r="CM25" i="13"/>
  <c r="FO25" i="13"/>
  <c r="EJ25" i="13"/>
  <c r="CM21" i="13"/>
  <c r="FO21" i="13"/>
  <c r="EJ21" i="13"/>
  <c r="FO17" i="13"/>
  <c r="CM17" i="13"/>
  <c r="EJ17" i="13"/>
  <c r="GF106" i="13"/>
  <c r="GE106" i="13" s="1"/>
  <c r="FO13" i="13"/>
  <c r="GX13" i="13" s="1"/>
  <c r="CM13" i="13"/>
  <c r="CL13" i="13" s="1"/>
  <c r="EJ13" i="13"/>
  <c r="FG13" i="13" s="1"/>
  <c r="CM9" i="13"/>
  <c r="FO9" i="13"/>
  <c r="EJ9" i="13"/>
  <c r="CP66" i="13"/>
  <c r="CQ66" i="13"/>
  <c r="AQ67" i="13"/>
  <c r="CM62" i="13"/>
  <c r="CM56" i="13"/>
  <c r="CV56" i="13"/>
  <c r="FO56" i="13"/>
  <c r="EH56" i="13"/>
  <c r="EW56" i="13"/>
  <c r="CM52" i="13"/>
  <c r="CV52" i="13"/>
  <c r="FO52" i="13"/>
  <c r="EH52" i="13"/>
  <c r="EW52" i="13"/>
  <c r="CM48" i="13"/>
  <c r="CV48" i="13"/>
  <c r="FO48" i="13"/>
  <c r="EH48" i="13"/>
  <c r="EW48" i="13"/>
  <c r="CM42" i="13"/>
  <c r="CV42" i="13"/>
  <c r="FO42" i="13"/>
  <c r="EH42" i="13"/>
  <c r="EW42" i="13"/>
  <c r="CM38" i="13"/>
  <c r="CV38" i="13"/>
  <c r="FO38" i="13"/>
  <c r="EH38" i="13"/>
  <c r="EW38" i="13"/>
  <c r="CM34" i="13"/>
  <c r="CV34" i="13"/>
  <c r="FO34" i="13"/>
  <c r="EW34" i="13"/>
  <c r="EH34" i="13"/>
  <c r="CM30" i="13"/>
  <c r="CV30" i="13"/>
  <c r="FO30" i="13"/>
  <c r="EW30" i="13"/>
  <c r="EH30" i="13"/>
  <c r="CN24" i="13"/>
  <c r="FP24" i="13"/>
  <c r="FS24" i="13" s="1"/>
  <c r="EK24" i="13"/>
  <c r="CM22" i="13"/>
  <c r="CL22" i="13" s="1"/>
  <c r="FO22" i="13"/>
  <c r="GX22" i="13" s="1"/>
  <c r="EJ22" i="13"/>
  <c r="FO18" i="13"/>
  <c r="CM18" i="13"/>
  <c r="EJ18" i="13"/>
  <c r="CM14" i="13"/>
  <c r="FO14" i="13"/>
  <c r="EJ14" i="13"/>
  <c r="FO10" i="13"/>
  <c r="CM10" i="13"/>
  <c r="EJ10" i="13"/>
  <c r="AQ70" i="13"/>
  <c r="CM65" i="13"/>
  <c r="CM59" i="13"/>
  <c r="CV59" i="13"/>
  <c r="FO59" i="13"/>
  <c r="EW59" i="13"/>
  <c r="EH59" i="13"/>
  <c r="CV55" i="13"/>
  <c r="FO55" i="13"/>
  <c r="EW55" i="13"/>
  <c r="CM51" i="13"/>
  <c r="CV51" i="13"/>
  <c r="FO51" i="13"/>
  <c r="EH51" i="13"/>
  <c r="EW51" i="13"/>
  <c r="CM47" i="13"/>
  <c r="FO47" i="13"/>
  <c r="CV47" i="13"/>
  <c r="EH47" i="13"/>
  <c r="EW47" i="13"/>
  <c r="CM41" i="13"/>
  <c r="FO41" i="13"/>
  <c r="CV41" i="13"/>
  <c r="EH41" i="13"/>
  <c r="EW41" i="13"/>
  <c r="CM37" i="13"/>
  <c r="FO37" i="13"/>
  <c r="CV37" i="13"/>
  <c r="EH37" i="13"/>
  <c r="EW37" i="13"/>
  <c r="CV33" i="13"/>
  <c r="CM33" i="13"/>
  <c r="FO33" i="13"/>
  <c r="EW33" i="13"/>
  <c r="EH33" i="13"/>
  <c r="CM29" i="13"/>
  <c r="CV29" i="13"/>
  <c r="FO29" i="13"/>
  <c r="EW29" i="13"/>
  <c r="EH29" i="13"/>
  <c r="FO23" i="13"/>
  <c r="GX23" i="13" s="1"/>
  <c r="CM23" i="13"/>
  <c r="CL23" i="13" s="1"/>
  <c r="EJ23" i="13"/>
  <c r="FG23" i="13" s="1"/>
  <c r="FO19" i="13"/>
  <c r="CM19" i="13"/>
  <c r="EJ19" i="13"/>
  <c r="CM15" i="13"/>
  <c r="FO15" i="13"/>
  <c r="EJ15" i="13"/>
  <c r="CM11" i="13"/>
  <c r="FO11" i="13"/>
  <c r="EJ11" i="13"/>
  <c r="HH13" i="13"/>
  <c r="HJ13" i="13"/>
  <c r="HJ21" i="13"/>
  <c r="HH21" i="13"/>
  <c r="HJ8" i="13"/>
  <c r="HH8" i="13"/>
  <c r="HJ11" i="13"/>
  <c r="HH11" i="13"/>
  <c r="HH19" i="13"/>
  <c r="HJ19" i="13"/>
  <c r="HJ9" i="13"/>
  <c r="HH9" i="13"/>
  <c r="HI60" i="13"/>
  <c r="HH22" i="13"/>
  <c r="HH14" i="13"/>
  <c r="HH25" i="13"/>
  <c r="HJ25" i="13"/>
  <c r="HJ17" i="13"/>
  <c r="HH17" i="13"/>
  <c r="HH15" i="13"/>
  <c r="HJ15" i="13"/>
  <c r="HH23" i="13"/>
  <c r="HJ23" i="13"/>
  <c r="AQ63" i="13"/>
  <c r="GF151" i="13"/>
  <c r="AQ59" i="13"/>
  <c r="GF147" i="13"/>
  <c r="C145" i="13"/>
  <c r="GF143" i="13"/>
  <c r="AQ49" i="13"/>
  <c r="GF137" i="13"/>
  <c r="AQ45" i="13"/>
  <c r="GF133" i="13"/>
  <c r="C131" i="13"/>
  <c r="GF129" i="13"/>
  <c r="C127" i="13"/>
  <c r="GF125" i="13"/>
  <c r="D25" i="13"/>
  <c r="DY20" i="13" s="1"/>
  <c r="GF113" i="13"/>
  <c r="GE113" i="13" s="1"/>
  <c r="D21" i="13"/>
  <c r="DY16" i="13" s="1"/>
  <c r="GF109" i="13"/>
  <c r="D17" i="13"/>
  <c r="DY12" i="13" s="1"/>
  <c r="GF105" i="13"/>
  <c r="AQ62" i="13"/>
  <c r="GF150" i="13"/>
  <c r="AQ58" i="13"/>
  <c r="GF146" i="13"/>
  <c r="AQ54" i="13"/>
  <c r="GF142" i="13"/>
  <c r="C138" i="13"/>
  <c r="GF136" i="13"/>
  <c r="AQ44" i="13"/>
  <c r="GF132" i="13"/>
  <c r="AQ40" i="13"/>
  <c r="GF128" i="13"/>
  <c r="C126" i="13"/>
  <c r="GF124" i="13"/>
  <c r="D26" i="13"/>
  <c r="DY21" i="13" s="1"/>
  <c r="DZ21" i="13" s="1"/>
  <c r="GF114" i="13"/>
  <c r="D22" i="13"/>
  <c r="DY17" i="13" s="1"/>
  <c r="GF110" i="13"/>
  <c r="D14" i="13"/>
  <c r="DY9" i="13" s="1"/>
  <c r="GF102" i="13"/>
  <c r="GF121" i="13"/>
  <c r="C151" i="13"/>
  <c r="GF149" i="13"/>
  <c r="AQ57" i="13"/>
  <c r="GF145" i="13"/>
  <c r="C143" i="13"/>
  <c r="GF141" i="13"/>
  <c r="C137" i="13"/>
  <c r="GF135" i="13"/>
  <c r="AQ43" i="13"/>
  <c r="GF131" i="13"/>
  <c r="C129" i="13"/>
  <c r="GF127" i="13"/>
  <c r="AQ35" i="13"/>
  <c r="GF123" i="13"/>
  <c r="C119" i="13"/>
  <c r="I41" i="8" s="1"/>
  <c r="GG117" i="13"/>
  <c r="GJ117" i="13" s="1"/>
  <c r="D27" i="13"/>
  <c r="DY22" i="13" s="1"/>
  <c r="GF115" i="13"/>
  <c r="GE115" i="13" s="1"/>
  <c r="D23" i="13"/>
  <c r="DY18" i="13" s="1"/>
  <c r="GF111" i="13"/>
  <c r="D19" i="13"/>
  <c r="DY14" i="13" s="1"/>
  <c r="GF107" i="13"/>
  <c r="D15" i="13"/>
  <c r="DY10" i="13" s="1"/>
  <c r="GF103" i="13"/>
  <c r="AQ64" i="13"/>
  <c r="GF152" i="13"/>
  <c r="AQ60" i="13"/>
  <c r="GF148" i="13"/>
  <c r="AQ56" i="13"/>
  <c r="GF144" i="13"/>
  <c r="AQ52" i="13"/>
  <c r="GF140" i="13"/>
  <c r="AQ46" i="13"/>
  <c r="GF134" i="13"/>
  <c r="AQ42" i="13"/>
  <c r="GF130" i="13"/>
  <c r="C128" i="13"/>
  <c r="GF126" i="13"/>
  <c r="AQ34" i="13"/>
  <c r="GF122" i="13"/>
  <c r="D28" i="13"/>
  <c r="DY23" i="13" s="1"/>
  <c r="GF116" i="13"/>
  <c r="GE116" i="13" s="1"/>
  <c r="D24" i="13"/>
  <c r="R179" i="13" s="1"/>
  <c r="GF112" i="13"/>
  <c r="D20" i="13"/>
  <c r="R175" i="13" s="1"/>
  <c r="GF108" i="13"/>
  <c r="GE108" i="13" s="1"/>
  <c r="D16" i="13"/>
  <c r="DY11" i="13" s="1"/>
  <c r="GF104" i="13"/>
  <c r="BL10" i="13"/>
  <c r="BJ10" i="13"/>
  <c r="CA11" i="13" s="1"/>
  <c r="BH10" i="13"/>
  <c r="AV10" i="13"/>
  <c r="HX5" i="13" s="1"/>
  <c r="HY6" i="13" s="1"/>
  <c r="AX10" i="13"/>
  <c r="HO5" i="13" s="1"/>
  <c r="HP6" i="13" s="1"/>
  <c r="AZ10" i="13"/>
  <c r="BB10" i="13"/>
  <c r="BD10" i="13"/>
  <c r="BF10" i="13"/>
  <c r="AJ152" i="13"/>
  <c r="AQ74" i="13"/>
  <c r="AA129" i="13"/>
  <c r="BC72" i="13"/>
  <c r="CB36" i="13"/>
  <c r="BM29" i="13" s="1"/>
  <c r="BU36" i="13"/>
  <c r="AY29" i="13" s="1"/>
  <c r="C134" i="13"/>
  <c r="AQ38" i="13"/>
  <c r="AQ37" i="13"/>
  <c r="AQ36" i="13"/>
  <c r="E15" i="8"/>
  <c r="G93" i="4"/>
  <c r="BM113" i="13"/>
  <c r="L16" i="8"/>
  <c r="BA53" i="13"/>
  <c r="AY58" i="13"/>
  <c r="AY42" i="13"/>
  <c r="AY53" i="13"/>
  <c r="AY45" i="13"/>
  <c r="BA40" i="13"/>
  <c r="R126" i="13"/>
  <c r="X125" i="13"/>
  <c r="CY291" i="13"/>
  <c r="CZ292" i="13"/>
  <c r="CZ304" i="13"/>
  <c r="DA304" i="13" s="1"/>
  <c r="CY308" i="13"/>
  <c r="CY293" i="13"/>
  <c r="CY297" i="13"/>
  <c r="CY301" i="13"/>
  <c r="CY305" i="13"/>
  <c r="CZ307" i="13"/>
  <c r="CZ293" i="13"/>
  <c r="CZ297" i="13"/>
  <c r="CZ301" i="13"/>
  <c r="CZ291" i="13"/>
  <c r="CY292" i="13"/>
  <c r="CY296" i="13"/>
  <c r="CY300" i="13"/>
  <c r="CY304" i="13"/>
  <c r="BH307" i="13"/>
  <c r="BT288" i="13"/>
  <c r="BU289" i="13" s="1"/>
  <c r="BB288" i="13"/>
  <c r="BI307" i="13"/>
  <c r="BW288" i="13"/>
  <c r="BX289" i="13" s="1"/>
  <c r="BQ288" i="13"/>
  <c r="BR289" i="13" s="1"/>
  <c r="BK288" i="13"/>
  <c r="BL289" i="13" s="1"/>
  <c r="BE288" i="13"/>
  <c r="BF289" i="13" s="1"/>
  <c r="AY288" i="13"/>
  <c r="AZ289" i="13" s="1"/>
  <c r="BH227" i="13"/>
  <c r="BI228" i="13" s="1"/>
  <c r="F118" i="13"/>
  <c r="F117" i="13"/>
  <c r="R117" i="13"/>
  <c r="O118" i="13"/>
  <c r="L118" i="13"/>
  <c r="X117" i="13"/>
  <c r="R118" i="13"/>
  <c r="L117" i="13"/>
  <c r="AA118" i="13"/>
  <c r="U117" i="13"/>
  <c r="AD118" i="13"/>
  <c r="X118" i="13"/>
  <c r="O117" i="13"/>
  <c r="AG118" i="13"/>
  <c r="AR10" i="13"/>
  <c r="BZ35" i="13"/>
  <c r="BI28" i="13" s="1"/>
  <c r="AT46" i="13"/>
  <c r="AY54" i="13"/>
  <c r="AY62" i="13"/>
  <c r="AY38" i="13"/>
  <c r="AY46" i="13"/>
  <c r="AY57" i="13"/>
  <c r="AY37" i="13"/>
  <c r="BA64" i="13"/>
  <c r="BA48" i="13"/>
  <c r="E51" i="8"/>
  <c r="AV53" i="13"/>
  <c r="AV45" i="13"/>
  <c r="CA15" i="13"/>
  <c r="X149" i="13"/>
  <c r="AC288" i="13"/>
  <c r="AD289" i="13" s="1"/>
  <c r="CZ184" i="13"/>
  <c r="CY184" i="13"/>
  <c r="DV184" i="13" s="1"/>
  <c r="BF80" i="13"/>
  <c r="D13" i="13"/>
  <c r="BF113" i="13"/>
  <c r="BF114" i="13" s="1"/>
  <c r="D30" i="13"/>
  <c r="DY25" i="13" s="1"/>
  <c r="DZ25" i="13" s="1"/>
  <c r="AR22" i="13"/>
  <c r="BR25" i="13"/>
  <c r="D18" i="13"/>
  <c r="DY13" i="13" s="1"/>
  <c r="BR34" i="13"/>
  <c r="BC23" i="13"/>
  <c r="BB23" i="13"/>
  <c r="BB27" i="13"/>
  <c r="AZ16" i="13"/>
  <c r="AZ20" i="13"/>
  <c r="AZ24" i="13"/>
  <c r="AZ28" i="13"/>
  <c r="AX16" i="13"/>
  <c r="AX20" i="13"/>
  <c r="AX24" i="13"/>
  <c r="AX28" i="13"/>
  <c r="BN30" i="13"/>
  <c r="BO30" i="13"/>
  <c r="BO22" i="13"/>
  <c r="BN22" i="13"/>
  <c r="BO14" i="13"/>
  <c r="BN14" i="13"/>
  <c r="BN13" i="13"/>
  <c r="BN23" i="13"/>
  <c r="BO23" i="13"/>
  <c r="BN15" i="13"/>
  <c r="BO15" i="13"/>
  <c r="CA36" i="13"/>
  <c r="BK29" i="13" s="1"/>
  <c r="BJ25" i="13"/>
  <c r="BJ21" i="13"/>
  <c r="BJ17" i="13"/>
  <c r="BK17" i="13"/>
  <c r="BJ30" i="13"/>
  <c r="BK30" i="13"/>
  <c r="BK26" i="13"/>
  <c r="BJ26" i="13"/>
  <c r="BK22" i="13"/>
  <c r="BJ22" i="13"/>
  <c r="BJ18" i="13"/>
  <c r="BK14" i="13"/>
  <c r="BJ14" i="13"/>
  <c r="BF13" i="13"/>
  <c r="BF27" i="13"/>
  <c r="BF23" i="13"/>
  <c r="BG23" i="13"/>
  <c r="BF19" i="13"/>
  <c r="BF15" i="13"/>
  <c r="BG15" i="13"/>
  <c r="BF30" i="13"/>
  <c r="BG30" i="13"/>
  <c r="BG26" i="13"/>
  <c r="BF26" i="13"/>
  <c r="BG22" i="13"/>
  <c r="BF22" i="13"/>
  <c r="BF18" i="13"/>
  <c r="BG14" i="13"/>
  <c r="BF14" i="13"/>
  <c r="BB24" i="13"/>
  <c r="BB28" i="13"/>
  <c r="BB13" i="13"/>
  <c r="AZ17" i="13"/>
  <c r="BA17" i="13"/>
  <c r="AZ21" i="13"/>
  <c r="AZ25" i="13"/>
  <c r="CM184" i="13"/>
  <c r="BV36" i="13"/>
  <c r="BA29" i="13" s="1"/>
  <c r="AX15" i="13"/>
  <c r="AY15" i="13"/>
  <c r="AX19" i="13"/>
  <c r="AX23" i="13"/>
  <c r="AY23" i="13"/>
  <c r="AX27" i="13"/>
  <c r="AX13" i="13"/>
  <c r="AG120" i="13"/>
  <c r="BM26" i="13"/>
  <c r="BL26" i="13"/>
  <c r="AG112" i="13"/>
  <c r="CB25" i="13"/>
  <c r="AG108" i="13"/>
  <c r="BL13" i="13"/>
  <c r="CB34" i="13"/>
  <c r="BL23" i="13"/>
  <c r="BM23" i="13"/>
  <c r="BL19" i="13"/>
  <c r="BL15" i="13"/>
  <c r="BM15" i="13"/>
  <c r="BH28" i="13"/>
  <c r="BH24" i="13"/>
  <c r="BH20" i="13"/>
  <c r="BZ23" i="13"/>
  <c r="AA106" i="13"/>
  <c r="BH13" i="13"/>
  <c r="BZ34" i="13"/>
  <c r="BI305" i="13"/>
  <c r="BH23" i="13"/>
  <c r="BI23" i="13"/>
  <c r="BH19" i="13"/>
  <c r="BH15" i="13"/>
  <c r="BI15" i="13"/>
  <c r="U103" i="13"/>
  <c r="BD30" i="13"/>
  <c r="BE30" i="13"/>
  <c r="BE26" i="13"/>
  <c r="BD26" i="13"/>
  <c r="BE22" i="13"/>
  <c r="BD22" i="13"/>
  <c r="BE18" i="13"/>
  <c r="BD18" i="13"/>
  <c r="BE14" i="13"/>
  <c r="BD14" i="13"/>
  <c r="BD27" i="13"/>
  <c r="BD23" i="13"/>
  <c r="BE23" i="13"/>
  <c r="BD19" i="13"/>
  <c r="BD15" i="13"/>
  <c r="BE15" i="13"/>
  <c r="BB20" i="13"/>
  <c r="BB16" i="13"/>
  <c r="BB19" i="13"/>
  <c r="BB15" i="13"/>
  <c r="BC15" i="13"/>
  <c r="CN307" i="13"/>
  <c r="CN184" i="13"/>
  <c r="BB25" i="13"/>
  <c r="BB29" i="13"/>
  <c r="BW36" i="13"/>
  <c r="BC29" i="13" s="1"/>
  <c r="BA14" i="13"/>
  <c r="AZ14" i="13"/>
  <c r="AZ18" i="13"/>
  <c r="BA22" i="13"/>
  <c r="AZ22" i="13"/>
  <c r="BA26" i="13"/>
  <c r="AZ26" i="13"/>
  <c r="AZ30" i="13"/>
  <c r="BA30" i="13"/>
  <c r="AY14" i="13"/>
  <c r="AX14" i="13"/>
  <c r="AX18" i="13"/>
  <c r="AY22" i="13"/>
  <c r="AX22" i="13"/>
  <c r="AY26" i="13"/>
  <c r="AX26" i="13"/>
  <c r="AX30" i="13"/>
  <c r="AY30" i="13"/>
  <c r="BO26" i="13"/>
  <c r="BN26" i="13"/>
  <c r="CC25" i="13"/>
  <c r="AJ108" i="13"/>
  <c r="CC34" i="13"/>
  <c r="BN19" i="13"/>
  <c r="BJ13" i="13"/>
  <c r="CA34" i="13"/>
  <c r="CZ305" i="13"/>
  <c r="BJ23" i="13"/>
  <c r="BK23" i="13"/>
  <c r="BJ19" i="13"/>
  <c r="BJ15" i="13"/>
  <c r="BK15" i="13"/>
  <c r="BJ28" i="13"/>
  <c r="BJ24" i="13"/>
  <c r="BJ20" i="13"/>
  <c r="BJ16" i="13"/>
  <c r="BY32" i="13"/>
  <c r="X115" i="13"/>
  <c r="BF21" i="13"/>
  <c r="BF17" i="13"/>
  <c r="BG17" i="13"/>
  <c r="BF28" i="13"/>
  <c r="BF24" i="13"/>
  <c r="BF20" i="13"/>
  <c r="BF16" i="13"/>
  <c r="BC26" i="13"/>
  <c r="BB26" i="13"/>
  <c r="BB30" i="13"/>
  <c r="BC30" i="13"/>
  <c r="AZ15" i="13"/>
  <c r="BA15" i="13"/>
  <c r="AZ19" i="13"/>
  <c r="AZ23" i="13"/>
  <c r="BA23" i="13"/>
  <c r="AZ27" i="13"/>
  <c r="AZ13" i="13"/>
  <c r="AX17" i="13"/>
  <c r="AY17" i="13"/>
  <c r="AX21" i="13"/>
  <c r="AX25" i="13"/>
  <c r="BL28" i="13"/>
  <c r="BL24" i="13"/>
  <c r="BL20" i="13"/>
  <c r="CB23" i="13"/>
  <c r="AG106" i="13"/>
  <c r="CB32" i="13"/>
  <c r="AG115" i="13"/>
  <c r="BL21" i="13"/>
  <c r="BL17" i="13"/>
  <c r="BM17" i="13"/>
  <c r="BM14" i="13"/>
  <c r="BL14" i="13"/>
  <c r="BH30" i="13"/>
  <c r="BI30" i="13"/>
  <c r="BI26" i="13"/>
  <c r="BH26" i="13"/>
  <c r="BI22" i="13"/>
  <c r="BH22" i="13"/>
  <c r="BH18" i="13"/>
  <c r="BI14" i="13"/>
  <c r="BH14" i="13"/>
  <c r="BZ32" i="13"/>
  <c r="AA115" i="13"/>
  <c r="BH21" i="13"/>
  <c r="BH17" i="13"/>
  <c r="BI17" i="13"/>
  <c r="BX35" i="13"/>
  <c r="BD24" i="13"/>
  <c r="BD20" i="13"/>
  <c r="BD16" i="13"/>
  <c r="AV307" i="13"/>
  <c r="AX307" i="13" s="1"/>
  <c r="BX36" i="13"/>
  <c r="BE29" i="13" s="1"/>
  <c r="BD25" i="13"/>
  <c r="BD21" i="13"/>
  <c r="BD17" i="13"/>
  <c r="BE17" i="13"/>
  <c r="BC22" i="13"/>
  <c r="BB22" i="13"/>
  <c r="BW25" i="13"/>
  <c r="R108" i="13"/>
  <c r="BC14" i="13"/>
  <c r="BB14" i="13"/>
  <c r="BB21" i="13"/>
  <c r="BB17" i="13"/>
  <c r="BC17" i="13"/>
  <c r="AW307" i="13"/>
  <c r="O332" i="13"/>
  <c r="O276" i="13"/>
  <c r="T288" i="13"/>
  <c r="U289" i="13" s="1"/>
  <c r="AF288" i="13"/>
  <c r="AG289" i="13" s="1"/>
  <c r="BT36" i="13"/>
  <c r="AW29" i="13" s="1"/>
  <c r="I104" i="13"/>
  <c r="I106" i="13"/>
  <c r="I108" i="13"/>
  <c r="I110" i="13"/>
  <c r="I112" i="13"/>
  <c r="I115" i="13"/>
  <c r="I103" i="13"/>
  <c r="I120" i="13"/>
  <c r="I105" i="13"/>
  <c r="I107" i="13"/>
  <c r="I109" i="13"/>
  <c r="I113" i="13"/>
  <c r="I116" i="13"/>
  <c r="R246" i="13"/>
  <c r="Z288" i="13"/>
  <c r="AA289" i="13" s="1"/>
  <c r="E305" i="13"/>
  <c r="AT27" i="13"/>
  <c r="AT23" i="13"/>
  <c r="AU23" i="13"/>
  <c r="AT20" i="13"/>
  <c r="AT17" i="13"/>
  <c r="AU17" i="13"/>
  <c r="AT14" i="13"/>
  <c r="AT30" i="13"/>
  <c r="AU30" i="13"/>
  <c r="AU26" i="13"/>
  <c r="AT26" i="13"/>
  <c r="AU22" i="13"/>
  <c r="AT22" i="13"/>
  <c r="AT18" i="13"/>
  <c r="AT28" i="13"/>
  <c r="AT25" i="13"/>
  <c r="AT19" i="13"/>
  <c r="AT15" i="13"/>
  <c r="AU15" i="13"/>
  <c r="AT24" i="13"/>
  <c r="AT21" i="13"/>
  <c r="AT16" i="13"/>
  <c r="O209" i="13"/>
  <c r="O213" i="13"/>
  <c r="O271" i="13"/>
  <c r="O275" i="13"/>
  <c r="O335" i="13"/>
  <c r="R307" i="13"/>
  <c r="R184" i="13"/>
  <c r="O210" i="13"/>
  <c r="O214" i="13"/>
  <c r="O272" i="13"/>
  <c r="Q246" i="13"/>
  <c r="Q184" i="13"/>
  <c r="O211" i="13"/>
  <c r="O273" i="13"/>
  <c r="O208" i="13"/>
  <c r="O212" i="13"/>
  <c r="O270" i="13"/>
  <c r="O274" i="13"/>
  <c r="O331" i="13"/>
  <c r="S331" i="13" s="1"/>
  <c r="O336" i="13"/>
  <c r="AV24" i="13"/>
  <c r="AW184" i="13"/>
  <c r="F307" i="13"/>
  <c r="F246" i="13"/>
  <c r="F184" i="13"/>
  <c r="AV184" i="13"/>
  <c r="E184" i="13"/>
  <c r="E246" i="13"/>
  <c r="G246" i="13" s="1"/>
  <c r="BR36" i="13"/>
  <c r="AS29" i="13" s="1"/>
  <c r="AR29" i="13"/>
  <c r="C146" i="13"/>
  <c r="C154" i="13"/>
  <c r="C153" i="13"/>
  <c r="W31" i="13"/>
  <c r="G56" i="4" s="1"/>
  <c r="CM308" i="13"/>
  <c r="C136" i="13"/>
  <c r="C135" i="13"/>
  <c r="C130" i="13"/>
  <c r="BF311" i="13"/>
  <c r="DN288" i="13"/>
  <c r="DO289" i="13" s="1"/>
  <c r="CM287" i="13"/>
  <c r="CN289" i="13" s="1"/>
  <c r="CM293" i="13"/>
  <c r="CM297" i="13"/>
  <c r="CM301" i="13"/>
  <c r="CM305" i="13"/>
  <c r="CM291" i="13"/>
  <c r="CM292" i="13"/>
  <c r="CM296" i="13"/>
  <c r="CM300" i="13"/>
  <c r="CM304" i="13"/>
  <c r="BR20" i="13"/>
  <c r="BZ26" i="13"/>
  <c r="AW56" i="13"/>
  <c r="AW64" i="13"/>
  <c r="AA142" i="13"/>
  <c r="AY41" i="13"/>
  <c r="AY49" i="13"/>
  <c r="BZ15" i="13"/>
  <c r="BA59" i="13"/>
  <c r="AG125" i="13"/>
  <c r="AG133" i="13"/>
  <c r="BA60" i="13"/>
  <c r="BA36" i="13"/>
  <c r="BA44" i="13"/>
  <c r="BC44" i="13"/>
  <c r="I126" i="13"/>
  <c r="BC60" i="13"/>
  <c r="L130" i="13"/>
  <c r="AT60" i="13"/>
  <c r="AU46" i="13"/>
  <c r="AU38" i="13"/>
  <c r="AU62" i="13"/>
  <c r="AU54" i="13"/>
  <c r="AV60" i="13"/>
  <c r="R134" i="13"/>
  <c r="AV57" i="13"/>
  <c r="AV37" i="13"/>
  <c r="AX55" i="13"/>
  <c r="X133" i="13"/>
  <c r="AX64" i="13"/>
  <c r="AX48" i="13"/>
  <c r="AD151" i="13"/>
  <c r="AD135" i="13"/>
  <c r="AZ60" i="13"/>
  <c r="AD134" i="13"/>
  <c r="X153" i="13"/>
  <c r="BV20" i="13"/>
  <c r="BA13" i="13" s="1"/>
  <c r="F234" i="13"/>
  <c r="E25" i="3"/>
  <c r="G117" i="4" s="1"/>
  <c r="D2" i="4" s="1"/>
  <c r="BC59" i="13"/>
  <c r="BY28" i="13"/>
  <c r="BB45" i="13"/>
  <c r="AV55" i="13"/>
  <c r="E230" i="13"/>
  <c r="AZ34" i="13"/>
  <c r="AJ136" i="13"/>
  <c r="AS43" i="13"/>
  <c r="AS63" i="13"/>
  <c r="I149" i="13"/>
  <c r="I137" i="13"/>
  <c r="L134" i="13"/>
  <c r="L126" i="13"/>
  <c r="BI29" i="13"/>
  <c r="BR35" i="13"/>
  <c r="K1" i="13"/>
  <c r="C20" i="8"/>
  <c r="W1" i="13"/>
  <c r="C24" i="8"/>
  <c r="AC1" i="13"/>
  <c r="C26" i="8"/>
  <c r="AI1" i="13"/>
  <c r="C28" i="8"/>
  <c r="BT12" i="13"/>
  <c r="BT9" i="13"/>
  <c r="H1" i="13"/>
  <c r="C19" i="8"/>
  <c r="T1" i="13"/>
  <c r="C23" i="8"/>
  <c r="Z1" i="13"/>
  <c r="C25" i="8"/>
  <c r="AF1" i="13"/>
  <c r="C27" i="8"/>
  <c r="Q1" i="13"/>
  <c r="C22" i="8"/>
  <c r="N1" i="13"/>
  <c r="C21" i="8"/>
  <c r="BR15" i="13"/>
  <c r="CF14" i="13" s="1"/>
  <c r="C150" i="13"/>
  <c r="AQ55" i="13"/>
  <c r="C142" i="13"/>
  <c r="C132" i="13"/>
  <c r="C124" i="13"/>
  <c r="CF24" i="13"/>
  <c r="F9" i="5"/>
  <c r="F4" i="5"/>
  <c r="AQ48" i="13"/>
  <c r="BC73" i="13"/>
  <c r="AQ73" i="13"/>
  <c r="AQ41" i="13"/>
  <c r="C123" i="13"/>
  <c r="C148" i="13"/>
  <c r="AQ68" i="13"/>
  <c r="C139" i="13"/>
  <c r="C149" i="13"/>
  <c r="BR26" i="13"/>
  <c r="Q31" i="13"/>
  <c r="G54" i="4" s="1"/>
  <c r="I45" i="8"/>
  <c r="E237" i="13"/>
  <c r="CB28" i="13"/>
  <c r="AW46" i="13"/>
  <c r="AY48" i="13"/>
  <c r="AA153" i="13"/>
  <c r="AG135" i="13"/>
  <c r="BA33" i="13"/>
  <c r="AX33" i="13"/>
  <c r="BB61" i="13"/>
  <c r="AS47" i="13"/>
  <c r="I145" i="13"/>
  <c r="AU52" i="13"/>
  <c r="AY40" i="13"/>
  <c r="AA145" i="13"/>
  <c r="AG127" i="13"/>
  <c r="BA34" i="13"/>
  <c r="I124" i="13"/>
  <c r="AX61" i="13"/>
  <c r="AX34" i="13"/>
  <c r="AD129" i="13"/>
  <c r="AS39" i="13"/>
  <c r="U149" i="13"/>
  <c r="AW38" i="13"/>
  <c r="U133" i="13"/>
  <c r="AY64" i="13"/>
  <c r="AA137" i="13"/>
  <c r="BA61" i="13"/>
  <c r="BC42" i="13"/>
  <c r="O126" i="13"/>
  <c r="BY15" i="13"/>
  <c r="AD145" i="13"/>
  <c r="BC39" i="13"/>
  <c r="AV276" i="13"/>
  <c r="AY276" i="13" s="1"/>
  <c r="AV260" i="13"/>
  <c r="J31" i="13"/>
  <c r="G40" i="4" s="1"/>
  <c r="V31" i="13"/>
  <c r="G44" i="4" s="1"/>
  <c r="I44" i="8"/>
  <c r="E31" i="13"/>
  <c r="G50" i="4" s="1"/>
  <c r="AC31" i="13"/>
  <c r="G58" i="4" s="1"/>
  <c r="AJ144" i="13"/>
  <c r="AJ128" i="13"/>
  <c r="BB53" i="13"/>
  <c r="BB37" i="13"/>
  <c r="BN9" i="13"/>
  <c r="BN5" i="13"/>
  <c r="CY306" i="13"/>
  <c r="AJ114" i="13"/>
  <c r="CY298" i="13"/>
  <c r="CY294" i="13"/>
  <c r="CN296" i="13"/>
  <c r="BB47" i="13"/>
  <c r="BB43" i="13"/>
  <c r="AG317" i="13"/>
  <c r="BB35" i="13"/>
  <c r="BB63" i="13"/>
  <c r="BB59" i="13"/>
  <c r="O333" i="13"/>
  <c r="S333" i="13" s="1"/>
  <c r="BN6" i="13"/>
  <c r="CY307" i="13"/>
  <c r="CY303" i="13"/>
  <c r="CY299" i="13"/>
  <c r="CY295" i="13"/>
  <c r="CN297" i="13"/>
  <c r="AJ138" i="13"/>
  <c r="CW322" i="13"/>
  <c r="AJ130" i="13"/>
  <c r="BB36" i="13"/>
  <c r="BB64" i="13"/>
  <c r="AG338" i="13"/>
  <c r="AJ146" i="13"/>
  <c r="C52" i="8"/>
  <c r="H28" i="8"/>
  <c r="F14" i="5" s="1"/>
  <c r="AC291" i="13"/>
  <c r="AD291" i="13"/>
  <c r="AE291" i="13" s="1"/>
  <c r="AI31" i="13"/>
  <c r="G60" i="4" s="1"/>
  <c r="AH31" i="13"/>
  <c r="G48" i="4" s="1"/>
  <c r="AI12" i="13"/>
  <c r="G24" i="4" s="1"/>
  <c r="BW20" i="13"/>
  <c r="BC13" i="13" s="1"/>
  <c r="F292" i="13"/>
  <c r="BU20" i="13"/>
  <c r="AY13" i="13" s="1"/>
  <c r="F176" i="13"/>
  <c r="BU35" i="13"/>
  <c r="AY28" i="13" s="1"/>
  <c r="E236" i="13"/>
  <c r="BT28" i="13"/>
  <c r="BT34" i="13"/>
  <c r="I43" i="8"/>
  <c r="AW54" i="13"/>
  <c r="AW34" i="13"/>
  <c r="AW42" i="13"/>
  <c r="AW33" i="13"/>
  <c r="U145" i="13"/>
  <c r="U153" i="13"/>
  <c r="U129" i="13"/>
  <c r="BX100" i="13" s="1"/>
  <c r="U137" i="13"/>
  <c r="AY60" i="13"/>
  <c r="AY36" i="13"/>
  <c r="AY44" i="13"/>
  <c r="AA149" i="13"/>
  <c r="AA125" i="13"/>
  <c r="AA133" i="13"/>
  <c r="BA57" i="13"/>
  <c r="BA52" i="13"/>
  <c r="AG131" i="13"/>
  <c r="AG139" i="13"/>
  <c r="BA58" i="13"/>
  <c r="BA42" i="13"/>
  <c r="I123" i="13"/>
  <c r="BC58" i="13"/>
  <c r="L128" i="13"/>
  <c r="L144" i="13"/>
  <c r="O134" i="13"/>
  <c r="AU60" i="13"/>
  <c r="R148" i="13"/>
  <c r="AV63" i="13"/>
  <c r="R137" i="13"/>
  <c r="AX41" i="13"/>
  <c r="AX58" i="13"/>
  <c r="AX42" i="13"/>
  <c r="AD153" i="13"/>
  <c r="AD137" i="13"/>
  <c r="AD148" i="13"/>
  <c r="AZ42" i="13"/>
  <c r="AJ126" i="13"/>
  <c r="AJ153" i="13"/>
  <c r="F300" i="13"/>
  <c r="CB20" i="13"/>
  <c r="BM13" i="13" s="1"/>
  <c r="I49" i="8"/>
  <c r="BK117" i="13"/>
  <c r="C144" i="13"/>
  <c r="C125" i="13"/>
  <c r="BR28" i="13"/>
  <c r="E173" i="13"/>
  <c r="E181" i="13"/>
  <c r="I50" i="8"/>
  <c r="BF29" i="13"/>
  <c r="Z31" i="13"/>
  <c r="G57" i="4" s="1"/>
  <c r="E45" i="8"/>
  <c r="BX28" i="13"/>
  <c r="I47" i="8"/>
  <c r="F308" i="13"/>
  <c r="BT26" i="13"/>
  <c r="AW20" i="13" s="1"/>
  <c r="E174" i="13"/>
  <c r="CF30" i="13"/>
  <c r="CF29" i="13"/>
  <c r="AS74" i="13"/>
  <c r="AS84" i="13" s="1"/>
  <c r="E168" i="13"/>
  <c r="I52" i="8"/>
  <c r="CA20" i="13"/>
  <c r="BK13" i="13" s="1"/>
  <c r="CA26" i="13"/>
  <c r="CA35" i="13"/>
  <c r="BK28" i="13" s="1"/>
  <c r="BY20" i="13"/>
  <c r="BG13" i="13" s="1"/>
  <c r="BY26" i="13"/>
  <c r="X142" i="13"/>
  <c r="AX52" i="13"/>
  <c r="X147" i="13"/>
  <c r="AX57" i="13"/>
  <c r="R123" i="13"/>
  <c r="AV33" i="13"/>
  <c r="F170" i="13"/>
  <c r="Q12" i="13"/>
  <c r="G18" i="4" s="1"/>
  <c r="E234" i="13"/>
  <c r="E238" i="13"/>
  <c r="E242" i="13"/>
  <c r="E303" i="13"/>
  <c r="AZ29" i="13"/>
  <c r="N31" i="13"/>
  <c r="G53" i="4" s="1"/>
  <c r="I144" i="13"/>
  <c r="BC54" i="13"/>
  <c r="AS62" i="13"/>
  <c r="BC62" i="13"/>
  <c r="I128" i="13"/>
  <c r="BC38" i="13"/>
  <c r="AS46" i="13"/>
  <c r="BC46" i="13"/>
  <c r="F238" i="13"/>
  <c r="K31" i="13"/>
  <c r="G52" i="4" s="1"/>
  <c r="F242" i="13"/>
  <c r="AV29" i="13"/>
  <c r="E233" i="13"/>
  <c r="E294" i="13"/>
  <c r="E175" i="13"/>
  <c r="E298" i="13"/>
  <c r="BT35" i="13"/>
  <c r="E245" i="13"/>
  <c r="E183" i="13"/>
  <c r="BL5" i="13"/>
  <c r="CB35" i="13"/>
  <c r="BM28" i="13" s="1"/>
  <c r="BH5" i="13"/>
  <c r="AC12" i="13"/>
  <c r="G22" i="4" s="1"/>
  <c r="E302" i="13"/>
  <c r="BL29" i="13"/>
  <c r="BW26" i="13"/>
  <c r="W11" i="13"/>
  <c r="G32" i="4" s="1"/>
  <c r="BA54" i="13"/>
  <c r="BA62" i="13"/>
  <c r="BA38" i="13"/>
  <c r="BA46" i="13"/>
  <c r="CF34" i="13"/>
  <c r="E179" i="13"/>
  <c r="E171" i="13"/>
  <c r="F180" i="13"/>
  <c r="BC33" i="13"/>
  <c r="I136" i="13"/>
  <c r="AS42" i="13"/>
  <c r="BC34" i="13"/>
  <c r="I152" i="13"/>
  <c r="I148" i="13"/>
  <c r="BU34" i="13"/>
  <c r="AY27" i="13" s="1"/>
  <c r="L123" i="13"/>
  <c r="L132" i="13"/>
  <c r="AT34" i="13"/>
  <c r="AT58" i="13"/>
  <c r="BV28" i="13"/>
  <c r="O138" i="13"/>
  <c r="O130" i="13"/>
  <c r="AU64" i="13"/>
  <c r="AU56" i="13"/>
  <c r="T31" i="13"/>
  <c r="G55" i="4" s="1"/>
  <c r="R144" i="13"/>
  <c r="R152" i="13"/>
  <c r="AV59" i="13"/>
  <c r="R125" i="13"/>
  <c r="R133" i="13"/>
  <c r="AX53" i="13"/>
  <c r="AX37" i="13"/>
  <c r="AX45" i="13"/>
  <c r="Y31" i="13"/>
  <c r="G45" i="4" s="1"/>
  <c r="BY25" i="13"/>
  <c r="BG18" i="13" s="1"/>
  <c r="AX54" i="13"/>
  <c r="AX62" i="13"/>
  <c r="AX38" i="13"/>
  <c r="AX46" i="13"/>
  <c r="BY34" i="13"/>
  <c r="BG27" i="13" s="1"/>
  <c r="AD149" i="13"/>
  <c r="AD125" i="13"/>
  <c r="AD133" i="13"/>
  <c r="AD144" i="13"/>
  <c r="AD152" i="13"/>
  <c r="AZ38" i="13"/>
  <c r="AD136" i="13"/>
  <c r="BB56" i="13"/>
  <c r="BB40" i="13"/>
  <c r="AJ149" i="13"/>
  <c r="AJ133" i="13"/>
  <c r="E180" i="13"/>
  <c r="E299" i="13"/>
  <c r="E176" i="13"/>
  <c r="E172" i="13"/>
  <c r="E292" i="13"/>
  <c r="F174" i="13"/>
  <c r="E170" i="13"/>
  <c r="I51" i="8"/>
  <c r="O133" i="13"/>
  <c r="F235" i="13"/>
  <c r="F182" i="13"/>
  <c r="AW245" i="13"/>
  <c r="E177" i="13"/>
  <c r="E243" i="13"/>
  <c r="E185" i="13"/>
  <c r="M31" i="13"/>
  <c r="G41" i="4" s="1"/>
  <c r="E44" i="8"/>
  <c r="AF12" i="13"/>
  <c r="G23" i="4" s="1"/>
  <c r="AE31" i="13"/>
  <c r="G47" i="4" s="1"/>
  <c r="Z12" i="13"/>
  <c r="G21" i="4" s="1"/>
  <c r="N12" i="13"/>
  <c r="G17" i="4" s="1"/>
  <c r="AC11" i="13"/>
  <c r="G34" i="4" s="1"/>
  <c r="BW28" i="13"/>
  <c r="E231" i="13"/>
  <c r="BC43" i="13"/>
  <c r="BC35" i="13"/>
  <c r="BC63" i="13"/>
  <c r="BC55" i="13"/>
  <c r="AX29" i="13"/>
  <c r="BT15" i="13"/>
  <c r="CH14" i="13" s="1"/>
  <c r="F178" i="13"/>
  <c r="AT47" i="13"/>
  <c r="E178" i="13"/>
  <c r="L145" i="13"/>
  <c r="AU57" i="13"/>
  <c r="L153" i="13"/>
  <c r="AT43" i="13"/>
  <c r="O139" i="13"/>
  <c r="BW34" i="13"/>
  <c r="BC27" i="13" s="1"/>
  <c r="AU61" i="13"/>
  <c r="L149" i="13"/>
  <c r="L125" i="13"/>
  <c r="AT39" i="13"/>
  <c r="F244" i="13"/>
  <c r="CB26" i="13"/>
  <c r="AI11" i="13"/>
  <c r="G36" i="4" s="1"/>
  <c r="E301" i="13"/>
  <c r="F175" i="13"/>
  <c r="E52" i="8"/>
  <c r="CC20" i="13"/>
  <c r="BO13" i="13" s="1"/>
  <c r="BJ29" i="13"/>
  <c r="CA32" i="13"/>
  <c r="BK25" i="13" s="1"/>
  <c r="CA25" i="13"/>
  <c r="BK18" i="13" s="1"/>
  <c r="I48" i="8"/>
  <c r="BG29" i="13"/>
  <c r="BF5" i="13"/>
  <c r="Z11" i="13"/>
  <c r="G33" i="4" s="1"/>
  <c r="AV48" i="13"/>
  <c r="R138" i="13"/>
  <c r="AV40" i="13"/>
  <c r="R130" i="13"/>
  <c r="R146" i="13"/>
  <c r="AV56" i="13"/>
  <c r="BW35" i="13"/>
  <c r="BC28" i="13" s="1"/>
  <c r="BV34" i="13"/>
  <c r="BA27" i="13" s="1"/>
  <c r="BU32" i="13"/>
  <c r="AY25" i="13" s="1"/>
  <c r="I146" i="13"/>
  <c r="BC56" i="13"/>
  <c r="I154" i="13"/>
  <c r="BC64" i="13"/>
  <c r="I130" i="13"/>
  <c r="BC40" i="13"/>
  <c r="I138" i="13"/>
  <c r="BC48" i="13"/>
  <c r="F297" i="13"/>
  <c r="F305" i="13"/>
  <c r="CF19" i="13"/>
  <c r="E169" i="13"/>
  <c r="BT25" i="13"/>
  <c r="E235" i="13"/>
  <c r="E239" i="13"/>
  <c r="E304" i="13"/>
  <c r="BH113" i="13"/>
  <c r="E308" i="13"/>
  <c r="E247" i="13"/>
  <c r="BL7" i="13"/>
  <c r="AV256" i="13"/>
  <c r="AZ256" i="13" s="1"/>
  <c r="O129" i="13"/>
  <c r="AV245" i="13"/>
  <c r="CE245" i="13" s="1"/>
  <c r="BV35" i="13"/>
  <c r="BA28" i="13" s="1"/>
  <c r="F179" i="13"/>
  <c r="F245" i="13"/>
  <c r="E293" i="13"/>
  <c r="E232" i="13"/>
  <c r="CF26" i="13"/>
  <c r="E297" i="13"/>
  <c r="E240" i="13"/>
  <c r="E244" i="13"/>
  <c r="E182" i="13"/>
  <c r="BC74" i="13"/>
  <c r="E291" i="13"/>
  <c r="BT20" i="13"/>
  <c r="E300" i="13"/>
  <c r="E296" i="13"/>
  <c r="AV52" i="13"/>
  <c r="AV41" i="13"/>
  <c r="AV49" i="13"/>
  <c r="X129" i="13"/>
  <c r="X137" i="13"/>
  <c r="BY35" i="13"/>
  <c r="BG28" i="13" s="1"/>
  <c r="AX60" i="13"/>
  <c r="AX36" i="13"/>
  <c r="AX44" i="13"/>
  <c r="AD147" i="13"/>
  <c r="AD142" i="13"/>
  <c r="AD131" i="13"/>
  <c r="AD139" i="13"/>
  <c r="AZ56" i="13"/>
  <c r="AZ64" i="13"/>
  <c r="AD130" i="13"/>
  <c r="AD138" i="13"/>
  <c r="CA28" i="13"/>
  <c r="AJ148" i="13"/>
  <c r="BB34" i="13"/>
  <c r="AJ132" i="13"/>
  <c r="AJ123" i="13"/>
  <c r="BB57" i="13"/>
  <c r="BB52" i="13"/>
  <c r="BB41" i="13"/>
  <c r="BB49" i="13"/>
  <c r="AF31" i="13"/>
  <c r="G59" i="4" s="1"/>
  <c r="R154" i="13"/>
  <c r="AV241" i="13"/>
  <c r="BZ20" i="13"/>
  <c r="BI13" i="13" s="1"/>
  <c r="BZ25" i="13"/>
  <c r="BI18" i="13" s="1"/>
  <c r="T11" i="13"/>
  <c r="G31" i="4" s="1"/>
  <c r="AV270" i="13"/>
  <c r="AV274" i="13"/>
  <c r="AV278" i="13"/>
  <c r="AZ278" i="13" s="1"/>
  <c r="AV269" i="13"/>
  <c r="AV266" i="13"/>
  <c r="BU23" i="13"/>
  <c r="AY16" i="13" s="1"/>
  <c r="AV234" i="13"/>
  <c r="E241" i="13"/>
  <c r="CF27" i="13"/>
  <c r="CF28" i="13"/>
  <c r="H42" i="8"/>
  <c r="CF33" i="13"/>
  <c r="CF25" i="13"/>
  <c r="BI113" i="13"/>
  <c r="I84" i="13"/>
  <c r="Q230" i="13"/>
  <c r="BS20" i="13"/>
  <c r="BC70" i="13"/>
  <c r="O143" i="13"/>
  <c r="BV99" i="13" s="1"/>
  <c r="BF76" i="13"/>
  <c r="AV287" i="13"/>
  <c r="AW289" i="13" s="1"/>
  <c r="AV226" i="13"/>
  <c r="AW228" i="13" s="1"/>
  <c r="CM164" i="13"/>
  <c r="CN166" i="13" s="1"/>
  <c r="CM226" i="13"/>
  <c r="CN228" i="13" s="1"/>
  <c r="E226" i="13"/>
  <c r="F228" i="13" s="1"/>
  <c r="AV164" i="13"/>
  <c r="AW166" i="13" s="1"/>
  <c r="E164" i="13"/>
  <c r="F166" i="13" s="1"/>
  <c r="C133" i="13"/>
  <c r="T165" i="13"/>
  <c r="U166" i="13" s="1"/>
  <c r="BW23" i="13"/>
  <c r="BC16" i="13" s="1"/>
  <c r="AQ53" i="13"/>
  <c r="G2" i="4"/>
  <c r="AQ47" i="13"/>
  <c r="AQ61" i="13"/>
  <c r="C147" i="13"/>
  <c r="CF20" i="13"/>
  <c r="B1" i="13"/>
  <c r="AQ39" i="13"/>
  <c r="BC69" i="13"/>
  <c r="T227" i="13"/>
  <c r="U228" i="13" s="1"/>
  <c r="BF75" i="13"/>
  <c r="BF73" i="13"/>
  <c r="AC168" i="13"/>
  <c r="AD168" i="13"/>
  <c r="AE168" i="13" s="1"/>
  <c r="C41" i="8"/>
  <c r="BP96" i="13"/>
  <c r="BW32" i="13"/>
  <c r="BC25" i="13" s="1"/>
  <c r="AU55" i="13"/>
  <c r="AV272" i="13"/>
  <c r="O153" i="13"/>
  <c r="AV280" i="13"/>
  <c r="O125" i="13"/>
  <c r="BV100" i="13" s="1"/>
  <c r="AV252" i="13"/>
  <c r="O137" i="13"/>
  <c r="AV264" i="13"/>
  <c r="Q11" i="13"/>
  <c r="G30" i="4" s="1"/>
  <c r="AW231" i="13"/>
  <c r="AW235" i="13"/>
  <c r="AW239" i="13"/>
  <c r="AW243" i="13"/>
  <c r="AW247" i="13"/>
  <c r="AV233" i="13"/>
  <c r="BV23" i="13"/>
  <c r="BA16" i="13" s="1"/>
  <c r="BV26" i="13"/>
  <c r="AV237" i="13"/>
  <c r="AW234" i="13"/>
  <c r="R238" i="13"/>
  <c r="AW238" i="13"/>
  <c r="AW242" i="13"/>
  <c r="AW246" i="13"/>
  <c r="Q170" i="13"/>
  <c r="AV232" i="13"/>
  <c r="Q297" i="13"/>
  <c r="AV236" i="13"/>
  <c r="Q301" i="13"/>
  <c r="AV240" i="13"/>
  <c r="Q182" i="13"/>
  <c r="AV244" i="13"/>
  <c r="CE244" i="13" s="1"/>
  <c r="CM246" i="13"/>
  <c r="CM242" i="13"/>
  <c r="DV242" i="13" s="1"/>
  <c r="BX32" i="13"/>
  <c r="BE25" i="13" s="1"/>
  <c r="AL12" i="13"/>
  <c r="G25" i="4" s="1"/>
  <c r="BY23" i="13"/>
  <c r="BG16" i="13" s="1"/>
  <c r="AV271" i="13"/>
  <c r="AV275" i="13"/>
  <c r="AV279" i="13"/>
  <c r="AV251" i="13"/>
  <c r="AV255" i="13"/>
  <c r="AV259" i="13"/>
  <c r="AV263" i="13"/>
  <c r="AV250" i="13"/>
  <c r="CM247" i="13"/>
  <c r="CM243" i="13"/>
  <c r="CM239" i="13"/>
  <c r="CM235" i="13"/>
  <c r="DV235" i="13" s="1"/>
  <c r="CM231" i="13"/>
  <c r="CN245" i="13"/>
  <c r="CN241" i="13"/>
  <c r="CN237" i="13"/>
  <c r="CN233" i="13"/>
  <c r="CM266" i="13"/>
  <c r="CM262" i="13"/>
  <c r="CM258" i="13"/>
  <c r="CM254" i="13"/>
  <c r="CM269" i="13"/>
  <c r="CM278" i="13"/>
  <c r="CM274" i="13"/>
  <c r="CM270" i="13"/>
  <c r="CM238" i="13"/>
  <c r="CM234" i="13"/>
  <c r="CN244" i="13"/>
  <c r="CN240" i="13"/>
  <c r="CN236" i="13"/>
  <c r="CN232" i="13"/>
  <c r="CM265" i="13"/>
  <c r="CM261" i="13"/>
  <c r="CM257" i="13"/>
  <c r="CM253" i="13"/>
  <c r="CM281" i="13"/>
  <c r="CM277" i="13"/>
  <c r="CM273" i="13"/>
  <c r="AU37" i="13"/>
  <c r="AV254" i="13"/>
  <c r="AU41" i="13"/>
  <c r="AV258" i="13"/>
  <c r="AU45" i="13"/>
  <c r="AV262" i="13"/>
  <c r="AW233" i="13"/>
  <c r="AW237" i="13"/>
  <c r="AW241" i="13"/>
  <c r="Q231" i="13"/>
  <c r="AV231" i="13"/>
  <c r="BV25" i="13"/>
  <c r="BA18" i="13" s="1"/>
  <c r="AV235" i="13"/>
  <c r="CE235" i="13" s="1"/>
  <c r="Q239" i="13"/>
  <c r="AV239" i="13"/>
  <c r="Q181" i="13"/>
  <c r="AV243" i="13"/>
  <c r="AV247" i="13"/>
  <c r="BT32" i="13"/>
  <c r="AW232" i="13"/>
  <c r="AW236" i="13"/>
  <c r="AW240" i="13"/>
  <c r="AW244" i="13"/>
  <c r="AV238" i="13"/>
  <c r="Q242" i="13"/>
  <c r="AV242" i="13"/>
  <c r="CE242" i="13" s="1"/>
  <c r="BV32" i="13"/>
  <c r="BA25" i="13" s="1"/>
  <c r="AV246" i="13"/>
  <c r="BT23" i="13"/>
  <c r="CM233" i="13"/>
  <c r="BX23" i="13"/>
  <c r="BE16" i="13" s="1"/>
  <c r="BX34" i="13"/>
  <c r="BE27" i="13" s="1"/>
  <c r="CM244" i="13"/>
  <c r="DV244" i="13" s="1"/>
  <c r="CN246" i="13"/>
  <c r="U152" i="13"/>
  <c r="CM279" i="13"/>
  <c r="U148" i="13"/>
  <c r="CM275" i="13"/>
  <c r="BR32" i="13"/>
  <c r="CF31" i="13"/>
  <c r="BR23" i="13"/>
  <c r="CF23" i="13"/>
  <c r="CF22" i="13"/>
  <c r="CA23" i="13"/>
  <c r="BK16" i="13" s="1"/>
  <c r="AV273" i="13"/>
  <c r="AV277" i="13"/>
  <c r="AV281" i="13"/>
  <c r="AV253" i="13"/>
  <c r="AV257" i="13"/>
  <c r="AV261" i="13"/>
  <c r="AV265" i="13"/>
  <c r="CM245" i="13"/>
  <c r="DV245" i="13" s="1"/>
  <c r="CM241" i="13"/>
  <c r="CM237" i="13"/>
  <c r="CN247" i="13"/>
  <c r="CN243" i="13"/>
  <c r="CN239" i="13"/>
  <c r="CN235" i="13"/>
  <c r="CN231" i="13"/>
  <c r="CM264" i="13"/>
  <c r="CM260" i="13"/>
  <c r="CM256" i="13"/>
  <c r="CM252" i="13"/>
  <c r="CM280" i="13"/>
  <c r="CM276" i="13"/>
  <c r="CM272" i="13"/>
  <c r="CM240" i="13"/>
  <c r="CM236" i="13"/>
  <c r="CM232" i="13"/>
  <c r="CN242" i="13"/>
  <c r="CN238" i="13"/>
  <c r="CN234" i="13"/>
  <c r="CM250" i="13"/>
  <c r="CM263" i="13"/>
  <c r="CM259" i="13"/>
  <c r="CM255" i="13"/>
  <c r="CM251" i="13"/>
  <c r="CM271" i="13"/>
  <c r="BF219" i="13"/>
  <c r="BJ219" i="13" s="1"/>
  <c r="BF217" i="13"/>
  <c r="BI217" i="13" s="1"/>
  <c r="BF215" i="13"/>
  <c r="BJ215" i="13" s="1"/>
  <c r="BF213" i="13"/>
  <c r="BI213" i="13" s="1"/>
  <c r="BF211" i="13"/>
  <c r="BI211" i="13" s="1"/>
  <c r="BF209" i="13"/>
  <c r="BI209" i="13" s="1"/>
  <c r="BF207" i="13"/>
  <c r="BI207" i="13" s="1"/>
  <c r="BF203" i="13"/>
  <c r="BJ203" i="13" s="1"/>
  <c r="BF201" i="13"/>
  <c r="BJ201" i="13" s="1"/>
  <c r="BF199" i="13"/>
  <c r="BJ199" i="13" s="1"/>
  <c r="BF197" i="13"/>
  <c r="BI197" i="13" s="1"/>
  <c r="BF195" i="13"/>
  <c r="BJ195" i="13" s="1"/>
  <c r="BF193" i="13"/>
  <c r="BI193" i="13" s="1"/>
  <c r="BF191" i="13"/>
  <c r="BJ191" i="13" s="1"/>
  <c r="BF189" i="13"/>
  <c r="BI189" i="13" s="1"/>
  <c r="BU168" i="13"/>
  <c r="BV168" i="13" s="1"/>
  <c r="BZ164" i="13"/>
  <c r="CA166" i="13" s="1"/>
  <c r="BT165" i="13"/>
  <c r="BU166" i="13" s="1"/>
  <c r="AG335" i="13"/>
  <c r="AG331" i="13"/>
  <c r="AG316" i="13"/>
  <c r="AG312" i="13"/>
  <c r="AG342" i="13"/>
  <c r="AG340" i="13"/>
  <c r="AG330" i="13"/>
  <c r="AG324" i="13"/>
  <c r="AG320" i="13"/>
  <c r="O341" i="13"/>
  <c r="O339" i="13"/>
  <c r="O327" i="13"/>
  <c r="S327" i="13" s="1"/>
  <c r="O323" i="13"/>
  <c r="AG276" i="13"/>
  <c r="AG274" i="13"/>
  <c r="AG272" i="13"/>
  <c r="AG270" i="13"/>
  <c r="AG257" i="13"/>
  <c r="AG255" i="13"/>
  <c r="AG253" i="13"/>
  <c r="AG251" i="13"/>
  <c r="AG281" i="13"/>
  <c r="AG279" i="13"/>
  <c r="AG266" i="13"/>
  <c r="AG264" i="13"/>
  <c r="AG262" i="13"/>
  <c r="AG260" i="13"/>
  <c r="O280" i="13"/>
  <c r="R280" i="13" s="1"/>
  <c r="O278" i="13"/>
  <c r="O266" i="13"/>
  <c r="O264" i="13"/>
  <c r="O262" i="13"/>
  <c r="O260" i="13"/>
  <c r="O257" i="13"/>
  <c r="AG215" i="13"/>
  <c r="AG213" i="13"/>
  <c r="AG211" i="13"/>
  <c r="AG209" i="13"/>
  <c r="AG196" i="13"/>
  <c r="AG194" i="13"/>
  <c r="AG192" i="13"/>
  <c r="AG190" i="13"/>
  <c r="AG188" i="13"/>
  <c r="AG218" i="13"/>
  <c r="AG204" i="13"/>
  <c r="AG202" i="13"/>
  <c r="AG200" i="13"/>
  <c r="AG198" i="13"/>
  <c r="O219" i="13"/>
  <c r="O217" i="13"/>
  <c r="O207" i="13"/>
  <c r="O203" i="13"/>
  <c r="O201" i="13"/>
  <c r="O199" i="13"/>
  <c r="O197" i="13"/>
  <c r="BF218" i="13"/>
  <c r="BI218" i="13" s="1"/>
  <c r="BF216" i="13"/>
  <c r="BJ216" i="13" s="1"/>
  <c r="BF214" i="13"/>
  <c r="BJ214" i="13" s="1"/>
  <c r="BF212" i="13"/>
  <c r="BI212" i="13" s="1"/>
  <c r="BF210" i="13"/>
  <c r="BJ210" i="13" s="1"/>
  <c r="BF208" i="13"/>
  <c r="BJ208" i="13" s="1"/>
  <c r="BF204" i="13"/>
  <c r="BI204" i="13" s="1"/>
  <c r="BF202" i="13"/>
  <c r="BJ202" i="13" s="1"/>
  <c r="BF200" i="13"/>
  <c r="BI200" i="13" s="1"/>
  <c r="BF198" i="13"/>
  <c r="BI198" i="13" s="1"/>
  <c r="BF196" i="13"/>
  <c r="BI196" i="13" s="1"/>
  <c r="BF194" i="13"/>
  <c r="BJ194" i="13" s="1"/>
  <c r="BF192" i="13"/>
  <c r="BI192" i="13" s="1"/>
  <c r="BF190" i="13"/>
  <c r="BI190" i="13" s="1"/>
  <c r="BF188" i="13"/>
  <c r="BJ188" i="13" s="1"/>
  <c r="BT168" i="13"/>
  <c r="BW165" i="13"/>
  <c r="BX166" i="13" s="1"/>
  <c r="BQ165" i="13"/>
  <c r="BR166" i="13" s="1"/>
  <c r="BK165" i="13"/>
  <c r="BL166" i="13" s="1"/>
  <c r="BE165" i="13"/>
  <c r="BF166" i="13" s="1"/>
  <c r="AY165" i="13"/>
  <c r="AZ166" i="13" s="1"/>
  <c r="AG336" i="13"/>
  <c r="AG334" i="13"/>
  <c r="AG332" i="13"/>
  <c r="AG319" i="13"/>
  <c r="AG315" i="13"/>
  <c r="AG311" i="13"/>
  <c r="AG341" i="13"/>
  <c r="AG339" i="13"/>
  <c r="AG327" i="13"/>
  <c r="AG323" i="13"/>
  <c r="AG321" i="13"/>
  <c r="O342" i="13"/>
  <c r="O340" i="13"/>
  <c r="O330" i="13"/>
  <c r="R330" i="13" s="1"/>
  <c r="O324" i="13"/>
  <c r="O322" i="13"/>
  <c r="O320" i="13"/>
  <c r="AG277" i="13"/>
  <c r="AG275" i="13"/>
  <c r="AG273" i="13"/>
  <c r="AG271" i="13"/>
  <c r="AG258" i="13"/>
  <c r="AG256" i="13"/>
  <c r="AG254" i="13"/>
  <c r="AG252" i="13"/>
  <c r="AG250" i="13"/>
  <c r="AG280" i="13"/>
  <c r="AG278" i="13"/>
  <c r="AG269" i="13"/>
  <c r="AG265" i="13"/>
  <c r="AG263" i="13"/>
  <c r="AG261" i="13"/>
  <c r="AG259" i="13"/>
  <c r="O281" i="13"/>
  <c r="O279" i="13"/>
  <c r="O269" i="13"/>
  <c r="O265" i="13"/>
  <c r="O263" i="13"/>
  <c r="O261" i="13"/>
  <c r="O259" i="13"/>
  <c r="AG214" i="13"/>
  <c r="AG212" i="13"/>
  <c r="AG210" i="13"/>
  <c r="AG208" i="13"/>
  <c r="AG195" i="13"/>
  <c r="AG193" i="13"/>
  <c r="AG191" i="13"/>
  <c r="AG189" i="13"/>
  <c r="AG219" i="13"/>
  <c r="AG217" i="13"/>
  <c r="AG207" i="13"/>
  <c r="AG203" i="13"/>
  <c r="AG201" i="13"/>
  <c r="AG199" i="13"/>
  <c r="AG197" i="13"/>
  <c r="O218" i="13"/>
  <c r="O216" i="13"/>
  <c r="O204" i="13"/>
  <c r="O202" i="13"/>
  <c r="O200" i="13"/>
  <c r="O198" i="13"/>
  <c r="O195" i="13"/>
  <c r="C44" i="8"/>
  <c r="DQ164" i="13"/>
  <c r="DR166" i="13" s="1"/>
  <c r="CJ285" i="13"/>
  <c r="AS285" i="13"/>
  <c r="CI19" i="13"/>
  <c r="AT7" i="13"/>
  <c r="CH20" i="13"/>
  <c r="AT9" i="13"/>
  <c r="O251" i="13"/>
  <c r="O253" i="13"/>
  <c r="O193" i="13"/>
  <c r="O312" i="13"/>
  <c r="O316" i="13"/>
  <c r="C43" i="8"/>
  <c r="BT230" i="13"/>
  <c r="BW227" i="13"/>
  <c r="BX228" i="13" s="1"/>
  <c r="BQ227" i="13"/>
  <c r="BR228" i="13" s="1"/>
  <c r="BK227" i="13"/>
  <c r="BL228" i="13" s="1"/>
  <c r="CW188" i="13"/>
  <c r="CW218" i="13"/>
  <c r="CW216" i="13"/>
  <c r="CW214" i="13"/>
  <c r="CW212" i="13"/>
  <c r="CW210" i="13"/>
  <c r="CW208" i="13"/>
  <c r="CW204" i="13"/>
  <c r="CW202" i="13"/>
  <c r="CW200" i="13"/>
  <c r="CW198" i="13"/>
  <c r="CW196" i="13"/>
  <c r="CW194" i="13"/>
  <c r="CW192" i="13"/>
  <c r="CW190" i="13"/>
  <c r="CM188" i="13"/>
  <c r="CM218" i="13"/>
  <c r="CM216" i="13"/>
  <c r="CM214" i="13"/>
  <c r="CM212" i="13"/>
  <c r="CM210" i="13"/>
  <c r="CM208" i="13"/>
  <c r="CM204" i="13"/>
  <c r="CM202" i="13"/>
  <c r="CM200" i="13"/>
  <c r="CM198" i="13"/>
  <c r="CM196" i="13"/>
  <c r="AW230" i="13"/>
  <c r="AV230" i="13"/>
  <c r="BU230" i="13"/>
  <c r="BV230" i="13" s="1"/>
  <c r="BZ226" i="13"/>
  <c r="CA228" i="13" s="1"/>
  <c r="BT227" i="13"/>
  <c r="BU228" i="13" s="1"/>
  <c r="BN227" i="13"/>
  <c r="BO228" i="13" s="1"/>
  <c r="CW219" i="13"/>
  <c r="CW217" i="13"/>
  <c r="CW215" i="13"/>
  <c r="CW213" i="13"/>
  <c r="CW211" i="13"/>
  <c r="CW209" i="13"/>
  <c r="CW207" i="13"/>
  <c r="CW203" i="13"/>
  <c r="CW201" i="13"/>
  <c r="CW199" i="13"/>
  <c r="CW197" i="13"/>
  <c r="CW195" i="13"/>
  <c r="CW193" i="13"/>
  <c r="CW191" i="13"/>
  <c r="CW189" i="13"/>
  <c r="CM219" i="13"/>
  <c r="CM217" i="13"/>
  <c r="CM215" i="13"/>
  <c r="CM213" i="13"/>
  <c r="CM211" i="13"/>
  <c r="CM209" i="13"/>
  <c r="CM207" i="13"/>
  <c r="CM203" i="13"/>
  <c r="CM201" i="13"/>
  <c r="CM199" i="13"/>
  <c r="CM197" i="13"/>
  <c r="CM195" i="13"/>
  <c r="CM193" i="13"/>
  <c r="CM191" i="13"/>
  <c r="CM189" i="13"/>
  <c r="CY168" i="13"/>
  <c r="CZ182" i="13"/>
  <c r="CZ180" i="13"/>
  <c r="CZ178" i="13"/>
  <c r="CZ176" i="13"/>
  <c r="CZ174" i="13"/>
  <c r="CZ172" i="13"/>
  <c r="CZ170" i="13"/>
  <c r="CY185" i="13"/>
  <c r="CY183" i="13"/>
  <c r="CY181" i="13"/>
  <c r="CY179" i="13"/>
  <c r="CY177" i="13"/>
  <c r="CY175" i="13"/>
  <c r="CY173" i="13"/>
  <c r="CY171" i="13"/>
  <c r="CY169" i="13"/>
  <c r="CN185" i="13"/>
  <c r="CN182" i="13"/>
  <c r="CN180" i="13"/>
  <c r="CN178" i="13"/>
  <c r="CN176" i="13"/>
  <c r="CN174" i="13"/>
  <c r="CN172" i="13"/>
  <c r="CN170" i="13"/>
  <c r="CM168" i="13"/>
  <c r="CM183" i="13"/>
  <c r="CM181" i="13"/>
  <c r="CM179" i="13"/>
  <c r="CM177" i="13"/>
  <c r="CM175" i="13"/>
  <c r="CM173" i="13"/>
  <c r="CM171" i="13"/>
  <c r="CM169" i="13"/>
  <c r="DK168" i="13"/>
  <c r="DN165" i="13"/>
  <c r="DO166" i="13" s="1"/>
  <c r="DH165" i="13"/>
  <c r="DI166" i="13" s="1"/>
  <c r="DB165" i="13"/>
  <c r="DC166" i="13" s="1"/>
  <c r="CM194" i="13"/>
  <c r="CM192" i="13"/>
  <c r="CM190" i="13"/>
  <c r="CZ168" i="13"/>
  <c r="CZ185" i="13"/>
  <c r="DA185" i="13" s="1"/>
  <c r="CZ183" i="13"/>
  <c r="CZ181" i="13"/>
  <c r="DA181" i="13" s="1"/>
  <c r="CZ179" i="13"/>
  <c r="CZ177" i="13"/>
  <c r="CZ175" i="13"/>
  <c r="CZ173" i="13"/>
  <c r="CZ171" i="13"/>
  <c r="CZ169" i="13"/>
  <c r="CY182" i="13"/>
  <c r="CY180" i="13"/>
  <c r="CY178" i="13"/>
  <c r="CY176" i="13"/>
  <c r="CY174" i="13"/>
  <c r="CY172" i="13"/>
  <c r="CY170" i="13"/>
  <c r="CN168" i="13"/>
  <c r="CN183" i="13"/>
  <c r="CN181" i="13"/>
  <c r="CN179" i="13"/>
  <c r="CN177" i="13"/>
  <c r="CN175" i="13"/>
  <c r="CN173" i="13"/>
  <c r="CN171" i="13"/>
  <c r="CN169" i="13"/>
  <c r="CM185" i="13"/>
  <c r="CM182" i="13"/>
  <c r="CM180" i="13"/>
  <c r="CM178" i="13"/>
  <c r="CM176" i="13"/>
  <c r="CM174" i="13"/>
  <c r="CM172" i="13"/>
  <c r="CM170" i="13"/>
  <c r="DL168" i="13"/>
  <c r="DM168" i="13" s="1"/>
  <c r="DK165" i="13"/>
  <c r="DL166" i="13" s="1"/>
  <c r="DE165" i="13"/>
  <c r="DF166" i="13" s="1"/>
  <c r="CY165" i="13"/>
  <c r="CZ166" i="13" s="1"/>
  <c r="BF342" i="13"/>
  <c r="BF340" i="13"/>
  <c r="BF338" i="13"/>
  <c r="BF336" i="13"/>
  <c r="BF334" i="13"/>
  <c r="BF332" i="13"/>
  <c r="BF330" i="13"/>
  <c r="BF326" i="13"/>
  <c r="BF324" i="13"/>
  <c r="BF322" i="13"/>
  <c r="BF320" i="13"/>
  <c r="BF318" i="13"/>
  <c r="BF316" i="13"/>
  <c r="BF314" i="13"/>
  <c r="BF312" i="13"/>
  <c r="AV342" i="13"/>
  <c r="AV340" i="13"/>
  <c r="AV338" i="13"/>
  <c r="AV336" i="13"/>
  <c r="AV334" i="13"/>
  <c r="AV332" i="13"/>
  <c r="AV330" i="13"/>
  <c r="AV326" i="13"/>
  <c r="AV324" i="13"/>
  <c r="AV322" i="13"/>
  <c r="AV320" i="13"/>
  <c r="AV318" i="13"/>
  <c r="AV316" i="13"/>
  <c r="AV314" i="13"/>
  <c r="AV312" i="13"/>
  <c r="BI308" i="13"/>
  <c r="BJ308" i="13" s="1"/>
  <c r="BI306" i="13"/>
  <c r="BI304" i="13"/>
  <c r="BJ304" i="13" s="1"/>
  <c r="BI302" i="13"/>
  <c r="BI300" i="13"/>
  <c r="BI298" i="13"/>
  <c r="BI296" i="13"/>
  <c r="BI294" i="13"/>
  <c r="BI292" i="13"/>
  <c r="BH308" i="13"/>
  <c r="BH306" i="13"/>
  <c r="BH304" i="13"/>
  <c r="BH302" i="13"/>
  <c r="BH300" i="13"/>
  <c r="BH298" i="13"/>
  <c r="BH296" i="13"/>
  <c r="BH294" i="13"/>
  <c r="BH292" i="13"/>
  <c r="AW308" i="13"/>
  <c r="AW305" i="13"/>
  <c r="AW303" i="13"/>
  <c r="AW301" i="13"/>
  <c r="AW299" i="13"/>
  <c r="AW297" i="13"/>
  <c r="AW295" i="13"/>
  <c r="AW293" i="13"/>
  <c r="AW291" i="13"/>
  <c r="AV306" i="13"/>
  <c r="AV304" i="13"/>
  <c r="AV302" i="13"/>
  <c r="AV300" i="13"/>
  <c r="AV298" i="13"/>
  <c r="AV296" i="13"/>
  <c r="AV294" i="13"/>
  <c r="AV292" i="13"/>
  <c r="BU291" i="13"/>
  <c r="BV291" i="13" s="1"/>
  <c r="BZ287" i="13"/>
  <c r="CA289" i="13" s="1"/>
  <c r="CN230" i="13"/>
  <c r="DL230" i="13"/>
  <c r="DM230" i="13" s="1"/>
  <c r="DQ226" i="13"/>
  <c r="DR228" i="13" s="1"/>
  <c r="DK227" i="13"/>
  <c r="DL228" i="13" s="1"/>
  <c r="DE227" i="13"/>
  <c r="DF228" i="13" s="1"/>
  <c r="BF341" i="13"/>
  <c r="BF339" i="13"/>
  <c r="BF337" i="13"/>
  <c r="BF335" i="13"/>
  <c r="BF333" i="13"/>
  <c r="BF331" i="13"/>
  <c r="BF327" i="13"/>
  <c r="BF325" i="13"/>
  <c r="BF323" i="13"/>
  <c r="BF321" i="13"/>
  <c r="BF319" i="13"/>
  <c r="BF317" i="13"/>
  <c r="BF315" i="13"/>
  <c r="BF313" i="13"/>
  <c r="AV341" i="13"/>
  <c r="AV339" i="13"/>
  <c r="AV337" i="13"/>
  <c r="AV335" i="13"/>
  <c r="AV333" i="13"/>
  <c r="AV331" i="13"/>
  <c r="AV327" i="13"/>
  <c r="AV325" i="13"/>
  <c r="AV323" i="13"/>
  <c r="AV321" i="13"/>
  <c r="AV319" i="13"/>
  <c r="AV317" i="13"/>
  <c r="AV315" i="13"/>
  <c r="AV313" i="13"/>
  <c r="AV311" i="13"/>
  <c r="BI303" i="13"/>
  <c r="BI301" i="13"/>
  <c r="BI299" i="13"/>
  <c r="BI297" i="13"/>
  <c r="BI295" i="13"/>
  <c r="BI293" i="13"/>
  <c r="BI291" i="13"/>
  <c r="BH305" i="13"/>
  <c r="BH303" i="13"/>
  <c r="BH301" i="13"/>
  <c r="BH299" i="13"/>
  <c r="BH297" i="13"/>
  <c r="BH295" i="13"/>
  <c r="BH293" i="13"/>
  <c r="BH291" i="13"/>
  <c r="AW306" i="13"/>
  <c r="AW304" i="13"/>
  <c r="AW302" i="13"/>
  <c r="AW300" i="13"/>
  <c r="AW298" i="13"/>
  <c r="AW296" i="13"/>
  <c r="AW294" i="13"/>
  <c r="AW292" i="13"/>
  <c r="AV308" i="13"/>
  <c r="AV305" i="13"/>
  <c r="AV303" i="13"/>
  <c r="AV301" i="13"/>
  <c r="AV299" i="13"/>
  <c r="AV297" i="13"/>
  <c r="AV295" i="13"/>
  <c r="AV293" i="13"/>
  <c r="AV291" i="13"/>
  <c r="BT291" i="13"/>
  <c r="CP227" i="13"/>
  <c r="CQ228" i="13" s="1"/>
  <c r="CM230" i="13"/>
  <c r="DK230" i="13"/>
  <c r="DN227" i="13"/>
  <c r="DO228" i="13" s="1"/>
  <c r="DH227" i="13"/>
  <c r="DI228" i="13" s="1"/>
  <c r="DB227" i="13"/>
  <c r="DC228" i="13" s="1"/>
  <c r="CV227" i="13"/>
  <c r="CW228" i="13" s="1"/>
  <c r="CW341" i="13"/>
  <c r="CW339" i="13"/>
  <c r="CW337" i="13"/>
  <c r="CW335" i="13"/>
  <c r="CW333" i="13"/>
  <c r="CW331" i="13"/>
  <c r="CW327" i="13"/>
  <c r="CW323" i="13"/>
  <c r="CW319" i="13"/>
  <c r="CW317" i="13"/>
  <c r="CW315" i="13"/>
  <c r="CW311" i="13"/>
  <c r="CM341" i="13"/>
  <c r="CM339" i="13"/>
  <c r="CM337" i="13"/>
  <c r="CM335" i="13"/>
  <c r="CM333" i="13"/>
  <c r="CM331" i="13"/>
  <c r="CM327" i="13"/>
  <c r="CM325" i="13"/>
  <c r="CM323" i="13"/>
  <c r="CM321" i="13"/>
  <c r="CM319" i="13"/>
  <c r="CM317" i="13"/>
  <c r="CM315" i="13"/>
  <c r="CM313" i="13"/>
  <c r="CM311" i="13"/>
  <c r="DK291" i="13"/>
  <c r="DH288" i="13"/>
  <c r="DI289" i="13" s="1"/>
  <c r="DB288" i="13"/>
  <c r="DC289" i="13" s="1"/>
  <c r="CV288" i="13"/>
  <c r="CW289" i="13" s="1"/>
  <c r="CP288" i="13"/>
  <c r="CQ289" i="13" s="1"/>
  <c r="CW340" i="13"/>
  <c r="CW336" i="13"/>
  <c r="CW334" i="13"/>
  <c r="CW332" i="13"/>
  <c r="CW330" i="13"/>
  <c r="CW324" i="13"/>
  <c r="CW320" i="13"/>
  <c r="CW318" i="13"/>
  <c r="CW316" i="13"/>
  <c r="CW314" i="13"/>
  <c r="CW312" i="13"/>
  <c r="CM342" i="13"/>
  <c r="CM340" i="13"/>
  <c r="CM338" i="13"/>
  <c r="CM336" i="13"/>
  <c r="CM334" i="13"/>
  <c r="CM332" i="13"/>
  <c r="CM330" i="13"/>
  <c r="CM326" i="13"/>
  <c r="CM324" i="13"/>
  <c r="CM322" i="13"/>
  <c r="CM320" i="13"/>
  <c r="CM318" i="13"/>
  <c r="CM316" i="13"/>
  <c r="CM314" i="13"/>
  <c r="CM312" i="13"/>
  <c r="DL291" i="13"/>
  <c r="DM291" i="13" s="1"/>
  <c r="DQ287" i="13"/>
  <c r="DR289" i="13" s="1"/>
  <c r="DK288" i="13"/>
  <c r="DL289" i="13" s="1"/>
  <c r="DE288" i="13"/>
  <c r="DF289" i="13" s="1"/>
  <c r="CY288" i="13"/>
  <c r="CZ289" i="13" s="1"/>
  <c r="CS288" i="13"/>
  <c r="CT289" i="13" s="1"/>
  <c r="AT8" i="13"/>
  <c r="CH21" i="13"/>
  <c r="O189" i="13"/>
  <c r="O191" i="13"/>
  <c r="O255" i="13"/>
  <c r="I56" i="5"/>
  <c r="O256" i="13"/>
  <c r="O194" i="13"/>
  <c r="O192" i="13"/>
  <c r="O315" i="13"/>
  <c r="O254" i="13"/>
  <c r="AQ71" i="13"/>
  <c r="BC71" i="13"/>
  <c r="O252" i="13"/>
  <c r="O190" i="13"/>
  <c r="O188" i="13"/>
  <c r="O311" i="13"/>
  <c r="O250" i="13"/>
  <c r="BC67" i="13"/>
  <c r="F84" i="13"/>
  <c r="BE33" i="13"/>
  <c r="AR33" i="13"/>
  <c r="AV188" i="13"/>
  <c r="E311" i="13"/>
  <c r="W311" i="13"/>
  <c r="AU29" i="13"/>
  <c r="AT29" i="13"/>
  <c r="BS34" i="13"/>
  <c r="AU27" i="13" s="1"/>
  <c r="CH33" i="13"/>
  <c r="AV182" i="13"/>
  <c r="CH31" i="13"/>
  <c r="BS32" i="13"/>
  <c r="AU25" i="13" s="1"/>
  <c r="AV180" i="13"/>
  <c r="AV178" i="13"/>
  <c r="H31" i="13"/>
  <c r="G51" i="4" s="1"/>
  <c r="AW176" i="13"/>
  <c r="AV175" i="13"/>
  <c r="AV169" i="13"/>
  <c r="AT10" i="13"/>
  <c r="AR36" i="13"/>
  <c r="BE36" i="13"/>
  <c r="AV191" i="13"/>
  <c r="W314" i="13"/>
  <c r="E314" i="13"/>
  <c r="AR46" i="13"/>
  <c r="BE46" i="13"/>
  <c r="AV201" i="13"/>
  <c r="AR62" i="13"/>
  <c r="BE62" i="13"/>
  <c r="AV217" i="13"/>
  <c r="E340" i="13"/>
  <c r="W340" i="13"/>
  <c r="BE37" i="13"/>
  <c r="AR37" i="13"/>
  <c r="AV192" i="13"/>
  <c r="E315" i="13"/>
  <c r="W315" i="13"/>
  <c r="BE40" i="13"/>
  <c r="AR40" i="13"/>
  <c r="AV195" i="13"/>
  <c r="W318" i="13"/>
  <c r="E318" i="13"/>
  <c r="BE42" i="13"/>
  <c r="AR42" i="13"/>
  <c r="AV197" i="13"/>
  <c r="W320" i="13"/>
  <c r="E320" i="13"/>
  <c r="BE44" i="13"/>
  <c r="AR44" i="13"/>
  <c r="AV199" i="13"/>
  <c r="W322" i="13"/>
  <c r="E322" i="13"/>
  <c r="BE47" i="13"/>
  <c r="AR47" i="13"/>
  <c r="AV202" i="13"/>
  <c r="W325" i="13"/>
  <c r="E325" i="13"/>
  <c r="BE49" i="13"/>
  <c r="BF49" i="13" s="1"/>
  <c r="AR49" i="13"/>
  <c r="AV204" i="13"/>
  <c r="W327" i="13"/>
  <c r="E327" i="13"/>
  <c r="BE53" i="13"/>
  <c r="AR53" i="13"/>
  <c r="AV208" i="13"/>
  <c r="W331" i="13"/>
  <c r="E331" i="13"/>
  <c r="BE55" i="13"/>
  <c r="AR55" i="13"/>
  <c r="AV210" i="13"/>
  <c r="W333" i="13"/>
  <c r="E333" i="13"/>
  <c r="BE58" i="13"/>
  <c r="AR58" i="13"/>
  <c r="AV213" i="13"/>
  <c r="E336" i="13"/>
  <c r="W336" i="13"/>
  <c r="BE60" i="13"/>
  <c r="AR60" i="13"/>
  <c r="AV215" i="13"/>
  <c r="W338" i="13"/>
  <c r="E338" i="13"/>
  <c r="BE63" i="13"/>
  <c r="AR63" i="13"/>
  <c r="AV218" i="13"/>
  <c r="W341" i="13"/>
  <c r="E341" i="13"/>
  <c r="AV185" i="13"/>
  <c r="AW183" i="13"/>
  <c r="AV181" i="13"/>
  <c r="AV179" i="13"/>
  <c r="AV177" i="13"/>
  <c r="CH28" i="13"/>
  <c r="BS28" i="13"/>
  <c r="AU21" i="13" s="1"/>
  <c r="CH30" i="13"/>
  <c r="CH29" i="13"/>
  <c r="CH27" i="13"/>
  <c r="AV176" i="13"/>
  <c r="G31" i="13"/>
  <c r="G39" i="4" s="1"/>
  <c r="AW175" i="13"/>
  <c r="AW172" i="13"/>
  <c r="AW170" i="13"/>
  <c r="BE74" i="13"/>
  <c r="AR74" i="13"/>
  <c r="AR84" i="13" s="1"/>
  <c r="AV168" i="13"/>
  <c r="AT5" i="13"/>
  <c r="BB165" i="13" s="1"/>
  <c r="BC166" i="13" s="1"/>
  <c r="BS15" i="13"/>
  <c r="BE34" i="13"/>
  <c r="AV189" i="13"/>
  <c r="AR34" i="13"/>
  <c r="W312" i="13"/>
  <c r="E312" i="13"/>
  <c r="BS35" i="13"/>
  <c r="AU28" i="13" s="1"/>
  <c r="AV183" i="13"/>
  <c r="CH34" i="13"/>
  <c r="AW181" i="13"/>
  <c r="AW179" i="13"/>
  <c r="BS26" i="13"/>
  <c r="AU19" i="13" s="1"/>
  <c r="CH26" i="13"/>
  <c r="CH25" i="13"/>
  <c r="AV174" i="13"/>
  <c r="AV172" i="13"/>
  <c r="AV170" i="13"/>
  <c r="AR38" i="13"/>
  <c r="BE38" i="13"/>
  <c r="AV193" i="13"/>
  <c r="W316" i="13"/>
  <c r="E316" i="13"/>
  <c r="AR57" i="13"/>
  <c r="BE57" i="13"/>
  <c r="AV212" i="13"/>
  <c r="W335" i="13"/>
  <c r="E335" i="13"/>
  <c r="AR64" i="13"/>
  <c r="BE64" i="13"/>
  <c r="AV219" i="13"/>
  <c r="E342" i="13"/>
  <c r="W342" i="13"/>
  <c r="BE35" i="13"/>
  <c r="AR35" i="13"/>
  <c r="AV190" i="13"/>
  <c r="W313" i="13"/>
  <c r="E313" i="13"/>
  <c r="BE39" i="13"/>
  <c r="AR39" i="13"/>
  <c r="AV194" i="13"/>
  <c r="W317" i="13"/>
  <c r="E317" i="13"/>
  <c r="BE41" i="13"/>
  <c r="AR41" i="13"/>
  <c r="AV196" i="13"/>
  <c r="E319" i="13"/>
  <c r="W319" i="13"/>
  <c r="BE43" i="13"/>
  <c r="AR43" i="13"/>
  <c r="AV198" i="13"/>
  <c r="W321" i="13"/>
  <c r="E321" i="13"/>
  <c r="BE45" i="13"/>
  <c r="AR45" i="13"/>
  <c r="AV200" i="13"/>
  <c r="W323" i="13"/>
  <c r="E323" i="13"/>
  <c r="BE48" i="13"/>
  <c r="AR48" i="13"/>
  <c r="AV203" i="13"/>
  <c r="E326" i="13"/>
  <c r="W326" i="13"/>
  <c r="BE52" i="13"/>
  <c r="AR52" i="13"/>
  <c r="AV207" i="13"/>
  <c r="E330" i="13"/>
  <c r="W330" i="13"/>
  <c r="BE54" i="13"/>
  <c r="AR54" i="13"/>
  <c r="AV209" i="13"/>
  <c r="E332" i="13"/>
  <c r="W332" i="13"/>
  <c r="BE56" i="13"/>
  <c r="AR56" i="13"/>
  <c r="AV211" i="13"/>
  <c r="W334" i="13"/>
  <c r="E334" i="13"/>
  <c r="BE59" i="13"/>
  <c r="AR59" i="13"/>
  <c r="AV214" i="13"/>
  <c r="W337" i="13"/>
  <c r="E337" i="13"/>
  <c r="BE61" i="13"/>
  <c r="AR61" i="13"/>
  <c r="AV216" i="13"/>
  <c r="W339" i="13"/>
  <c r="E339" i="13"/>
  <c r="AW180" i="13"/>
  <c r="CH24" i="13"/>
  <c r="AV173" i="13"/>
  <c r="BS25" i="13"/>
  <c r="AU18" i="13" s="1"/>
  <c r="CH22" i="13"/>
  <c r="BS23" i="13"/>
  <c r="AU16" i="13" s="1"/>
  <c r="AV171" i="13"/>
  <c r="CH23" i="13"/>
  <c r="H11" i="13"/>
  <c r="G27" i="4" s="1"/>
  <c r="CG19" i="13"/>
  <c r="CH96" i="13"/>
  <c r="CP96" i="13" s="1"/>
  <c r="CH95" i="13"/>
  <c r="CP95" i="13" s="1"/>
  <c r="D16" i="5"/>
  <c r="CD95" i="13"/>
  <c r="W324" i="13"/>
  <c r="E324" i="13"/>
  <c r="BU28" i="13"/>
  <c r="E270" i="13"/>
  <c r="W208" i="13"/>
  <c r="W270" i="13"/>
  <c r="E208" i="13"/>
  <c r="E274" i="13"/>
  <c r="W274" i="13"/>
  <c r="E212" i="13"/>
  <c r="E278" i="13"/>
  <c r="W216" i="13"/>
  <c r="W278" i="13"/>
  <c r="E216" i="13"/>
  <c r="W207" i="13"/>
  <c r="E207" i="13"/>
  <c r="W269" i="13"/>
  <c r="E269" i="13"/>
  <c r="E254" i="13"/>
  <c r="W254" i="13"/>
  <c r="W192" i="13"/>
  <c r="E192" i="13"/>
  <c r="E258" i="13"/>
  <c r="W258" i="13"/>
  <c r="W196" i="13"/>
  <c r="E196" i="13"/>
  <c r="E262" i="13"/>
  <c r="W200" i="13"/>
  <c r="W262" i="13"/>
  <c r="E200" i="13"/>
  <c r="I139" i="13"/>
  <c r="E266" i="13"/>
  <c r="W204" i="13"/>
  <c r="W266" i="13"/>
  <c r="E204" i="13"/>
  <c r="E211" i="13"/>
  <c r="W273" i="13"/>
  <c r="E273" i="13"/>
  <c r="W211" i="13"/>
  <c r="W277" i="13"/>
  <c r="E215" i="13"/>
  <c r="E277" i="13"/>
  <c r="W215" i="13"/>
  <c r="W219" i="13"/>
  <c r="E219" i="13"/>
  <c r="W281" i="13"/>
  <c r="E281" i="13"/>
  <c r="E191" i="13"/>
  <c r="W253" i="13"/>
  <c r="E253" i="13"/>
  <c r="W191" i="13"/>
  <c r="E195" i="13"/>
  <c r="W257" i="13"/>
  <c r="E257" i="13"/>
  <c r="W195" i="13"/>
  <c r="W199" i="13"/>
  <c r="E199" i="13"/>
  <c r="W261" i="13"/>
  <c r="E261" i="13"/>
  <c r="W203" i="13"/>
  <c r="E203" i="13"/>
  <c r="W265" i="13"/>
  <c r="E265" i="13"/>
  <c r="W212" i="13"/>
  <c r="W272" i="13"/>
  <c r="E272" i="13"/>
  <c r="W210" i="13"/>
  <c r="E210" i="13"/>
  <c r="W276" i="13"/>
  <c r="E276" i="13"/>
  <c r="W214" i="13"/>
  <c r="E214" i="13"/>
  <c r="E280" i="13"/>
  <c r="W218" i="13"/>
  <c r="W280" i="13"/>
  <c r="E218" i="13"/>
  <c r="W252" i="13"/>
  <c r="E252" i="13"/>
  <c r="W190" i="13"/>
  <c r="E190" i="13"/>
  <c r="E256" i="13"/>
  <c r="W194" i="13"/>
  <c r="W256" i="13"/>
  <c r="E194" i="13"/>
  <c r="E260" i="13"/>
  <c r="W198" i="13"/>
  <c r="W260" i="13"/>
  <c r="E198" i="13"/>
  <c r="E264" i="13"/>
  <c r="W202" i="13"/>
  <c r="W264" i="13"/>
  <c r="E202" i="13"/>
  <c r="W271" i="13"/>
  <c r="W209" i="13"/>
  <c r="E209" i="13"/>
  <c r="E271" i="13"/>
  <c r="W213" i="13"/>
  <c r="E213" i="13"/>
  <c r="W275" i="13"/>
  <c r="E275" i="13"/>
  <c r="W217" i="13"/>
  <c r="E217" i="13"/>
  <c r="W279" i="13"/>
  <c r="E279" i="13"/>
  <c r="W251" i="13"/>
  <c r="W189" i="13"/>
  <c r="E189" i="13"/>
  <c r="E251" i="13"/>
  <c r="W193" i="13"/>
  <c r="E193" i="13"/>
  <c r="W255" i="13"/>
  <c r="E255" i="13"/>
  <c r="W197" i="13"/>
  <c r="E197" i="13"/>
  <c r="W259" i="13"/>
  <c r="E259" i="13"/>
  <c r="W201" i="13"/>
  <c r="E201" i="13"/>
  <c r="W263" i="13"/>
  <c r="E263" i="13"/>
  <c r="W250" i="13"/>
  <c r="E250" i="13"/>
  <c r="W188" i="13"/>
  <c r="E188" i="13"/>
  <c r="C74" i="13"/>
  <c r="CM69" i="13" s="1"/>
  <c r="C76" i="13"/>
  <c r="C78" i="13"/>
  <c r="C80" i="13"/>
  <c r="C82" i="13"/>
  <c r="C75" i="13"/>
  <c r="C77" i="13"/>
  <c r="C79" i="13"/>
  <c r="C81" i="13"/>
  <c r="C83" i="13"/>
  <c r="BK114" i="13"/>
  <c r="BK116" i="13" s="1"/>
  <c r="G3" i="4"/>
  <c r="BB6" i="13"/>
  <c r="D59" i="5"/>
  <c r="C17" i="8"/>
  <c r="E41" i="8"/>
  <c r="R174" i="13"/>
  <c r="R239" i="13"/>
  <c r="R176" i="13"/>
  <c r="Q291" i="13"/>
  <c r="Q308" i="13"/>
  <c r="Q247" i="13"/>
  <c r="Q243" i="13"/>
  <c r="Q300" i="13"/>
  <c r="Q177" i="13"/>
  <c r="Q235" i="13"/>
  <c r="Q292" i="13"/>
  <c r="Q169" i="13"/>
  <c r="Q180" i="13"/>
  <c r="Q238" i="13"/>
  <c r="Q306" i="13"/>
  <c r="Q179" i="13"/>
  <c r="Q241" i="13"/>
  <c r="Q298" i="13"/>
  <c r="Q171" i="13"/>
  <c r="Q233" i="13"/>
  <c r="Q305" i="13"/>
  <c r="Q240" i="13"/>
  <c r="Q178" i="13"/>
  <c r="Q236" i="13"/>
  <c r="Q232" i="13"/>
  <c r="Q293" i="13"/>
  <c r="Q168" i="13"/>
  <c r="Q185" i="13"/>
  <c r="Q304" i="13"/>
  <c r="Q296" i="13"/>
  <c r="Q173" i="13"/>
  <c r="Q176" i="13"/>
  <c r="Q172" i="13"/>
  <c r="Q234" i="13"/>
  <c r="Q183" i="13"/>
  <c r="Q245" i="13"/>
  <c r="Q302" i="13"/>
  <c r="Q175" i="13"/>
  <c r="Q237" i="13"/>
  <c r="Q294" i="13"/>
  <c r="Q244" i="13"/>
  <c r="Q174" i="13"/>
  <c r="CH19" i="13"/>
  <c r="D20" i="5"/>
  <c r="D24" i="5"/>
  <c r="D28" i="5"/>
  <c r="D15" i="5"/>
  <c r="D19" i="5"/>
  <c r="D23" i="5"/>
  <c r="D31" i="5"/>
  <c r="D27" i="5" s="1"/>
  <c r="E20" i="5"/>
  <c r="E23" i="5"/>
  <c r="CG95" i="13"/>
  <c r="BR95" i="13"/>
  <c r="BV95" i="13"/>
  <c r="BZ95" i="13"/>
  <c r="BO115" i="13"/>
  <c r="BO117" i="13" s="1"/>
  <c r="BR96" i="13"/>
  <c r="CB96" i="13"/>
  <c r="BZ96" i="13"/>
  <c r="BX96" i="13"/>
  <c r="BV96" i="13"/>
  <c r="BT96" i="13"/>
  <c r="CH4" i="13"/>
  <c r="AF11" i="13"/>
  <c r="G35" i="4" s="1"/>
  <c r="AI226" i="13"/>
  <c r="AJ228" i="13" s="1"/>
  <c r="AI287" i="13"/>
  <c r="AJ289" i="13" s="1"/>
  <c r="AI164" i="13"/>
  <c r="AJ166" i="13" s="1"/>
  <c r="BU26" i="13"/>
  <c r="BZ28" i="13"/>
  <c r="BH29" i="13"/>
  <c r="BX26" i="13"/>
  <c r="BX20" i="13"/>
  <c r="BD29" i="13"/>
  <c r="BO116" i="13"/>
  <c r="D57" i="5"/>
  <c r="D56" i="5"/>
  <c r="I46" i="8"/>
  <c r="S31" i="13"/>
  <c r="G43" i="4" s="1"/>
  <c r="BB5" i="13"/>
  <c r="O145" i="13"/>
  <c r="O149" i="13"/>
  <c r="AU59" i="13"/>
  <c r="AU35" i="13"/>
  <c r="AU39" i="13"/>
  <c r="AU43" i="13"/>
  <c r="AU47" i="13"/>
  <c r="P31" i="13"/>
  <c r="G42" i="4" s="1"/>
  <c r="AZ5" i="13"/>
  <c r="K165" i="13" s="1"/>
  <c r="L166" i="13" s="1"/>
  <c r="L143" i="13"/>
  <c r="AT57" i="13"/>
  <c r="L151" i="13"/>
  <c r="AT52" i="13"/>
  <c r="AT37" i="13"/>
  <c r="AT41" i="13"/>
  <c r="AT45" i="13"/>
  <c r="L139" i="13"/>
  <c r="N11" i="13"/>
  <c r="G29" i="4" s="1"/>
  <c r="BU25" i="13"/>
  <c r="AY18" i="13" s="1"/>
  <c r="I143" i="13"/>
  <c r="BC53" i="13"/>
  <c r="AS57" i="13"/>
  <c r="BC57" i="13"/>
  <c r="I151" i="13"/>
  <c r="BC61" i="13"/>
  <c r="AS52" i="13"/>
  <c r="BC52" i="13"/>
  <c r="I127" i="13"/>
  <c r="BC37" i="13"/>
  <c r="AS41" i="13"/>
  <c r="BC41" i="13"/>
  <c r="I135" i="13"/>
  <c r="BC45" i="13"/>
  <c r="BC49" i="13"/>
  <c r="BD49" i="13" s="1"/>
  <c r="F237" i="13"/>
  <c r="BN7" i="13"/>
  <c r="L84" i="13"/>
  <c r="T12" i="13"/>
  <c r="G19" i="4" s="1"/>
  <c r="BD5" i="13"/>
  <c r="Q227" i="13" s="1"/>
  <c r="R228" i="13" s="1"/>
  <c r="AV34" i="13"/>
  <c r="AV38" i="13"/>
  <c r="AV42" i="13"/>
  <c r="AV46" i="13"/>
  <c r="H2" i="3"/>
  <c r="A22" i="8"/>
  <c r="A28" i="8"/>
  <c r="A26" i="8"/>
  <c r="A21" i="8"/>
  <c r="A25" i="8"/>
  <c r="A20" i="8"/>
  <c r="A24" i="8"/>
  <c r="A19" i="8"/>
  <c r="A23" i="8"/>
  <c r="A27" i="8"/>
  <c r="R178" i="13" l="1"/>
  <c r="AZ170" i="13"/>
  <c r="AZ175" i="13"/>
  <c r="R242" i="13"/>
  <c r="I242" i="13" s="1"/>
  <c r="R241" i="13"/>
  <c r="GX24" i="13"/>
  <c r="FQ24" i="13" s="1"/>
  <c r="R305" i="13"/>
  <c r="I305" i="13" s="1"/>
  <c r="R237" i="13"/>
  <c r="I237" i="13" s="1"/>
  <c r="R183" i="13"/>
  <c r="R297" i="13"/>
  <c r="DE5" i="13"/>
  <c r="DF6" i="13" s="1"/>
  <c r="GX98" i="13"/>
  <c r="GY99" i="13" s="1"/>
  <c r="GG5" i="13"/>
  <c r="GH6" i="13" s="1"/>
  <c r="BG115" i="13"/>
  <c r="AW182" i="13"/>
  <c r="F169" i="13"/>
  <c r="F236" i="13"/>
  <c r="F243" i="13"/>
  <c r="G243" i="13" s="1"/>
  <c r="AS19" i="13"/>
  <c r="BF115" i="13"/>
  <c r="AW177" i="13"/>
  <c r="F183" i="13"/>
  <c r="F173" i="13"/>
  <c r="F239" i="13"/>
  <c r="I239" i="13" s="1"/>
  <c r="F172" i="13"/>
  <c r="AS21" i="13"/>
  <c r="F177" i="13"/>
  <c r="F181" i="13"/>
  <c r="G181" i="13" s="1"/>
  <c r="BU10" i="13"/>
  <c r="BU4" i="13"/>
  <c r="BU5" i="13" s="1"/>
  <c r="BU9" i="13"/>
  <c r="BU11" i="13"/>
  <c r="R172" i="13"/>
  <c r="I172" i="13" s="1"/>
  <c r="AR28" i="13"/>
  <c r="R180" i="13"/>
  <c r="I180" i="13" s="1"/>
  <c r="R244" i="13"/>
  <c r="I244" i="13" s="1"/>
  <c r="AS28" i="13"/>
  <c r="BR11" i="13"/>
  <c r="CH7" i="13"/>
  <c r="BT8" i="13"/>
  <c r="CH5" i="13"/>
  <c r="CH6" i="13"/>
  <c r="FG22" i="13"/>
  <c r="DZ22" i="13" s="1"/>
  <c r="BI215" i="13"/>
  <c r="F230" i="13"/>
  <c r="F291" i="13"/>
  <c r="DY8" i="13"/>
  <c r="AW168" i="13"/>
  <c r="AZ168" i="13" s="1"/>
  <c r="F168" i="13"/>
  <c r="BS99" i="13"/>
  <c r="FG20" i="13"/>
  <c r="AW185" i="13"/>
  <c r="AX185" i="13" s="1"/>
  <c r="AW171" i="13"/>
  <c r="F233" i="13"/>
  <c r="F241" i="13"/>
  <c r="BR8" i="13"/>
  <c r="AN180" i="13"/>
  <c r="G180" i="13" s="1"/>
  <c r="AW169" i="13"/>
  <c r="AW173" i="13"/>
  <c r="F302" i="13"/>
  <c r="F296" i="13"/>
  <c r="F304" i="13"/>
  <c r="G304" i="13" s="1"/>
  <c r="F301" i="13"/>
  <c r="BR4" i="13"/>
  <c r="BR5" i="13" s="1"/>
  <c r="F171" i="13"/>
  <c r="BR7" i="13"/>
  <c r="AW178" i="13"/>
  <c r="F232" i="13"/>
  <c r="F231" i="13"/>
  <c r="F240" i="13"/>
  <c r="F185" i="13"/>
  <c r="G185" i="13" s="1"/>
  <c r="F247" i="13"/>
  <c r="G247" i="13" s="1"/>
  <c r="BT11" i="13"/>
  <c r="BT4" i="13"/>
  <c r="BT5" i="13" s="1"/>
  <c r="BI202" i="13"/>
  <c r="BT6" i="13"/>
  <c r="BT10" i="13"/>
  <c r="CA12" i="13"/>
  <c r="BI191" i="13"/>
  <c r="CA8" i="13"/>
  <c r="BI208" i="13"/>
  <c r="C56" i="5"/>
  <c r="G56" i="5" s="1"/>
  <c r="J56" i="5" s="1"/>
  <c r="H56" i="5" s="1"/>
  <c r="BU8" i="13"/>
  <c r="BU12" i="13"/>
  <c r="BU13" i="13"/>
  <c r="CA9" i="13"/>
  <c r="BJ212" i="13"/>
  <c r="BU6" i="13"/>
  <c r="BT7" i="13"/>
  <c r="BU7" i="13"/>
  <c r="BT13" i="13"/>
  <c r="BT14" i="13"/>
  <c r="BU14" i="13"/>
  <c r="CA10" i="13"/>
  <c r="BR6" i="13"/>
  <c r="BJ204" i="13"/>
  <c r="AZ179" i="13"/>
  <c r="R233" i="13"/>
  <c r="R171" i="13"/>
  <c r="AS16" i="13"/>
  <c r="AU13" i="13"/>
  <c r="BR10" i="13"/>
  <c r="BR9" i="13"/>
  <c r="AT13" i="13"/>
  <c r="AY278" i="13"/>
  <c r="CF6" i="13"/>
  <c r="CF5" i="13"/>
  <c r="BJ190" i="13"/>
  <c r="BJ207" i="13"/>
  <c r="R302" i="13"/>
  <c r="CF7" i="13"/>
  <c r="CF4" i="13"/>
  <c r="BJ198" i="13"/>
  <c r="BI216" i="13"/>
  <c r="R232" i="13"/>
  <c r="BJ185" i="13"/>
  <c r="H12" i="13"/>
  <c r="G15" i="4" s="1"/>
  <c r="E11" i="13"/>
  <c r="G26" i="4" s="1"/>
  <c r="BR14" i="13"/>
  <c r="BR13" i="13"/>
  <c r="CA4" i="13"/>
  <c r="CA5" i="13" s="1"/>
  <c r="BK5" i="13" s="1"/>
  <c r="CA6" i="13"/>
  <c r="CA13" i="13"/>
  <c r="AS23" i="13"/>
  <c r="AR24" i="13"/>
  <c r="R293" i="13"/>
  <c r="BR12" i="13"/>
  <c r="CA7" i="13"/>
  <c r="CA14" i="13"/>
  <c r="BE19" i="13"/>
  <c r="BE20" i="13"/>
  <c r="AY19" i="13"/>
  <c r="AY20" i="13"/>
  <c r="AY21" i="13"/>
  <c r="AY24" i="13"/>
  <c r="BK21" i="13"/>
  <c r="BK24" i="13"/>
  <c r="BK19" i="13"/>
  <c r="BK20" i="13"/>
  <c r="BM21" i="13"/>
  <c r="BM24" i="13"/>
  <c r="BI19" i="13"/>
  <c r="BI20" i="13"/>
  <c r="AU20" i="13"/>
  <c r="BA19" i="13"/>
  <c r="BA20" i="13"/>
  <c r="BC21" i="13"/>
  <c r="BC24" i="13"/>
  <c r="BA21" i="13"/>
  <c r="BA24" i="13"/>
  <c r="BG19" i="13"/>
  <c r="BG20" i="13"/>
  <c r="AW21" i="13"/>
  <c r="AW24" i="13"/>
  <c r="BG21" i="13"/>
  <c r="BG24" i="13"/>
  <c r="N288" i="13"/>
  <c r="O289" i="13" s="1"/>
  <c r="BW13" i="13"/>
  <c r="BW9" i="13"/>
  <c r="BW7" i="13"/>
  <c r="BW14" i="13"/>
  <c r="BW10" i="13"/>
  <c r="BW6" i="13"/>
  <c r="BW12" i="13"/>
  <c r="BW8" i="13"/>
  <c r="BW4" i="13"/>
  <c r="BW5" i="13" s="1"/>
  <c r="BW11" i="13"/>
  <c r="BM19" i="13"/>
  <c r="BM20" i="13"/>
  <c r="BE21" i="13"/>
  <c r="BE24" i="13"/>
  <c r="AU24" i="13"/>
  <c r="BI21" i="13"/>
  <c r="BI24" i="13"/>
  <c r="BC19" i="13"/>
  <c r="BC20" i="13"/>
  <c r="DY19" i="13"/>
  <c r="AS24" i="13"/>
  <c r="DY15" i="13"/>
  <c r="AS20" i="13"/>
  <c r="AR20" i="13"/>
  <c r="GX11" i="13"/>
  <c r="CS5" i="13"/>
  <c r="CT6" i="13" s="1"/>
  <c r="GL98" i="13"/>
  <c r="GM99" i="13" s="1"/>
  <c r="FU5" i="13"/>
  <c r="FV6" i="13" s="1"/>
  <c r="AR23" i="13"/>
  <c r="AS17" i="13"/>
  <c r="AS162" i="13"/>
  <c r="AN235" i="13"/>
  <c r="G235" i="13" s="1"/>
  <c r="CJ162" i="13"/>
  <c r="BJ217" i="13"/>
  <c r="BI194" i="13"/>
  <c r="BJ209" i="13"/>
  <c r="BI199" i="13"/>
  <c r="BI201" i="13"/>
  <c r="BI219" i="13"/>
  <c r="BJ193" i="13"/>
  <c r="BJ211" i="13"/>
  <c r="BI188" i="13"/>
  <c r="DZ13" i="13"/>
  <c r="R181" i="13"/>
  <c r="S181" i="13" s="1"/>
  <c r="BJ181" i="13"/>
  <c r="AZ180" i="13"/>
  <c r="R185" i="13"/>
  <c r="S185" i="13" s="1"/>
  <c r="AS25" i="13"/>
  <c r="AR14" i="13"/>
  <c r="AS26" i="13"/>
  <c r="R235" i="13"/>
  <c r="AZ173" i="13"/>
  <c r="R247" i="13"/>
  <c r="S247" i="13" s="1"/>
  <c r="AS14" i="13"/>
  <c r="R304" i="13"/>
  <c r="S304" i="13" s="1"/>
  <c r="R243" i="13"/>
  <c r="S243" i="13" s="1"/>
  <c r="AZ172" i="13"/>
  <c r="R234" i="13"/>
  <c r="I234" i="13" s="1"/>
  <c r="R169" i="13"/>
  <c r="CL18" i="13"/>
  <c r="AY256" i="13"/>
  <c r="DV180" i="13"/>
  <c r="DA180" i="13" s="1"/>
  <c r="DV183" i="13"/>
  <c r="DA183" i="13" s="1"/>
  <c r="DV173" i="13"/>
  <c r="DA173" i="13" s="1"/>
  <c r="H227" i="13"/>
  <c r="I228" i="13" s="1"/>
  <c r="AY227" i="13"/>
  <c r="AZ228" i="13" s="1"/>
  <c r="H165" i="13"/>
  <c r="I166" i="13" s="1"/>
  <c r="CP165" i="13"/>
  <c r="CQ166" i="13" s="1"/>
  <c r="H288" i="13"/>
  <c r="I289" i="13" s="1"/>
  <c r="HI5" i="13"/>
  <c r="HJ6" i="13" s="1"/>
  <c r="W288" i="13"/>
  <c r="X289" i="13" s="1"/>
  <c r="CY5" i="13"/>
  <c r="CZ6" i="13" s="1"/>
  <c r="GA5" i="13"/>
  <c r="GB6" i="13" s="1"/>
  <c r="GR98" i="13"/>
  <c r="GS99" i="13" s="1"/>
  <c r="GR97" i="13"/>
  <c r="BH165" i="13"/>
  <c r="BI166" i="13" s="1"/>
  <c r="AR16" i="13"/>
  <c r="AR19" i="13"/>
  <c r="AS22" i="13"/>
  <c r="AR21" i="13"/>
  <c r="CL11" i="13"/>
  <c r="GX9" i="13"/>
  <c r="CQ24" i="13"/>
  <c r="DZ20" i="13"/>
  <c r="AR15" i="13"/>
  <c r="AR17" i="13"/>
  <c r="AS15" i="13"/>
  <c r="AS27" i="13"/>
  <c r="AR26" i="13"/>
  <c r="AR25" i="13"/>
  <c r="C117" i="13"/>
  <c r="GE104" i="13"/>
  <c r="GX18" i="13"/>
  <c r="C118" i="13"/>
  <c r="DV236" i="13"/>
  <c r="CO236" i="13" s="1"/>
  <c r="EB24" i="13"/>
  <c r="DV182" i="13"/>
  <c r="DA182" i="13" s="1"/>
  <c r="DZ23" i="13"/>
  <c r="DV172" i="13"/>
  <c r="CO172" i="13" s="1"/>
  <c r="HR5" i="13"/>
  <c r="HS6" i="13" s="1"/>
  <c r="Q165" i="13"/>
  <c r="R166" i="13" s="1"/>
  <c r="DV179" i="13"/>
  <c r="CO179" i="13" s="1"/>
  <c r="DV177" i="13"/>
  <c r="DA177" i="13" s="1"/>
  <c r="DV178" i="13"/>
  <c r="CO178" i="13" s="1"/>
  <c r="DV176" i="13"/>
  <c r="CO176" i="13" s="1"/>
  <c r="DV171" i="13"/>
  <c r="CO171" i="13" s="1"/>
  <c r="DV175" i="13"/>
  <c r="DA175" i="13" s="1"/>
  <c r="DV174" i="13"/>
  <c r="DA174" i="13" s="1"/>
  <c r="DV169" i="13"/>
  <c r="DA169" i="13" s="1"/>
  <c r="DV170" i="13"/>
  <c r="CO170" i="13" s="1"/>
  <c r="DV168" i="13"/>
  <c r="DA168" i="13" s="1"/>
  <c r="ES29" i="13"/>
  <c r="ET29" i="13"/>
  <c r="ES33" i="13"/>
  <c r="ET33" i="13"/>
  <c r="EA37" i="13"/>
  <c r="EB37" i="13"/>
  <c r="ES41" i="13"/>
  <c r="ET41" i="13"/>
  <c r="EA47" i="13"/>
  <c r="EB47" i="13"/>
  <c r="ES51" i="13"/>
  <c r="ET51" i="13"/>
  <c r="ES55" i="13"/>
  <c r="ET55" i="13"/>
  <c r="EA59" i="13"/>
  <c r="EB59" i="13"/>
  <c r="ES30" i="13"/>
  <c r="ET30" i="13"/>
  <c r="ES34" i="13"/>
  <c r="ET34" i="13"/>
  <c r="ET38" i="13"/>
  <c r="ES38" i="13"/>
  <c r="EB42" i="13"/>
  <c r="EA42" i="13"/>
  <c r="EB48" i="13"/>
  <c r="EA48" i="13"/>
  <c r="ES52" i="13"/>
  <c r="ET52" i="13"/>
  <c r="EB56" i="13"/>
  <c r="EA56" i="13"/>
  <c r="ES31" i="13"/>
  <c r="ET31" i="13"/>
  <c r="ES35" i="13"/>
  <c r="ET35" i="13"/>
  <c r="EA39" i="13"/>
  <c r="EB39" i="13"/>
  <c r="ES43" i="13"/>
  <c r="ET43" i="13"/>
  <c r="ES49" i="13"/>
  <c r="ET49" i="13"/>
  <c r="ES53" i="13"/>
  <c r="ET53" i="13"/>
  <c r="EA57" i="13"/>
  <c r="EB57" i="13"/>
  <c r="EA28" i="13"/>
  <c r="EB28" i="13"/>
  <c r="ET32" i="13"/>
  <c r="ES32" i="13"/>
  <c r="EB36" i="13"/>
  <c r="EA36" i="13"/>
  <c r="ET40" i="13"/>
  <c r="ES40" i="13"/>
  <c r="EB44" i="13"/>
  <c r="EA44" i="13"/>
  <c r="ES50" i="13"/>
  <c r="ET50" i="13"/>
  <c r="ES54" i="13"/>
  <c r="ET54" i="13"/>
  <c r="EA58" i="13"/>
  <c r="EB58" i="13"/>
  <c r="EB29" i="13"/>
  <c r="EA29" i="13"/>
  <c r="EA33" i="13"/>
  <c r="EB33" i="13"/>
  <c r="ES37" i="13"/>
  <c r="ET37" i="13"/>
  <c r="EA41" i="13"/>
  <c r="EB41" i="13"/>
  <c r="ES47" i="13"/>
  <c r="ET47" i="13"/>
  <c r="EA51" i="13"/>
  <c r="EB51" i="13"/>
  <c r="EB55" i="13"/>
  <c r="EA55" i="13"/>
  <c r="ES59" i="13"/>
  <c r="ET59" i="13"/>
  <c r="EA30" i="13"/>
  <c r="EB30" i="13"/>
  <c r="EA34" i="13"/>
  <c r="EB34" i="13"/>
  <c r="EB38" i="13"/>
  <c r="EA38" i="13"/>
  <c r="ET42" i="13"/>
  <c r="ES42" i="13"/>
  <c r="ET48" i="13"/>
  <c r="ES48" i="13"/>
  <c r="EB52" i="13"/>
  <c r="EA52" i="13"/>
  <c r="ES56" i="13"/>
  <c r="ET56" i="13"/>
  <c r="EA31" i="13"/>
  <c r="EB31" i="13"/>
  <c r="EA35" i="13"/>
  <c r="EB35" i="13"/>
  <c r="ES39" i="13"/>
  <c r="ET39" i="13"/>
  <c r="EA43" i="13"/>
  <c r="EB43" i="13"/>
  <c r="EA49" i="13"/>
  <c r="EB49" i="13"/>
  <c r="EA53" i="13"/>
  <c r="EB53" i="13"/>
  <c r="ES57" i="13"/>
  <c r="ET57" i="13"/>
  <c r="ES28" i="13"/>
  <c r="ET28" i="13"/>
  <c r="EB32" i="13"/>
  <c r="EA32" i="13"/>
  <c r="ET36" i="13"/>
  <c r="ES36" i="13"/>
  <c r="EB40" i="13"/>
  <c r="EA40" i="13"/>
  <c r="ET44" i="13"/>
  <c r="ES44" i="13"/>
  <c r="EA50" i="13"/>
  <c r="EB50" i="13"/>
  <c r="EB54" i="13"/>
  <c r="EA54" i="13"/>
  <c r="ES58" i="13"/>
  <c r="ET58" i="13"/>
  <c r="CN13" i="13"/>
  <c r="CQ13" i="13" s="1"/>
  <c r="FP13" i="13"/>
  <c r="FS13" i="13" s="1"/>
  <c r="EK13" i="13"/>
  <c r="EB13" i="13" s="1"/>
  <c r="FP25" i="13"/>
  <c r="CN25" i="13"/>
  <c r="EK25" i="13"/>
  <c r="CN8" i="13"/>
  <c r="EK8" i="13"/>
  <c r="FP8" i="13"/>
  <c r="FP9" i="13"/>
  <c r="FS9" i="13" s="1"/>
  <c r="CN9" i="13"/>
  <c r="CQ9" i="13" s="1"/>
  <c r="EK9" i="13"/>
  <c r="EB9" i="13" s="1"/>
  <c r="CN17" i="13"/>
  <c r="CQ17" i="13" s="1"/>
  <c r="FP17" i="13"/>
  <c r="FS17" i="13" s="1"/>
  <c r="EK17" i="13"/>
  <c r="EB17" i="13" s="1"/>
  <c r="FP21" i="13"/>
  <c r="CN21" i="13"/>
  <c r="EK21" i="13"/>
  <c r="FP12" i="13"/>
  <c r="CN12" i="13"/>
  <c r="EK12" i="13"/>
  <c r="EB12" i="13" s="1"/>
  <c r="CN16" i="13"/>
  <c r="FP16" i="13"/>
  <c r="EK16" i="13"/>
  <c r="EB16" i="13" s="1"/>
  <c r="CN20" i="13"/>
  <c r="FP20" i="13"/>
  <c r="EK20" i="13"/>
  <c r="EB20" i="13" s="1"/>
  <c r="CL14" i="13"/>
  <c r="CL15" i="13"/>
  <c r="FA29" i="13"/>
  <c r="EZ29" i="13"/>
  <c r="CZ29" i="13"/>
  <c r="CY29" i="13"/>
  <c r="EL33" i="13"/>
  <c r="EK33" i="13"/>
  <c r="FR33" i="13"/>
  <c r="FS33" i="13"/>
  <c r="CZ33" i="13"/>
  <c r="CY33" i="13"/>
  <c r="EL37" i="13"/>
  <c r="EK37" i="13"/>
  <c r="FS37" i="13"/>
  <c r="FR37" i="13"/>
  <c r="FA41" i="13"/>
  <c r="EZ41" i="13"/>
  <c r="CY41" i="13"/>
  <c r="CZ41" i="13"/>
  <c r="CQ41" i="13"/>
  <c r="CP41" i="13"/>
  <c r="EL47" i="13"/>
  <c r="EK47" i="13"/>
  <c r="FS47" i="13"/>
  <c r="FR47" i="13"/>
  <c r="FA51" i="13"/>
  <c r="EZ51" i="13"/>
  <c r="FS51" i="13"/>
  <c r="FR51" i="13"/>
  <c r="CQ51" i="13"/>
  <c r="CP51" i="13"/>
  <c r="CZ55" i="13"/>
  <c r="CY55" i="13"/>
  <c r="EL59" i="13"/>
  <c r="EK59" i="13"/>
  <c r="FS59" i="13"/>
  <c r="FR59" i="13"/>
  <c r="CQ59" i="13"/>
  <c r="CP59" i="13"/>
  <c r="FG14" i="13"/>
  <c r="FG15" i="13"/>
  <c r="EK30" i="13"/>
  <c r="EL30" i="13"/>
  <c r="FS30" i="13"/>
  <c r="FR30" i="13"/>
  <c r="CQ30" i="13"/>
  <c r="CP30" i="13"/>
  <c r="FA34" i="13"/>
  <c r="EZ34" i="13"/>
  <c r="CZ34" i="13"/>
  <c r="CY34" i="13"/>
  <c r="EZ38" i="13"/>
  <c r="FA38" i="13"/>
  <c r="FS38" i="13"/>
  <c r="FR38" i="13"/>
  <c r="CP38" i="13"/>
  <c r="CQ38" i="13"/>
  <c r="EK42" i="13"/>
  <c r="EL42" i="13"/>
  <c r="CZ42" i="13"/>
  <c r="CY42" i="13"/>
  <c r="EZ48" i="13"/>
  <c r="FA48" i="13"/>
  <c r="FR48" i="13"/>
  <c r="FS48" i="13"/>
  <c r="CP48" i="13"/>
  <c r="CQ48" i="13"/>
  <c r="EK52" i="13"/>
  <c r="EL52" i="13"/>
  <c r="CZ52" i="13"/>
  <c r="CY52" i="13"/>
  <c r="FA56" i="13"/>
  <c r="EZ56" i="13"/>
  <c r="FR56" i="13"/>
  <c r="FS56" i="13"/>
  <c r="CP56" i="13"/>
  <c r="CQ56" i="13"/>
  <c r="FA31" i="13"/>
  <c r="EZ31" i="13"/>
  <c r="CY31" i="13"/>
  <c r="CZ31" i="13"/>
  <c r="CQ31" i="13"/>
  <c r="CP31" i="13"/>
  <c r="FA35" i="13"/>
  <c r="EZ35" i="13"/>
  <c r="CZ35" i="13"/>
  <c r="CY35" i="13"/>
  <c r="EL39" i="13"/>
  <c r="EK39" i="13"/>
  <c r="FR39" i="13"/>
  <c r="FS39" i="13"/>
  <c r="CZ39" i="13"/>
  <c r="CY39" i="13"/>
  <c r="FA43" i="13"/>
  <c r="EZ43" i="13"/>
  <c r="CQ43" i="13"/>
  <c r="CP43" i="13"/>
  <c r="FA49" i="13"/>
  <c r="EZ49" i="13"/>
  <c r="CY49" i="13"/>
  <c r="CZ49" i="13"/>
  <c r="CQ49" i="13"/>
  <c r="CP49" i="13"/>
  <c r="EL53" i="13"/>
  <c r="EK53" i="13"/>
  <c r="CZ53" i="13"/>
  <c r="CY53" i="13"/>
  <c r="FA57" i="13"/>
  <c r="EZ57" i="13"/>
  <c r="FS57" i="13"/>
  <c r="FR57" i="13"/>
  <c r="CQ57" i="13"/>
  <c r="CP57" i="13"/>
  <c r="FG19" i="13"/>
  <c r="FG16" i="13"/>
  <c r="FG18" i="13"/>
  <c r="FG17" i="13"/>
  <c r="EL24" i="13"/>
  <c r="FG24" i="13"/>
  <c r="EL28" i="13"/>
  <c r="EK28" i="13"/>
  <c r="CY28" i="13"/>
  <c r="CZ28" i="13"/>
  <c r="CQ28" i="13"/>
  <c r="CP28" i="13"/>
  <c r="EK32" i="13"/>
  <c r="EL32" i="13"/>
  <c r="FS32" i="13"/>
  <c r="FR32" i="13"/>
  <c r="CP32" i="13"/>
  <c r="CQ32" i="13"/>
  <c r="EZ36" i="13"/>
  <c r="FA36" i="13"/>
  <c r="CZ36" i="13"/>
  <c r="CY36" i="13"/>
  <c r="EK40" i="13"/>
  <c r="EL40" i="13"/>
  <c r="FS40" i="13"/>
  <c r="FR40" i="13"/>
  <c r="CQ40" i="13"/>
  <c r="CP40" i="13"/>
  <c r="EZ44" i="13"/>
  <c r="FA44" i="13"/>
  <c r="CZ44" i="13"/>
  <c r="CY44" i="13"/>
  <c r="FA50" i="13"/>
  <c r="EZ50" i="13"/>
  <c r="FR50" i="13"/>
  <c r="FS50" i="13"/>
  <c r="CP50" i="13"/>
  <c r="CQ50" i="13"/>
  <c r="EL54" i="13"/>
  <c r="EK54" i="13"/>
  <c r="CZ54" i="13"/>
  <c r="CY54" i="13"/>
  <c r="FA58" i="13"/>
  <c r="EZ58" i="13"/>
  <c r="FR58" i="13"/>
  <c r="FS58" i="13"/>
  <c r="CP58" i="13"/>
  <c r="CQ58" i="13"/>
  <c r="EH55" i="13"/>
  <c r="GX8" i="13"/>
  <c r="GX16" i="13"/>
  <c r="GX10" i="13"/>
  <c r="GX12" i="13"/>
  <c r="GX19" i="13"/>
  <c r="CQ69" i="13"/>
  <c r="CP69" i="13"/>
  <c r="FP11" i="13"/>
  <c r="FS11" i="13" s="1"/>
  <c r="CN11" i="13"/>
  <c r="CQ11" i="13" s="1"/>
  <c r="EK11" i="13"/>
  <c r="EB11" i="13" s="1"/>
  <c r="FP15" i="13"/>
  <c r="FS15" i="13" s="1"/>
  <c r="CN15" i="13"/>
  <c r="CQ15" i="13" s="1"/>
  <c r="EK15" i="13"/>
  <c r="CN19" i="13"/>
  <c r="CQ19" i="13" s="1"/>
  <c r="FP19" i="13"/>
  <c r="FS19" i="13" s="1"/>
  <c r="EK19" i="13"/>
  <c r="GG116" i="13"/>
  <c r="GH116" i="13" s="1"/>
  <c r="CN23" i="13"/>
  <c r="CQ23" i="13" s="1"/>
  <c r="FP23" i="13"/>
  <c r="FS23" i="13" s="1"/>
  <c r="EK23" i="13"/>
  <c r="EB23" i="13" s="1"/>
  <c r="CN10" i="13"/>
  <c r="FP10" i="13"/>
  <c r="EK10" i="13"/>
  <c r="EB10" i="13" s="1"/>
  <c r="FP14" i="13"/>
  <c r="CN14" i="13"/>
  <c r="EK14" i="13"/>
  <c r="EB14" i="13" s="1"/>
  <c r="CN18" i="13"/>
  <c r="FP18" i="13"/>
  <c r="EK18" i="13"/>
  <c r="EB18" i="13" s="1"/>
  <c r="GG115" i="13"/>
  <c r="GJ115" i="13" s="1"/>
  <c r="FP22" i="13"/>
  <c r="CN22" i="13"/>
  <c r="EK22" i="13"/>
  <c r="EB22" i="13" s="1"/>
  <c r="FG11" i="13"/>
  <c r="FG12" i="13"/>
  <c r="GX14" i="13"/>
  <c r="GX15" i="13"/>
  <c r="EK29" i="13"/>
  <c r="EL29" i="13"/>
  <c r="FR29" i="13"/>
  <c r="FS29" i="13"/>
  <c r="CP29" i="13"/>
  <c r="CQ29" i="13"/>
  <c r="FA33" i="13"/>
  <c r="EZ33" i="13"/>
  <c r="CQ33" i="13"/>
  <c r="CP33" i="13"/>
  <c r="FA37" i="13"/>
  <c r="EZ37" i="13"/>
  <c r="CY37" i="13"/>
  <c r="CZ37" i="13"/>
  <c r="CQ37" i="13"/>
  <c r="CP37" i="13"/>
  <c r="EL41" i="13"/>
  <c r="EK41" i="13"/>
  <c r="FS41" i="13"/>
  <c r="FR41" i="13"/>
  <c r="FA47" i="13"/>
  <c r="EZ47" i="13"/>
  <c r="CY47" i="13"/>
  <c r="CZ47" i="13"/>
  <c r="CQ47" i="13"/>
  <c r="CP47" i="13"/>
  <c r="EL51" i="13"/>
  <c r="EK51" i="13"/>
  <c r="CZ51" i="13"/>
  <c r="CY51" i="13"/>
  <c r="FA55" i="13"/>
  <c r="EZ55" i="13"/>
  <c r="FS55" i="13"/>
  <c r="FR55" i="13"/>
  <c r="FA59" i="13"/>
  <c r="EZ59" i="13"/>
  <c r="CZ59" i="13"/>
  <c r="CY59" i="13"/>
  <c r="CQ65" i="13"/>
  <c r="CP65" i="13"/>
  <c r="EZ30" i="13"/>
  <c r="FA30" i="13"/>
  <c r="CZ30" i="13"/>
  <c r="CY30" i="13"/>
  <c r="EL34" i="13"/>
  <c r="EK34" i="13"/>
  <c r="FS34" i="13"/>
  <c r="FR34" i="13"/>
  <c r="CQ34" i="13"/>
  <c r="CP34" i="13"/>
  <c r="EK38" i="13"/>
  <c r="EL38" i="13"/>
  <c r="CZ38" i="13"/>
  <c r="CY38" i="13"/>
  <c r="EZ42" i="13"/>
  <c r="FA42" i="13"/>
  <c r="FS42" i="13"/>
  <c r="FR42" i="13"/>
  <c r="CP42" i="13"/>
  <c r="CQ42" i="13"/>
  <c r="EK48" i="13"/>
  <c r="EL48" i="13"/>
  <c r="CZ48" i="13"/>
  <c r="CY48" i="13"/>
  <c r="FA52" i="13"/>
  <c r="EZ52" i="13"/>
  <c r="FR52" i="13"/>
  <c r="FS52" i="13"/>
  <c r="CP52" i="13"/>
  <c r="CQ52" i="13"/>
  <c r="EK56" i="13"/>
  <c r="EL56" i="13"/>
  <c r="CZ56" i="13"/>
  <c r="CY56" i="13"/>
  <c r="CP62" i="13"/>
  <c r="CQ62" i="13"/>
  <c r="EL31" i="13"/>
  <c r="EK31" i="13"/>
  <c r="FS31" i="13"/>
  <c r="FR31" i="13"/>
  <c r="EL35" i="13"/>
  <c r="EK35" i="13"/>
  <c r="FR35" i="13"/>
  <c r="FS35" i="13"/>
  <c r="CP35" i="13"/>
  <c r="CQ35" i="13"/>
  <c r="FA39" i="13"/>
  <c r="EZ39" i="13"/>
  <c r="CQ39" i="13"/>
  <c r="CP39" i="13"/>
  <c r="EL43" i="13"/>
  <c r="EK43" i="13"/>
  <c r="FR43" i="13"/>
  <c r="FS43" i="13"/>
  <c r="CZ43" i="13"/>
  <c r="CY43" i="13"/>
  <c r="EL49" i="13"/>
  <c r="EK49" i="13"/>
  <c r="FS49" i="13"/>
  <c r="FR49" i="13"/>
  <c r="FA53" i="13"/>
  <c r="EZ53" i="13"/>
  <c r="FS53" i="13"/>
  <c r="FR53" i="13"/>
  <c r="CQ53" i="13"/>
  <c r="CP53" i="13"/>
  <c r="EL57" i="13"/>
  <c r="EK57" i="13"/>
  <c r="CZ57" i="13"/>
  <c r="CY57" i="13"/>
  <c r="CQ63" i="13"/>
  <c r="CP63" i="13"/>
  <c r="CQ67" i="13"/>
  <c r="CP67" i="13"/>
  <c r="CL10" i="13"/>
  <c r="GE102" i="13"/>
  <c r="GE101" i="13"/>
  <c r="GE103" i="13"/>
  <c r="CL9" i="13"/>
  <c r="FG10" i="13"/>
  <c r="FG8" i="13"/>
  <c r="FG9" i="13"/>
  <c r="GE109" i="13"/>
  <c r="GE111" i="13"/>
  <c r="GE110" i="13"/>
  <c r="GE112" i="13"/>
  <c r="CL17" i="13"/>
  <c r="CL19" i="13"/>
  <c r="CL24" i="13"/>
  <c r="CO24" i="13" s="1"/>
  <c r="GE117" i="13"/>
  <c r="GH117" i="13" s="1"/>
  <c r="FA28" i="13"/>
  <c r="EZ28" i="13"/>
  <c r="FS28" i="13"/>
  <c r="FR28" i="13"/>
  <c r="EZ32" i="13"/>
  <c r="FA32" i="13"/>
  <c r="CZ32" i="13"/>
  <c r="CY32" i="13"/>
  <c r="EK36" i="13"/>
  <c r="EL36" i="13"/>
  <c r="FS36" i="13"/>
  <c r="FR36" i="13"/>
  <c r="CQ36" i="13"/>
  <c r="CP36" i="13"/>
  <c r="EZ40" i="13"/>
  <c r="FA40" i="13"/>
  <c r="CZ40" i="13"/>
  <c r="CY40" i="13"/>
  <c r="EK44" i="13"/>
  <c r="EL44" i="13"/>
  <c r="FS44" i="13"/>
  <c r="FR44" i="13"/>
  <c r="CQ44" i="13"/>
  <c r="CP44" i="13"/>
  <c r="EK50" i="13"/>
  <c r="EL50" i="13"/>
  <c r="CZ50" i="13"/>
  <c r="CY50" i="13"/>
  <c r="FA54" i="13"/>
  <c r="EZ54" i="13"/>
  <c r="FR54" i="13"/>
  <c r="FS54" i="13"/>
  <c r="CP54" i="13"/>
  <c r="CQ54" i="13"/>
  <c r="EL58" i="13"/>
  <c r="EK58" i="13"/>
  <c r="CZ58" i="13"/>
  <c r="CY58" i="13"/>
  <c r="CP64" i="13"/>
  <c r="CQ64" i="13"/>
  <c r="CP68" i="13"/>
  <c r="CQ68" i="13"/>
  <c r="CM55" i="13"/>
  <c r="GX17" i="13"/>
  <c r="CL8" i="13"/>
  <c r="CL16" i="13"/>
  <c r="CL12" i="13"/>
  <c r="HH29" i="13"/>
  <c r="HH33" i="13"/>
  <c r="HH35" i="13"/>
  <c r="HH39" i="13"/>
  <c r="HH43" i="13"/>
  <c r="HH49" i="13"/>
  <c r="HH28" i="13"/>
  <c r="HH32" i="13"/>
  <c r="HH38" i="13"/>
  <c r="HH42" i="13"/>
  <c r="HH48" i="13"/>
  <c r="HH52" i="13"/>
  <c r="HH59" i="13"/>
  <c r="HH57" i="13"/>
  <c r="HH55" i="13"/>
  <c r="HH53" i="13"/>
  <c r="HH31" i="13"/>
  <c r="HH34" i="13"/>
  <c r="HH37" i="13"/>
  <c r="HH41" i="13"/>
  <c r="HH47" i="13"/>
  <c r="HH51" i="13"/>
  <c r="HH30" i="13"/>
  <c r="HH36" i="13"/>
  <c r="HH40" i="13"/>
  <c r="HH44" i="13"/>
  <c r="HH50" i="13"/>
  <c r="HH58" i="13"/>
  <c r="HH56" i="13"/>
  <c r="HH54" i="13"/>
  <c r="CJ2" i="13"/>
  <c r="DU2" i="13"/>
  <c r="C108" i="13"/>
  <c r="GG106" i="13"/>
  <c r="C120" i="13"/>
  <c r="GG118" i="13"/>
  <c r="C103" i="13"/>
  <c r="GG101" i="13"/>
  <c r="GJ122" i="13"/>
  <c r="GI122" i="13"/>
  <c r="GI126" i="13"/>
  <c r="GJ126" i="13"/>
  <c r="GI130" i="13"/>
  <c r="GJ130" i="13"/>
  <c r="GI134" i="13"/>
  <c r="GJ134" i="13"/>
  <c r="GI140" i="13"/>
  <c r="GJ140" i="13"/>
  <c r="GI144" i="13"/>
  <c r="GJ144" i="13"/>
  <c r="GI148" i="13"/>
  <c r="GJ148" i="13"/>
  <c r="GI152" i="13"/>
  <c r="GJ152" i="13"/>
  <c r="GI123" i="13"/>
  <c r="GJ123" i="13"/>
  <c r="GI127" i="13"/>
  <c r="GJ127" i="13"/>
  <c r="GJ131" i="13"/>
  <c r="GI131" i="13"/>
  <c r="GJ135" i="13"/>
  <c r="GI135" i="13"/>
  <c r="GJ141" i="13"/>
  <c r="GI141" i="13"/>
  <c r="GJ145" i="13"/>
  <c r="GI145" i="13"/>
  <c r="GJ149" i="13"/>
  <c r="GI149" i="13"/>
  <c r="GI121" i="13"/>
  <c r="GJ121" i="13"/>
  <c r="C104" i="13"/>
  <c r="GG102" i="13"/>
  <c r="C112" i="13"/>
  <c r="GG110" i="13"/>
  <c r="C116" i="13"/>
  <c r="GG114" i="13"/>
  <c r="C107" i="13"/>
  <c r="GG105" i="13"/>
  <c r="C111" i="13"/>
  <c r="GG109" i="13"/>
  <c r="C115" i="13"/>
  <c r="GG113" i="13"/>
  <c r="GE107" i="13"/>
  <c r="C106" i="13"/>
  <c r="GG104" i="13"/>
  <c r="C110" i="13"/>
  <c r="GG108" i="13"/>
  <c r="D31" i="13"/>
  <c r="G38" i="4" s="1"/>
  <c r="C114" i="13"/>
  <c r="GG112" i="13"/>
  <c r="C105" i="13"/>
  <c r="GG103" i="13"/>
  <c r="C109" i="13"/>
  <c r="GG107" i="13"/>
  <c r="C113" i="13"/>
  <c r="GG111" i="13"/>
  <c r="GJ124" i="13"/>
  <c r="GI124" i="13"/>
  <c r="GJ128" i="13"/>
  <c r="GI128" i="13"/>
  <c r="GI132" i="13"/>
  <c r="GJ132" i="13"/>
  <c r="GI136" i="13"/>
  <c r="GJ136" i="13"/>
  <c r="GI142" i="13"/>
  <c r="GJ142" i="13"/>
  <c r="GI146" i="13"/>
  <c r="GJ146" i="13"/>
  <c r="GI150" i="13"/>
  <c r="GJ150" i="13"/>
  <c r="GI125" i="13"/>
  <c r="GJ125" i="13"/>
  <c r="GJ129" i="13"/>
  <c r="GI129" i="13"/>
  <c r="GJ133" i="13"/>
  <c r="GI133" i="13"/>
  <c r="GJ137" i="13"/>
  <c r="GI137" i="13"/>
  <c r="GJ143" i="13"/>
  <c r="GI143" i="13"/>
  <c r="GJ147" i="13"/>
  <c r="GI147" i="13"/>
  <c r="GJ151" i="13"/>
  <c r="GI151" i="13"/>
  <c r="GE105" i="13"/>
  <c r="BV92" i="13"/>
  <c r="BV102" i="13" s="1"/>
  <c r="AY65" i="13"/>
  <c r="BZ65" i="13" s="1"/>
  <c r="BN10" i="13"/>
  <c r="CC7" i="13" s="1"/>
  <c r="BN288" i="13"/>
  <c r="BO289" i="13" s="1"/>
  <c r="BH288" i="13"/>
  <c r="BI289" i="13" s="1"/>
  <c r="CY227" i="13"/>
  <c r="CZ228" i="13" s="1"/>
  <c r="Q288" i="13"/>
  <c r="R289" i="13" s="1"/>
  <c r="CV165" i="13"/>
  <c r="BE227" i="13"/>
  <c r="BF228" i="13" s="1"/>
  <c r="N227" i="13"/>
  <c r="O228" i="13" s="1"/>
  <c r="N165" i="13"/>
  <c r="O166" i="13" s="1"/>
  <c r="CS165" i="13"/>
  <c r="CT166" i="13" s="1"/>
  <c r="GD161" i="13" s="1"/>
  <c r="BB227" i="13"/>
  <c r="BC228" i="13" s="1"/>
  <c r="K288" i="13"/>
  <c r="L289" i="13" s="1"/>
  <c r="CO184" i="13"/>
  <c r="C59" i="5"/>
  <c r="G59" i="5" s="1"/>
  <c r="E61" i="5" s="1"/>
  <c r="BD48" i="13"/>
  <c r="BD47" i="13" s="1"/>
  <c r="BD46" i="13" s="1"/>
  <c r="BD64" i="13" s="1"/>
  <c r="BI195" i="13"/>
  <c r="BI203" i="13"/>
  <c r="BJ213" i="13"/>
  <c r="BJ196" i="13"/>
  <c r="BI214" i="13"/>
  <c r="AZ183" i="13"/>
  <c r="R296" i="13"/>
  <c r="AN244" i="13"/>
  <c r="AN183" i="13"/>
  <c r="Q303" i="13"/>
  <c r="AN303" i="13" s="1"/>
  <c r="R301" i="13"/>
  <c r="R173" i="13"/>
  <c r="R240" i="13"/>
  <c r="R170" i="13"/>
  <c r="I170" i="13" s="1"/>
  <c r="AN305" i="13"/>
  <c r="G305" i="13" s="1"/>
  <c r="Q295" i="13"/>
  <c r="R245" i="13"/>
  <c r="I245" i="13" s="1"/>
  <c r="R177" i="13"/>
  <c r="R236" i="13"/>
  <c r="R231" i="13"/>
  <c r="R182" i="13"/>
  <c r="I182" i="13" s="1"/>
  <c r="CH35" i="13"/>
  <c r="O317" i="13"/>
  <c r="S317" i="13" s="1"/>
  <c r="CW326" i="13"/>
  <c r="DA326" i="13" s="1"/>
  <c r="CW342" i="13"/>
  <c r="CZ342" i="13" s="1"/>
  <c r="CW325" i="13"/>
  <c r="CZ325" i="13" s="1"/>
  <c r="CE295" i="13"/>
  <c r="AX295" i="13" s="1"/>
  <c r="CE303" i="13"/>
  <c r="AX303" i="13" s="1"/>
  <c r="CE306" i="13"/>
  <c r="BJ306" i="13" s="1"/>
  <c r="O326" i="13"/>
  <c r="S326" i="13" s="1"/>
  <c r="AG325" i="13"/>
  <c r="AK325" i="13" s="1"/>
  <c r="O318" i="13"/>
  <c r="S318" i="13" s="1"/>
  <c r="O325" i="13"/>
  <c r="R325" i="13" s="1"/>
  <c r="AG326" i="13"/>
  <c r="AK326" i="13" s="1"/>
  <c r="AG318" i="13"/>
  <c r="AK318" i="13" s="1"/>
  <c r="AG333" i="13"/>
  <c r="AJ333" i="13" s="1"/>
  <c r="BB48" i="13"/>
  <c r="AJ154" i="13"/>
  <c r="AJ137" i="13"/>
  <c r="K11" i="13"/>
  <c r="G28" i="4" s="1"/>
  <c r="AR65" i="13"/>
  <c r="H4" i="5" s="1"/>
  <c r="AN296" i="13"/>
  <c r="AN182" i="13"/>
  <c r="G182" i="13" s="1"/>
  <c r="BW92" i="13"/>
  <c r="BM115" i="13"/>
  <c r="BM117" i="13" s="1"/>
  <c r="BM114" i="13"/>
  <c r="BM116" i="13" s="1"/>
  <c r="BW101" i="13"/>
  <c r="G77" i="4" s="1"/>
  <c r="BX101" i="13"/>
  <c r="G78" i="4" s="1"/>
  <c r="BY101" i="13"/>
  <c r="G79" i="4" s="1"/>
  <c r="CA101" i="13"/>
  <c r="G81" i="4" s="1"/>
  <c r="BZ101" i="13"/>
  <c r="G80" i="4" s="1"/>
  <c r="BV101" i="13"/>
  <c r="G76" i="4" s="1"/>
  <c r="BS101" i="13"/>
  <c r="G73" i="4" s="1"/>
  <c r="BU101" i="13"/>
  <c r="G75" i="4" s="1"/>
  <c r="D40" i="1"/>
  <c r="B38" i="1" s="1"/>
  <c r="O277" i="13"/>
  <c r="R277" i="13" s="1"/>
  <c r="O215" i="13"/>
  <c r="S215" i="13" s="1"/>
  <c r="E12" i="13"/>
  <c r="G14" i="4" s="1"/>
  <c r="R291" i="13"/>
  <c r="R168" i="13"/>
  <c r="R230" i="13"/>
  <c r="K12" i="13"/>
  <c r="G16" i="4" s="1"/>
  <c r="O337" i="13"/>
  <c r="R337" i="13" s="1"/>
  <c r="O334" i="13"/>
  <c r="R334" i="13" s="1"/>
  <c r="CZ302" i="13"/>
  <c r="Q307" i="13"/>
  <c r="S307" i="13" s="1"/>
  <c r="O338" i="13"/>
  <c r="S338" i="13" s="1"/>
  <c r="CY302" i="13"/>
  <c r="CZ300" i="13"/>
  <c r="CZ296" i="13"/>
  <c r="CQ296" i="13" s="1"/>
  <c r="CZ308" i="13"/>
  <c r="DA308" i="13" s="1"/>
  <c r="DA307" i="13"/>
  <c r="DV307" i="13"/>
  <c r="CE307" i="13"/>
  <c r="BJ307" i="13"/>
  <c r="AW28" i="13"/>
  <c r="I118" i="13"/>
  <c r="AW27" i="13"/>
  <c r="I117" i="13"/>
  <c r="BE28" i="13"/>
  <c r="U118" i="13"/>
  <c r="BX99" i="13" s="1"/>
  <c r="BM27" i="13"/>
  <c r="AG117" i="13"/>
  <c r="CB92" i="13" s="1"/>
  <c r="AV21" i="13"/>
  <c r="I111" i="13"/>
  <c r="BK27" i="13"/>
  <c r="AD117" i="13"/>
  <c r="BO27" i="13"/>
  <c r="AJ117" i="13"/>
  <c r="BI27" i="13"/>
  <c r="AA117" i="13"/>
  <c r="BZ92" i="13" s="1"/>
  <c r="DA184" i="13"/>
  <c r="AY5" i="13"/>
  <c r="AR27" i="13"/>
  <c r="AR18" i="13"/>
  <c r="AS18" i="13"/>
  <c r="AS30" i="13"/>
  <c r="BR101" i="13" s="1"/>
  <c r="G72" i="4" s="1"/>
  <c r="AR30" i="13"/>
  <c r="AS13" i="13"/>
  <c r="AR13" i="13"/>
  <c r="AZ307" i="13"/>
  <c r="CE292" i="13"/>
  <c r="AX292" i="13" s="1"/>
  <c r="CE293" i="13"/>
  <c r="AX293" i="13" s="1"/>
  <c r="CE291" i="13"/>
  <c r="AX291" i="13" s="1"/>
  <c r="CE302" i="13"/>
  <c r="AX302" i="13" s="1"/>
  <c r="CE300" i="13"/>
  <c r="AX300" i="13" s="1"/>
  <c r="CE301" i="13"/>
  <c r="AX301" i="13" s="1"/>
  <c r="CE299" i="13"/>
  <c r="BJ299" i="13" s="1"/>
  <c r="AZ294" i="13"/>
  <c r="AZ298" i="13"/>
  <c r="AZ302" i="13"/>
  <c r="AZ306" i="13"/>
  <c r="AX306" i="13"/>
  <c r="AZ293" i="13"/>
  <c r="AZ297" i="13"/>
  <c r="AZ301" i="13"/>
  <c r="AZ305" i="13"/>
  <c r="CQ171" i="13"/>
  <c r="CQ175" i="13"/>
  <c r="CQ179" i="13"/>
  <c r="CQ183" i="13"/>
  <c r="CQ172" i="13"/>
  <c r="CQ176" i="13"/>
  <c r="CQ180" i="13"/>
  <c r="CO185" i="13"/>
  <c r="CQ185" i="13"/>
  <c r="AZ230" i="13"/>
  <c r="CQ234" i="13"/>
  <c r="CO242" i="13"/>
  <c r="CQ242" i="13"/>
  <c r="CQ235" i="13"/>
  <c r="CO235" i="13"/>
  <c r="CQ243" i="13"/>
  <c r="CO243" i="13"/>
  <c r="AZ236" i="13"/>
  <c r="AZ241" i="13"/>
  <c r="CQ236" i="13"/>
  <c r="CO244" i="13"/>
  <c r="CQ244" i="13"/>
  <c r="CQ237" i="13"/>
  <c r="CQ245" i="13"/>
  <c r="CO245" i="13"/>
  <c r="DV246" i="13"/>
  <c r="CO246" i="13"/>
  <c r="AX242" i="13"/>
  <c r="AZ242" i="13"/>
  <c r="AZ238" i="13"/>
  <c r="AZ234" i="13"/>
  <c r="AX247" i="13"/>
  <c r="AZ247" i="13"/>
  <c r="AZ243" i="13"/>
  <c r="AX243" i="13"/>
  <c r="AZ235" i="13"/>
  <c r="AX235" i="13"/>
  <c r="AZ231" i="13"/>
  <c r="BI114" i="13"/>
  <c r="BI115" i="13"/>
  <c r="CQ297" i="13"/>
  <c r="BN29" i="13"/>
  <c r="CC36" i="13"/>
  <c r="BO29" i="13" s="1"/>
  <c r="CM294" i="13"/>
  <c r="CZ294" i="13"/>
  <c r="BN24" i="13"/>
  <c r="BC18" i="13"/>
  <c r="BB18" i="13"/>
  <c r="G46" i="8" s="1"/>
  <c r="CE294" i="13"/>
  <c r="AX294" i="13" s="1"/>
  <c r="CE298" i="13"/>
  <c r="AX298" i="13" s="1"/>
  <c r="AZ292" i="13"/>
  <c r="AZ296" i="13"/>
  <c r="AZ300" i="13"/>
  <c r="AZ304" i="13"/>
  <c r="AX304" i="13"/>
  <c r="CQ230" i="13"/>
  <c r="AZ291" i="13"/>
  <c r="AZ295" i="13"/>
  <c r="AZ299" i="13"/>
  <c r="AZ303" i="13"/>
  <c r="AX308" i="13"/>
  <c r="AZ308" i="13"/>
  <c r="CQ169" i="13"/>
  <c r="CQ173" i="13"/>
  <c r="CQ177" i="13"/>
  <c r="CQ181" i="13"/>
  <c r="CO181" i="13"/>
  <c r="CQ168" i="13"/>
  <c r="CQ170" i="13"/>
  <c r="CQ174" i="13"/>
  <c r="CQ178" i="13"/>
  <c r="CQ182" i="13"/>
  <c r="CQ238" i="13"/>
  <c r="CQ231" i="13"/>
  <c r="CQ239" i="13"/>
  <c r="CO247" i="13"/>
  <c r="CQ247" i="13"/>
  <c r="CE246" i="13"/>
  <c r="AX246" i="13"/>
  <c r="AX244" i="13"/>
  <c r="AZ244" i="13"/>
  <c r="AZ240" i="13"/>
  <c r="AZ232" i="13"/>
  <c r="AZ237" i="13"/>
  <c r="AZ233" i="13"/>
  <c r="CQ232" i="13"/>
  <c r="CQ240" i="13"/>
  <c r="CQ233" i="13"/>
  <c r="CQ241" i="13"/>
  <c r="AZ239" i="13"/>
  <c r="AZ245" i="13"/>
  <c r="AX245" i="13"/>
  <c r="BZ14" i="13"/>
  <c r="BZ12" i="13"/>
  <c r="BZ10" i="13"/>
  <c r="BZ8" i="13"/>
  <c r="BZ6" i="13"/>
  <c r="BZ13" i="13"/>
  <c r="BZ11" i="13"/>
  <c r="BZ9" i="13"/>
  <c r="BZ7" i="13"/>
  <c r="BZ4" i="13"/>
  <c r="BZ5" i="13" s="1"/>
  <c r="CM303" i="13"/>
  <c r="DV303" i="13" s="1"/>
  <c r="CC35" i="13"/>
  <c r="BD28" i="13"/>
  <c r="BH25" i="13"/>
  <c r="BI25" i="13"/>
  <c r="BL25" i="13"/>
  <c r="BM25" i="13"/>
  <c r="BM16" i="13"/>
  <c r="BL16" i="13"/>
  <c r="BF25" i="13"/>
  <c r="G48" i="8" s="1"/>
  <c r="BG25" i="13"/>
  <c r="BJ27" i="13"/>
  <c r="G50" i="8" s="1"/>
  <c r="BN27" i="13"/>
  <c r="BO18" i="13"/>
  <c r="BN18" i="13"/>
  <c r="BD13" i="13"/>
  <c r="BE13" i="13"/>
  <c r="W12" i="13"/>
  <c r="G20" i="4" s="1"/>
  <c r="BH27" i="13"/>
  <c r="BI16" i="13"/>
  <c r="BH16" i="13"/>
  <c r="BL27" i="13"/>
  <c r="BM18" i="13"/>
  <c r="BL18" i="13"/>
  <c r="BM22" i="13"/>
  <c r="BL22" i="13"/>
  <c r="BL30" i="13"/>
  <c r="BM30" i="13"/>
  <c r="CB101" i="13" s="1"/>
  <c r="G82" i="4" s="1"/>
  <c r="CE297" i="13"/>
  <c r="AX297" i="13" s="1"/>
  <c r="CE305" i="13"/>
  <c r="AX305" i="13" s="1"/>
  <c r="CE296" i="13"/>
  <c r="AX296" i="13" s="1"/>
  <c r="CQ246" i="13"/>
  <c r="CE236" i="13"/>
  <c r="AX236" i="13" s="1"/>
  <c r="AZ246" i="13"/>
  <c r="CN302" i="13"/>
  <c r="E307" i="13"/>
  <c r="G307" i="13" s="1"/>
  <c r="CM307" i="13"/>
  <c r="CO307" i="13" s="1"/>
  <c r="AW26" i="13"/>
  <c r="AV26" i="13"/>
  <c r="AV17" i="13"/>
  <c r="AW17" i="13"/>
  <c r="AV30" i="13"/>
  <c r="AW30" i="13"/>
  <c r="AW13" i="13"/>
  <c r="AV13" i="13"/>
  <c r="AW25" i="13"/>
  <c r="AV25" i="13"/>
  <c r="AV20" i="13"/>
  <c r="AW16" i="13"/>
  <c r="AV16" i="13"/>
  <c r="CE171" i="13"/>
  <c r="CE180" i="13"/>
  <c r="CE182" i="13"/>
  <c r="BH115" i="13"/>
  <c r="BH114" i="13"/>
  <c r="AV28" i="13"/>
  <c r="AW23" i="13"/>
  <c r="AV23" i="13"/>
  <c r="AV19" i="13"/>
  <c r="AW19" i="13"/>
  <c r="AW174" i="13"/>
  <c r="AV15" i="13"/>
  <c r="AW15" i="13"/>
  <c r="BJ184" i="13"/>
  <c r="CE184" i="13"/>
  <c r="AV27" i="13"/>
  <c r="AW22" i="13"/>
  <c r="AV22" i="13"/>
  <c r="AW18" i="13"/>
  <c r="AV18" i="13"/>
  <c r="AW14" i="13"/>
  <c r="AV14" i="13"/>
  <c r="CE173" i="13"/>
  <c r="CE183" i="13"/>
  <c r="AZ176" i="13"/>
  <c r="CE174" i="13"/>
  <c r="CE175" i="13"/>
  <c r="AX181" i="13"/>
  <c r="CE170" i="13"/>
  <c r="BJ170" i="13" s="1"/>
  <c r="CE168" i="13"/>
  <c r="BJ168" i="13" s="1"/>
  <c r="CE169" i="13"/>
  <c r="I175" i="13"/>
  <c r="G308" i="13"/>
  <c r="S184" i="13"/>
  <c r="AN184" i="13"/>
  <c r="AN246" i="13"/>
  <c r="S246" i="13"/>
  <c r="BN165" i="13"/>
  <c r="BO166" i="13" s="1"/>
  <c r="W165" i="13"/>
  <c r="X166" i="13" s="1"/>
  <c r="I178" i="13"/>
  <c r="I238" i="13"/>
  <c r="W227" i="13"/>
  <c r="X228" i="13" s="1"/>
  <c r="I297" i="13"/>
  <c r="I174" i="13"/>
  <c r="CE172" i="13"/>
  <c r="I176" i="13"/>
  <c r="CE179" i="13"/>
  <c r="CE177" i="13"/>
  <c r="CE178" i="13"/>
  <c r="CE176" i="13"/>
  <c r="I179" i="13"/>
  <c r="G184" i="13"/>
  <c r="I184" i="13"/>
  <c r="AX184" i="13"/>
  <c r="AZ184" i="13"/>
  <c r="AW5" i="13"/>
  <c r="AZ276" i="13"/>
  <c r="S330" i="13"/>
  <c r="CN308" i="13"/>
  <c r="AN245" i="13"/>
  <c r="G245" i="13" s="1"/>
  <c r="CQ184" i="13"/>
  <c r="I246" i="13"/>
  <c r="CN291" i="13"/>
  <c r="CM302" i="13"/>
  <c r="CM298" i="13"/>
  <c r="DV298" i="13" s="1"/>
  <c r="CN304" i="13"/>
  <c r="CN300" i="13"/>
  <c r="CN292" i="13"/>
  <c r="CM299" i="13"/>
  <c r="CM295" i="13"/>
  <c r="CN305" i="13"/>
  <c r="CN301" i="13"/>
  <c r="CN293" i="13"/>
  <c r="CM306" i="13"/>
  <c r="H46" i="8"/>
  <c r="E306" i="13"/>
  <c r="CF35" i="13"/>
  <c r="F293" i="13"/>
  <c r="E295" i="13"/>
  <c r="BX13" i="13"/>
  <c r="BX11" i="13"/>
  <c r="BX9" i="13"/>
  <c r="BX8" i="13"/>
  <c r="BX6" i="13"/>
  <c r="BX14" i="13"/>
  <c r="BX12" i="13"/>
  <c r="BX10" i="13"/>
  <c r="BX4" i="13"/>
  <c r="BX5" i="13" s="1"/>
  <c r="BX7" i="13"/>
  <c r="BS13" i="13"/>
  <c r="BS11" i="13"/>
  <c r="BS9" i="13"/>
  <c r="BS14" i="13"/>
  <c r="BS12" i="13"/>
  <c r="BS10" i="13"/>
  <c r="BS4" i="13"/>
  <c r="BY13" i="13"/>
  <c r="BY11" i="13"/>
  <c r="BY9" i="13"/>
  <c r="BY8" i="13"/>
  <c r="BY6" i="13"/>
  <c r="BY14" i="13"/>
  <c r="BY12" i="13"/>
  <c r="BY10" i="13"/>
  <c r="BY4" i="13"/>
  <c r="BY5" i="13" s="1"/>
  <c r="BY7" i="13"/>
  <c r="CB7" i="13"/>
  <c r="CB13" i="13"/>
  <c r="CB11" i="13"/>
  <c r="CB9" i="13"/>
  <c r="CB6" i="13"/>
  <c r="CB4" i="13"/>
  <c r="CB5" i="13" s="1"/>
  <c r="CB14" i="13"/>
  <c r="CB12" i="13"/>
  <c r="CB10" i="13"/>
  <c r="CB8" i="13"/>
  <c r="CC14" i="13"/>
  <c r="BV4" i="13"/>
  <c r="BV7" i="13"/>
  <c r="BV14" i="13"/>
  <c r="BV12" i="13"/>
  <c r="BV10" i="13"/>
  <c r="BV8" i="13"/>
  <c r="BV6" i="13"/>
  <c r="BV13" i="13"/>
  <c r="BV11" i="13"/>
  <c r="BV9" i="13"/>
  <c r="R327" i="13"/>
  <c r="H41" i="8"/>
  <c r="AN297" i="13"/>
  <c r="G297" i="13" s="1"/>
  <c r="K227" i="13"/>
  <c r="L228" i="13" s="1"/>
  <c r="BC289" i="13"/>
  <c r="CS227" i="13"/>
  <c r="CT228" i="13" s="1"/>
  <c r="AQ65" i="13"/>
  <c r="H49" i="8"/>
  <c r="AN242" i="13"/>
  <c r="G242" i="13" s="1"/>
  <c r="AW65" i="13"/>
  <c r="BX40" i="13" s="1"/>
  <c r="DV234" i="13"/>
  <c r="CO234" i="13" s="1"/>
  <c r="H51" i="8"/>
  <c r="BJ189" i="13"/>
  <c r="BJ197" i="13"/>
  <c r="BJ200" i="13"/>
  <c r="BJ218" i="13"/>
  <c r="O313" i="13"/>
  <c r="R313" i="13" s="1"/>
  <c r="AG322" i="13"/>
  <c r="AJ322" i="13" s="1"/>
  <c r="BJ192" i="13"/>
  <c r="BI210" i="13"/>
  <c r="AN173" i="13"/>
  <c r="AN231" i="13"/>
  <c r="H47" i="8"/>
  <c r="AL11" i="13"/>
  <c r="G37" i="4" s="1"/>
  <c r="CC28" i="13"/>
  <c r="BO24" i="13" s="1"/>
  <c r="AJ150" i="13"/>
  <c r="BB60" i="13"/>
  <c r="AJ134" i="13"/>
  <c r="BB44" i="13"/>
  <c r="CC32" i="13"/>
  <c r="BB55" i="13"/>
  <c r="AJ145" i="13"/>
  <c r="BB39" i="13"/>
  <c r="AJ129" i="13"/>
  <c r="G13" i="4"/>
  <c r="R300" i="13"/>
  <c r="I300" i="13" s="1"/>
  <c r="R292" i="13"/>
  <c r="I292" i="13" s="1"/>
  <c r="Q299" i="13"/>
  <c r="AN300" i="13" s="1"/>
  <c r="R308" i="13"/>
  <c r="S308" i="13" s="1"/>
  <c r="CW338" i="13"/>
  <c r="DA338" i="13" s="1"/>
  <c r="CW313" i="13"/>
  <c r="DA313" i="13" s="1"/>
  <c r="CW321" i="13"/>
  <c r="DA321" i="13" s="1"/>
  <c r="AG313" i="13"/>
  <c r="AK313" i="13" s="1"/>
  <c r="O321" i="13"/>
  <c r="R321" i="13" s="1"/>
  <c r="AG314" i="13"/>
  <c r="AK314" i="13" s="1"/>
  <c r="AG337" i="13"/>
  <c r="AJ337" i="13" s="1"/>
  <c r="O314" i="13"/>
  <c r="R314" i="13" s="1"/>
  <c r="CC26" i="13"/>
  <c r="AL31" i="13"/>
  <c r="G61" i="4" s="1"/>
  <c r="AK31" i="13"/>
  <c r="G49" i="4" s="1"/>
  <c r="AJ125" i="13"/>
  <c r="CC23" i="13"/>
  <c r="BN74" i="13"/>
  <c r="BF74" i="13"/>
  <c r="BM74" i="13"/>
  <c r="BP74" i="13"/>
  <c r="BO74" i="13"/>
  <c r="BA65" i="13"/>
  <c r="CB54" i="13" s="1"/>
  <c r="AZ65" i="13"/>
  <c r="CA43" i="13" s="1"/>
  <c r="H50" i="8"/>
  <c r="AX65" i="13"/>
  <c r="BY54" i="13" s="1"/>
  <c r="AY266" i="13"/>
  <c r="AZ266" i="13"/>
  <c r="AY270" i="13"/>
  <c r="AZ270" i="13"/>
  <c r="AY269" i="13"/>
  <c r="AZ269" i="13"/>
  <c r="BY92" i="13"/>
  <c r="H48" i="8"/>
  <c r="BG111" i="13"/>
  <c r="BG119" i="13" s="1"/>
  <c r="S280" i="13"/>
  <c r="R331" i="13"/>
  <c r="G42" i="8"/>
  <c r="R333" i="13"/>
  <c r="AN171" i="13"/>
  <c r="AT65" i="13"/>
  <c r="BU56" i="13" s="1"/>
  <c r="DV306" i="13"/>
  <c r="DV305" i="13"/>
  <c r="DA305" i="13" s="1"/>
  <c r="AU65" i="13"/>
  <c r="BV51" i="13" s="1"/>
  <c r="G45" i="8"/>
  <c r="AN237" i="13"/>
  <c r="G237" i="13" s="1"/>
  <c r="H44" i="8"/>
  <c r="S255" i="13"/>
  <c r="R255" i="13"/>
  <c r="CP312" i="13"/>
  <c r="CQ312" i="13"/>
  <c r="CP316" i="13"/>
  <c r="CQ316" i="13"/>
  <c r="CP320" i="13"/>
  <c r="CQ320" i="13"/>
  <c r="CP324" i="13"/>
  <c r="CQ324" i="13"/>
  <c r="CP330" i="13"/>
  <c r="CQ330" i="13"/>
  <c r="CQ334" i="13"/>
  <c r="CP334" i="13"/>
  <c r="CQ338" i="13"/>
  <c r="CP338" i="13"/>
  <c r="CQ342" i="13"/>
  <c r="CP342" i="13"/>
  <c r="DA314" i="13"/>
  <c r="CZ314" i="13"/>
  <c r="DA318" i="13"/>
  <c r="CZ318" i="13"/>
  <c r="DA322" i="13"/>
  <c r="CZ322" i="13"/>
  <c r="DA332" i="13"/>
  <c r="CZ332" i="13"/>
  <c r="DA336" i="13"/>
  <c r="CZ336" i="13"/>
  <c r="DA340" i="13"/>
  <c r="CZ340" i="13"/>
  <c r="DV293" i="13"/>
  <c r="DA293" i="13" s="1"/>
  <c r="DV291" i="13"/>
  <c r="DA291" i="13" s="1"/>
  <c r="DV292" i="13"/>
  <c r="DA292" i="13" s="1"/>
  <c r="CQ313" i="13"/>
  <c r="CP313" i="13"/>
  <c r="CP317" i="13"/>
  <c r="CQ317" i="13"/>
  <c r="CQ321" i="13"/>
  <c r="CP321" i="13"/>
  <c r="CP325" i="13"/>
  <c r="CQ325" i="13"/>
  <c r="CQ331" i="13"/>
  <c r="CP331" i="13"/>
  <c r="CQ335" i="13"/>
  <c r="CP335" i="13"/>
  <c r="CP339" i="13"/>
  <c r="CQ339" i="13"/>
  <c r="CZ311" i="13"/>
  <c r="DA311" i="13"/>
  <c r="CZ315" i="13"/>
  <c r="DA315" i="13"/>
  <c r="CZ319" i="13"/>
  <c r="DA319" i="13"/>
  <c r="CZ323" i="13"/>
  <c r="DA323" i="13"/>
  <c r="CZ327" i="13"/>
  <c r="DA327" i="13"/>
  <c r="CZ333" i="13"/>
  <c r="DA333" i="13"/>
  <c r="DA337" i="13"/>
  <c r="CZ337" i="13"/>
  <c r="DA341" i="13"/>
  <c r="CZ341" i="13"/>
  <c r="AZ311" i="13"/>
  <c r="AY311" i="13"/>
  <c r="AZ315" i="13"/>
  <c r="AY315" i="13"/>
  <c r="AY319" i="13"/>
  <c r="AZ319" i="13"/>
  <c r="AZ323" i="13"/>
  <c r="AY323" i="13"/>
  <c r="AY327" i="13"/>
  <c r="AZ327" i="13"/>
  <c r="AZ333" i="13"/>
  <c r="AY333" i="13"/>
  <c r="AZ337" i="13"/>
  <c r="AY337" i="13"/>
  <c r="AZ341" i="13"/>
  <c r="AY341" i="13"/>
  <c r="BJ313" i="13"/>
  <c r="BI313" i="13"/>
  <c r="BJ317" i="13"/>
  <c r="BI317" i="13"/>
  <c r="BJ321" i="13"/>
  <c r="BI321" i="13"/>
  <c r="BJ325" i="13"/>
  <c r="BI325" i="13"/>
  <c r="BJ331" i="13"/>
  <c r="BI331" i="13"/>
  <c r="BJ335" i="13"/>
  <c r="BI335" i="13"/>
  <c r="BJ339" i="13"/>
  <c r="BI339" i="13"/>
  <c r="AY312" i="13"/>
  <c r="AZ312" i="13"/>
  <c r="AY316" i="13"/>
  <c r="AZ316" i="13"/>
  <c r="AY320" i="13"/>
  <c r="AZ320" i="13"/>
  <c r="AY324" i="13"/>
  <c r="AZ324" i="13"/>
  <c r="AZ330" i="13"/>
  <c r="AY330" i="13"/>
  <c r="AY334" i="13"/>
  <c r="AZ334" i="13"/>
  <c r="AY338" i="13"/>
  <c r="AZ338" i="13"/>
  <c r="AY342" i="13"/>
  <c r="AZ342" i="13"/>
  <c r="BJ314" i="13"/>
  <c r="BI314" i="13"/>
  <c r="BJ318" i="13"/>
  <c r="BI318" i="13"/>
  <c r="BJ322" i="13"/>
  <c r="BI322" i="13"/>
  <c r="BJ326" i="13"/>
  <c r="BI326" i="13"/>
  <c r="BJ332" i="13"/>
  <c r="BI332" i="13"/>
  <c r="BJ336" i="13"/>
  <c r="BI336" i="13"/>
  <c r="BJ340" i="13"/>
  <c r="BI340" i="13"/>
  <c r="CP192" i="13"/>
  <c r="CQ192" i="13"/>
  <c r="CQ189" i="13"/>
  <c r="CP189" i="13"/>
  <c r="CP193" i="13"/>
  <c r="CQ193" i="13"/>
  <c r="CQ197" i="13"/>
  <c r="CP197" i="13"/>
  <c r="CQ201" i="13"/>
  <c r="CP201" i="13"/>
  <c r="CQ207" i="13"/>
  <c r="CP207" i="13"/>
  <c r="CQ211" i="13"/>
  <c r="CP211" i="13"/>
  <c r="CP215" i="13"/>
  <c r="CQ215" i="13"/>
  <c r="CQ219" i="13"/>
  <c r="CP219" i="13"/>
  <c r="CZ191" i="13"/>
  <c r="DA191" i="13"/>
  <c r="DA195" i="13"/>
  <c r="CZ195" i="13"/>
  <c r="DA199" i="13"/>
  <c r="CZ199" i="13"/>
  <c r="CZ203" i="13"/>
  <c r="DA203" i="13"/>
  <c r="DA209" i="13"/>
  <c r="CZ209" i="13"/>
  <c r="CZ213" i="13"/>
  <c r="DA213" i="13"/>
  <c r="CZ217" i="13"/>
  <c r="DA217" i="13"/>
  <c r="CE232" i="13"/>
  <c r="AX232" i="13" s="1"/>
  <c r="CE231" i="13"/>
  <c r="AX231" i="13" s="1"/>
  <c r="CE230" i="13"/>
  <c r="AX230" i="13" s="1"/>
  <c r="CP200" i="13"/>
  <c r="CQ200" i="13"/>
  <c r="CQ214" i="13"/>
  <c r="CP214" i="13"/>
  <c r="CP218" i="13"/>
  <c r="CQ218" i="13"/>
  <c r="CZ190" i="13"/>
  <c r="DA190" i="13"/>
  <c r="CZ194" i="13"/>
  <c r="DA194" i="13"/>
  <c r="CZ198" i="13"/>
  <c r="DA198" i="13"/>
  <c r="CZ202" i="13"/>
  <c r="DA202" i="13"/>
  <c r="CZ208" i="13"/>
  <c r="DA208" i="13"/>
  <c r="CZ212" i="13"/>
  <c r="DA212" i="13"/>
  <c r="CZ216" i="13"/>
  <c r="DA216" i="13"/>
  <c r="CZ188" i="13"/>
  <c r="DA188" i="13"/>
  <c r="R312" i="13"/>
  <c r="S312" i="13"/>
  <c r="S335" i="13"/>
  <c r="R335" i="13"/>
  <c r="R253" i="13"/>
  <c r="S253" i="13"/>
  <c r="S251" i="13"/>
  <c r="R251" i="13"/>
  <c r="R200" i="13"/>
  <c r="S200" i="13"/>
  <c r="S204" i="13"/>
  <c r="R204" i="13"/>
  <c r="R218" i="13"/>
  <c r="S218" i="13"/>
  <c r="AK199" i="13"/>
  <c r="AJ199" i="13"/>
  <c r="AK203" i="13"/>
  <c r="AJ203" i="13"/>
  <c r="AK217" i="13"/>
  <c r="AJ217" i="13"/>
  <c r="AK189" i="13"/>
  <c r="AJ189" i="13"/>
  <c r="AK193" i="13"/>
  <c r="AJ193" i="13"/>
  <c r="AK208" i="13"/>
  <c r="AJ208" i="13"/>
  <c r="AK212" i="13"/>
  <c r="AJ212" i="13"/>
  <c r="AK216" i="13"/>
  <c r="AJ216" i="13"/>
  <c r="R261" i="13"/>
  <c r="S261" i="13"/>
  <c r="R265" i="13"/>
  <c r="S265" i="13"/>
  <c r="R279" i="13"/>
  <c r="S279" i="13"/>
  <c r="AK259" i="13"/>
  <c r="AJ259" i="13"/>
  <c r="AK263" i="13"/>
  <c r="AJ263" i="13"/>
  <c r="AK269" i="13"/>
  <c r="AJ269" i="13"/>
  <c r="AK280" i="13"/>
  <c r="AJ280" i="13"/>
  <c r="AK252" i="13"/>
  <c r="AJ252" i="13"/>
  <c r="AK256" i="13"/>
  <c r="AJ256" i="13"/>
  <c r="AK271" i="13"/>
  <c r="AJ271" i="13"/>
  <c r="AK275" i="13"/>
  <c r="AJ275" i="13"/>
  <c r="S320" i="13"/>
  <c r="R320" i="13"/>
  <c r="R324" i="13"/>
  <c r="S324" i="13"/>
  <c r="S342" i="13"/>
  <c r="R342" i="13"/>
  <c r="AK323" i="13"/>
  <c r="AJ323" i="13"/>
  <c r="AK327" i="13"/>
  <c r="AJ327" i="13"/>
  <c r="AK341" i="13"/>
  <c r="AJ341" i="13"/>
  <c r="AK317" i="13"/>
  <c r="AJ317" i="13"/>
  <c r="AK332" i="13"/>
  <c r="AJ332" i="13"/>
  <c r="AK336" i="13"/>
  <c r="AJ336" i="13"/>
  <c r="R199" i="13"/>
  <c r="S199" i="13"/>
  <c r="S203" i="13"/>
  <c r="R203" i="13"/>
  <c r="S217" i="13"/>
  <c r="R217" i="13"/>
  <c r="AK198" i="13"/>
  <c r="AJ198" i="13"/>
  <c r="AK202" i="13"/>
  <c r="AJ202" i="13"/>
  <c r="AK218" i="13"/>
  <c r="AJ218" i="13"/>
  <c r="AK190" i="13"/>
  <c r="AJ190" i="13"/>
  <c r="AK194" i="13"/>
  <c r="AJ194" i="13"/>
  <c r="AK209" i="13"/>
  <c r="AJ209" i="13"/>
  <c r="AK213" i="13"/>
  <c r="AK274" i="13"/>
  <c r="AJ213" i="13"/>
  <c r="AJ274" i="13"/>
  <c r="R257" i="13"/>
  <c r="S257" i="13"/>
  <c r="R266" i="13"/>
  <c r="S266" i="13"/>
  <c r="AK262" i="13"/>
  <c r="AJ262" i="13"/>
  <c r="AK266" i="13"/>
  <c r="AJ266" i="13"/>
  <c r="AK281" i="13"/>
  <c r="AJ281" i="13"/>
  <c r="AK253" i="13"/>
  <c r="AJ253" i="13"/>
  <c r="AK257" i="13"/>
  <c r="AJ257" i="13"/>
  <c r="AK272" i="13"/>
  <c r="AJ272" i="13"/>
  <c r="AK276" i="13"/>
  <c r="AJ276" i="13"/>
  <c r="AK320" i="13"/>
  <c r="AJ320" i="13"/>
  <c r="AK324" i="13"/>
  <c r="AJ324" i="13"/>
  <c r="AK330" i="13"/>
  <c r="AJ330" i="13"/>
  <c r="AK342" i="13"/>
  <c r="AJ342" i="13"/>
  <c r="CP250" i="13"/>
  <c r="CQ250" i="13"/>
  <c r="CQ280" i="13"/>
  <c r="CP280" i="13"/>
  <c r="CQ256" i="13"/>
  <c r="CP256" i="13"/>
  <c r="CQ264" i="13"/>
  <c r="CP264" i="13"/>
  <c r="AZ265" i="13"/>
  <c r="AY265" i="13"/>
  <c r="AY257" i="13"/>
  <c r="AZ257" i="13"/>
  <c r="AZ281" i="13"/>
  <c r="AY281" i="13"/>
  <c r="AZ273" i="13"/>
  <c r="AY273" i="13"/>
  <c r="AY262" i="13"/>
  <c r="AZ262" i="13"/>
  <c r="AY258" i="13"/>
  <c r="AZ258" i="13"/>
  <c r="AY254" i="13"/>
  <c r="AZ254" i="13"/>
  <c r="CQ277" i="13"/>
  <c r="CP277" i="13"/>
  <c r="CP253" i="13"/>
  <c r="CQ253" i="13"/>
  <c r="CP261" i="13"/>
  <c r="CQ261" i="13"/>
  <c r="CQ278" i="13"/>
  <c r="CP278" i="13"/>
  <c r="CP254" i="13"/>
  <c r="CQ254" i="13"/>
  <c r="CP262" i="13"/>
  <c r="CQ262" i="13"/>
  <c r="AZ250" i="13"/>
  <c r="AY250" i="13"/>
  <c r="AZ259" i="13"/>
  <c r="AY259" i="13"/>
  <c r="AZ275" i="13"/>
  <c r="AY275" i="13"/>
  <c r="CE234" i="13"/>
  <c r="AX234" i="13" s="1"/>
  <c r="CE233" i="13"/>
  <c r="AX233" i="13" s="1"/>
  <c r="E27" i="8"/>
  <c r="L40" i="8" s="1"/>
  <c r="DV296" i="13"/>
  <c r="DA296" i="13" s="1"/>
  <c r="DV237" i="13"/>
  <c r="CO237" i="13" s="1"/>
  <c r="CQ314" i="13"/>
  <c r="CP314" i="13"/>
  <c r="CQ318" i="13"/>
  <c r="CP318" i="13"/>
  <c r="CQ322" i="13"/>
  <c r="CP322" i="13"/>
  <c r="CQ326" i="13"/>
  <c r="CP326" i="13"/>
  <c r="CP332" i="13"/>
  <c r="CQ332" i="13"/>
  <c r="CP336" i="13"/>
  <c r="CQ336" i="13"/>
  <c r="CP340" i="13"/>
  <c r="CQ340" i="13"/>
  <c r="DA312" i="13"/>
  <c r="CZ312" i="13"/>
  <c r="DA316" i="13"/>
  <c r="CZ316" i="13"/>
  <c r="DA320" i="13"/>
  <c r="CZ320" i="13"/>
  <c r="DA324" i="13"/>
  <c r="CZ324" i="13"/>
  <c r="DA330" i="13"/>
  <c r="CZ330" i="13"/>
  <c r="DA334" i="13"/>
  <c r="CZ334" i="13"/>
  <c r="CQ311" i="13"/>
  <c r="CP311" i="13"/>
  <c r="CQ315" i="13"/>
  <c r="CP315" i="13"/>
  <c r="CQ319" i="13"/>
  <c r="CP319" i="13"/>
  <c r="CQ323" i="13"/>
  <c r="CP323" i="13"/>
  <c r="CQ327" i="13"/>
  <c r="CP327" i="13"/>
  <c r="CP333" i="13"/>
  <c r="CQ333" i="13"/>
  <c r="CP337" i="13"/>
  <c r="CQ337" i="13"/>
  <c r="CP341" i="13"/>
  <c r="CQ341" i="13"/>
  <c r="CZ317" i="13"/>
  <c r="DA317" i="13"/>
  <c r="CZ331" i="13"/>
  <c r="DA331" i="13"/>
  <c r="CZ335" i="13"/>
  <c r="DA335" i="13"/>
  <c r="CZ339" i="13"/>
  <c r="DA339" i="13"/>
  <c r="AZ313" i="13"/>
  <c r="AY313" i="13"/>
  <c r="AZ317" i="13"/>
  <c r="AY317" i="13"/>
  <c r="AZ321" i="13"/>
  <c r="AY321" i="13"/>
  <c r="AZ325" i="13"/>
  <c r="AY325" i="13"/>
  <c r="AY331" i="13"/>
  <c r="AZ331" i="13"/>
  <c r="AY335" i="13"/>
  <c r="AZ335" i="13"/>
  <c r="AZ339" i="13"/>
  <c r="AY339" i="13"/>
  <c r="BI311" i="13"/>
  <c r="BJ311" i="13"/>
  <c r="BI315" i="13"/>
  <c r="BJ315" i="13"/>
  <c r="BI319" i="13"/>
  <c r="BJ319" i="13"/>
  <c r="BI323" i="13"/>
  <c r="BJ323" i="13"/>
  <c r="BI327" i="13"/>
  <c r="BJ327" i="13"/>
  <c r="BI333" i="13"/>
  <c r="BJ333" i="13"/>
  <c r="BI337" i="13"/>
  <c r="BJ337" i="13"/>
  <c r="BI341" i="13"/>
  <c r="BJ341" i="13"/>
  <c r="AY314" i="13"/>
  <c r="AZ314" i="13"/>
  <c r="AZ318" i="13"/>
  <c r="AY318" i="13"/>
  <c r="AY322" i="13"/>
  <c r="AZ322" i="13"/>
  <c r="AZ326" i="13"/>
  <c r="AY326" i="13"/>
  <c r="AY332" i="13"/>
  <c r="AZ332" i="13"/>
  <c r="AY336" i="13"/>
  <c r="AZ336" i="13"/>
  <c r="AY340" i="13"/>
  <c r="AZ340" i="13"/>
  <c r="BJ312" i="13"/>
  <c r="BI312" i="13"/>
  <c r="BJ316" i="13"/>
  <c r="BI316" i="13"/>
  <c r="BJ320" i="13"/>
  <c r="BI320" i="13"/>
  <c r="BJ324" i="13"/>
  <c r="BI324" i="13"/>
  <c r="BJ330" i="13"/>
  <c r="BI330" i="13"/>
  <c r="BJ334" i="13"/>
  <c r="BI334" i="13"/>
  <c r="BJ338" i="13"/>
  <c r="BI338" i="13"/>
  <c r="BJ342" i="13"/>
  <c r="BI342" i="13"/>
  <c r="CQ190" i="13"/>
  <c r="CP190" i="13"/>
  <c r="CP194" i="13"/>
  <c r="CQ194" i="13"/>
  <c r="CQ191" i="13"/>
  <c r="CP191" i="13"/>
  <c r="CQ195" i="13"/>
  <c r="CP195" i="13"/>
  <c r="CP199" i="13"/>
  <c r="CQ199" i="13"/>
  <c r="CQ203" i="13"/>
  <c r="CP203" i="13"/>
  <c r="CP209" i="13"/>
  <c r="CQ209" i="13"/>
  <c r="CP213" i="13"/>
  <c r="CP274" i="13"/>
  <c r="CQ274" i="13"/>
  <c r="CQ213" i="13"/>
  <c r="CQ217" i="13"/>
  <c r="CP217" i="13"/>
  <c r="CZ189" i="13"/>
  <c r="DA189" i="13"/>
  <c r="CZ193" i="13"/>
  <c r="DA193" i="13"/>
  <c r="DA197" i="13"/>
  <c r="CZ197" i="13"/>
  <c r="DA201" i="13"/>
  <c r="CZ201" i="13"/>
  <c r="DA207" i="13"/>
  <c r="CZ207" i="13"/>
  <c r="CZ211" i="13"/>
  <c r="DA211" i="13"/>
  <c r="CZ215" i="13"/>
  <c r="DA215" i="13"/>
  <c r="CZ219" i="13"/>
  <c r="DA219" i="13"/>
  <c r="CQ198" i="13"/>
  <c r="CP198" i="13"/>
  <c r="CP202" i="13"/>
  <c r="CQ202" i="13"/>
  <c r="CQ212" i="13"/>
  <c r="CP212" i="13"/>
  <c r="CQ188" i="13"/>
  <c r="CP188" i="13"/>
  <c r="CZ192" i="13"/>
  <c r="DA192" i="13"/>
  <c r="CZ196" i="13"/>
  <c r="DA196" i="13"/>
  <c r="CZ200" i="13"/>
  <c r="DA200" i="13"/>
  <c r="DA204" i="13"/>
  <c r="CZ204" i="13"/>
  <c r="CZ210" i="13"/>
  <c r="DA210" i="13"/>
  <c r="DA214" i="13"/>
  <c r="CZ214" i="13"/>
  <c r="DA218" i="13"/>
  <c r="CZ218" i="13"/>
  <c r="R316" i="13"/>
  <c r="S316" i="13"/>
  <c r="S272" i="13"/>
  <c r="R272" i="13"/>
  <c r="S270" i="13"/>
  <c r="R270" i="13"/>
  <c r="S198" i="13"/>
  <c r="R198" i="13"/>
  <c r="R216" i="13"/>
  <c r="S216" i="13"/>
  <c r="AK197" i="13"/>
  <c r="AJ197" i="13"/>
  <c r="AK201" i="13"/>
  <c r="AJ201" i="13"/>
  <c r="AK207" i="13"/>
  <c r="AJ207" i="13"/>
  <c r="AK219" i="13"/>
  <c r="AJ219" i="13"/>
  <c r="AK191" i="13"/>
  <c r="AJ191" i="13"/>
  <c r="AK195" i="13"/>
  <c r="AJ195" i="13"/>
  <c r="AK210" i="13"/>
  <c r="AJ210" i="13"/>
  <c r="AK214" i="13"/>
  <c r="AJ214" i="13"/>
  <c r="S259" i="13"/>
  <c r="R259" i="13"/>
  <c r="R263" i="13"/>
  <c r="S263" i="13"/>
  <c r="R269" i="13"/>
  <c r="S269" i="13"/>
  <c r="R281" i="13"/>
  <c r="S281" i="13"/>
  <c r="AK261" i="13"/>
  <c r="AJ261" i="13"/>
  <c r="AK265" i="13"/>
  <c r="AJ265" i="13"/>
  <c r="AK278" i="13"/>
  <c r="AJ278" i="13"/>
  <c r="AK250" i="13"/>
  <c r="AJ250" i="13"/>
  <c r="AK254" i="13"/>
  <c r="AJ254" i="13"/>
  <c r="AJ258" i="13"/>
  <c r="AK258" i="13"/>
  <c r="AK273" i="13"/>
  <c r="AJ273" i="13"/>
  <c r="AK277" i="13"/>
  <c r="AJ277" i="13"/>
  <c r="R322" i="13"/>
  <c r="S322" i="13"/>
  <c r="R340" i="13"/>
  <c r="S340" i="13"/>
  <c r="AK321" i="13"/>
  <c r="AJ321" i="13"/>
  <c r="AK339" i="13"/>
  <c r="AJ339" i="13"/>
  <c r="AK311" i="13"/>
  <c r="AJ311" i="13"/>
  <c r="AK315" i="13"/>
  <c r="AJ315" i="13"/>
  <c r="AK319" i="13"/>
  <c r="AJ319" i="13"/>
  <c r="AK334" i="13"/>
  <c r="AJ334" i="13"/>
  <c r="AK338" i="13"/>
  <c r="AJ338" i="13"/>
  <c r="S197" i="13"/>
  <c r="R197" i="13"/>
  <c r="R201" i="13"/>
  <c r="S201" i="13"/>
  <c r="S207" i="13"/>
  <c r="R207" i="13"/>
  <c r="R219" i="13"/>
  <c r="S219" i="13"/>
  <c r="AK200" i="13"/>
  <c r="AJ200" i="13"/>
  <c r="AK204" i="13"/>
  <c r="AJ204" i="13"/>
  <c r="AK188" i="13"/>
  <c r="AJ188" i="13"/>
  <c r="AK192" i="13"/>
  <c r="AJ192" i="13"/>
  <c r="AK196" i="13"/>
  <c r="AJ196" i="13"/>
  <c r="AK211" i="13"/>
  <c r="AJ211" i="13"/>
  <c r="AK215" i="13"/>
  <c r="AJ215" i="13"/>
  <c r="S260" i="13"/>
  <c r="R260" i="13"/>
  <c r="S264" i="13"/>
  <c r="R264" i="13"/>
  <c r="R278" i="13"/>
  <c r="S278" i="13"/>
  <c r="AK260" i="13"/>
  <c r="AJ260" i="13"/>
  <c r="AK264" i="13"/>
  <c r="AJ264" i="13"/>
  <c r="AK279" i="13"/>
  <c r="AJ279" i="13"/>
  <c r="AK251" i="13"/>
  <c r="AJ251" i="13"/>
  <c r="AJ255" i="13"/>
  <c r="AK255" i="13"/>
  <c r="AK270" i="13"/>
  <c r="AJ270" i="13"/>
  <c r="R323" i="13"/>
  <c r="S323" i="13"/>
  <c r="R341" i="13"/>
  <c r="S341" i="13"/>
  <c r="AK340" i="13"/>
  <c r="AJ340" i="13"/>
  <c r="AK312" i="13"/>
  <c r="AJ312" i="13"/>
  <c r="AK316" i="13"/>
  <c r="AJ316" i="13"/>
  <c r="AK331" i="13"/>
  <c r="AJ331" i="13"/>
  <c r="AK335" i="13"/>
  <c r="AJ335" i="13"/>
  <c r="CP271" i="13"/>
  <c r="CQ271" i="13"/>
  <c r="CQ255" i="13"/>
  <c r="CP255" i="13"/>
  <c r="CQ263" i="13"/>
  <c r="CP263" i="13"/>
  <c r="CQ276" i="13"/>
  <c r="CP276" i="13"/>
  <c r="CQ252" i="13"/>
  <c r="CP252" i="13"/>
  <c r="CQ260" i="13"/>
  <c r="CP260" i="13"/>
  <c r="AZ261" i="13"/>
  <c r="AY261" i="13"/>
  <c r="AZ253" i="13"/>
  <c r="AY253" i="13"/>
  <c r="AZ277" i="13"/>
  <c r="AY277" i="13"/>
  <c r="CP275" i="13"/>
  <c r="CQ275" i="13"/>
  <c r="CP279" i="13"/>
  <c r="CQ279" i="13"/>
  <c r="CQ273" i="13"/>
  <c r="CP273" i="13"/>
  <c r="CQ281" i="13"/>
  <c r="CP281" i="13"/>
  <c r="CP257" i="13"/>
  <c r="CQ257" i="13"/>
  <c r="CP265" i="13"/>
  <c r="CQ265" i="13"/>
  <c r="CQ269" i="13"/>
  <c r="CP269" i="13"/>
  <c r="CQ258" i="13"/>
  <c r="CP258" i="13"/>
  <c r="CQ266" i="13"/>
  <c r="CP266" i="13"/>
  <c r="AZ255" i="13"/>
  <c r="AY255" i="13"/>
  <c r="AZ279" i="13"/>
  <c r="AY279" i="13"/>
  <c r="AZ271" i="13"/>
  <c r="AY271" i="13"/>
  <c r="AY272" i="13"/>
  <c r="AZ272" i="13"/>
  <c r="BS92" i="13"/>
  <c r="BS102" i="13" s="1"/>
  <c r="O319" i="13"/>
  <c r="O196" i="13"/>
  <c r="S196" i="13" s="1"/>
  <c r="O258" i="13"/>
  <c r="R250" i="13"/>
  <c r="S250" i="13"/>
  <c r="S311" i="13"/>
  <c r="R311" i="13"/>
  <c r="AA339" i="13"/>
  <c r="Z339" i="13"/>
  <c r="I337" i="13"/>
  <c r="H337" i="13"/>
  <c r="AA334" i="13"/>
  <c r="Z334" i="13"/>
  <c r="AA332" i="13"/>
  <c r="Z332" i="13"/>
  <c r="AZ209" i="13"/>
  <c r="AY209" i="13"/>
  <c r="H330" i="13"/>
  <c r="I330" i="13"/>
  <c r="AA326" i="13"/>
  <c r="Z326" i="13"/>
  <c r="AY203" i="13"/>
  <c r="AZ203" i="13"/>
  <c r="AA323" i="13"/>
  <c r="Z323" i="13"/>
  <c r="AZ198" i="13"/>
  <c r="AY198" i="13"/>
  <c r="I319" i="13"/>
  <c r="H319" i="13"/>
  <c r="I317" i="13"/>
  <c r="H317" i="13"/>
  <c r="AA313" i="13"/>
  <c r="Z313" i="13"/>
  <c r="AZ219" i="13"/>
  <c r="AY219" i="13"/>
  <c r="AA335" i="13"/>
  <c r="Z335" i="13"/>
  <c r="AZ193" i="13"/>
  <c r="AY193" i="13"/>
  <c r="AY189" i="13"/>
  <c r="AZ189" i="13"/>
  <c r="AA341" i="13"/>
  <c r="Z341" i="13"/>
  <c r="AA338" i="13"/>
  <c r="Z338" i="13"/>
  <c r="AA336" i="13"/>
  <c r="Z336" i="13"/>
  <c r="AZ213" i="13"/>
  <c r="AY274" i="13"/>
  <c r="AY213" i="13"/>
  <c r="AZ274" i="13"/>
  <c r="AA333" i="13"/>
  <c r="Z333" i="13"/>
  <c r="I331" i="13"/>
  <c r="H331" i="13"/>
  <c r="AZ208" i="13"/>
  <c r="AY208" i="13"/>
  <c r="AA327" i="13"/>
  <c r="Z327" i="13"/>
  <c r="AA322" i="13"/>
  <c r="Z322" i="13"/>
  <c r="I320" i="13"/>
  <c r="H320" i="13"/>
  <c r="AZ197" i="13"/>
  <c r="AY197" i="13"/>
  <c r="AA318" i="13"/>
  <c r="Z318" i="13"/>
  <c r="AA315" i="13"/>
  <c r="Z315" i="13"/>
  <c r="I340" i="13"/>
  <c r="H340" i="13"/>
  <c r="AZ201" i="13"/>
  <c r="AY201" i="13"/>
  <c r="I314" i="13"/>
  <c r="H314" i="13"/>
  <c r="AA311" i="13"/>
  <c r="Z311" i="13"/>
  <c r="I311" i="13"/>
  <c r="H311" i="13"/>
  <c r="H339" i="13"/>
  <c r="I339" i="13"/>
  <c r="AZ216" i="13"/>
  <c r="AY216" i="13"/>
  <c r="AA337" i="13"/>
  <c r="Z337" i="13"/>
  <c r="H334" i="13"/>
  <c r="I334" i="13"/>
  <c r="AZ211" i="13"/>
  <c r="AY211" i="13"/>
  <c r="I332" i="13"/>
  <c r="H332" i="13"/>
  <c r="AA330" i="13"/>
  <c r="Z330" i="13"/>
  <c r="I326" i="13"/>
  <c r="H326" i="13"/>
  <c r="AZ200" i="13"/>
  <c r="AY200" i="13"/>
  <c r="AA321" i="13"/>
  <c r="Z321" i="13"/>
  <c r="Z319" i="13"/>
  <c r="AA319" i="13"/>
  <c r="AA317" i="13"/>
  <c r="Z317" i="13"/>
  <c r="AZ190" i="13"/>
  <c r="AY190" i="13"/>
  <c r="AA342" i="13"/>
  <c r="Z342" i="13"/>
  <c r="H342" i="13"/>
  <c r="I342" i="13"/>
  <c r="H316" i="13"/>
  <c r="I316" i="13"/>
  <c r="AA316" i="13"/>
  <c r="Z316" i="13"/>
  <c r="H312" i="13"/>
  <c r="I312" i="13"/>
  <c r="AA312" i="13"/>
  <c r="Z312" i="13"/>
  <c r="H338" i="13"/>
  <c r="I338" i="13"/>
  <c r="AZ215" i="13"/>
  <c r="AY215" i="13"/>
  <c r="H336" i="13"/>
  <c r="I336" i="13"/>
  <c r="AA331" i="13"/>
  <c r="Z331" i="13"/>
  <c r="I327" i="13"/>
  <c r="H327" i="13"/>
  <c r="AZ204" i="13"/>
  <c r="AY204" i="13"/>
  <c r="AA325" i="13"/>
  <c r="Z325" i="13"/>
  <c r="I322" i="13"/>
  <c r="H322" i="13"/>
  <c r="AY199" i="13"/>
  <c r="AZ199" i="13"/>
  <c r="AA320" i="13"/>
  <c r="Z320" i="13"/>
  <c r="I318" i="13"/>
  <c r="H318" i="13"/>
  <c r="AY195" i="13"/>
  <c r="AZ195" i="13"/>
  <c r="AA340" i="13"/>
  <c r="Z340" i="13"/>
  <c r="AZ217" i="13"/>
  <c r="AY217" i="13"/>
  <c r="AA314" i="13"/>
  <c r="Z314" i="13"/>
  <c r="AY191" i="13"/>
  <c r="AZ191" i="13"/>
  <c r="AY188" i="13"/>
  <c r="AZ188" i="13"/>
  <c r="BF48" i="13"/>
  <c r="BF47" i="13" s="1"/>
  <c r="BF46" i="13" s="1"/>
  <c r="AA324" i="13"/>
  <c r="Z324" i="13"/>
  <c r="I324" i="13"/>
  <c r="H324" i="13"/>
  <c r="H263" i="13"/>
  <c r="I263" i="13"/>
  <c r="I201" i="13"/>
  <c r="H201" i="13"/>
  <c r="AA259" i="13"/>
  <c r="Z259" i="13"/>
  <c r="AA197" i="13"/>
  <c r="Z197" i="13"/>
  <c r="AA251" i="13"/>
  <c r="Z251" i="13"/>
  <c r="H279" i="13"/>
  <c r="I279" i="13"/>
  <c r="H217" i="13"/>
  <c r="I217" i="13"/>
  <c r="AA275" i="13"/>
  <c r="Z275" i="13"/>
  <c r="AA213" i="13"/>
  <c r="Z274" i="13"/>
  <c r="AA274" i="13"/>
  <c r="Z213" i="13"/>
  <c r="AA209" i="13"/>
  <c r="Z209" i="13"/>
  <c r="H202" i="13"/>
  <c r="I202" i="13"/>
  <c r="AA260" i="13"/>
  <c r="Z260" i="13"/>
  <c r="AA198" i="13"/>
  <c r="Z198" i="13"/>
  <c r="I280" i="13"/>
  <c r="H280" i="13"/>
  <c r="AA214" i="13"/>
  <c r="Z214" i="13"/>
  <c r="AA272" i="13"/>
  <c r="Z272" i="13"/>
  <c r="AA265" i="13"/>
  <c r="Z265" i="13"/>
  <c r="AA203" i="13"/>
  <c r="Z203" i="13"/>
  <c r="I261" i="13"/>
  <c r="H261" i="13"/>
  <c r="I199" i="13"/>
  <c r="H199" i="13"/>
  <c r="AA191" i="13"/>
  <c r="Z191" i="13"/>
  <c r="AA253" i="13"/>
  <c r="Z253" i="13"/>
  <c r="AA281" i="13"/>
  <c r="Z281" i="13"/>
  <c r="AA219" i="13"/>
  <c r="Z219" i="13"/>
  <c r="AA215" i="13"/>
  <c r="Z215" i="13"/>
  <c r="AA266" i="13"/>
  <c r="Z266" i="13"/>
  <c r="AA204" i="13"/>
  <c r="Z204" i="13"/>
  <c r="AA262" i="13"/>
  <c r="Z262" i="13"/>
  <c r="AA200" i="13"/>
  <c r="Z200" i="13"/>
  <c r="AA258" i="13"/>
  <c r="Z258" i="13"/>
  <c r="AA192" i="13"/>
  <c r="Z192" i="13"/>
  <c r="AA269" i="13"/>
  <c r="Z269" i="13"/>
  <c r="AA207" i="13"/>
  <c r="Z207" i="13"/>
  <c r="AA278" i="13"/>
  <c r="Z278" i="13"/>
  <c r="AA216" i="13"/>
  <c r="Z216" i="13"/>
  <c r="AA188" i="13"/>
  <c r="Z188" i="13"/>
  <c r="AA250" i="13"/>
  <c r="Z250" i="13"/>
  <c r="AA263" i="13"/>
  <c r="Z263" i="13"/>
  <c r="AA201" i="13"/>
  <c r="Z201" i="13"/>
  <c r="H259" i="13"/>
  <c r="I259" i="13"/>
  <c r="I197" i="13"/>
  <c r="H197" i="13"/>
  <c r="AA255" i="13"/>
  <c r="Z255" i="13"/>
  <c r="AA193" i="13"/>
  <c r="Z193" i="13"/>
  <c r="AA189" i="13"/>
  <c r="Z189" i="13"/>
  <c r="AA279" i="13"/>
  <c r="Z279" i="13"/>
  <c r="AA217" i="13"/>
  <c r="Z217" i="13"/>
  <c r="AA271" i="13"/>
  <c r="Z271" i="13"/>
  <c r="AA264" i="13"/>
  <c r="Z264" i="13"/>
  <c r="AA202" i="13"/>
  <c r="Z202" i="13"/>
  <c r="I260" i="13"/>
  <c r="H260" i="13"/>
  <c r="AA256" i="13"/>
  <c r="Z256" i="13"/>
  <c r="AA194" i="13"/>
  <c r="Z194" i="13"/>
  <c r="AA190" i="13"/>
  <c r="Z190" i="13"/>
  <c r="AA252" i="13"/>
  <c r="Z252" i="13"/>
  <c r="AA280" i="13"/>
  <c r="Z280" i="13"/>
  <c r="AA218" i="13"/>
  <c r="Z218" i="13"/>
  <c r="AA276" i="13"/>
  <c r="Z276" i="13"/>
  <c r="AA210" i="13"/>
  <c r="Z210" i="13"/>
  <c r="AA212" i="13"/>
  <c r="Z212" i="13"/>
  <c r="I265" i="13"/>
  <c r="H265" i="13"/>
  <c r="I203" i="13"/>
  <c r="H203" i="13"/>
  <c r="AA261" i="13"/>
  <c r="Z261" i="13"/>
  <c r="AA199" i="13"/>
  <c r="Z199" i="13"/>
  <c r="AA195" i="13"/>
  <c r="Z195" i="13"/>
  <c r="AA257" i="13"/>
  <c r="Z257" i="13"/>
  <c r="I281" i="13"/>
  <c r="H281" i="13"/>
  <c r="H219" i="13"/>
  <c r="I219" i="13"/>
  <c r="AA277" i="13"/>
  <c r="Z277" i="13"/>
  <c r="AA211" i="13"/>
  <c r="Z211" i="13"/>
  <c r="AA273" i="13"/>
  <c r="Z273" i="13"/>
  <c r="I266" i="13"/>
  <c r="H266" i="13"/>
  <c r="I200" i="13"/>
  <c r="H200" i="13"/>
  <c r="H262" i="13"/>
  <c r="I262" i="13"/>
  <c r="Z196" i="13"/>
  <c r="AA196" i="13"/>
  <c r="AA254" i="13"/>
  <c r="Z254" i="13"/>
  <c r="H269" i="13"/>
  <c r="I269" i="13"/>
  <c r="H207" i="13"/>
  <c r="I207" i="13"/>
  <c r="AA270" i="13"/>
  <c r="Z270" i="13"/>
  <c r="AA208" i="13"/>
  <c r="Z208" i="13"/>
  <c r="R271" i="13"/>
  <c r="S271" i="13"/>
  <c r="S332" i="13"/>
  <c r="R332" i="13"/>
  <c r="S252" i="13"/>
  <c r="R252" i="13"/>
  <c r="R273" i="13"/>
  <c r="S273" i="13"/>
  <c r="R315" i="13"/>
  <c r="S315" i="13"/>
  <c r="R275" i="13"/>
  <c r="S275" i="13"/>
  <c r="R336" i="13"/>
  <c r="S336" i="13"/>
  <c r="AQ83" i="13"/>
  <c r="BF89" i="13"/>
  <c r="BC83" i="13"/>
  <c r="AQ79" i="13"/>
  <c r="BC79" i="13"/>
  <c r="BF85" i="13"/>
  <c r="AQ75" i="13"/>
  <c r="BF81" i="13"/>
  <c r="BC75" i="13"/>
  <c r="BC80" i="13"/>
  <c r="BF86" i="13"/>
  <c r="AQ80" i="13"/>
  <c r="BC76" i="13"/>
  <c r="AQ76" i="13"/>
  <c r="BF82" i="13"/>
  <c r="BC81" i="13"/>
  <c r="BF87" i="13"/>
  <c r="AQ81" i="13"/>
  <c r="BC77" i="13"/>
  <c r="AQ77" i="13"/>
  <c r="BF83" i="13"/>
  <c r="BF88" i="13"/>
  <c r="AQ82" i="13"/>
  <c r="BC82" i="13"/>
  <c r="BF84" i="13"/>
  <c r="BC78" i="13"/>
  <c r="AQ78" i="13"/>
  <c r="C84" i="13"/>
  <c r="S195" i="13"/>
  <c r="R195" i="13"/>
  <c r="I255" i="13"/>
  <c r="H255" i="13"/>
  <c r="I251" i="13"/>
  <c r="H251" i="13"/>
  <c r="I274" i="13"/>
  <c r="H213" i="13"/>
  <c r="H274" i="13"/>
  <c r="I213" i="13"/>
  <c r="I209" i="13"/>
  <c r="H209" i="13"/>
  <c r="I190" i="13"/>
  <c r="H190" i="13"/>
  <c r="S194" i="13"/>
  <c r="R194" i="13"/>
  <c r="S212" i="13"/>
  <c r="R212" i="13"/>
  <c r="S188" i="13"/>
  <c r="R188" i="13"/>
  <c r="I275" i="13"/>
  <c r="H275" i="13"/>
  <c r="I271" i="13"/>
  <c r="H271" i="13"/>
  <c r="H256" i="13"/>
  <c r="I256" i="13"/>
  <c r="H195" i="13"/>
  <c r="I195" i="13"/>
  <c r="H191" i="13"/>
  <c r="I191" i="13"/>
  <c r="R189" i="13"/>
  <c r="S189" i="13"/>
  <c r="S193" i="13"/>
  <c r="R193" i="13"/>
  <c r="S211" i="13"/>
  <c r="R211" i="13"/>
  <c r="BS7" i="13"/>
  <c r="BS6" i="13"/>
  <c r="BS8" i="13"/>
  <c r="I276" i="13"/>
  <c r="H276" i="13"/>
  <c r="I272" i="13"/>
  <c r="H272" i="13"/>
  <c r="H257" i="13"/>
  <c r="I257" i="13"/>
  <c r="H253" i="13"/>
  <c r="I253" i="13"/>
  <c r="H215" i="13"/>
  <c r="I215" i="13"/>
  <c r="I211" i="13"/>
  <c r="H211" i="13"/>
  <c r="I192" i="13"/>
  <c r="H192" i="13"/>
  <c r="H188" i="13"/>
  <c r="I188" i="13"/>
  <c r="R192" i="13"/>
  <c r="S192" i="13"/>
  <c r="R214" i="13"/>
  <c r="S214" i="13"/>
  <c r="S209" i="13"/>
  <c r="R209" i="13"/>
  <c r="I277" i="13"/>
  <c r="H277" i="13"/>
  <c r="H273" i="13"/>
  <c r="I273" i="13"/>
  <c r="I258" i="13"/>
  <c r="H258" i="13"/>
  <c r="I250" i="13"/>
  <c r="H250" i="13"/>
  <c r="H212" i="13"/>
  <c r="I212" i="13"/>
  <c r="H193" i="13"/>
  <c r="I193" i="13"/>
  <c r="H189" i="13"/>
  <c r="I189" i="13"/>
  <c r="R191" i="13"/>
  <c r="S191" i="13"/>
  <c r="R274" i="13"/>
  <c r="S213" i="13"/>
  <c r="R213" i="13"/>
  <c r="S274" i="13"/>
  <c r="R208" i="13"/>
  <c r="S208" i="13"/>
  <c r="B224" i="13"/>
  <c r="B285" i="13"/>
  <c r="B162" i="13"/>
  <c r="H43" i="8"/>
  <c r="AN233" i="13"/>
  <c r="AN174" i="13"/>
  <c r="G174" i="13" s="1"/>
  <c r="AN175" i="13"/>
  <c r="G175" i="13" s="1"/>
  <c r="R210" i="13"/>
  <c r="S210" i="13"/>
  <c r="R339" i="13"/>
  <c r="S339" i="13"/>
  <c r="R254" i="13"/>
  <c r="S254" i="13"/>
  <c r="R262" i="13"/>
  <c r="S262" i="13"/>
  <c r="AN172" i="13"/>
  <c r="AN298" i="13"/>
  <c r="AN232" i="13"/>
  <c r="AN230" i="13"/>
  <c r="AN176" i="13"/>
  <c r="AN179" i="13"/>
  <c r="S179" i="13" s="1"/>
  <c r="AN178" i="13"/>
  <c r="AN177" i="13"/>
  <c r="AN169" i="13"/>
  <c r="AN168" i="13"/>
  <c r="AN170" i="13"/>
  <c r="G170" i="13" s="1"/>
  <c r="AN239" i="13"/>
  <c r="AN241" i="13"/>
  <c r="AN240" i="13"/>
  <c r="AN238" i="13"/>
  <c r="AN293" i="13"/>
  <c r="AN292" i="13"/>
  <c r="G292" i="13" s="1"/>
  <c r="AN291" i="13"/>
  <c r="R276" i="13"/>
  <c r="S276" i="13"/>
  <c r="S190" i="13"/>
  <c r="R190" i="13"/>
  <c r="S256" i="13"/>
  <c r="R256" i="13"/>
  <c r="S202" i="13"/>
  <c r="R202" i="13"/>
  <c r="AN236" i="13"/>
  <c r="AN234" i="13"/>
  <c r="G234" i="13" s="1"/>
  <c r="DV238" i="13"/>
  <c r="CO238" i="13" s="1"/>
  <c r="DV240" i="13"/>
  <c r="CO240" i="13" s="1"/>
  <c r="DV241" i="13"/>
  <c r="CO241" i="13" s="1"/>
  <c r="DV239" i="13"/>
  <c r="CO239" i="13" s="1"/>
  <c r="AZ251" i="13"/>
  <c r="AY251" i="13"/>
  <c r="CP272" i="13"/>
  <c r="CQ272" i="13"/>
  <c r="AZ263" i="13"/>
  <c r="AY263" i="13"/>
  <c r="CQ270" i="13"/>
  <c r="CP270" i="13"/>
  <c r="H45" i="8"/>
  <c r="DV233" i="13"/>
  <c r="CO233" i="13" s="1"/>
  <c r="CQ251" i="13"/>
  <c r="CP251" i="13"/>
  <c r="DV230" i="13"/>
  <c r="CO230" i="13" s="1"/>
  <c r="DV231" i="13"/>
  <c r="CO231" i="13" s="1"/>
  <c r="DV232" i="13"/>
  <c r="CO232" i="13" s="1"/>
  <c r="CP210" i="13"/>
  <c r="CQ210" i="13"/>
  <c r="H204" i="13"/>
  <c r="I204" i="13"/>
  <c r="AY196" i="13"/>
  <c r="AZ196" i="13"/>
  <c r="H315" i="13"/>
  <c r="I315" i="13"/>
  <c r="I254" i="13"/>
  <c r="H254" i="13"/>
  <c r="H216" i="13"/>
  <c r="I216" i="13"/>
  <c r="H335" i="13"/>
  <c r="I335" i="13"/>
  <c r="H270" i="13"/>
  <c r="I270" i="13"/>
  <c r="H208" i="13"/>
  <c r="I208" i="13"/>
  <c r="BU92" i="13"/>
  <c r="BI111" i="13"/>
  <c r="BI119" i="13" s="1"/>
  <c r="CQ204" i="13"/>
  <c r="CP204" i="13"/>
  <c r="CP208" i="13"/>
  <c r="CQ208" i="13"/>
  <c r="CE238" i="13"/>
  <c r="AX238" i="13" s="1"/>
  <c r="CE241" i="13"/>
  <c r="AX241" i="13" s="1"/>
  <c r="CE239" i="13"/>
  <c r="AX239" i="13" s="1"/>
  <c r="CE240" i="13"/>
  <c r="AX240" i="13" s="1"/>
  <c r="I325" i="13"/>
  <c r="H325" i="13"/>
  <c r="H264" i="13"/>
  <c r="I264" i="13"/>
  <c r="I198" i="13"/>
  <c r="H198" i="13"/>
  <c r="AZ194" i="13"/>
  <c r="AY194" i="13"/>
  <c r="H252" i="13"/>
  <c r="I252" i="13"/>
  <c r="AZ252" i="13"/>
  <c r="AY252" i="13"/>
  <c r="I218" i="13"/>
  <c r="H218" i="13"/>
  <c r="H341" i="13"/>
  <c r="I341" i="13"/>
  <c r="H214" i="13"/>
  <c r="I214" i="13"/>
  <c r="H210" i="13"/>
  <c r="I210" i="13"/>
  <c r="I333" i="13"/>
  <c r="H333" i="13"/>
  <c r="CQ259" i="13"/>
  <c r="CP259" i="13"/>
  <c r="H323" i="13"/>
  <c r="I323" i="13"/>
  <c r="I196" i="13"/>
  <c r="H196" i="13"/>
  <c r="AY192" i="13"/>
  <c r="AZ192" i="13"/>
  <c r="AZ207" i="13"/>
  <c r="AY207" i="13"/>
  <c r="H278" i="13"/>
  <c r="I278" i="13"/>
  <c r="AY212" i="13"/>
  <c r="AZ212" i="13"/>
  <c r="CQ196" i="13"/>
  <c r="CP196" i="13"/>
  <c r="CP216" i="13"/>
  <c r="CQ216" i="13"/>
  <c r="CE237" i="13"/>
  <c r="AX237" i="13" s="1"/>
  <c r="AZ202" i="13"/>
  <c r="AY202" i="13"/>
  <c r="AZ264" i="13"/>
  <c r="AY264" i="13"/>
  <c r="I321" i="13"/>
  <c r="H321" i="13"/>
  <c r="AZ260" i="13"/>
  <c r="AY260" i="13"/>
  <c r="I194" i="13"/>
  <c r="H194" i="13"/>
  <c r="I313" i="13"/>
  <c r="H313" i="13"/>
  <c r="AZ218" i="13"/>
  <c r="AY218" i="13"/>
  <c r="AZ280" i="13"/>
  <c r="AY280" i="13"/>
  <c r="AY214" i="13"/>
  <c r="AZ214" i="13"/>
  <c r="AY210" i="13"/>
  <c r="AZ210" i="13"/>
  <c r="AV65" i="13"/>
  <c r="H8" i="5" s="1"/>
  <c r="AS65" i="13"/>
  <c r="H5" i="5" s="1"/>
  <c r="G44" i="8"/>
  <c r="BZ64" i="13" l="1"/>
  <c r="BZ71" i="13"/>
  <c r="BJ175" i="13"/>
  <c r="BS71" i="13"/>
  <c r="BS74" i="13"/>
  <c r="AS5" i="13"/>
  <c r="AZ177" i="13"/>
  <c r="I183" i="13"/>
  <c r="S183" i="13"/>
  <c r="I241" i="13"/>
  <c r="BU53" i="13"/>
  <c r="CC9" i="13"/>
  <c r="BU65" i="13"/>
  <c r="I169" i="13"/>
  <c r="BS41" i="13"/>
  <c r="G169" i="13"/>
  <c r="BS53" i="13"/>
  <c r="I236" i="13"/>
  <c r="I177" i="13"/>
  <c r="I173" i="13"/>
  <c r="AZ169" i="13"/>
  <c r="AZ182" i="13"/>
  <c r="DV295" i="13"/>
  <c r="BU45" i="13"/>
  <c r="BU47" i="13"/>
  <c r="BU69" i="13"/>
  <c r="H11" i="5"/>
  <c r="BU43" i="13"/>
  <c r="BU48" i="13"/>
  <c r="S172" i="13"/>
  <c r="BS77" i="13"/>
  <c r="BS59" i="13"/>
  <c r="I168" i="13"/>
  <c r="I231" i="13"/>
  <c r="BS47" i="13"/>
  <c r="BS81" i="13"/>
  <c r="BS48" i="13"/>
  <c r="BS61" i="13"/>
  <c r="BS82" i="13"/>
  <c r="BS43" i="13"/>
  <c r="BS78" i="13"/>
  <c r="BS63" i="13"/>
  <c r="BS90" i="13"/>
  <c r="BS51" i="13"/>
  <c r="BS64" i="13"/>
  <c r="BS89" i="13"/>
  <c r="DV297" i="13"/>
  <c r="DA297" i="13" s="1"/>
  <c r="BJ303" i="13"/>
  <c r="CZ326" i="13"/>
  <c r="BJ173" i="13"/>
  <c r="CO173" i="13"/>
  <c r="S244" i="13"/>
  <c r="EB8" i="13"/>
  <c r="AJ326" i="13"/>
  <c r="S180" i="13"/>
  <c r="I230" i="13"/>
  <c r="I296" i="13"/>
  <c r="G168" i="13"/>
  <c r="G291" i="13"/>
  <c r="S277" i="13"/>
  <c r="I291" i="13"/>
  <c r="I302" i="13"/>
  <c r="I301" i="13"/>
  <c r="AZ178" i="13"/>
  <c r="G241" i="13"/>
  <c r="BS67" i="13"/>
  <c r="BS86" i="13"/>
  <c r="BS45" i="13"/>
  <c r="BS55" i="13"/>
  <c r="BS68" i="13"/>
  <c r="BS85" i="13"/>
  <c r="CO17" i="13"/>
  <c r="I232" i="13"/>
  <c r="S325" i="13"/>
  <c r="S232" i="13"/>
  <c r="G171" i="13"/>
  <c r="I233" i="13"/>
  <c r="I240" i="13"/>
  <c r="BF111" i="13"/>
  <c r="BF119" i="13" s="1"/>
  <c r="AZ171" i="13"/>
  <c r="I171" i="13"/>
  <c r="BU63" i="13"/>
  <c r="BU42" i="13"/>
  <c r="BU55" i="13"/>
  <c r="BU44" i="13"/>
  <c r="BU51" i="13"/>
  <c r="BU40" i="13"/>
  <c r="BU49" i="13"/>
  <c r="BU67" i="13"/>
  <c r="BV59" i="13"/>
  <c r="BU52" i="13"/>
  <c r="CC6" i="13"/>
  <c r="CC11" i="13"/>
  <c r="BJ179" i="13"/>
  <c r="BU54" i="13"/>
  <c r="BU62" i="13"/>
  <c r="BU50" i="13"/>
  <c r="BU64" i="13"/>
  <c r="BU71" i="13"/>
  <c r="BU68" i="13"/>
  <c r="BU41" i="13"/>
  <c r="BU66" i="13"/>
  <c r="BU61" i="13"/>
  <c r="BU60" i="13"/>
  <c r="BU59" i="13"/>
  <c r="BU46" i="13"/>
  <c r="CC12" i="13"/>
  <c r="EB19" i="13"/>
  <c r="CZ321" i="13"/>
  <c r="S293" i="13"/>
  <c r="BJ171" i="13"/>
  <c r="S233" i="13"/>
  <c r="BZ53" i="13"/>
  <c r="BZ48" i="13"/>
  <c r="BZ60" i="13"/>
  <c r="CO183" i="13"/>
  <c r="BZ69" i="13"/>
  <c r="BJ180" i="13"/>
  <c r="BJ295" i="13"/>
  <c r="R317" i="13"/>
  <c r="CC8" i="13"/>
  <c r="CC4" i="13"/>
  <c r="CC5" i="13" s="1"/>
  <c r="BO5" i="13" s="1"/>
  <c r="CC13" i="13"/>
  <c r="DV294" i="13"/>
  <c r="DA294" i="13" s="1"/>
  <c r="CO180" i="13"/>
  <c r="R338" i="13"/>
  <c r="AZ185" i="13"/>
  <c r="DA325" i="13"/>
  <c r="CC10" i="13"/>
  <c r="CO13" i="13"/>
  <c r="EB15" i="13"/>
  <c r="BO19" i="13"/>
  <c r="BO20" i="13"/>
  <c r="CZ338" i="13"/>
  <c r="FQ17" i="13"/>
  <c r="AN294" i="13"/>
  <c r="GH115" i="13"/>
  <c r="BR100" i="13"/>
  <c r="BP100" i="13" s="1"/>
  <c r="BR92" i="13"/>
  <c r="BR102" i="13" s="1"/>
  <c r="BR99" i="13"/>
  <c r="BP99" i="13" s="1"/>
  <c r="BH111" i="13"/>
  <c r="BH119" i="13" s="1"/>
  <c r="DV302" i="13"/>
  <c r="DA302" i="13" s="1"/>
  <c r="BV71" i="13"/>
  <c r="BV55" i="13"/>
  <c r="S235" i="13"/>
  <c r="S173" i="13"/>
  <c r="R326" i="13"/>
  <c r="G244" i="13"/>
  <c r="BT92" i="13"/>
  <c r="BZ66" i="13"/>
  <c r="BZ61" i="13"/>
  <c r="BZ40" i="13"/>
  <c r="BZ56" i="13"/>
  <c r="BZ43" i="13"/>
  <c r="BZ62" i="13"/>
  <c r="BZ49" i="13"/>
  <c r="G49" i="8"/>
  <c r="G51" i="8"/>
  <c r="DA342" i="13"/>
  <c r="BZ63" i="13"/>
  <c r="BZ54" i="13"/>
  <c r="BZ45" i="13"/>
  <c r="BZ44" i="13"/>
  <c r="BZ55" i="13"/>
  <c r="BZ59" i="13"/>
  <c r="BZ50" i="13"/>
  <c r="BZ47" i="13"/>
  <c r="BZ67" i="13"/>
  <c r="BZ52" i="13"/>
  <c r="CC101" i="13"/>
  <c r="G83" i="4" s="1"/>
  <c r="BZ70" i="13"/>
  <c r="BZ46" i="13"/>
  <c r="BZ68" i="13"/>
  <c r="BZ42" i="13"/>
  <c r="BZ41" i="13"/>
  <c r="BJ172" i="13"/>
  <c r="BZ51" i="13"/>
  <c r="EL20" i="13"/>
  <c r="I304" i="13"/>
  <c r="I235" i="13"/>
  <c r="CO182" i="13"/>
  <c r="BI220" i="13"/>
  <c r="AJ318" i="13"/>
  <c r="I185" i="13"/>
  <c r="AJ325" i="13"/>
  <c r="FQ9" i="13"/>
  <c r="I243" i="13"/>
  <c r="S236" i="13"/>
  <c r="I181" i="13"/>
  <c r="G183" i="13"/>
  <c r="R318" i="13"/>
  <c r="AZ181" i="13"/>
  <c r="CO9" i="13"/>
  <c r="BD45" i="13"/>
  <c r="BD63" i="13" s="1"/>
  <c r="BD44" i="13" s="1"/>
  <c r="BD62" i="13" s="1"/>
  <c r="BD43" i="13" s="1"/>
  <c r="BD61" i="13" s="1"/>
  <c r="BD42" i="13" s="1"/>
  <c r="BD41" i="13" s="1"/>
  <c r="BD60" i="13" s="1"/>
  <c r="I247" i="13"/>
  <c r="BJ182" i="13"/>
  <c r="S337" i="13"/>
  <c r="AK333" i="13"/>
  <c r="BX44" i="13"/>
  <c r="BV68" i="13"/>
  <c r="BV50" i="13"/>
  <c r="BV47" i="13"/>
  <c r="BV44" i="13"/>
  <c r="BV53" i="13"/>
  <c r="BV45" i="13"/>
  <c r="BV42" i="13"/>
  <c r="BV62" i="13"/>
  <c r="BV52" i="13"/>
  <c r="BV67" i="13"/>
  <c r="BX92" i="13"/>
  <c r="BX102" i="13" s="1"/>
  <c r="S296" i="13"/>
  <c r="CO19" i="13"/>
  <c r="FQ13" i="13"/>
  <c r="EL13" i="13"/>
  <c r="CZ313" i="13"/>
  <c r="DV300" i="13"/>
  <c r="DA300" i="13" s="1"/>
  <c r="S231" i="13"/>
  <c r="CA92" i="13"/>
  <c r="E25" i="8"/>
  <c r="L38" i="8" s="1"/>
  <c r="G105" i="4" s="1"/>
  <c r="E22" i="8"/>
  <c r="L35" i="8" s="1"/>
  <c r="G102" i="4" s="1"/>
  <c r="S305" i="13"/>
  <c r="GJ116" i="13"/>
  <c r="CO23" i="13"/>
  <c r="CO11" i="13"/>
  <c r="FQ15" i="13"/>
  <c r="BJ298" i="13"/>
  <c r="BJ294" i="13"/>
  <c r="AJ314" i="13"/>
  <c r="G296" i="13"/>
  <c r="G47" i="8"/>
  <c r="AJ313" i="13"/>
  <c r="ET60" i="13"/>
  <c r="EB60" i="13"/>
  <c r="EL8" i="13"/>
  <c r="DZ8" i="13"/>
  <c r="EL11" i="13"/>
  <c r="DZ11" i="13"/>
  <c r="CO22" i="13"/>
  <c r="CQ22" i="13"/>
  <c r="FS18" i="13"/>
  <c r="FQ18" i="13"/>
  <c r="FS14" i="13"/>
  <c r="FQ14" i="13"/>
  <c r="FQ10" i="13"/>
  <c r="FS10" i="13"/>
  <c r="EL17" i="13"/>
  <c r="DZ17" i="13"/>
  <c r="EL16" i="13"/>
  <c r="DZ16" i="13"/>
  <c r="EL15" i="13"/>
  <c r="DZ15" i="13"/>
  <c r="CO20" i="13"/>
  <c r="CQ20" i="13"/>
  <c r="FS16" i="13"/>
  <c r="FQ16" i="13"/>
  <c r="FQ12" i="13"/>
  <c r="FS12" i="13"/>
  <c r="CO21" i="13"/>
  <c r="CQ21" i="13"/>
  <c r="FS8" i="13"/>
  <c r="FQ8" i="13"/>
  <c r="CQ8" i="13"/>
  <c r="CO8" i="13"/>
  <c r="CO25" i="13"/>
  <c r="CQ25" i="13"/>
  <c r="CP70" i="13"/>
  <c r="GH161" i="13" s="1"/>
  <c r="EL22" i="13"/>
  <c r="FQ23" i="13"/>
  <c r="FQ11" i="13"/>
  <c r="CO15" i="13"/>
  <c r="CQ55" i="13"/>
  <c r="CP55" i="13"/>
  <c r="CP60" i="13" s="1"/>
  <c r="EL9" i="13"/>
  <c r="DZ9" i="13"/>
  <c r="EL10" i="13"/>
  <c r="DZ10" i="13"/>
  <c r="EL12" i="13"/>
  <c r="DZ12" i="13"/>
  <c r="FQ22" i="13"/>
  <c r="FS22" i="13"/>
  <c r="CQ18" i="13"/>
  <c r="CO18" i="13"/>
  <c r="CQ14" i="13"/>
  <c r="CO14" i="13"/>
  <c r="CO10" i="13"/>
  <c r="CQ10" i="13"/>
  <c r="EL55" i="13"/>
  <c r="EK55" i="13"/>
  <c r="EK60" i="13" s="1"/>
  <c r="EL18" i="13"/>
  <c r="DZ18" i="13"/>
  <c r="EL19" i="13"/>
  <c r="DZ19" i="13"/>
  <c r="EL14" i="13"/>
  <c r="DZ14" i="13"/>
  <c r="FQ20" i="13"/>
  <c r="FS20" i="13"/>
  <c r="CQ16" i="13"/>
  <c r="CO16" i="13"/>
  <c r="CO12" i="13"/>
  <c r="CQ12" i="13"/>
  <c r="EL21" i="13"/>
  <c r="EB21" i="13"/>
  <c r="FS21" i="13"/>
  <c r="FQ21" i="13"/>
  <c r="EL25" i="13"/>
  <c r="EB25" i="13"/>
  <c r="FS25" i="13"/>
  <c r="FQ25" i="13"/>
  <c r="FR60" i="13"/>
  <c r="EZ60" i="13"/>
  <c r="FQ19" i="13"/>
  <c r="EL23" i="13"/>
  <c r="CY60" i="13"/>
  <c r="H33" i="5" s="1"/>
  <c r="AX179" i="13"/>
  <c r="AX299" i="13"/>
  <c r="AX309" i="13" s="1"/>
  <c r="CW166" i="13"/>
  <c r="GF160" i="13"/>
  <c r="GJ108" i="13"/>
  <c r="GH108" i="13"/>
  <c r="GJ104" i="13"/>
  <c r="GH104" i="13"/>
  <c r="GI153" i="13"/>
  <c r="GH111" i="13"/>
  <c r="GJ111" i="13"/>
  <c r="GH107" i="13"/>
  <c r="GJ107" i="13"/>
  <c r="GH103" i="13"/>
  <c r="GJ103" i="13"/>
  <c r="GJ112" i="13"/>
  <c r="GH112" i="13"/>
  <c r="GH113" i="13"/>
  <c r="GJ113" i="13"/>
  <c r="GH109" i="13"/>
  <c r="GJ109" i="13"/>
  <c r="GH105" i="13"/>
  <c r="GJ105" i="13"/>
  <c r="GH114" i="13"/>
  <c r="GJ114" i="13"/>
  <c r="GJ110" i="13"/>
  <c r="GH110" i="13"/>
  <c r="GJ102" i="13"/>
  <c r="GH102" i="13"/>
  <c r="GJ101" i="13"/>
  <c r="GH101" i="13"/>
  <c r="GJ118" i="13"/>
  <c r="GH118" i="13"/>
  <c r="GJ106" i="13"/>
  <c r="GH106" i="13"/>
  <c r="S182" i="13"/>
  <c r="BJ302" i="13"/>
  <c r="AK337" i="13"/>
  <c r="BJ169" i="13"/>
  <c r="AX182" i="13"/>
  <c r="AZ174" i="13"/>
  <c r="H9" i="5"/>
  <c r="BX54" i="13"/>
  <c r="BJ183" i="13"/>
  <c r="H59" i="5"/>
  <c r="BJ296" i="13"/>
  <c r="AX175" i="13"/>
  <c r="BJ300" i="13"/>
  <c r="BJ292" i="13"/>
  <c r="R215" i="13"/>
  <c r="S334" i="13"/>
  <c r="BS50" i="13"/>
  <c r="BS65" i="13"/>
  <c r="BS69" i="13"/>
  <c r="BS75" i="13"/>
  <c r="BS79" i="13"/>
  <c r="BS83" i="13"/>
  <c r="BS88" i="13"/>
  <c r="BS40" i="13"/>
  <c r="BS42" i="13"/>
  <c r="BS44" i="13"/>
  <c r="BS46" i="13"/>
  <c r="BS49" i="13"/>
  <c r="BS52" i="13"/>
  <c r="BS54" i="13"/>
  <c r="BS56" i="13"/>
  <c r="BS60" i="13"/>
  <c r="BS62" i="13"/>
  <c r="BS66" i="13"/>
  <c r="BS70" i="13"/>
  <c r="BS76" i="13"/>
  <c r="BS80" i="13"/>
  <c r="BS84" i="13"/>
  <c r="BS87" i="13"/>
  <c r="AX173" i="13"/>
  <c r="R196" i="13"/>
  <c r="G43" i="8"/>
  <c r="H52" i="8"/>
  <c r="AN307" i="13"/>
  <c r="S230" i="13"/>
  <c r="AN299" i="13"/>
  <c r="C57" i="5"/>
  <c r="G57" i="5" s="1"/>
  <c r="J57" i="5" s="1"/>
  <c r="H57" i="5" s="1"/>
  <c r="I307" i="13"/>
  <c r="AX180" i="13"/>
  <c r="G41" i="8"/>
  <c r="AX171" i="13"/>
  <c r="H24" i="5"/>
  <c r="H29" i="5"/>
  <c r="AX169" i="13"/>
  <c r="BT101" i="13"/>
  <c r="G74" i="4" s="1"/>
  <c r="AX168" i="13"/>
  <c r="BJ291" i="13"/>
  <c r="BJ293" i="13"/>
  <c r="AJ115" i="13"/>
  <c r="R303" i="13"/>
  <c r="S303" i="13" s="1"/>
  <c r="AJ107" i="13"/>
  <c r="CZ295" i="13"/>
  <c r="R295" i="13"/>
  <c r="AJ111" i="13"/>
  <c r="CZ299" i="13"/>
  <c r="R299" i="13"/>
  <c r="CZ303" i="13"/>
  <c r="DA303" i="13" s="1"/>
  <c r="R306" i="13"/>
  <c r="CZ306" i="13"/>
  <c r="DA306" i="13" s="1"/>
  <c r="AJ110" i="13"/>
  <c r="CZ298" i="13"/>
  <c r="DA298" i="13" s="1"/>
  <c r="R298" i="13"/>
  <c r="S298" i="13" s="1"/>
  <c r="AJ106" i="13"/>
  <c r="R294" i="13"/>
  <c r="BO28" i="13"/>
  <c r="AJ118" i="13"/>
  <c r="AX183" i="13"/>
  <c r="BJ301" i="13"/>
  <c r="CQ301" i="13"/>
  <c r="CO292" i="13"/>
  <c r="CQ292" i="13"/>
  <c r="CO304" i="13"/>
  <c r="CQ304" i="13"/>
  <c r="CQ302" i="13"/>
  <c r="BN28" i="13"/>
  <c r="F306" i="13"/>
  <c r="CN306" i="13"/>
  <c r="BN20" i="13"/>
  <c r="F298" i="13"/>
  <c r="CN298" i="13"/>
  <c r="BN25" i="13"/>
  <c r="BO25" i="13"/>
  <c r="CN303" i="13"/>
  <c r="F303" i="13"/>
  <c r="BN17" i="13"/>
  <c r="BO17" i="13"/>
  <c r="F295" i="13"/>
  <c r="CN295" i="13"/>
  <c r="BO16" i="13"/>
  <c r="BN16" i="13"/>
  <c r="CN294" i="13"/>
  <c r="F294" i="13"/>
  <c r="BN21" i="13"/>
  <c r="BO21" i="13"/>
  <c r="CN299" i="13"/>
  <c r="F299" i="13"/>
  <c r="DA172" i="13"/>
  <c r="CO168" i="13"/>
  <c r="CO177" i="13"/>
  <c r="CO169" i="13"/>
  <c r="CQ307" i="13"/>
  <c r="DA178" i="13"/>
  <c r="DA170" i="13"/>
  <c r="DA179" i="13"/>
  <c r="DA171" i="13"/>
  <c r="CO175" i="13"/>
  <c r="CQ293" i="13"/>
  <c r="CO293" i="13"/>
  <c r="CQ305" i="13"/>
  <c r="CO305" i="13"/>
  <c r="CQ300" i="13"/>
  <c r="CQ291" i="13"/>
  <c r="CO291" i="13"/>
  <c r="CQ308" i="13"/>
  <c r="CO308" i="13"/>
  <c r="BI343" i="13"/>
  <c r="DA176" i="13"/>
  <c r="CO174" i="13"/>
  <c r="BJ305" i="13"/>
  <c r="BJ297" i="13"/>
  <c r="CO296" i="13"/>
  <c r="AX170" i="13"/>
  <c r="I293" i="13"/>
  <c r="G293" i="13"/>
  <c r="BJ174" i="13"/>
  <c r="AX174" i="13"/>
  <c r="S237" i="13"/>
  <c r="S175" i="13"/>
  <c r="S169" i="13"/>
  <c r="S297" i="13"/>
  <c r="S168" i="13"/>
  <c r="S170" i="13"/>
  <c r="S291" i="13"/>
  <c r="S234" i="13"/>
  <c r="G230" i="13"/>
  <c r="G236" i="13"/>
  <c r="G231" i="13"/>
  <c r="G232" i="13"/>
  <c r="G233" i="13"/>
  <c r="S292" i="13"/>
  <c r="S174" i="13"/>
  <c r="S242" i="13"/>
  <c r="S171" i="13"/>
  <c r="G172" i="13"/>
  <c r="G173" i="13"/>
  <c r="AX172" i="13"/>
  <c r="S245" i="13"/>
  <c r="I308" i="13"/>
  <c r="S240" i="13"/>
  <c r="G240" i="13"/>
  <c r="G239" i="13"/>
  <c r="S239" i="13"/>
  <c r="G177" i="13"/>
  <c r="S177" i="13"/>
  <c r="S300" i="13"/>
  <c r="G300" i="13"/>
  <c r="BJ178" i="13"/>
  <c r="AX178" i="13"/>
  <c r="G179" i="13"/>
  <c r="S241" i="13"/>
  <c r="S238" i="13"/>
  <c r="G238" i="13"/>
  <c r="S178" i="13"/>
  <c r="G178" i="13"/>
  <c r="S176" i="13"/>
  <c r="G176" i="13"/>
  <c r="BJ176" i="13"/>
  <c r="AX176" i="13"/>
  <c r="BJ177" i="13"/>
  <c r="AX177" i="13"/>
  <c r="BX69" i="13"/>
  <c r="S313" i="13"/>
  <c r="H19" i="5"/>
  <c r="AN306" i="13"/>
  <c r="AN295" i="13"/>
  <c r="H12" i="5"/>
  <c r="H20" i="5"/>
  <c r="H30" i="5"/>
  <c r="H25" i="5"/>
  <c r="DV299" i="13"/>
  <c r="BM5" i="13"/>
  <c r="E26" i="8"/>
  <c r="L39" i="8" s="1"/>
  <c r="G106" i="4" s="1"/>
  <c r="BI5" i="13"/>
  <c r="BE5" i="13"/>
  <c r="AN302" i="13"/>
  <c r="AN301" i="13"/>
  <c r="BG5" i="13"/>
  <c r="BC5" i="13"/>
  <c r="BA5" i="13"/>
  <c r="BV5" i="13"/>
  <c r="BX52" i="13"/>
  <c r="BX55" i="13"/>
  <c r="H16" i="5"/>
  <c r="H22" i="5"/>
  <c r="H28" i="5"/>
  <c r="H17" i="5"/>
  <c r="H23" i="5"/>
  <c r="S314" i="13"/>
  <c r="BX65" i="13"/>
  <c r="BX63" i="13"/>
  <c r="BX66" i="13"/>
  <c r="H3" i="5"/>
  <c r="BR63" i="13"/>
  <c r="BR40" i="13"/>
  <c r="BR43" i="13"/>
  <c r="BR64" i="13"/>
  <c r="BR41" i="13"/>
  <c r="BR60" i="13"/>
  <c r="BR46" i="13"/>
  <c r="BR65" i="13"/>
  <c r="BR49" i="13"/>
  <c r="BR42" i="13"/>
  <c r="BR48" i="13"/>
  <c r="BR45" i="13"/>
  <c r="BR53" i="13"/>
  <c r="BR61" i="13"/>
  <c r="BR62" i="13"/>
  <c r="BR54" i="13"/>
  <c r="BR70" i="13"/>
  <c r="BR50" i="13"/>
  <c r="BR47" i="13"/>
  <c r="BR55" i="13"/>
  <c r="BR71" i="13"/>
  <c r="BR69" i="13"/>
  <c r="BR56" i="13"/>
  <c r="BR59" i="13"/>
  <c r="BR52" i="13"/>
  <c r="BR44" i="13"/>
  <c r="BR51" i="13"/>
  <c r="BR68" i="13"/>
  <c r="BR66" i="13"/>
  <c r="BR67" i="13"/>
  <c r="BX41" i="13"/>
  <c r="BX51" i="13"/>
  <c r="BX60" i="13"/>
  <c r="BX45" i="13"/>
  <c r="BX68" i="13"/>
  <c r="BX43" i="13"/>
  <c r="BX42" i="13"/>
  <c r="BX48" i="13"/>
  <c r="BX53" i="13"/>
  <c r="BX61" i="13"/>
  <c r="BX56" i="13"/>
  <c r="BX67" i="13"/>
  <c r="BX50" i="13"/>
  <c r="BX47" i="13"/>
  <c r="BX70" i="13"/>
  <c r="BX49" i="13"/>
  <c r="BX64" i="13"/>
  <c r="BX59" i="13"/>
  <c r="BX62" i="13"/>
  <c r="BX46" i="13"/>
  <c r="BX71" i="13"/>
  <c r="CB60" i="13"/>
  <c r="AK322" i="13"/>
  <c r="S321" i="13"/>
  <c r="CA62" i="13"/>
  <c r="CA59" i="13"/>
  <c r="CA70" i="13"/>
  <c r="CA41" i="13"/>
  <c r="CA66" i="13"/>
  <c r="CA63" i="13"/>
  <c r="CA48" i="13"/>
  <c r="CA60" i="13"/>
  <c r="CA61" i="13"/>
  <c r="F2" i="4"/>
  <c r="CA55" i="13"/>
  <c r="CA45" i="13"/>
  <c r="CA64" i="13"/>
  <c r="BV70" i="13"/>
  <c r="CA67" i="13"/>
  <c r="CA46" i="13"/>
  <c r="BY51" i="13"/>
  <c r="CB69" i="13"/>
  <c r="CA65" i="13"/>
  <c r="CA54" i="13"/>
  <c r="CA40" i="13"/>
  <c r="CA53" i="13"/>
  <c r="CA49" i="13"/>
  <c r="CA44" i="13"/>
  <c r="CA52" i="13"/>
  <c r="CA51" i="13"/>
  <c r="CA47" i="13"/>
  <c r="CA56" i="13"/>
  <c r="CA69" i="13"/>
  <c r="CA71" i="13"/>
  <c r="CA42" i="13"/>
  <c r="CA50" i="13"/>
  <c r="CA68" i="13"/>
  <c r="CB46" i="13"/>
  <c r="BY62" i="13"/>
  <c r="CB64" i="13"/>
  <c r="CB70" i="13"/>
  <c r="CB61" i="13"/>
  <c r="BB65" i="13"/>
  <c r="CC71" i="13" s="1"/>
  <c r="BY48" i="13"/>
  <c r="BY67" i="13"/>
  <c r="BY65" i="13"/>
  <c r="BY66" i="13"/>
  <c r="BY70" i="13"/>
  <c r="BY46" i="13"/>
  <c r="BY64" i="13"/>
  <c r="BY71" i="13"/>
  <c r="BY55" i="13"/>
  <c r="BY47" i="13"/>
  <c r="BY63" i="13"/>
  <c r="BY53" i="13"/>
  <c r="H10" i="5"/>
  <c r="BY42" i="13"/>
  <c r="BY49" i="13"/>
  <c r="BY40" i="13"/>
  <c r="BY43" i="13"/>
  <c r="BY50" i="13"/>
  <c r="BY60" i="13"/>
  <c r="BY69" i="13"/>
  <c r="BY52" i="13"/>
  <c r="BY45" i="13"/>
  <c r="BY59" i="13"/>
  <c r="BY44" i="13"/>
  <c r="BY56" i="13"/>
  <c r="BY41" i="13"/>
  <c r="BY68" i="13"/>
  <c r="BY61" i="13"/>
  <c r="CB47" i="13"/>
  <c r="CB40" i="13"/>
  <c r="CB66" i="13"/>
  <c r="H13" i="5"/>
  <c r="CB48" i="13"/>
  <c r="CB62" i="13"/>
  <c r="DV301" i="13"/>
  <c r="DA301" i="13" s="1"/>
  <c r="CB45" i="13"/>
  <c r="CB55" i="13"/>
  <c r="CB63" i="13"/>
  <c r="CB43" i="13"/>
  <c r="CB50" i="13"/>
  <c r="CB67" i="13"/>
  <c r="CB68" i="13"/>
  <c r="CB65" i="13"/>
  <c r="CB51" i="13"/>
  <c r="CB59" i="13"/>
  <c r="CB41" i="13"/>
  <c r="CB49" i="13"/>
  <c r="CB71" i="13"/>
  <c r="CB53" i="13"/>
  <c r="CB44" i="13"/>
  <c r="CB56" i="13"/>
  <c r="CB52" i="13"/>
  <c r="CB42" i="13"/>
  <c r="I220" i="13"/>
  <c r="E19" i="8"/>
  <c r="E24" i="8"/>
  <c r="AA343" i="13"/>
  <c r="G107" i="4"/>
  <c r="BV40" i="13"/>
  <c r="BS5" i="13"/>
  <c r="AU5" i="13" s="1"/>
  <c r="BV54" i="13"/>
  <c r="BV61" i="13"/>
  <c r="BV41" i="13"/>
  <c r="BV43" i="13"/>
  <c r="BV49" i="13"/>
  <c r="BU70" i="13"/>
  <c r="H6" i="5"/>
  <c r="BV63" i="13"/>
  <c r="H7" i="5"/>
  <c r="E18" i="8"/>
  <c r="L31" i="8" s="1"/>
  <c r="AY282" i="13"/>
  <c r="AX256" i="13" s="1"/>
  <c r="I343" i="13"/>
  <c r="BV60" i="13"/>
  <c r="BV56" i="13"/>
  <c r="BV46" i="13"/>
  <c r="BV48" i="13"/>
  <c r="BV64" i="13"/>
  <c r="BV65" i="13"/>
  <c r="BV69" i="13"/>
  <c r="BV66" i="13"/>
  <c r="CQ186" i="13"/>
  <c r="CI92" i="13" s="1"/>
  <c r="CQ92" i="13" s="1"/>
  <c r="CM92" i="13"/>
  <c r="CN92" i="13"/>
  <c r="AZ309" i="13"/>
  <c r="CR92" i="13" s="1"/>
  <c r="AJ220" i="13"/>
  <c r="AJ282" i="13"/>
  <c r="CQ343" i="13"/>
  <c r="CZ220" i="13"/>
  <c r="AZ343" i="13"/>
  <c r="BC111" i="13"/>
  <c r="CF92" i="13"/>
  <c r="CL92" i="13" s="1"/>
  <c r="BP92" i="13"/>
  <c r="E30" i="8" s="1"/>
  <c r="BF64" i="13"/>
  <c r="BF45" i="13" s="1"/>
  <c r="AA282" i="13"/>
  <c r="AA220" i="13"/>
  <c r="R258" i="13"/>
  <c r="R282" i="13" s="1"/>
  <c r="S258" i="13"/>
  <c r="R319" i="13"/>
  <c r="S319" i="13"/>
  <c r="AQ84" i="13"/>
  <c r="CQ220" i="13"/>
  <c r="BT85" i="13"/>
  <c r="BT56" i="13"/>
  <c r="BT89" i="13"/>
  <c r="BT59" i="13"/>
  <c r="BT51" i="13"/>
  <c r="BT68" i="13"/>
  <c r="BT81" i="13"/>
  <c r="BT63" i="13"/>
  <c r="BT46" i="13"/>
  <c r="BT40" i="13"/>
  <c r="BT64" i="13"/>
  <c r="BT41" i="13"/>
  <c r="BT67" i="13"/>
  <c r="BT52" i="13"/>
  <c r="BT69" i="13"/>
  <c r="BT90" i="13"/>
  <c r="BT47" i="13"/>
  <c r="BT88" i="13"/>
  <c r="BT84" i="13"/>
  <c r="BT54" i="13"/>
  <c r="BT78" i="13"/>
  <c r="BT45" i="13"/>
  <c r="BT83" i="13"/>
  <c r="BT74" i="13"/>
  <c r="BT87" i="13"/>
  <c r="BT48" i="13"/>
  <c r="BT50" i="13"/>
  <c r="BT77" i="13"/>
  <c r="BT43" i="13"/>
  <c r="BT76" i="13"/>
  <c r="BT61" i="13"/>
  <c r="BT70" i="13"/>
  <c r="BT62" i="13"/>
  <c r="BT49" i="13"/>
  <c r="BT66" i="13"/>
  <c r="BT86" i="13"/>
  <c r="BT79" i="13"/>
  <c r="BT71" i="13"/>
  <c r="BT44" i="13"/>
  <c r="BT55" i="13"/>
  <c r="BT65" i="13"/>
  <c r="BT60" i="13"/>
  <c r="BT80" i="13"/>
  <c r="BT42" i="13"/>
  <c r="BT53" i="13"/>
  <c r="BT82" i="13"/>
  <c r="BT75" i="13"/>
  <c r="E21" i="8"/>
  <c r="L34" i="8" s="1"/>
  <c r="E20" i="8"/>
  <c r="L33" i="8" s="1"/>
  <c r="AZ220" i="13"/>
  <c r="I282" i="13"/>
  <c r="BW64" i="13"/>
  <c r="BW52" i="13"/>
  <c r="BW63" i="13"/>
  <c r="BW48" i="13"/>
  <c r="BW65" i="13"/>
  <c r="BW54" i="13"/>
  <c r="BW59" i="13"/>
  <c r="BW41" i="13"/>
  <c r="BW49" i="13"/>
  <c r="BW46" i="13"/>
  <c r="BW70" i="13"/>
  <c r="BW45" i="13"/>
  <c r="BW69" i="13"/>
  <c r="BW40" i="13"/>
  <c r="BW61" i="13"/>
  <c r="BW43" i="13"/>
  <c r="BW56" i="13"/>
  <c r="BW53" i="13"/>
  <c r="BW62" i="13"/>
  <c r="BW47" i="13"/>
  <c r="BW66" i="13"/>
  <c r="BW71" i="13"/>
  <c r="BW50" i="13"/>
  <c r="BW44" i="13"/>
  <c r="BW68" i="13"/>
  <c r="BW67" i="13"/>
  <c r="BW60" i="13"/>
  <c r="BW51" i="13"/>
  <c r="BW42" i="13"/>
  <c r="BW55" i="13"/>
  <c r="CP282" i="13"/>
  <c r="CO274" i="13" s="1"/>
  <c r="H32" i="5" l="1"/>
  <c r="E17" i="8"/>
  <c r="L30" i="8" s="1"/>
  <c r="G97" i="4" s="1"/>
  <c r="DA295" i="13"/>
  <c r="BI117" i="13"/>
  <c r="CO297" i="13"/>
  <c r="S294" i="13"/>
  <c r="BI112" i="13"/>
  <c r="BI116" i="13" s="1"/>
  <c r="BU98" i="13"/>
  <c r="C6" i="5" s="1"/>
  <c r="G6" i="5" s="1"/>
  <c r="BO111" i="13"/>
  <c r="R220" i="13"/>
  <c r="H220" i="13" s="1"/>
  <c r="H21" i="5" s="1"/>
  <c r="CZ343" i="13"/>
  <c r="CP343" i="13" s="1"/>
  <c r="AY220" i="13"/>
  <c r="CO302" i="13"/>
  <c r="AZ186" i="13"/>
  <c r="CH92" i="13" s="1"/>
  <c r="CP92" i="13" s="1"/>
  <c r="BU93" i="13"/>
  <c r="BU97" i="13" s="1"/>
  <c r="EA60" i="13"/>
  <c r="DZ39" i="13" s="1"/>
  <c r="R343" i="13"/>
  <c r="H343" i="13" s="1"/>
  <c r="AI338" i="13" s="1"/>
  <c r="I186" i="13"/>
  <c r="CW92" i="13" s="1"/>
  <c r="CO300" i="13"/>
  <c r="I248" i="13"/>
  <c r="AJ343" i="13"/>
  <c r="Z343" i="13" s="1"/>
  <c r="H37" i="5" s="1"/>
  <c r="E23" i="8"/>
  <c r="L36" i="8" s="1"/>
  <c r="G103" i="4" s="1"/>
  <c r="GH160" i="13"/>
  <c r="C5" i="8"/>
  <c r="C4" i="8"/>
  <c r="CE92" i="13"/>
  <c r="CK92" i="13" s="1"/>
  <c r="ES60" i="13"/>
  <c r="ER41" i="13" s="1"/>
  <c r="CO55" i="13"/>
  <c r="CO59" i="13"/>
  <c r="CO31" i="13"/>
  <c r="CO37" i="13"/>
  <c r="CO41" i="13"/>
  <c r="CO47" i="13"/>
  <c r="CO51" i="13"/>
  <c r="CO28" i="13"/>
  <c r="CO32" i="13"/>
  <c r="CO35" i="13"/>
  <c r="CO38" i="13"/>
  <c r="CO42" i="13"/>
  <c r="CO48" i="13"/>
  <c r="CO52" i="13"/>
  <c r="CO56" i="13"/>
  <c r="CO57" i="13"/>
  <c r="CO29" i="13"/>
  <c r="CO33" i="13"/>
  <c r="CO39" i="13"/>
  <c r="CO43" i="13"/>
  <c r="CO49" i="13"/>
  <c r="CO53" i="13"/>
  <c r="CO30" i="13"/>
  <c r="CO34" i="13"/>
  <c r="CO36" i="13"/>
  <c r="CO40" i="13"/>
  <c r="CO44" i="13"/>
  <c r="CO50" i="13"/>
  <c r="CO58" i="13"/>
  <c r="CO54" i="13"/>
  <c r="GH122" i="13"/>
  <c r="GH130" i="13"/>
  <c r="GH140" i="13"/>
  <c r="GH148" i="13"/>
  <c r="GH123" i="13"/>
  <c r="GH131" i="13"/>
  <c r="GH141" i="13"/>
  <c r="GH149" i="13"/>
  <c r="GH128" i="13"/>
  <c r="GH136" i="13"/>
  <c r="GH146" i="13"/>
  <c r="GH125" i="13"/>
  <c r="GH133" i="13"/>
  <c r="GH143" i="13"/>
  <c r="GH151" i="13"/>
  <c r="GH126" i="13"/>
  <c r="GH134" i="13"/>
  <c r="GH144" i="13"/>
  <c r="GH152" i="13"/>
  <c r="GH127" i="13"/>
  <c r="GH135" i="13"/>
  <c r="GH145" i="13"/>
  <c r="GH121" i="13"/>
  <c r="GH124" i="13"/>
  <c r="GH132" i="13"/>
  <c r="GH142" i="13"/>
  <c r="GH150" i="13"/>
  <c r="GH129" i="13"/>
  <c r="GH137" i="13"/>
  <c r="GH147" i="13"/>
  <c r="H15" i="5"/>
  <c r="CX30" i="13"/>
  <c r="CX34" i="13"/>
  <c r="CX36" i="13"/>
  <c r="CX40" i="13"/>
  <c r="CX44" i="13"/>
  <c r="CX50" i="13"/>
  <c r="CX29" i="13"/>
  <c r="CX33" i="13"/>
  <c r="CX39" i="13"/>
  <c r="CX43" i="13"/>
  <c r="CX49" i="13"/>
  <c r="CX53" i="13"/>
  <c r="CX58" i="13"/>
  <c r="CX54" i="13"/>
  <c r="CX59" i="13"/>
  <c r="CX55" i="13"/>
  <c r="CX28" i="13"/>
  <c r="CX32" i="13"/>
  <c r="CX35" i="13"/>
  <c r="CX38" i="13"/>
  <c r="CX42" i="13"/>
  <c r="CX48" i="13"/>
  <c r="CX52" i="13"/>
  <c r="CX31" i="13"/>
  <c r="CX37" i="13"/>
  <c r="CX41" i="13"/>
  <c r="CX47" i="13"/>
  <c r="CX51" i="13"/>
  <c r="CX56" i="13"/>
  <c r="CX57" i="13"/>
  <c r="FQ54" i="13"/>
  <c r="FQ56" i="13"/>
  <c r="FQ28" i="13"/>
  <c r="FQ32" i="13"/>
  <c r="FQ38" i="13"/>
  <c r="FQ42" i="13"/>
  <c r="FQ48" i="13"/>
  <c r="FQ52" i="13"/>
  <c r="FQ31" i="13"/>
  <c r="FQ34" i="13"/>
  <c r="FQ37" i="13"/>
  <c r="FQ41" i="13"/>
  <c r="FQ47" i="13"/>
  <c r="FQ51" i="13"/>
  <c r="FQ57" i="13"/>
  <c r="FQ53" i="13"/>
  <c r="FQ58" i="13"/>
  <c r="FQ30" i="13"/>
  <c r="FQ36" i="13"/>
  <c r="FQ40" i="13"/>
  <c r="FQ44" i="13"/>
  <c r="FQ50" i="13"/>
  <c r="FQ29" i="13"/>
  <c r="FQ33" i="13"/>
  <c r="FQ35" i="13"/>
  <c r="FQ39" i="13"/>
  <c r="FQ43" i="13"/>
  <c r="FQ49" i="13"/>
  <c r="FQ59" i="13"/>
  <c r="FQ55" i="13"/>
  <c r="CO62" i="13"/>
  <c r="CO68" i="13"/>
  <c r="CO66" i="13"/>
  <c r="CO64" i="13"/>
  <c r="GH159" i="13"/>
  <c r="GH157" i="13"/>
  <c r="GH155" i="13"/>
  <c r="CO69" i="13"/>
  <c r="CO67" i="13"/>
  <c r="CO65" i="13"/>
  <c r="CO63" i="13"/>
  <c r="GH158" i="13"/>
  <c r="GH156" i="13"/>
  <c r="GH162" i="13"/>
  <c r="EB26" i="13"/>
  <c r="CG92" i="13" s="1"/>
  <c r="W25" i="5" s="1"/>
  <c r="EL26" i="13"/>
  <c r="DZ26" i="13"/>
  <c r="GJ160" i="13"/>
  <c r="GI160" i="13"/>
  <c r="GI163" i="13" s="1"/>
  <c r="BR93" i="13"/>
  <c r="BR97" i="13" s="1"/>
  <c r="BS93" i="13"/>
  <c r="BS97" i="13" s="1"/>
  <c r="G186" i="13"/>
  <c r="S299" i="13"/>
  <c r="CO186" i="13"/>
  <c r="G52" i="8"/>
  <c r="CC92" i="13"/>
  <c r="DA299" i="13"/>
  <c r="H30" i="8"/>
  <c r="D29" i="8"/>
  <c r="G71" i="4" s="1"/>
  <c r="I29" i="8"/>
  <c r="G111" i="4" s="1"/>
  <c r="CD92" i="13"/>
  <c r="W24" i="5" s="1"/>
  <c r="I298" i="13"/>
  <c r="I306" i="13"/>
  <c r="I299" i="13"/>
  <c r="G299" i="13"/>
  <c r="I295" i="13"/>
  <c r="G248" i="13"/>
  <c r="G298" i="13"/>
  <c r="I294" i="13"/>
  <c r="S186" i="13"/>
  <c r="S248" i="13"/>
  <c r="BJ309" i="13"/>
  <c r="CO294" i="13"/>
  <c r="CQ294" i="13"/>
  <c r="I303" i="13"/>
  <c r="G303" i="13"/>
  <c r="CO298" i="13"/>
  <c r="CQ298" i="13"/>
  <c r="CO306" i="13"/>
  <c r="CQ306" i="13"/>
  <c r="CO301" i="13"/>
  <c r="AY343" i="13"/>
  <c r="BH332" i="13"/>
  <c r="CQ299" i="13"/>
  <c r="CO299" i="13"/>
  <c r="CQ295" i="13"/>
  <c r="CO295" i="13"/>
  <c r="CQ303" i="13"/>
  <c r="CO303" i="13"/>
  <c r="G294" i="13"/>
  <c r="S306" i="13"/>
  <c r="G306" i="13"/>
  <c r="G295" i="13"/>
  <c r="S295" i="13"/>
  <c r="S302" i="13"/>
  <c r="G302" i="13"/>
  <c r="G301" i="13"/>
  <c r="S301" i="13"/>
  <c r="BZ98" i="13"/>
  <c r="BZ93" i="13"/>
  <c r="BZ97" i="13" s="1"/>
  <c r="AX274" i="13"/>
  <c r="AX273" i="13"/>
  <c r="AX271" i="13"/>
  <c r="CP220" i="13"/>
  <c r="CY209" i="13" s="1"/>
  <c r="BX98" i="13"/>
  <c r="E28" i="8"/>
  <c r="L41" i="8" s="1"/>
  <c r="G108" i="4" s="1"/>
  <c r="BX93" i="13"/>
  <c r="BX97" i="13" s="1"/>
  <c r="CO275" i="13"/>
  <c r="CO271" i="13"/>
  <c r="CO276" i="13"/>
  <c r="CO272" i="13"/>
  <c r="CO277" i="13"/>
  <c r="CO273" i="13"/>
  <c r="CO278" i="13"/>
  <c r="CO270" i="13"/>
  <c r="CO260" i="13"/>
  <c r="AX265" i="13"/>
  <c r="AX277" i="13"/>
  <c r="AX275" i="13"/>
  <c r="AX260" i="13"/>
  <c r="AX276" i="13"/>
  <c r="AX272" i="13"/>
  <c r="AX270" i="13"/>
  <c r="BR98" i="13"/>
  <c r="Z220" i="13"/>
  <c r="H35" i="5" s="1"/>
  <c r="CC69" i="13"/>
  <c r="H14" i="5"/>
  <c r="CC50" i="13"/>
  <c r="CC67" i="13"/>
  <c r="CC61" i="13"/>
  <c r="CC55" i="13"/>
  <c r="CC59" i="13"/>
  <c r="CC47" i="13"/>
  <c r="CC60" i="13"/>
  <c r="CC64" i="13"/>
  <c r="CC54" i="13"/>
  <c r="CC52" i="13"/>
  <c r="CC63" i="13"/>
  <c r="CC53" i="13"/>
  <c r="CC56" i="13"/>
  <c r="CC65" i="13"/>
  <c r="CC44" i="13"/>
  <c r="AX264" i="13"/>
  <c r="BP102" i="13"/>
  <c r="C7" i="8" s="1"/>
  <c r="CC62" i="13"/>
  <c r="CC42" i="13"/>
  <c r="CC66" i="13"/>
  <c r="CC68" i="13"/>
  <c r="CC46" i="13"/>
  <c r="CC70" i="13"/>
  <c r="CA98" i="13"/>
  <c r="AX258" i="13"/>
  <c r="AX250" i="13"/>
  <c r="AX257" i="13"/>
  <c r="CA93" i="13"/>
  <c r="CA97" i="13" s="1"/>
  <c r="AX259" i="13"/>
  <c r="AX266" i="13"/>
  <c r="AX263" i="13"/>
  <c r="AX253" i="13"/>
  <c r="AX280" i="13"/>
  <c r="AX255" i="13"/>
  <c r="CC40" i="13"/>
  <c r="CC49" i="13"/>
  <c r="CC45" i="13"/>
  <c r="CC51" i="13"/>
  <c r="CC48" i="13"/>
  <c r="CC41" i="13"/>
  <c r="CC43" i="13"/>
  <c r="BY93" i="13"/>
  <c r="BY97" i="13" s="1"/>
  <c r="L37" i="8"/>
  <c r="G104" i="4" s="1"/>
  <c r="L32" i="8"/>
  <c r="G99" i="4" s="1"/>
  <c r="BY98" i="13"/>
  <c r="CB98" i="13"/>
  <c r="CB93" i="13"/>
  <c r="CB97" i="13" s="1"/>
  <c r="BS98" i="13"/>
  <c r="C4" i="5" s="1"/>
  <c r="G4" i="5" s="1"/>
  <c r="BG117" i="13"/>
  <c r="BV98" i="13"/>
  <c r="G100" i="4"/>
  <c r="G101" i="4"/>
  <c r="G98" i="4"/>
  <c r="AX252" i="13"/>
  <c r="AX261" i="13"/>
  <c r="AX278" i="13"/>
  <c r="AX269" i="13"/>
  <c r="AX279" i="13"/>
  <c r="AX281" i="13"/>
  <c r="AX251" i="13"/>
  <c r="AX262" i="13"/>
  <c r="AX254" i="13"/>
  <c r="BG112" i="13"/>
  <c r="BG116" i="13" s="1"/>
  <c r="I4" i="8"/>
  <c r="G62" i="4" s="1"/>
  <c r="BV93" i="13"/>
  <c r="BV97" i="13" s="1"/>
  <c r="H282" i="13"/>
  <c r="H26" i="5" s="1"/>
  <c r="BF63" i="13"/>
  <c r="BF44" i="13" s="1"/>
  <c r="CU92" i="13"/>
  <c r="Z282" i="13"/>
  <c r="H36" i="5" s="1"/>
  <c r="BR83" i="13"/>
  <c r="BR81" i="13"/>
  <c r="BR78" i="13"/>
  <c r="BR80" i="13"/>
  <c r="BR79" i="13"/>
  <c r="BR77" i="13"/>
  <c r="BR75" i="13"/>
  <c r="BR76" i="13"/>
  <c r="BR88" i="13"/>
  <c r="BR86" i="13"/>
  <c r="BR84" i="13"/>
  <c r="BR82" i="13"/>
  <c r="BR90" i="13"/>
  <c r="BR74" i="13"/>
  <c r="BR89" i="13"/>
  <c r="BR87" i="13"/>
  <c r="BR85" i="13"/>
  <c r="BW98" i="13"/>
  <c r="BW93" i="13"/>
  <c r="BW97" i="13" s="1"/>
  <c r="BH117" i="13"/>
  <c r="BH112" i="13"/>
  <c r="BH116" i="13" s="1"/>
  <c r="BT93" i="13"/>
  <c r="BT97" i="13" s="1"/>
  <c r="BT98" i="13"/>
  <c r="CO263" i="13"/>
  <c r="CO279" i="13"/>
  <c r="CO253" i="13"/>
  <c r="CO252" i="13"/>
  <c r="CO256" i="13"/>
  <c r="CO264" i="13"/>
  <c r="CO280" i="13"/>
  <c r="CO254" i="13"/>
  <c r="CO257" i="13"/>
  <c r="CO261" i="13"/>
  <c r="CO265" i="13"/>
  <c r="CO281" i="13"/>
  <c r="CO258" i="13"/>
  <c r="CO262" i="13"/>
  <c r="CO266" i="13"/>
  <c r="CO269" i="13"/>
  <c r="CO250" i="13"/>
  <c r="CO251" i="13"/>
  <c r="CO255" i="13"/>
  <c r="CO259" i="13"/>
  <c r="BD40" i="13"/>
  <c r="DZ29" i="13" l="1"/>
  <c r="DA309" i="13"/>
  <c r="EJ33" i="13"/>
  <c r="C12" i="5"/>
  <c r="G12" i="5" s="1"/>
  <c r="M12" i="5" s="1"/>
  <c r="DZ37" i="13"/>
  <c r="EJ41" i="13"/>
  <c r="H34" i="5"/>
  <c r="CY214" i="13"/>
  <c r="EJ32" i="13"/>
  <c r="DZ28" i="13"/>
  <c r="EJ49" i="13"/>
  <c r="DZ43" i="13"/>
  <c r="EJ52" i="13"/>
  <c r="DZ48" i="13"/>
  <c r="EJ40" i="13"/>
  <c r="DZ36" i="13"/>
  <c r="H18" i="5"/>
  <c r="DZ59" i="13"/>
  <c r="EJ58" i="13"/>
  <c r="DZ54" i="13"/>
  <c r="EJ56" i="13"/>
  <c r="EJ38" i="13"/>
  <c r="EJ47" i="13"/>
  <c r="EJ31" i="13"/>
  <c r="DZ52" i="13"/>
  <c r="DZ32" i="13"/>
  <c r="DZ41" i="13"/>
  <c r="EJ57" i="13"/>
  <c r="EJ44" i="13"/>
  <c r="EJ53" i="13"/>
  <c r="EJ35" i="13"/>
  <c r="DZ58" i="13"/>
  <c r="DZ40" i="13"/>
  <c r="DZ49" i="13"/>
  <c r="DZ33" i="13"/>
  <c r="EJ55" i="13"/>
  <c r="EJ42" i="13"/>
  <c r="EJ51" i="13"/>
  <c r="EJ34" i="13"/>
  <c r="DZ56" i="13"/>
  <c r="DZ38" i="13"/>
  <c r="DZ47" i="13"/>
  <c r="DZ31" i="13"/>
  <c r="EJ50" i="13"/>
  <c r="EJ30" i="13"/>
  <c r="EJ39" i="13"/>
  <c r="DZ57" i="13"/>
  <c r="DZ44" i="13"/>
  <c r="DZ53" i="13"/>
  <c r="DZ35" i="13"/>
  <c r="EJ59" i="13"/>
  <c r="EJ48" i="13"/>
  <c r="EJ28" i="13"/>
  <c r="EJ37" i="13"/>
  <c r="DZ55" i="13"/>
  <c r="DZ42" i="13"/>
  <c r="DZ51" i="13"/>
  <c r="DZ34" i="13"/>
  <c r="EJ54" i="13"/>
  <c r="EJ36" i="13"/>
  <c r="EJ43" i="13"/>
  <c r="EJ29" i="13"/>
  <c r="DZ50" i="13"/>
  <c r="DZ30" i="13"/>
  <c r="CJ92" i="13"/>
  <c r="W26" i="5" s="1"/>
  <c r="CX92" i="13"/>
  <c r="CY197" i="13"/>
  <c r="CO217" i="13"/>
  <c r="CY195" i="13"/>
  <c r="CO191" i="13"/>
  <c r="Y190" i="13"/>
  <c r="CO189" i="13"/>
  <c r="CO210" i="13"/>
  <c r="CY213" i="13"/>
  <c r="CO202" i="13"/>
  <c r="CY194" i="13"/>
  <c r="CY202" i="13"/>
  <c r="CO198" i="13"/>
  <c r="CY192" i="13"/>
  <c r="CY211" i="13"/>
  <c r="CY193" i="13"/>
  <c r="CO199" i="13"/>
  <c r="CO195" i="13"/>
  <c r="CO193" i="13"/>
  <c r="CO196" i="13"/>
  <c r="CO194" i="13"/>
  <c r="CO214" i="13"/>
  <c r="CY212" i="13"/>
  <c r="EY40" i="13"/>
  <c r="ER56" i="13"/>
  <c r="ER35" i="13"/>
  <c r="EY32" i="13"/>
  <c r="ER52" i="13" s="1"/>
  <c r="ER57" i="13"/>
  <c r="ER31" i="13"/>
  <c r="EY39" i="13"/>
  <c r="EY55" i="13"/>
  <c r="ER28" i="13"/>
  <c r="ER36" i="13"/>
  <c r="EY34" i="13"/>
  <c r="CY199" i="13"/>
  <c r="CY218" i="13"/>
  <c r="CO212" i="13"/>
  <c r="CO204" i="13"/>
  <c r="CY198" i="13"/>
  <c r="CO219" i="13"/>
  <c r="CO213" i="13"/>
  <c r="EY50" i="13"/>
  <c r="EY33" i="13"/>
  <c r="ER53" i="13"/>
  <c r="EY42" i="13"/>
  <c r="ER59" i="13"/>
  <c r="ER47" i="13"/>
  <c r="EY30" i="13"/>
  <c r="ER44" i="13"/>
  <c r="ER29" i="13"/>
  <c r="EY51" i="13"/>
  <c r="ER38" i="13"/>
  <c r="CV92" i="13"/>
  <c r="EY58" i="13"/>
  <c r="EY49" i="13"/>
  <c r="ER54" i="13"/>
  <c r="ER43" i="13"/>
  <c r="EY52" i="13"/>
  <c r="EY41" i="13"/>
  <c r="ER37" i="13"/>
  <c r="G189" i="13"/>
  <c r="EY54" i="13"/>
  <c r="EY36" i="13"/>
  <c r="EY43" i="13"/>
  <c r="EY29" i="13"/>
  <c r="ER50" i="13"/>
  <c r="ER30" i="13"/>
  <c r="ER39" i="13"/>
  <c r="EY59" i="13"/>
  <c r="EY48" i="13"/>
  <c r="EY28" i="13"/>
  <c r="ER48" i="13" s="1"/>
  <c r="EY37" i="13"/>
  <c r="ER55" i="13"/>
  <c r="ER42" i="13"/>
  <c r="ER51" i="13"/>
  <c r="ER34" i="13"/>
  <c r="Q202" i="13"/>
  <c r="EY57" i="13"/>
  <c r="EY44" i="13"/>
  <c r="EY53" i="13"/>
  <c r="EY35" i="13"/>
  <c r="ER58" i="13"/>
  <c r="ER40" i="13"/>
  <c r="ER49" i="13"/>
  <c r="ER33" i="13"/>
  <c r="EY56" i="13"/>
  <c r="EY38" i="13"/>
  <c r="EY47" i="13"/>
  <c r="EY31" i="13"/>
  <c r="ER32" i="13"/>
  <c r="C9" i="5"/>
  <c r="G9" i="5" s="1"/>
  <c r="M9" i="5" s="1"/>
  <c r="C3" i="5"/>
  <c r="G3" i="5" s="1"/>
  <c r="M3" i="5" s="1"/>
  <c r="G17" i="8" s="1"/>
  <c r="K17" i="8" s="1"/>
  <c r="CO309" i="13"/>
  <c r="E13" i="8"/>
  <c r="CY217" i="13"/>
  <c r="CO201" i="13"/>
  <c r="CO190" i="13"/>
  <c r="CY216" i="13"/>
  <c r="CY196" i="13"/>
  <c r="CY204" i="13"/>
  <c r="CO192" i="13"/>
  <c r="CY201" i="13"/>
  <c r="CY219" i="13"/>
  <c r="CY189" i="13"/>
  <c r="CY190" i="13"/>
  <c r="CY210" i="13"/>
  <c r="CO197" i="13"/>
  <c r="CY215" i="13"/>
  <c r="CO203" i="13"/>
  <c r="CY200" i="13"/>
  <c r="CO211" i="13"/>
  <c r="CO188" i="13"/>
  <c r="CY208" i="13"/>
  <c r="CY203" i="13"/>
  <c r="CY188" i="13"/>
  <c r="CO216" i="13"/>
  <c r="CO207" i="13"/>
  <c r="CO215" i="13"/>
  <c r="CO218" i="13"/>
  <c r="CO208" i="13"/>
  <c r="CY191" i="13"/>
  <c r="CY207" i="13"/>
  <c r="CO200" i="13"/>
  <c r="AI191" i="13"/>
  <c r="CY319" i="13"/>
  <c r="C13" i="5"/>
  <c r="G13" i="5" s="1"/>
  <c r="M13" i="5" s="1"/>
  <c r="Q193" i="13"/>
  <c r="AI210" i="13"/>
  <c r="Y207" i="13"/>
  <c r="CO314" i="13"/>
  <c r="CO334" i="13"/>
  <c r="Y342" i="13"/>
  <c r="AX319" i="13"/>
  <c r="Q316" i="13"/>
  <c r="AI340" i="13"/>
  <c r="G265" i="13"/>
  <c r="CO337" i="13"/>
  <c r="CY315" i="13"/>
  <c r="CO339" i="13"/>
  <c r="AX315" i="13"/>
  <c r="CY334" i="13"/>
  <c r="Q342" i="13"/>
  <c r="Y322" i="13"/>
  <c r="AI320" i="13"/>
  <c r="CO313" i="13"/>
  <c r="CY311" i="13"/>
  <c r="BH317" i="13"/>
  <c r="G336" i="13"/>
  <c r="BH316" i="13"/>
  <c r="CO341" i="13"/>
  <c r="AX318" i="13"/>
  <c r="BH314" i="13"/>
  <c r="Q324" i="13"/>
  <c r="Q337" i="13"/>
  <c r="Y333" i="13"/>
  <c r="Y315" i="13"/>
  <c r="AI330" i="13"/>
  <c r="AI311" i="13"/>
  <c r="G202" i="13"/>
  <c r="G201" i="13"/>
  <c r="Q211" i="13"/>
  <c r="AI219" i="13"/>
  <c r="AI200" i="13"/>
  <c r="Y216" i="13"/>
  <c r="Y197" i="13"/>
  <c r="I309" i="13"/>
  <c r="CY92" i="13" s="1"/>
  <c r="CY324" i="13"/>
  <c r="AX335" i="13"/>
  <c r="G316" i="13"/>
  <c r="AX320" i="13"/>
  <c r="CY335" i="13"/>
  <c r="CY320" i="13"/>
  <c r="AX334" i="13"/>
  <c r="BH336" i="13"/>
  <c r="BH321" i="13"/>
  <c r="BH325" i="13"/>
  <c r="AX333" i="13"/>
  <c r="Q339" i="13"/>
  <c r="AX311" i="13"/>
  <c r="Q325" i="13"/>
  <c r="BH334" i="13"/>
  <c r="BH320" i="13"/>
  <c r="CO322" i="13"/>
  <c r="BH319" i="13"/>
  <c r="AX337" i="13"/>
  <c r="CY327" i="13"/>
  <c r="G323" i="13"/>
  <c r="Y337" i="13"/>
  <c r="Y326" i="13"/>
  <c r="Y319" i="13"/>
  <c r="Y311" i="13"/>
  <c r="AI335" i="13"/>
  <c r="AI324" i="13"/>
  <c r="AI315" i="13"/>
  <c r="C11" i="5"/>
  <c r="G11" i="5" s="1"/>
  <c r="M11" i="5" s="1"/>
  <c r="CO92" i="13"/>
  <c r="W27" i="5" s="1"/>
  <c r="S309" i="13"/>
  <c r="G309" i="13"/>
  <c r="CF93" i="13"/>
  <c r="CL93" i="13" s="1"/>
  <c r="CN93" i="13"/>
  <c r="CN97" i="13" s="1"/>
  <c r="CQ309" i="13"/>
  <c r="CS92" i="13" s="1"/>
  <c r="CE93" i="13"/>
  <c r="CM98" i="13"/>
  <c r="CM93" i="13"/>
  <c r="CM97" i="13" s="1"/>
  <c r="CD93" i="13"/>
  <c r="Z24" i="5" s="1"/>
  <c r="C10" i="5"/>
  <c r="G10" i="5" s="1"/>
  <c r="M10" i="5" s="1"/>
  <c r="C7" i="5"/>
  <c r="G7" i="5" s="1"/>
  <c r="M7" i="5" s="1"/>
  <c r="AX341" i="13"/>
  <c r="AX340" i="13"/>
  <c r="G318" i="13"/>
  <c r="AX322" i="13"/>
  <c r="Q338" i="13"/>
  <c r="Q340" i="13"/>
  <c r="G324" i="13"/>
  <c r="CY339" i="13"/>
  <c r="CY318" i="13"/>
  <c r="G322" i="13"/>
  <c r="Q334" i="13"/>
  <c r="CO331" i="13"/>
  <c r="AX327" i="13"/>
  <c r="AX342" i="13"/>
  <c r="BH338" i="13"/>
  <c r="G335" i="13"/>
  <c r="CO320" i="13"/>
  <c r="CO323" i="13"/>
  <c r="Q333" i="13"/>
  <c r="BH312" i="13"/>
  <c r="BH311" i="13"/>
  <c r="AX336" i="13"/>
  <c r="Q335" i="13"/>
  <c r="CO319" i="13"/>
  <c r="CY322" i="13"/>
  <c r="Q319" i="13"/>
  <c r="CY316" i="13"/>
  <c r="Q312" i="13"/>
  <c r="AX316" i="13"/>
  <c r="G320" i="13"/>
  <c r="AX312" i="13"/>
  <c r="Q314" i="13"/>
  <c r="Q327" i="13"/>
  <c r="CY323" i="13"/>
  <c r="BH341" i="13"/>
  <c r="Q322" i="13"/>
  <c r="Q320" i="13"/>
  <c r="CY325" i="13"/>
  <c r="Q323" i="13"/>
  <c r="CO335" i="13"/>
  <c r="CY333" i="13"/>
  <c r="BH340" i="13"/>
  <c r="CY336" i="13"/>
  <c r="Y340" i="13"/>
  <c r="Y335" i="13"/>
  <c r="Y330" i="13"/>
  <c r="Y324" i="13"/>
  <c r="Y320" i="13"/>
  <c r="Y317" i="13"/>
  <c r="Y313" i="13"/>
  <c r="AI342" i="13"/>
  <c r="AI337" i="13"/>
  <c r="AI333" i="13"/>
  <c r="AI326" i="13"/>
  <c r="AI322" i="13"/>
  <c r="AI317" i="13"/>
  <c r="AI313" i="13"/>
  <c r="G311" i="13"/>
  <c r="F32" i="5"/>
  <c r="F39" i="5"/>
  <c r="H39" i="5" s="1"/>
  <c r="Q336" i="13"/>
  <c r="AX339" i="13"/>
  <c r="G341" i="13"/>
  <c r="Q315" i="13"/>
  <c r="CY330" i="13"/>
  <c r="CO324" i="13"/>
  <c r="CY342" i="13"/>
  <c r="AX323" i="13"/>
  <c r="G340" i="13"/>
  <c r="CY314" i="13"/>
  <c r="Q311" i="13"/>
  <c r="AX331" i="13"/>
  <c r="BH330" i="13"/>
  <c r="G321" i="13"/>
  <c r="CO326" i="13"/>
  <c r="BH322" i="13"/>
  <c r="CY321" i="13"/>
  <c r="CO312" i="13"/>
  <c r="BH313" i="13"/>
  <c r="AX317" i="13"/>
  <c r="CO318" i="13"/>
  <c r="BH318" i="13"/>
  <c r="CY331" i="13"/>
  <c r="G339" i="13"/>
  <c r="AX325" i="13"/>
  <c r="CO338" i="13"/>
  <c r="G327" i="13"/>
  <c r="BH315" i="13"/>
  <c r="Q330" i="13"/>
  <c r="CO315" i="13"/>
  <c r="CY341" i="13"/>
  <c r="G342" i="13"/>
  <c r="AX313" i="13"/>
  <c r="BH339" i="13"/>
  <c r="G338" i="13"/>
  <c r="CO342" i="13"/>
  <c r="CO311" i="13"/>
  <c r="Q318" i="13"/>
  <c r="BH337" i="13"/>
  <c r="CO336" i="13"/>
  <c r="Q321" i="13"/>
  <c r="G325" i="13"/>
  <c r="G326" i="13"/>
  <c r="Q317" i="13"/>
  <c r="CO327" i="13"/>
  <c r="AX324" i="13"/>
  <c r="BH331" i="13"/>
  <c r="CY317" i="13"/>
  <c r="CO330" i="13"/>
  <c r="CO340" i="13"/>
  <c r="CO321" i="13"/>
  <c r="Q341" i="13"/>
  <c r="G317" i="13"/>
  <c r="G334" i="13"/>
  <c r="CY313" i="13"/>
  <c r="G337" i="13"/>
  <c r="CY338" i="13"/>
  <c r="CO316" i="13"/>
  <c r="AX326" i="13"/>
  <c r="G319" i="13"/>
  <c r="AX321" i="13"/>
  <c r="Q313" i="13"/>
  <c r="G314" i="13"/>
  <c r="BH323" i="13"/>
  <c r="BH327" i="13"/>
  <c r="BH335" i="13"/>
  <c r="BH333" i="13"/>
  <c r="G313" i="13"/>
  <c r="BH326" i="13"/>
  <c r="CY326" i="13"/>
  <c r="BH342" i="13"/>
  <c r="CO333" i="13"/>
  <c r="CO325" i="13"/>
  <c r="CY340" i="13"/>
  <c r="CY337" i="13"/>
  <c r="CO317" i="13"/>
  <c r="CY312" i="13"/>
  <c r="G315" i="13"/>
  <c r="G312" i="13"/>
  <c r="BH324" i="13"/>
  <c r="Q326" i="13"/>
  <c r="AX330" i="13"/>
  <c r="AX314" i="13"/>
  <c r="Q331" i="13"/>
  <c r="AX338" i="13"/>
  <c r="Y341" i="13"/>
  <c r="Y339" i="13"/>
  <c r="Y336" i="13"/>
  <c r="Y334" i="13"/>
  <c r="Y331" i="13"/>
  <c r="Y327" i="13"/>
  <c r="Y325" i="13"/>
  <c r="Y323" i="13"/>
  <c r="Y321" i="13"/>
  <c r="AI319" i="13"/>
  <c r="Y318" i="13"/>
  <c r="Y316" i="13"/>
  <c r="Y314" i="13"/>
  <c r="Y312" i="13"/>
  <c r="Y338" i="13"/>
  <c r="AI341" i="13"/>
  <c r="AI339" i="13"/>
  <c r="AI336" i="13"/>
  <c r="AI334" i="13"/>
  <c r="AI331" i="13"/>
  <c r="AI327" i="13"/>
  <c r="AI325" i="13"/>
  <c r="AI323" i="13"/>
  <c r="AI321" i="13"/>
  <c r="AI318" i="13"/>
  <c r="AI316" i="13"/>
  <c r="AI314" i="13"/>
  <c r="AI312" i="13"/>
  <c r="CO209" i="13"/>
  <c r="Q276" i="13"/>
  <c r="G191" i="13"/>
  <c r="G208" i="13"/>
  <c r="G217" i="13"/>
  <c r="Q219" i="13"/>
  <c r="Q201" i="13"/>
  <c r="Q194" i="13"/>
  <c r="Q212" i="13"/>
  <c r="AI214" i="13"/>
  <c r="AI204" i="13"/>
  <c r="AI195" i="13"/>
  <c r="AI215" i="13"/>
  <c r="Y211" i="13"/>
  <c r="Y201" i="13"/>
  <c r="Y194" i="13"/>
  <c r="Q188" i="13"/>
  <c r="G195" i="13"/>
  <c r="G263" i="13"/>
  <c r="Q254" i="13"/>
  <c r="G214" i="13"/>
  <c r="G197" i="13"/>
  <c r="G218" i="13"/>
  <c r="G215" i="13"/>
  <c r="G193" i="13"/>
  <c r="G210" i="13"/>
  <c r="Q191" i="13"/>
  <c r="Q218" i="13"/>
  <c r="Q197" i="13"/>
  <c r="Q207" i="13"/>
  <c r="Q215" i="13"/>
  <c r="Q198" i="13"/>
  <c r="Q208" i="13"/>
  <c r="Q216" i="13"/>
  <c r="AI217" i="13"/>
  <c r="AI212" i="13"/>
  <c r="AI208" i="13"/>
  <c r="AI202" i="13"/>
  <c r="AI198" i="13"/>
  <c r="AI193" i="13"/>
  <c r="AI189" i="13"/>
  <c r="Y218" i="13"/>
  <c r="Y213" i="13"/>
  <c r="Y209" i="13"/>
  <c r="Y203" i="13"/>
  <c r="Y199" i="13"/>
  <c r="Y196" i="13"/>
  <c r="Y192" i="13"/>
  <c r="Y188" i="13"/>
  <c r="AI254" i="13"/>
  <c r="G192" i="13"/>
  <c r="H31" i="5"/>
  <c r="H27" i="5" s="1"/>
  <c r="AX332" i="13"/>
  <c r="G332" i="13"/>
  <c r="Q332" i="13"/>
  <c r="G330" i="13"/>
  <c r="Y332" i="13"/>
  <c r="G331" i="13"/>
  <c r="AI332" i="13"/>
  <c r="G333" i="13"/>
  <c r="CO332" i="13"/>
  <c r="CY332" i="13"/>
  <c r="Q280" i="13"/>
  <c r="G271" i="13"/>
  <c r="G274" i="13"/>
  <c r="G209" i="13"/>
  <c r="G196" i="13"/>
  <c r="G198" i="13"/>
  <c r="G211" i="13"/>
  <c r="G212" i="13"/>
  <c r="G216" i="13"/>
  <c r="G200" i="13"/>
  <c r="G203" i="13"/>
  <c r="G213" i="13"/>
  <c r="G190" i="13"/>
  <c r="G199" i="13"/>
  <c r="G194" i="13"/>
  <c r="Q189" i="13"/>
  <c r="Q217" i="13"/>
  <c r="Q190" i="13"/>
  <c r="G207" i="13"/>
  <c r="Q195" i="13"/>
  <c r="Q199" i="13"/>
  <c r="Q203" i="13"/>
  <c r="Q209" i="13"/>
  <c r="Q213" i="13"/>
  <c r="Q192" i="13"/>
  <c r="Q196" i="13"/>
  <c r="Q200" i="13"/>
  <c r="Q204" i="13"/>
  <c r="Q210" i="13"/>
  <c r="Q214" i="13"/>
  <c r="Y215" i="13"/>
  <c r="AI218" i="13"/>
  <c r="AI216" i="13"/>
  <c r="AI213" i="13"/>
  <c r="AI211" i="13"/>
  <c r="AI209" i="13"/>
  <c r="AI207" i="13"/>
  <c r="AI203" i="13"/>
  <c r="AI201" i="13"/>
  <c r="AI199" i="13"/>
  <c r="AI197" i="13"/>
  <c r="AI194" i="13"/>
  <c r="AI192" i="13"/>
  <c r="AI190" i="13"/>
  <c r="AI188" i="13"/>
  <c r="Y219" i="13"/>
  <c r="Y217" i="13"/>
  <c r="Y214" i="13"/>
  <c r="Y212" i="13"/>
  <c r="Y210" i="13"/>
  <c r="Y208" i="13"/>
  <c r="Y204" i="13"/>
  <c r="Y202" i="13"/>
  <c r="Y200" i="13"/>
  <c r="Y198" i="13"/>
  <c r="AI196" i="13"/>
  <c r="Y195" i="13"/>
  <c r="Y193" i="13"/>
  <c r="Y191" i="13"/>
  <c r="Y189" i="13"/>
  <c r="G188" i="13"/>
  <c r="AI259" i="13"/>
  <c r="G219" i="13"/>
  <c r="G204" i="13"/>
  <c r="CC93" i="13"/>
  <c r="CC97" i="13" s="1"/>
  <c r="CC98" i="13"/>
  <c r="G279" i="13"/>
  <c r="Q275" i="13"/>
  <c r="Q281" i="13"/>
  <c r="Q273" i="13"/>
  <c r="G280" i="13"/>
  <c r="Q265" i="13"/>
  <c r="G254" i="13"/>
  <c r="AI279" i="13"/>
  <c r="AI275" i="13"/>
  <c r="G253" i="13"/>
  <c r="Q256" i="13"/>
  <c r="Q279" i="13"/>
  <c r="G259" i="13"/>
  <c r="G278" i="13"/>
  <c r="G269" i="13"/>
  <c r="G273" i="13"/>
  <c r="G251" i="13"/>
  <c r="Q270" i="13"/>
  <c r="Q255" i="13"/>
  <c r="Q274" i="13"/>
  <c r="Q253" i="13"/>
  <c r="Q257" i="13"/>
  <c r="Q277" i="13"/>
  <c r="AI269" i="13"/>
  <c r="AI253" i="13"/>
  <c r="AI264" i="13"/>
  <c r="Q250" i="13"/>
  <c r="Q278" i="13"/>
  <c r="G272" i="13"/>
  <c r="Q261" i="13"/>
  <c r="G252" i="13"/>
  <c r="G281" i="13"/>
  <c r="Q263" i="13"/>
  <c r="G275" i="13"/>
  <c r="G255" i="13"/>
  <c r="Q271" i="13"/>
  <c r="Q252" i="13"/>
  <c r="G257" i="13"/>
  <c r="G266" i="13"/>
  <c r="G270" i="13"/>
  <c r="G260" i="13"/>
  <c r="G276" i="13"/>
  <c r="Q269" i="13"/>
  <c r="Q264" i="13"/>
  <c r="Q262" i="13"/>
  <c r="G262" i="13"/>
  <c r="G277" i="13"/>
  <c r="G264" i="13"/>
  <c r="G258" i="13"/>
  <c r="Q258" i="13"/>
  <c r="Q266" i="13"/>
  <c r="G256" i="13"/>
  <c r="G261" i="13"/>
  <c r="Q272" i="13"/>
  <c r="Q259" i="13"/>
  <c r="Q260" i="13"/>
  <c r="AI273" i="13"/>
  <c r="AI263" i="13"/>
  <c r="AI257" i="13"/>
  <c r="AI280" i="13"/>
  <c r="AI270" i="13"/>
  <c r="AI260" i="13"/>
  <c r="AI250" i="13"/>
  <c r="AI274" i="13"/>
  <c r="M6" i="5"/>
  <c r="M4" i="5"/>
  <c r="G18" i="8" s="1"/>
  <c r="K18" i="8" s="1"/>
  <c r="C5" i="5"/>
  <c r="G5" i="5" s="1"/>
  <c r="BP93" i="13"/>
  <c r="BP97" i="13" s="1"/>
  <c r="AI281" i="13"/>
  <c r="AI276" i="13"/>
  <c r="AI271" i="13"/>
  <c r="AI265" i="13"/>
  <c r="AI261" i="13"/>
  <c r="AI258" i="13"/>
  <c r="AI255" i="13"/>
  <c r="AI251" i="13"/>
  <c r="AI278" i="13"/>
  <c r="AI272" i="13"/>
  <c r="AI266" i="13"/>
  <c r="AI262" i="13"/>
  <c r="AI256" i="13"/>
  <c r="AI252" i="13"/>
  <c r="Q251" i="13"/>
  <c r="AI277" i="13"/>
  <c r="G250" i="13"/>
  <c r="Y265" i="13"/>
  <c r="C8" i="5"/>
  <c r="G8" i="5" s="1"/>
  <c r="Y261" i="13"/>
  <c r="CE98" i="13"/>
  <c r="CK98" i="13" s="1"/>
  <c r="BF62" i="13"/>
  <c r="BF43" i="13" s="1"/>
  <c r="CD99" i="13"/>
  <c r="AA24" i="5" s="1"/>
  <c r="CU98" i="13"/>
  <c r="CF98" i="13"/>
  <c r="CL98" i="13" s="1"/>
  <c r="CN98" i="13"/>
  <c r="CD98" i="13"/>
  <c r="CU93" i="13"/>
  <c r="CU97" i="13" s="1"/>
  <c r="Y263" i="13"/>
  <c r="Y257" i="13"/>
  <c r="Y253" i="13"/>
  <c r="Y281" i="13"/>
  <c r="Y277" i="13"/>
  <c r="Y273" i="13"/>
  <c r="Y269" i="13"/>
  <c r="Y262" i="13"/>
  <c r="Y258" i="13"/>
  <c r="Y254" i="13"/>
  <c r="Y250" i="13"/>
  <c r="Y278" i="13"/>
  <c r="Y274" i="13"/>
  <c r="Y270" i="13"/>
  <c r="Y259" i="13"/>
  <c r="Y255" i="13"/>
  <c r="Y251" i="13"/>
  <c r="Y279" i="13"/>
  <c r="Y275" i="13"/>
  <c r="Y271" i="13"/>
  <c r="Y264" i="13"/>
  <c r="Y260" i="13"/>
  <c r="Y256" i="13"/>
  <c r="Y252" i="13"/>
  <c r="Y280" i="13"/>
  <c r="Y276" i="13"/>
  <c r="Y272" i="13"/>
  <c r="Y266" i="13"/>
  <c r="CD100" i="13"/>
  <c r="AB24" i="5" s="1"/>
  <c r="BC112" i="13"/>
  <c r="BD39" i="13"/>
  <c r="CT99" i="13" l="1"/>
  <c r="CY98" i="13"/>
  <c r="CO99" i="13"/>
  <c r="CO98" i="13"/>
  <c r="CX98" i="13"/>
  <c r="CT98" i="13"/>
  <c r="I9" i="5"/>
  <c r="J9" i="5" s="1"/>
  <c r="N9" i="5" s="1"/>
  <c r="K9" i="5" s="1"/>
  <c r="J23" i="8" s="1"/>
  <c r="BP98" i="13"/>
  <c r="DZ61" i="13"/>
  <c r="EJ61" i="13"/>
  <c r="CO221" i="13"/>
  <c r="I11" i="5"/>
  <c r="J11" i="5" s="1"/>
  <c r="N11" i="5" s="1"/>
  <c r="K11" i="5" s="1"/>
  <c r="J25" i="8" s="1"/>
  <c r="CI98" i="13"/>
  <c r="CQ98" i="13" s="1"/>
  <c r="CY221" i="13"/>
  <c r="ER61" i="13"/>
  <c r="EY61" i="13"/>
  <c r="CT92" i="13"/>
  <c r="W28" i="5" s="1"/>
  <c r="I3" i="5"/>
  <c r="J3" i="5" s="1"/>
  <c r="N3" i="5" s="1"/>
  <c r="K3" i="5" s="1"/>
  <c r="J17" i="8" s="1"/>
  <c r="DR33" i="13"/>
  <c r="DR32" i="13"/>
  <c r="DS33" i="13"/>
  <c r="DS34" i="13" s="1"/>
  <c r="DQ32" i="13"/>
  <c r="DQ34" i="13" s="1"/>
  <c r="CK93" i="13"/>
  <c r="HK125" i="13"/>
  <c r="HJ125" i="13"/>
  <c r="HJ127" i="13" s="1"/>
  <c r="HK126" i="13"/>
  <c r="F25" i="8"/>
  <c r="F23" i="8"/>
  <c r="I13" i="5"/>
  <c r="C14" i="5"/>
  <c r="G14" i="5" s="1"/>
  <c r="M14" i="5" s="1"/>
  <c r="I10" i="5"/>
  <c r="AA28" i="5"/>
  <c r="CS98" i="13"/>
  <c r="CO344" i="13"/>
  <c r="Y344" i="13"/>
  <c r="CE97" i="13"/>
  <c r="CJ100" i="13"/>
  <c r="AB26" i="5" s="1"/>
  <c r="AI344" i="13"/>
  <c r="Q344" i="13"/>
  <c r="AI283" i="13"/>
  <c r="Q221" i="13"/>
  <c r="BH344" i="13"/>
  <c r="CY344" i="13"/>
  <c r="Q283" i="13"/>
  <c r="AI221" i="13"/>
  <c r="CR98" i="13"/>
  <c r="C25" i="5"/>
  <c r="G25" i="5" s="1"/>
  <c r="M25" i="5" s="1"/>
  <c r="O25" i="5" s="1"/>
  <c r="C33" i="5"/>
  <c r="G33" i="5" s="1"/>
  <c r="M33" i="5" s="1"/>
  <c r="O33" i="5" s="1"/>
  <c r="Y24" i="5" s="1"/>
  <c r="G344" i="13"/>
  <c r="CT100" i="13"/>
  <c r="AB28" i="5" s="1"/>
  <c r="AX344" i="13"/>
  <c r="CJ99" i="13"/>
  <c r="AA26" i="5" s="1"/>
  <c r="G221" i="13"/>
  <c r="CW98" i="13"/>
  <c r="CJ98" i="13"/>
  <c r="Y221" i="13"/>
  <c r="CV98" i="13"/>
  <c r="AA27" i="5"/>
  <c r="CG100" i="13"/>
  <c r="AB25" i="5" s="1"/>
  <c r="G283" i="13"/>
  <c r="CD97" i="13"/>
  <c r="C15" i="5" s="1"/>
  <c r="X24" i="5" s="1"/>
  <c r="CF97" i="13"/>
  <c r="CL97" i="13" s="1"/>
  <c r="CG99" i="13"/>
  <c r="AA25" i="5" s="1"/>
  <c r="CG98" i="13"/>
  <c r="CO100" i="13"/>
  <c r="AB27" i="5" s="1"/>
  <c r="I7" i="5"/>
  <c r="M8" i="5"/>
  <c r="I12" i="5"/>
  <c r="I6" i="5"/>
  <c r="M5" i="5"/>
  <c r="I4" i="5"/>
  <c r="J4" i="5" s="1"/>
  <c r="N4" i="5" s="1"/>
  <c r="C24" i="5"/>
  <c r="J4" i="8"/>
  <c r="G63" i="4" s="1"/>
  <c r="C32" i="5"/>
  <c r="G32" i="5" s="1"/>
  <c r="BF61" i="13"/>
  <c r="BF42" i="13" s="1"/>
  <c r="Y283" i="13"/>
  <c r="BC116" i="13"/>
  <c r="BC117" i="13"/>
  <c r="BD59" i="13"/>
  <c r="F29" i="8" l="1"/>
  <c r="CI93" i="13"/>
  <c r="CQ93" i="13" s="1"/>
  <c r="F17" i="8"/>
  <c r="CJ93" i="13"/>
  <c r="CJ97" i="13" s="1"/>
  <c r="C21" i="5" s="1"/>
  <c r="X26" i="5" s="1"/>
  <c r="CR93" i="13"/>
  <c r="CR97" i="13" s="1"/>
  <c r="C29" i="5" s="1"/>
  <c r="G29" i="5" s="1"/>
  <c r="M29" i="5" s="1"/>
  <c r="O29" i="5" s="1"/>
  <c r="I29" i="5" s="1"/>
  <c r="J29" i="5" s="1"/>
  <c r="N29" i="5" s="1"/>
  <c r="DR34" i="13"/>
  <c r="DP35" i="13" s="1"/>
  <c r="HK127" i="13"/>
  <c r="HI128" i="13" s="1"/>
  <c r="J6" i="5"/>
  <c r="N6" i="5" s="1"/>
  <c r="K6" i="5" s="1"/>
  <c r="J20" i="8" s="1"/>
  <c r="F20" i="8"/>
  <c r="J10" i="5"/>
  <c r="N10" i="5" s="1"/>
  <c r="K10" i="5" s="1"/>
  <c r="J24" i="8" s="1"/>
  <c r="F24" i="8"/>
  <c r="J13" i="5"/>
  <c r="N13" i="5" s="1"/>
  <c r="K13" i="5" s="1"/>
  <c r="J27" i="8" s="1"/>
  <c r="F27" i="8"/>
  <c r="J12" i="5"/>
  <c r="N12" i="5" s="1"/>
  <c r="K12" i="5" s="1"/>
  <c r="J26" i="8" s="1"/>
  <c r="F26" i="8"/>
  <c r="J7" i="5"/>
  <c r="N7" i="5" s="1"/>
  <c r="F21" i="8"/>
  <c r="CG93" i="13"/>
  <c r="CG97" i="13" s="1"/>
  <c r="C18" i="5" s="1"/>
  <c r="I14" i="5"/>
  <c r="CS93" i="13"/>
  <c r="CS97" i="13" s="1"/>
  <c r="C30" i="5" s="1"/>
  <c r="G30" i="5" s="1"/>
  <c r="M30" i="5" s="1"/>
  <c r="O30" i="5" s="1"/>
  <c r="I30" i="5" s="1"/>
  <c r="J30" i="5" s="1"/>
  <c r="N30" i="5" s="1"/>
  <c r="CY93" i="13"/>
  <c r="CY97" i="13" s="1"/>
  <c r="C37" i="5" s="1"/>
  <c r="G37" i="5" s="1"/>
  <c r="M37" i="5" s="1"/>
  <c r="O37" i="5" s="1"/>
  <c r="CO93" i="13"/>
  <c r="CO97" i="13" s="1"/>
  <c r="CT93" i="13"/>
  <c r="CT97" i="13" s="1"/>
  <c r="C31" i="5" s="1"/>
  <c r="C27" i="5" s="1"/>
  <c r="G15" i="5"/>
  <c r="M15" i="5" s="1"/>
  <c r="O15" i="5" s="1"/>
  <c r="I15" i="5" s="1"/>
  <c r="J15" i="5" s="1"/>
  <c r="N15" i="5" s="1"/>
  <c r="CW93" i="13"/>
  <c r="CW97" i="13" s="1"/>
  <c r="C35" i="5" s="1"/>
  <c r="G35" i="5" s="1"/>
  <c r="M35" i="5" s="1"/>
  <c r="O35" i="5" s="1"/>
  <c r="CV93" i="13"/>
  <c r="CV97" i="13" s="1"/>
  <c r="C34" i="5" s="1"/>
  <c r="G24" i="5"/>
  <c r="M24" i="5" s="1"/>
  <c r="I25" i="5"/>
  <c r="J25" i="5" s="1"/>
  <c r="N25" i="5" s="1"/>
  <c r="CX93" i="13"/>
  <c r="CX97" i="13" s="1"/>
  <c r="C36" i="5" s="1"/>
  <c r="I33" i="5"/>
  <c r="J33" i="5" s="1"/>
  <c r="N33" i="5" s="1"/>
  <c r="I8" i="5"/>
  <c r="M32" i="5"/>
  <c r="G30" i="8" s="1"/>
  <c r="I5" i="5"/>
  <c r="G16" i="8"/>
  <c r="K4" i="5"/>
  <c r="J18" i="8" s="1"/>
  <c r="F18" i="8"/>
  <c r="C39" i="5"/>
  <c r="BF41" i="13"/>
  <c r="BF60" i="13" s="1"/>
  <c r="CK97" i="13"/>
  <c r="C22" i="5" s="1"/>
  <c r="G22" i="5" s="1"/>
  <c r="C16" i="5"/>
  <c r="G16" i="5" s="1"/>
  <c r="C17" i="5"/>
  <c r="G17" i="5" s="1"/>
  <c r="BD38" i="13"/>
  <c r="BD58" i="13" s="1"/>
  <c r="CI97" i="13" l="1"/>
  <c r="CQ97" i="13" s="1"/>
  <c r="C28" i="5" s="1"/>
  <c r="G28" i="5" s="1"/>
  <c r="M28" i="5" s="1"/>
  <c r="O28" i="5" s="1"/>
  <c r="J5" i="5"/>
  <c r="N5" i="5" s="1"/>
  <c r="K5" i="5" s="1"/>
  <c r="J19" i="8" s="1"/>
  <c r="F19" i="8"/>
  <c r="J14" i="5"/>
  <c r="N14" i="5" s="1"/>
  <c r="K14" i="5" s="1"/>
  <c r="J28" i="8" s="1"/>
  <c r="F28" i="8"/>
  <c r="J8" i="5"/>
  <c r="N8" i="5" s="1"/>
  <c r="AD24" i="5"/>
  <c r="Z28" i="5"/>
  <c r="C3" i="8" s="1"/>
  <c r="X28" i="5"/>
  <c r="G3" i="8" s="1"/>
  <c r="G31" i="5"/>
  <c r="I35" i="5"/>
  <c r="J35" i="5" s="1"/>
  <c r="N35" i="5" s="1"/>
  <c r="Y26" i="5"/>
  <c r="I37" i="5"/>
  <c r="Y28" i="5"/>
  <c r="G14" i="8" s="1"/>
  <c r="G18" i="5"/>
  <c r="M18" i="5" s="1"/>
  <c r="O18" i="5" s="1"/>
  <c r="I18" i="5" s="1"/>
  <c r="J18" i="5" s="1"/>
  <c r="N18" i="5" s="1"/>
  <c r="X25" i="5"/>
  <c r="K15" i="5"/>
  <c r="AC24" i="5" s="1"/>
  <c r="R24" i="5"/>
  <c r="G34" i="5"/>
  <c r="M34" i="5" s="1"/>
  <c r="O34" i="5" s="1"/>
  <c r="Y25" i="5" s="1"/>
  <c r="G21" i="5"/>
  <c r="M21" i="5" s="1"/>
  <c r="O21" i="5" s="1"/>
  <c r="I21" i="5" s="1"/>
  <c r="J21" i="5" s="1"/>
  <c r="N21" i="5" s="1"/>
  <c r="G36" i="5"/>
  <c r="M36" i="5" s="1"/>
  <c r="O36" i="5" s="1"/>
  <c r="Z26" i="5"/>
  <c r="Z25" i="5"/>
  <c r="O24" i="5"/>
  <c r="I24" i="5" s="1"/>
  <c r="J24" i="5" s="1"/>
  <c r="N24" i="5" s="1"/>
  <c r="Z27" i="5"/>
  <c r="C20" i="5"/>
  <c r="G20" i="5" s="1"/>
  <c r="M20" i="5" s="1"/>
  <c r="O20" i="5" s="1"/>
  <c r="K30" i="5"/>
  <c r="V28" i="5"/>
  <c r="V27" i="5"/>
  <c r="K25" i="5"/>
  <c r="K29" i="5"/>
  <c r="U28" i="5"/>
  <c r="I32" i="5"/>
  <c r="J32" i="5" s="1"/>
  <c r="N32" i="5" s="1"/>
  <c r="K33" i="5"/>
  <c r="M16" i="5"/>
  <c r="O16" i="5" s="1"/>
  <c r="M22" i="5"/>
  <c r="O22" i="5" s="1"/>
  <c r="J39" i="5"/>
  <c r="K7" i="5"/>
  <c r="J21" i="8" s="1"/>
  <c r="M17" i="5"/>
  <c r="O17" i="5" s="1"/>
  <c r="BF40" i="13"/>
  <c r="C26" i="5"/>
  <c r="C23" i="5"/>
  <c r="G23" i="5" s="1"/>
  <c r="BD37" i="13"/>
  <c r="D10" i="8" l="1"/>
  <c r="G7" i="8"/>
  <c r="M31" i="5"/>
  <c r="O31" i="5" s="1"/>
  <c r="G27" i="5"/>
  <c r="G109" i="4"/>
  <c r="F30" i="8"/>
  <c r="AD28" i="5"/>
  <c r="F14" i="8" s="1"/>
  <c r="K37" i="5"/>
  <c r="AD26" i="5"/>
  <c r="I36" i="5"/>
  <c r="J36" i="5" s="1"/>
  <c r="N36" i="5" s="1"/>
  <c r="Y27" i="5"/>
  <c r="G26" i="5"/>
  <c r="M26" i="5" s="1"/>
  <c r="O26" i="5" s="1"/>
  <c r="I26" i="5" s="1"/>
  <c r="J26" i="5" s="1"/>
  <c r="N26" i="5" s="1"/>
  <c r="X27" i="5"/>
  <c r="I34" i="5"/>
  <c r="J34" i="5" s="1"/>
  <c r="N34" i="5" s="1"/>
  <c r="K21" i="5"/>
  <c r="AC26" i="5" s="1"/>
  <c r="R26" i="5"/>
  <c r="U27" i="5"/>
  <c r="K24" i="5"/>
  <c r="I17" i="5"/>
  <c r="J17" i="5" s="1"/>
  <c r="N17" i="5" s="1"/>
  <c r="I20" i="5"/>
  <c r="J20" i="5" s="1"/>
  <c r="N20" i="5" s="1"/>
  <c r="I28" i="5"/>
  <c r="J28" i="5" s="1"/>
  <c r="N28" i="5" s="1"/>
  <c r="I16" i="5"/>
  <c r="J16" i="5" s="1"/>
  <c r="N16" i="5" s="1"/>
  <c r="I22" i="5"/>
  <c r="K32" i="5"/>
  <c r="J30" i="8" s="1"/>
  <c r="D39" i="5"/>
  <c r="K8" i="5"/>
  <c r="J22" i="8" s="1"/>
  <c r="K35" i="5"/>
  <c r="M23" i="5"/>
  <c r="O23" i="5" s="1"/>
  <c r="B40" i="1"/>
  <c r="BF39" i="13"/>
  <c r="BD57" i="13"/>
  <c r="BD36" i="13" s="1"/>
  <c r="O27" i="5" l="1"/>
  <c r="I27" i="5" s="1"/>
  <c r="I31" i="5"/>
  <c r="J22" i="5"/>
  <c r="N22" i="5" s="1"/>
  <c r="K22" i="5" s="1"/>
  <c r="AD25" i="5"/>
  <c r="K34" i="5"/>
  <c r="AD27" i="5"/>
  <c r="I14" i="8"/>
  <c r="G84" i="4" s="1"/>
  <c r="B36" i="1"/>
  <c r="K36" i="5"/>
  <c r="S27" i="5"/>
  <c r="K28" i="5"/>
  <c r="T28" i="5"/>
  <c r="T25" i="5"/>
  <c r="K17" i="5"/>
  <c r="K16" i="5"/>
  <c r="S25" i="5"/>
  <c r="K20" i="5"/>
  <c r="T26" i="5"/>
  <c r="I23" i="5"/>
  <c r="J23" i="5" s="1"/>
  <c r="N23" i="5" s="1"/>
  <c r="J14" i="8"/>
  <c r="G110" i="4" s="1"/>
  <c r="BF59" i="13"/>
  <c r="R25" i="5"/>
  <c r="K18" i="5"/>
  <c r="AC25" i="5" s="1"/>
  <c r="R27" i="5"/>
  <c r="K26" i="5"/>
  <c r="AC27" i="5" s="1"/>
  <c r="BD56" i="13"/>
  <c r="J31" i="5" l="1"/>
  <c r="N31" i="5" s="1"/>
  <c r="K31" i="5" s="1"/>
  <c r="AC28" i="5" s="1"/>
  <c r="J13" i="8" s="1"/>
  <c r="R28" i="5"/>
  <c r="T27" i="5"/>
  <c r="K23" i="5"/>
  <c r="BF38" i="13"/>
  <c r="BF58" i="13" s="1"/>
  <c r="BD35" i="13"/>
  <c r="F13" i="8" l="1"/>
  <c r="BF117" i="13"/>
  <c r="BF112" i="13"/>
  <c r="BF116" i="13" s="1"/>
  <c r="BF37" i="13"/>
  <c r="BD55" i="13"/>
  <c r="I10" i="8" l="1"/>
  <c r="BF57" i="13"/>
  <c r="BD34" i="13"/>
  <c r="BF36" i="13" l="1"/>
  <c r="BF56" i="13" s="1"/>
  <c r="BD54" i="13"/>
  <c r="BF35" i="13" l="1"/>
  <c r="BF55" i="13" s="1"/>
  <c r="BD33" i="13"/>
  <c r="BD50" i="13" s="1"/>
  <c r="BF34" i="13" l="1"/>
  <c r="BF54" i="13" s="1"/>
  <c r="BD53" i="13"/>
  <c r="BD52" i="13" s="1"/>
  <c r="BF33" i="13" l="1"/>
  <c r="BF50" i="13" s="1"/>
  <c r="BF53" i="13" l="1"/>
  <c r="BF52" i="13" s="1"/>
  <c r="AX186" i="13"/>
  <c r="AX214" i="13" l="1"/>
  <c r="AX202" i="13"/>
  <c r="BH191" i="13"/>
  <c r="BH199" i="13"/>
  <c r="AX193" i="13"/>
  <c r="BH219" i="13"/>
  <c r="BH198" i="13"/>
  <c r="BH195" i="13"/>
  <c r="AX197" i="13"/>
  <c r="AX204" i="13"/>
  <c r="AX212" i="13"/>
  <c r="BH211" i="13"/>
  <c r="AX219" i="13"/>
  <c r="BH201" i="13"/>
  <c r="BH209" i="13"/>
  <c r="BH204" i="13"/>
  <c r="BH216" i="13"/>
  <c r="AX189" i="13"/>
  <c r="AX199" i="13"/>
  <c r="AX218" i="13"/>
  <c r="BH207" i="13"/>
  <c r="AX200" i="13"/>
  <c r="AX196" i="13"/>
  <c r="AX213" i="13"/>
  <c r="BH215" i="13"/>
  <c r="AX217" i="13"/>
  <c r="AX208" i="13"/>
  <c r="BH218" i="13"/>
  <c r="BH214" i="13"/>
  <c r="AX209" i="13"/>
  <c r="AX211" i="13"/>
  <c r="AX215" i="13"/>
  <c r="BH190" i="13"/>
  <c r="AX201" i="13"/>
  <c r="AX190" i="13"/>
  <c r="BH208" i="13"/>
  <c r="AX198" i="13"/>
  <c r="BH193" i="13"/>
  <c r="AX191" i="13"/>
  <c r="BH203" i="13"/>
  <c r="BH197" i="13"/>
  <c r="BH189" i="13"/>
  <c r="BH213" i="13"/>
  <c r="BH188" i="13"/>
  <c r="BH202" i="13"/>
  <c r="AX195" i="13"/>
  <c r="AX192" i="13"/>
  <c r="BH192" i="13"/>
  <c r="BH196" i="13"/>
  <c r="AX188" i="13"/>
  <c r="AX203" i="13"/>
  <c r="BH212" i="13"/>
  <c r="AX216" i="13"/>
  <c r="BH217" i="13"/>
  <c r="AX210" i="13"/>
  <c r="BH210" i="13"/>
  <c r="BH194" i="13"/>
  <c r="BH200" i="13"/>
  <c r="AX194" i="13"/>
  <c r="AX207" i="13"/>
  <c r="CH98" i="13" l="1"/>
  <c r="CP98" i="13" s="1"/>
  <c r="BH221" i="13"/>
  <c r="AX221" i="13"/>
  <c r="CH93" i="13" l="1"/>
  <c r="CP93" i="13" s="1"/>
  <c r="CH97" i="13" l="1"/>
  <c r="CP97" i="13" s="1"/>
  <c r="M27" i="5" s="1"/>
  <c r="S28" i="5" l="1"/>
  <c r="C15" i="8" s="1"/>
  <c r="C19" i="5"/>
  <c r="G19" i="5" s="1"/>
  <c r="M19" i="5" s="1"/>
  <c r="O19" i="5" s="1"/>
  <c r="I19" i="5" s="1"/>
  <c r="J19" i="5" s="1"/>
  <c r="N19" i="5" s="1"/>
  <c r="S26" i="5" l="1"/>
  <c r="K19" i="5"/>
  <c r="E2" i="4" l="1"/>
  <c r="C40" i="1" s="1"/>
  <c r="A40" i="1" s="1"/>
  <c r="D26" i="1" l="1"/>
  <c r="B37" i="1"/>
  <c r="B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B005657</author>
  </authors>
  <commentList>
    <comment ref="A16" authorId="0" shapeId="0" xr:uid="{00000000-0006-0000-0100-000001000000}">
      <text>
        <r>
          <rPr>
            <b/>
            <sz val="8"/>
            <color indexed="81"/>
            <rFont val="Tahoma"/>
            <family val="2"/>
          </rPr>
          <t>Aquecedor individual de passagem</t>
        </r>
      </text>
    </comment>
    <comment ref="A18" authorId="0" shapeId="0" xr:uid="{00000000-0006-0000-0100-000002000000}">
      <text>
        <r>
          <rPr>
            <b/>
            <sz val="8"/>
            <color indexed="81"/>
            <rFont val="Tahoma"/>
            <family val="2"/>
          </rPr>
          <t>Aquecedor central de passagem</t>
        </r>
      </text>
    </comment>
    <comment ref="A19" authorId="0" shapeId="0" xr:uid="{00000000-0006-0000-0100-000003000000}">
      <text>
        <r>
          <rPr>
            <b/>
            <sz val="8"/>
            <color indexed="81"/>
            <rFont val="Tahoma"/>
            <family val="2"/>
          </rPr>
          <t>Aquecedor central de acumulação</t>
        </r>
      </text>
    </comment>
    <comment ref="A31" authorId="0" shapeId="0" xr:uid="{00000000-0006-0000-0100-000004000000}">
      <text>
        <r>
          <rPr>
            <b/>
            <sz val="8"/>
            <color indexed="81"/>
            <rFont val="Tahoma"/>
            <family val="2"/>
          </rPr>
          <t>Equipamentos trifásicos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Luana De Melo Gomes</author>
  </authors>
  <commentList>
    <comment ref="E11" authorId="0" shapeId="0" xr:uid="{EA3B2915-E156-4C91-92FB-B518C6C01AD1}">
      <text>
        <r>
          <rPr>
            <b/>
            <sz val="9"/>
            <color indexed="81"/>
            <rFont val="Segoe UI"/>
            <charset val="1"/>
          </rPr>
          <t>Luana De Melo Gomes:</t>
        </r>
        <r>
          <rPr>
            <sz val="9"/>
            <color indexed="81"/>
            <rFont val="Segoe UI"/>
            <charset val="1"/>
          </rPr>
          <t xml:space="preserve">
Não entrou na revisão 19 porque o EDP Online não suporta a extensão de arquivo com macro.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Eletropaulo S.A.</author>
  </authors>
  <commentList>
    <comment ref="CK22" authorId="0" shapeId="0" xr:uid="{00000000-0006-0000-0C00-000001000000}">
      <text>
        <r>
          <rPr>
            <b/>
            <sz val="8"/>
            <color indexed="81"/>
            <rFont val="Tahoma"/>
            <family val="2"/>
          </rPr>
          <t>KW |KVA
0    |0
0.9 |1.1
1.3 |1.55
1.4 |1.65
1.6 |1.9
1.9 |2.1
2.6 |2.86
2.8 |3.08
3.6 |4
Se o valor  em Kw não constar na tabela, a pot. Em Kva será considerada como sendo a mesma</t>
        </r>
      </text>
    </comment>
    <comment ref="DV22" authorId="0" shapeId="0" xr:uid="{00000000-0006-0000-0C00-000002000000}">
      <text>
        <r>
          <rPr>
            <b/>
            <sz val="8"/>
            <color indexed="81"/>
            <rFont val="Tahoma"/>
            <family val="2"/>
          </rPr>
          <t>KW |KVA
0    |0
0.9 |1.1
1.3 |1.55
1.4 |1.65
1.6 |1.9
1.9 |2.1
2.6 |2.86
2.8 |3.08
3.6 |4
Se o valor  em Kw não constar na tabela, a pot. Em Kva será considerada como sendo a mesma</t>
        </r>
      </text>
    </comment>
    <comment ref="FM22" authorId="0" shapeId="0" xr:uid="{00000000-0006-0000-0C00-000003000000}">
      <text>
        <r>
          <rPr>
            <b/>
            <sz val="8"/>
            <color indexed="81"/>
            <rFont val="Tahoma"/>
            <family val="2"/>
          </rPr>
          <t>KW |KVA
0    |0
0.9 |1.1
1.3 |1.55
1.4 |1.65
1.6 |1.9
1.9 |2.1
2.6 |2.86
2.8 |3.08
3.6 |4
Se o valor  em Kw não constar na tabela, a pot. Em Kva será considerada como sendo a mesma</t>
        </r>
      </text>
    </comment>
    <comment ref="HD22" authorId="0" shapeId="0" xr:uid="{00000000-0006-0000-0C00-000004000000}">
      <text>
        <r>
          <rPr>
            <b/>
            <sz val="8"/>
            <color indexed="81"/>
            <rFont val="Tahoma"/>
            <family val="2"/>
          </rPr>
          <t>KW |KVA
0    |0
0.9 |1.1
1.3 |1.55
1.4 |1.65
1.6 |1.9
1.9 |2.1
2.6 |2.86
2.8 |3.08
3.6 |4
Se o valor  em Kw não constar na tabela, a pot. Em Kva será considerada como sendo a mesma</t>
        </r>
      </text>
    </comment>
    <comment ref="CK23" authorId="0" shapeId="0" xr:uid="{00000000-0006-0000-0C00-000005000000}">
      <text>
        <r>
          <rPr>
            <b/>
            <sz val="8"/>
            <color indexed="81"/>
            <rFont val="Tahoma"/>
            <family val="2"/>
          </rPr>
          <t>KW |KVA
0    |0
0.9 |1.1
1.3 |1.55
1.4 |1.65
1.6 |1.9
1.9 |2.1
2.6 |2.86
2.8 |3.08
3.6 |4
Se o valor  em Kw não constar na tabela, a pot. Em Kva será considerada como sendo a mesma</t>
        </r>
      </text>
    </comment>
    <comment ref="DV23" authorId="0" shapeId="0" xr:uid="{00000000-0006-0000-0C00-000006000000}">
      <text>
        <r>
          <rPr>
            <b/>
            <sz val="8"/>
            <color indexed="81"/>
            <rFont val="Tahoma"/>
            <family val="2"/>
          </rPr>
          <t>KW |KVA
0    |0
0.9 |1.1
1.3 |1.55
1.4 |1.65
1.6 |1.9
1.9 |2.1
2.6 |2.86
2.8 |3.08
3.6 |4
Se o valor  em Kw não constar na tabela, a pot. Em Kva será considerada como sendo a mesma</t>
        </r>
      </text>
    </comment>
    <comment ref="FM23" authorId="0" shapeId="0" xr:uid="{00000000-0006-0000-0C00-000007000000}">
      <text>
        <r>
          <rPr>
            <b/>
            <sz val="8"/>
            <color indexed="81"/>
            <rFont val="Tahoma"/>
            <family val="2"/>
          </rPr>
          <t>KW |KVA
0    |0
0.9 |1.1
1.3 |1.55
1.4 |1.65
1.6 |1.9
1.9 |2.1
2.6 |2.86
2.8 |3.08
3.6 |4
Se o valor  em Kw não constar na tabela, a pot. Em Kva será considerada como sendo a mesma</t>
        </r>
      </text>
    </comment>
    <comment ref="HD23" authorId="0" shapeId="0" xr:uid="{00000000-0006-0000-0C00-000008000000}">
      <text>
        <r>
          <rPr>
            <b/>
            <sz val="8"/>
            <color indexed="81"/>
            <rFont val="Tahoma"/>
            <family val="2"/>
          </rPr>
          <t>KW |KVA
0    |0
0.9 |1.1
1.3 |1.55
1.4 |1.65
1.6 |1.9
1.9 |2.1
2.6 |2.86
2.8 |3.08
3.6 |4
Se o valor  em Kw não constar na tabela, a pot. Em Kva será considerada como sendo a mesma</t>
        </r>
      </text>
    </comment>
    <comment ref="A27" authorId="0" shapeId="0" xr:uid="{00000000-0006-0000-0C00-000009000000}">
      <text>
        <r>
          <rPr>
            <b/>
            <sz val="8"/>
            <color indexed="81"/>
            <rFont val="Tahoma"/>
            <family val="2"/>
          </rPr>
          <t>KW |KVA
0    |0
0.9 |1.1
1.3 |1.55
1.4 |1.65
1.6 |1.9
1.9 |2.1
2.6 |2.86
2.8 |3.08
3.6 |4
Se o valor  em Kw não constar na tabela, a pot. Em Kva será considerada como sendo a mesma</t>
        </r>
      </text>
    </comment>
    <comment ref="AQ27" authorId="0" shapeId="0" xr:uid="{00000000-0006-0000-0C00-00000A000000}">
      <text>
        <r>
          <rPr>
            <b/>
            <sz val="8"/>
            <color indexed="81"/>
            <rFont val="Tahoma"/>
            <family val="2"/>
          </rPr>
          <t>KW |KVA
0    |0
0.9 |1.1
1.3 |1.55
1.4 |1.65
1.6 |1.9
1.9 |2.1
2.6 |2.86
2.8 |3.08
3.6 |4
Se o valor  em Kw não constar na tabela, a pot. Em Kva será considerada como sendo a mesma</t>
        </r>
      </text>
    </comment>
    <comment ref="A28" authorId="0" shapeId="0" xr:uid="{00000000-0006-0000-0C00-00000B000000}">
      <text>
        <r>
          <rPr>
            <b/>
            <sz val="8"/>
            <color indexed="81"/>
            <rFont val="Tahoma"/>
            <family val="2"/>
          </rPr>
          <t>KW |KVA
0    |0
0.9 |1.1
1.3 |1.55
1.4 |1.65
1.6 |1.9
1.9 |2.1
2.6 |2.86
2.8 |3.08
3.6 |4
Se o valor  em Kw não constar na tabela, a pot. Em Kva será considerada como sendo a mesma</t>
        </r>
      </text>
    </comment>
    <comment ref="AQ28" authorId="0" shapeId="0" xr:uid="{00000000-0006-0000-0C00-00000C000000}">
      <text>
        <r>
          <rPr>
            <b/>
            <sz val="8"/>
            <color indexed="81"/>
            <rFont val="Tahoma"/>
            <family val="2"/>
          </rPr>
          <t>KW |KVA
0    |0
0.9 |1.1
1.3 |1.55
1.4 |1.65
1.6 |1.9
1.9 |2.1
2.6 |2.86
2.8 |3.08
3.6 |4
Se o valor  em Kw não constar na tabela, a pot. Em Kva será considerada como sendo a mesma</t>
        </r>
      </text>
    </comment>
    <comment ref="GD115" authorId="0" shapeId="0" xr:uid="{00000000-0006-0000-0C00-00000D000000}">
      <text>
        <r>
          <rPr>
            <b/>
            <sz val="8"/>
            <color indexed="81"/>
            <rFont val="Tahoma"/>
            <family val="2"/>
          </rPr>
          <t>KW |KVA
0    |0
0.9 |1.1
1.3 |1.55
1.4 |1.65
1.6 |1.9
1.9 |2.1
2.6 |2.86
2.8 |3.08
3.6 |4
Se o valor  em Kw não constar na tabela, a pot. Em Kva será considerada como sendo a mesma</t>
        </r>
      </text>
    </comment>
    <comment ref="GD116" authorId="0" shapeId="0" xr:uid="{00000000-0006-0000-0C00-00000E000000}">
      <text>
        <r>
          <rPr>
            <b/>
            <sz val="8"/>
            <color indexed="81"/>
            <rFont val="Tahoma"/>
            <family val="2"/>
          </rPr>
          <t>KW |KVA
0    |0
0.9 |1.1
1.3 |1.55
1.4 |1.65
1.6 |1.9
1.9 |2.1
2.6 |2.86
2.8 |3.08
3.6 |4
Se o valor  em Kw não constar na tabela, a pot. Em Kva será considerada como sendo a mesma</t>
        </r>
      </text>
    </comment>
    <comment ref="C182" authorId="0" shapeId="0" xr:uid="{00000000-0006-0000-0C00-00000F000000}">
      <text>
        <r>
          <rPr>
            <b/>
            <sz val="8"/>
            <color indexed="81"/>
            <rFont val="Tahoma"/>
            <family val="2"/>
          </rPr>
          <t>KW |KVA
0    |0
0.9 |1.1
1.3 |1.55
1.4 |1.65
1.6 |1.9
1.9 |2.1
2.6 |2.86
2.8 |3.08
3.6 |4
Se o valor  em Kw não constar na tabela, a pot. Em Kva será considerada como sendo a mesma</t>
        </r>
      </text>
    </comment>
    <comment ref="AT182" authorId="0" shapeId="0" xr:uid="{00000000-0006-0000-0C00-000010000000}">
      <text>
        <r>
          <rPr>
            <b/>
            <sz val="8"/>
            <color indexed="81"/>
            <rFont val="Tahoma"/>
            <family val="2"/>
          </rPr>
          <t>KW |KVA
0    |0
0.9 |1.1
1.3 |1.55
1.4 |1.65
1.6 |1.9
1.9 |2.1
2.6 |2.86
2.8 |3.08
3.6 |4
Se o valor  em Kw não constar na tabela, a pot. Em Kva será considerada como sendo a mesma</t>
        </r>
      </text>
    </comment>
    <comment ref="CK182" authorId="0" shapeId="0" xr:uid="{00000000-0006-0000-0C00-000011000000}">
      <text>
        <r>
          <rPr>
            <b/>
            <sz val="8"/>
            <color indexed="81"/>
            <rFont val="Tahoma"/>
            <family val="2"/>
          </rPr>
          <t>KW |KVA
0    |0
0.9 |1.1
1.3 |1.55
1.4 |1.65
1.6 |1.9
1.9 |2.1
2.6 |2.86
2.8 |3.08
3.6 |4
Se o valor  em Kw não constar na tabela, a pot. Em Kva será considerada como sendo a mesma</t>
        </r>
      </text>
    </comment>
    <comment ref="C183" authorId="0" shapeId="0" xr:uid="{00000000-0006-0000-0C00-000012000000}">
      <text>
        <r>
          <rPr>
            <b/>
            <sz val="8"/>
            <color indexed="81"/>
            <rFont val="Tahoma"/>
            <family val="2"/>
          </rPr>
          <t>KW |KVA
0    |0
0.9 |1.1
1.3 |1.55
1.4 |1.65
1.6 |1.9
1.9 |2.1
2.6 |2.86
2.8 |3.08
3.6 |4
Se o valor  em Kw não constar na tabela, a pot. Em Kva será considerada como sendo a mesma</t>
        </r>
      </text>
    </comment>
    <comment ref="AT183" authorId="0" shapeId="0" xr:uid="{00000000-0006-0000-0C00-000013000000}">
      <text>
        <r>
          <rPr>
            <b/>
            <sz val="8"/>
            <color indexed="81"/>
            <rFont val="Tahoma"/>
            <family val="2"/>
          </rPr>
          <t>KW |KVA
0    |0
0.9 |1.1
1.3 |1.55
1.4 |1.65
1.6 |1.9
1.9 |2.1
2.6 |2.86
2.8 |3.08
3.6 |4
Se o valor  em Kw não constar na tabela, a pot. Em Kva será considerada como sendo a mesma</t>
        </r>
      </text>
    </comment>
    <comment ref="CK183" authorId="0" shapeId="0" xr:uid="{00000000-0006-0000-0C00-000014000000}">
      <text>
        <r>
          <rPr>
            <b/>
            <sz val="8"/>
            <color indexed="81"/>
            <rFont val="Tahoma"/>
            <family val="2"/>
          </rPr>
          <t>KW |KVA
0    |0
0.9 |1.1
1.3 |1.55
1.4 |1.65
1.6 |1.9
1.9 |2.1
2.6 |2.86
2.8 |3.08
3.6 |4
Se o valor  em Kw não constar na tabela, a pot. Em Kva será considerada como sendo a mesma</t>
        </r>
      </text>
    </comment>
    <comment ref="C244" authorId="0" shapeId="0" xr:uid="{00000000-0006-0000-0C00-000015000000}">
      <text>
        <r>
          <rPr>
            <b/>
            <sz val="8"/>
            <color indexed="81"/>
            <rFont val="Tahoma"/>
            <family val="2"/>
          </rPr>
          <t>KW |KVA
0    |0
0.9 |1.1
1.3 |1.55
1.4 |1.65
1.6 |1.9
1.9 |2.1
2.6 |2.86
2.8 |3.08
3.6 |4
Se o valor  em Kw não constar na tabela, a pot. Em Kva será considerada como sendo a mesma</t>
        </r>
      </text>
    </comment>
    <comment ref="AT244" authorId="0" shapeId="0" xr:uid="{00000000-0006-0000-0C00-000016000000}">
      <text>
        <r>
          <rPr>
            <b/>
            <sz val="8"/>
            <color indexed="81"/>
            <rFont val="Tahoma"/>
            <family val="2"/>
          </rPr>
          <t>KW |KVA
0    |0
0.9 |1.1
1.3 |1.55
1.4 |1.65
1.6 |1.9
1.9 |2.1
2.6 |2.86
2.8 |3.08
3.6 |4
Se o valor  em Kw não constar na tabela, a pot. Em Kva será considerada como sendo a mesma</t>
        </r>
      </text>
    </comment>
    <comment ref="CK244" authorId="0" shapeId="0" xr:uid="{00000000-0006-0000-0C00-000017000000}">
      <text>
        <r>
          <rPr>
            <b/>
            <sz val="8"/>
            <color indexed="81"/>
            <rFont val="Tahoma"/>
            <family val="2"/>
          </rPr>
          <t>KW |KVA
0    |0
0.9 |1.1
1.3 |1.55
1.4 |1.65
1.6 |1.9
1.9 |2.1
2.6 |2.86
2.8 |3.08
3.6 |4
Se o valor  em Kw não constar na tabela, a pot. Em Kva será considerada como sendo a mesma</t>
        </r>
      </text>
    </comment>
    <comment ref="C245" authorId="0" shapeId="0" xr:uid="{00000000-0006-0000-0C00-000018000000}">
      <text>
        <r>
          <rPr>
            <b/>
            <sz val="8"/>
            <color indexed="81"/>
            <rFont val="Tahoma"/>
            <family val="2"/>
          </rPr>
          <t>KW |KVA
0    |0
0.9 |1.1
1.3 |1.55
1.4 |1.65
1.6 |1.9
1.9 |2.1
2.6 |2.86
2.8 |3.08
3.6 |4
Se o valor  em Kw não constar na tabela, a pot. Em Kva será considerada como sendo a mesma</t>
        </r>
      </text>
    </comment>
    <comment ref="AT245" authorId="0" shapeId="0" xr:uid="{00000000-0006-0000-0C00-000019000000}">
      <text>
        <r>
          <rPr>
            <b/>
            <sz val="8"/>
            <color indexed="81"/>
            <rFont val="Tahoma"/>
            <family val="2"/>
          </rPr>
          <t>KW |KVA
0    |0
0.9 |1.1
1.3 |1.55
1.4 |1.65
1.6 |1.9
1.9 |2.1
2.6 |2.86
2.8 |3.08
3.6 |4
Se o valor  em Kw não constar na tabela, a pot. Em Kva será considerada como sendo a mesma</t>
        </r>
      </text>
    </comment>
    <comment ref="CK245" authorId="0" shapeId="0" xr:uid="{00000000-0006-0000-0C00-00001A000000}">
      <text>
        <r>
          <rPr>
            <b/>
            <sz val="8"/>
            <color indexed="81"/>
            <rFont val="Tahoma"/>
            <family val="2"/>
          </rPr>
          <t>KW |KVA
0    |0
0.9 |1.1
1.3 |1.55
1.4 |1.65
1.6 |1.9
1.9 |2.1
2.6 |2.86
2.8 |3.08
3.6 |4
Se o valor  em Kw não constar na tabela, a pot. Em Kva será considerada como sendo a mesma</t>
        </r>
      </text>
    </comment>
    <comment ref="C305" authorId="0" shapeId="0" xr:uid="{00000000-0006-0000-0C00-00001B000000}">
      <text>
        <r>
          <rPr>
            <b/>
            <sz val="8"/>
            <color indexed="81"/>
            <rFont val="Tahoma"/>
            <family val="2"/>
          </rPr>
          <t>KW |KVA
0    |0
0.9 |1.1
1.3 |1.55
1.4 |1.65
1.6 |1.9
1.9 |2.1
2.6 |2.86
2.8 |3.08
3.6 |4
Se o valor  em Kw não constar na tabela, a pot. Em Kva será considerada como sendo a mesma</t>
        </r>
      </text>
    </comment>
    <comment ref="AT305" authorId="0" shapeId="0" xr:uid="{00000000-0006-0000-0C00-00001C000000}">
      <text>
        <r>
          <rPr>
            <b/>
            <sz val="8"/>
            <color indexed="81"/>
            <rFont val="Tahoma"/>
            <family val="2"/>
          </rPr>
          <t>KW |KVA
0    |0
0.9 |1.1
1.3 |1.55
1.4 |1.65
1.6 |1.9
1.9 |2.1
2.6 |2.86
2.8 |3.08
3.6 |4
Se o valor  em Kw não constar na tabela, a pot. Em Kva será considerada como sendo a mesma</t>
        </r>
      </text>
    </comment>
    <comment ref="CK305" authorId="0" shapeId="0" xr:uid="{00000000-0006-0000-0C00-00001D000000}">
      <text>
        <r>
          <rPr>
            <b/>
            <sz val="8"/>
            <color indexed="81"/>
            <rFont val="Tahoma"/>
            <family val="2"/>
          </rPr>
          <t>KW |KVA
0    |0
0.9 |1.1
1.3 |1.55
1.4 |1.65
1.6 |1.9
1.9 |2.1
2.6 |2.86
2.8 |3.08
3.6 |4
Se o valor  em Kw não constar na tabela, a pot. Em Kva será considerada como sendo a mesma</t>
        </r>
      </text>
    </comment>
    <comment ref="C306" authorId="0" shapeId="0" xr:uid="{00000000-0006-0000-0C00-00001E000000}">
      <text>
        <r>
          <rPr>
            <b/>
            <sz val="8"/>
            <color indexed="81"/>
            <rFont val="Tahoma"/>
            <family val="2"/>
          </rPr>
          <t>KW |KVA
0    |0
0.9 |1.1
1.3 |1.55
1.4 |1.65
1.6 |1.9
1.9 |2.1
2.6 |2.86
2.8 |3.08
3.6 |4
Se o valor  em Kw não constar na tabela, a pot. Em Kva será considerada como sendo a mesma</t>
        </r>
      </text>
    </comment>
    <comment ref="AT306" authorId="0" shapeId="0" xr:uid="{00000000-0006-0000-0C00-00001F000000}">
      <text>
        <r>
          <rPr>
            <b/>
            <sz val="8"/>
            <color indexed="81"/>
            <rFont val="Tahoma"/>
            <family val="2"/>
          </rPr>
          <t>KW |KVA
0    |0
0.9 |1.1
1.3 |1.55
1.4 |1.65
1.6 |1.9
1.9 |2.1
2.6 |2.86
2.8 |3.08
3.6 |4
Se o valor  em Kw não constar na tabela, a pot. Em Kva será considerada como sendo a mesma</t>
        </r>
      </text>
    </comment>
    <comment ref="CK306" authorId="0" shapeId="0" xr:uid="{00000000-0006-0000-0C00-000020000000}">
      <text>
        <r>
          <rPr>
            <b/>
            <sz val="8"/>
            <color indexed="81"/>
            <rFont val="Tahoma"/>
            <family val="2"/>
          </rPr>
          <t>KW |KVA
0    |0
0.9 |1.1
1.3 |1.55
1.4 |1.65
1.6 |1.9
1.9 |2.1
2.6 |2.86
2.8 |3.08
3.6 |4
Se o valor  em Kw não constar na tabela, a pot. Em Kva será considerada como sendo a mesma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nae_sap" type="6" refreshedVersion="5" background="1" saveData="1">
    <textPr sourceFile="C:\Users\B005657\Desktop\cnae_sap.txt" decimal="," thousands=".">
      <textFields count="3">
        <textField type="text"/>
        <textField type="text"/>
        <textField type="text"/>
      </textFields>
    </textPr>
  </connection>
</connections>
</file>

<file path=xl/sharedStrings.xml><?xml version="1.0" encoding="utf-8"?>
<sst xmlns="http://schemas.openxmlformats.org/spreadsheetml/2006/main" count="4944" uniqueCount="3180">
  <si>
    <t>A</t>
  </si>
  <si>
    <t>PROTEÇÃO</t>
  </si>
  <si>
    <t>mm</t>
  </si>
  <si>
    <t>KVA</t>
  </si>
  <si>
    <t>DADOS DE DEMANDA</t>
  </si>
  <si>
    <t>I DEMANDA:</t>
  </si>
  <si>
    <t>DEMANDA TOTAL:</t>
  </si>
  <si>
    <t xml:space="preserve">RAMAL: </t>
  </si>
  <si>
    <t>SISTEMA:</t>
  </si>
  <si>
    <t>CAIXA:</t>
  </si>
  <si>
    <t>DADOS TÉCNICOS DA LIGAÇÃO</t>
  </si>
  <si>
    <t>POSTE/COLU/FACH:</t>
  </si>
  <si>
    <t>OBSERVAÇÕES:</t>
  </si>
  <si>
    <t>BIFÁSICO</t>
  </si>
  <si>
    <t>DELTA</t>
  </si>
  <si>
    <t>X</t>
  </si>
  <si>
    <t>POSTE</t>
  </si>
  <si>
    <t>3F+N</t>
  </si>
  <si>
    <t>TRIFÁSICO</t>
  </si>
  <si>
    <t>N</t>
  </si>
  <si>
    <t>L</t>
  </si>
  <si>
    <t>K</t>
  </si>
  <si>
    <t>H</t>
  </si>
  <si>
    <t>M</t>
  </si>
  <si>
    <t>Ligação Nova</t>
  </si>
  <si>
    <t>Modificação</t>
  </si>
  <si>
    <t>Projeto</t>
  </si>
  <si>
    <t>Execução</t>
  </si>
  <si>
    <t>Cidade</t>
  </si>
  <si>
    <t>Endereço para correspondência</t>
  </si>
  <si>
    <t>e-mail</t>
  </si>
  <si>
    <t>Unid 1</t>
  </si>
  <si>
    <t>Unid 2</t>
  </si>
  <si>
    <t>Unid 3</t>
  </si>
  <si>
    <t>Unid 4</t>
  </si>
  <si>
    <t>Unid 6</t>
  </si>
  <si>
    <t>Unid 7</t>
  </si>
  <si>
    <t>Unid 8</t>
  </si>
  <si>
    <t>Qtd</t>
  </si>
  <si>
    <t>Área (m²)</t>
  </si>
  <si>
    <t>Tomadas (KW)</t>
  </si>
  <si>
    <t>KW</t>
  </si>
  <si>
    <t>Chuveiro</t>
  </si>
  <si>
    <t>Torneira</t>
  </si>
  <si>
    <t>Aquec. I. P.</t>
  </si>
  <si>
    <t>Lava Louça</t>
  </si>
  <si>
    <t>Aquec C. P.</t>
  </si>
  <si>
    <t>Aquec. C. A.</t>
  </si>
  <si>
    <t>Fogão</t>
  </si>
  <si>
    <t>Microondas</t>
  </si>
  <si>
    <t>Secadora</t>
  </si>
  <si>
    <t>Sauna</t>
  </si>
  <si>
    <t>Xerox</t>
  </si>
  <si>
    <t>Ferro Indus.</t>
  </si>
  <si>
    <t>Hidro</t>
  </si>
  <si>
    <t>Resistivo</t>
  </si>
  <si>
    <t>Ar Com.</t>
  </si>
  <si>
    <t>Ar Res.</t>
  </si>
  <si>
    <t>Especiais</t>
  </si>
  <si>
    <t xml:space="preserve">Equip. Trif. </t>
  </si>
  <si>
    <t>CV OU HP</t>
  </si>
  <si>
    <t>Quantidade de Motores Monofásicos</t>
  </si>
  <si>
    <t>Quantidade de Bombas de Incêndio (Consideradas Trifásicas)</t>
  </si>
  <si>
    <t>Quantidade de Elevadores/Bombas de Recalque (Consideradas Trifásicas)</t>
  </si>
  <si>
    <t>Unid 9</t>
  </si>
  <si>
    <t>Unid 10</t>
  </si>
  <si>
    <t>Unid 11</t>
  </si>
  <si>
    <t>Unid 12</t>
  </si>
  <si>
    <t>Residência</t>
  </si>
  <si>
    <t>Administração</t>
  </si>
  <si>
    <t>PARA USO DA CONCESSIONÁRIA</t>
  </si>
  <si>
    <t>2F+N</t>
  </si>
  <si>
    <t>ESTRELA</t>
  </si>
  <si>
    <t>DISJUNTOR</t>
  </si>
  <si>
    <t>FUSÍVEL</t>
  </si>
  <si>
    <t>Quantidade de Motores Trifásicos</t>
  </si>
  <si>
    <t>Tipo da Unidade&gt;&gt;&gt;&gt;</t>
  </si>
  <si>
    <t>daN</t>
  </si>
  <si>
    <t>ISOLAÇÃO DO CONDUTOR</t>
  </si>
  <si>
    <t>PVC</t>
  </si>
  <si>
    <t>EPR</t>
  </si>
  <si>
    <t>XLPE</t>
  </si>
  <si>
    <t>COLUNA</t>
  </si>
  <si>
    <t>FACHADA</t>
  </si>
  <si>
    <t>Tipo de solicitação:</t>
  </si>
  <si>
    <t>Revisão ao Projeto nº</t>
  </si>
  <si>
    <t>Nome</t>
  </si>
  <si>
    <t>CPF</t>
  </si>
  <si>
    <t>RG</t>
  </si>
  <si>
    <t>CNPJ</t>
  </si>
  <si>
    <t>Telefone</t>
  </si>
  <si>
    <t>E-mail</t>
  </si>
  <si>
    <t>Rua/Av.</t>
  </si>
  <si>
    <t>Nº</t>
  </si>
  <si>
    <t>Compl.</t>
  </si>
  <si>
    <t>CEP</t>
  </si>
  <si>
    <t>Bairro</t>
  </si>
  <si>
    <t>Engº/ Téc.</t>
  </si>
  <si>
    <t>Rua/Av</t>
  </si>
  <si>
    <t>SISTEMA</t>
  </si>
  <si>
    <t>OBS: COLAR O ARQUIVO EM EXTENSÃO ".JPEG"</t>
  </si>
  <si>
    <t>Iluminação  (KW)</t>
  </si>
  <si>
    <t>FP</t>
  </si>
  <si>
    <t>iluminação+tomadas</t>
  </si>
  <si>
    <t>Fatores individuais</t>
  </si>
  <si>
    <t>Tipo</t>
  </si>
  <si>
    <t>Unidade 1</t>
  </si>
  <si>
    <t>Unidade 2</t>
  </si>
  <si>
    <t>Unidade 3</t>
  </si>
  <si>
    <t>Unidade 4</t>
  </si>
  <si>
    <t>de</t>
  </si>
  <si>
    <t>até</t>
  </si>
  <si>
    <t>Residêncial</t>
  </si>
  <si>
    <t>Ilum. Incand.  (KW)</t>
  </si>
  <si>
    <t>ILUMINAÇÃO + TOMADAS</t>
  </si>
  <si>
    <t>Escola e Semelhantes</t>
  </si>
  <si>
    <t>Escritório</t>
  </si>
  <si>
    <t>Hospital e semelhantes</t>
  </si>
  <si>
    <t>Indústrial</t>
  </si>
  <si>
    <t>Garagem Comercial e semelhantes</t>
  </si>
  <si>
    <t>Auditório,Salão e semelhantes</t>
  </si>
  <si>
    <t>Barbearia, Salão de beleza e semelhantes</t>
  </si>
  <si>
    <t>Clube e semelhantes</t>
  </si>
  <si>
    <t>Restaurante e semelhantes</t>
  </si>
  <si>
    <t>aparelhos</t>
  </si>
  <si>
    <t>Ferro de passar</t>
  </si>
  <si>
    <t>Aquec. C.P.</t>
  </si>
  <si>
    <t>Aquecedor</t>
  </si>
  <si>
    <t>Micro</t>
  </si>
  <si>
    <t>Ferro</t>
  </si>
  <si>
    <t>cálculo individual</t>
  </si>
  <si>
    <t>Chuveiros torneiras</t>
  </si>
  <si>
    <t>Lava Louça AQCP</t>
  </si>
  <si>
    <t>Com</t>
  </si>
  <si>
    <t>Res</t>
  </si>
  <si>
    <t>FP LIG</t>
  </si>
  <si>
    <t>Tipo da UnidadI&gt;&gt;&gt;&gt;</t>
  </si>
  <si>
    <t>UnidadI 1</t>
  </si>
  <si>
    <t>UnidadI 2</t>
  </si>
  <si>
    <t>UnidadI 3</t>
  </si>
  <si>
    <t>UnidadI 4</t>
  </si>
  <si>
    <t>Ilum. FluorIs.  (KW)</t>
  </si>
  <si>
    <t>&lt;&gt;0</t>
  </si>
  <si>
    <t>TOTAL KVA</t>
  </si>
  <si>
    <t>FASES</t>
  </si>
  <si>
    <t xml:space="preserve">TENSÃO ESTRELA </t>
  </si>
  <si>
    <t>TENSÃO DELTA</t>
  </si>
  <si>
    <t>CORRENTE ESTRELA</t>
  </si>
  <si>
    <t>CORRENTE DELTA</t>
  </si>
  <si>
    <t>F.S.</t>
  </si>
  <si>
    <t>unidade 1</t>
  </si>
  <si>
    <t>unidade 2</t>
  </si>
  <si>
    <t>Unidade 1 + 3</t>
  </si>
  <si>
    <t>Unidade 2 + 4</t>
  </si>
  <si>
    <t>1 + 3</t>
  </si>
  <si>
    <t>2 + 4</t>
  </si>
  <si>
    <t>TOTAL KW</t>
  </si>
  <si>
    <t>GERAL</t>
  </si>
  <si>
    <t>unidade 3</t>
  </si>
  <si>
    <t>unidade 4</t>
  </si>
  <si>
    <t>Unidades</t>
  </si>
  <si>
    <t>Tipo de unidades</t>
  </si>
  <si>
    <t>CNAE</t>
  </si>
  <si>
    <t>CHECK LIST</t>
  </si>
  <si>
    <t>Relação de Carga</t>
  </si>
  <si>
    <t>Centro de Medição</t>
  </si>
  <si>
    <t>Memorial</t>
  </si>
  <si>
    <t>EQUIPAMENTOS</t>
  </si>
  <si>
    <t>Ilum + tom</t>
  </si>
  <si>
    <t>TOTAL</t>
  </si>
  <si>
    <t>QTD</t>
  </si>
  <si>
    <t>total</t>
  </si>
  <si>
    <t>Corrente</t>
  </si>
  <si>
    <t>Fases</t>
  </si>
  <si>
    <t>Isolação</t>
  </si>
  <si>
    <t>proteção</t>
  </si>
  <si>
    <t>Disjuntor</t>
  </si>
  <si>
    <t>&lt;=</t>
  </si>
  <si>
    <t>Fusível</t>
  </si>
  <si>
    <t>EPR ou XLPE</t>
  </si>
  <si>
    <t>Proteção</t>
  </si>
  <si>
    <t>Condutor</t>
  </si>
  <si>
    <t>2 x 120</t>
  </si>
  <si>
    <t>Geral</t>
  </si>
  <si>
    <t>INDIVIDUAIS</t>
  </si>
  <si>
    <t>-------</t>
  </si>
  <si>
    <t>----------</t>
  </si>
  <si>
    <t>RAMAL DE LIGAÇÃO</t>
  </si>
  <si>
    <t>RAMAL</t>
  </si>
  <si>
    <t>TX-25</t>
  </si>
  <si>
    <t>TX-70</t>
  </si>
  <si>
    <t>TX-120</t>
  </si>
  <si>
    <t>2x TX-70</t>
  </si>
  <si>
    <t>QX-25</t>
  </si>
  <si>
    <t>QX-70</t>
  </si>
  <si>
    <t>QX-120</t>
  </si>
  <si>
    <t>2x QX-70</t>
  </si>
  <si>
    <t>Copiadora</t>
  </si>
  <si>
    <t>1+3</t>
  </si>
  <si>
    <t>2+4</t>
  </si>
  <si>
    <t>DUTOS</t>
  </si>
  <si>
    <t>CARGA (KW)</t>
  </si>
  <si>
    <t>Obrigatório</t>
  </si>
  <si>
    <t>Instalação</t>
  </si>
  <si>
    <t>Unidade</t>
  </si>
  <si>
    <t>Área</t>
  </si>
  <si>
    <t xml:space="preserve">Ilum + Tom </t>
  </si>
  <si>
    <t>Aparelhos</t>
  </si>
  <si>
    <t>Motores</t>
  </si>
  <si>
    <t>FD.TRAFO</t>
  </si>
  <si>
    <t>Demanda Trafo</t>
  </si>
  <si>
    <t>FD</t>
  </si>
  <si>
    <t>DT</t>
  </si>
  <si>
    <t>protc. Motor</t>
  </si>
  <si>
    <t>cond. Motor</t>
  </si>
  <si>
    <t>Condutor I</t>
  </si>
  <si>
    <t>BI</t>
  </si>
  <si>
    <t>4649-4/99</t>
  </si>
  <si>
    <t>0000-0/00</t>
  </si>
  <si>
    <t>0000-0/01</t>
  </si>
  <si>
    <t>0000-0/02</t>
  </si>
  <si>
    <t>0111-3/01</t>
  </si>
  <si>
    <t>0111-3/02</t>
  </si>
  <si>
    <t>0111-3/03</t>
  </si>
  <si>
    <t>0111-3/99</t>
  </si>
  <si>
    <t>0112-1/01</t>
  </si>
  <si>
    <t>0112-1/02</t>
  </si>
  <si>
    <t>0112-1/99</t>
  </si>
  <si>
    <t>0113-0/00</t>
  </si>
  <si>
    <t>0114-8/00</t>
  </si>
  <si>
    <t>0115-6/00</t>
  </si>
  <si>
    <t>0116-4/01</t>
  </si>
  <si>
    <t>0116-4/02</t>
  </si>
  <si>
    <t>0116-4/03</t>
  </si>
  <si>
    <t>0116-4/99</t>
  </si>
  <si>
    <t>0119-9/01</t>
  </si>
  <si>
    <t>0119-9/02</t>
  </si>
  <si>
    <t>0119-9/03</t>
  </si>
  <si>
    <t>0119-9/04</t>
  </si>
  <si>
    <t>0119-9/05</t>
  </si>
  <si>
    <t>0119-9/06</t>
  </si>
  <si>
    <t>0119-9/07</t>
  </si>
  <si>
    <t>0119-9/08</t>
  </si>
  <si>
    <t>0119-9/09</t>
  </si>
  <si>
    <t>0119-9/99</t>
  </si>
  <si>
    <t>0121-1/01</t>
  </si>
  <si>
    <t>0121-1/02</t>
  </si>
  <si>
    <t>0122-9/00</t>
  </si>
  <si>
    <t>0131-8/00</t>
  </si>
  <si>
    <t>0132-6/00</t>
  </si>
  <si>
    <t>0133-4/01</t>
  </si>
  <si>
    <t>0133-4/02</t>
  </si>
  <si>
    <t>0133-4/03</t>
  </si>
  <si>
    <t>0133-4/04</t>
  </si>
  <si>
    <t>0133-4/05</t>
  </si>
  <si>
    <t>0133-4/06</t>
  </si>
  <si>
    <t>0133-4/07</t>
  </si>
  <si>
    <t>0133-4/08</t>
  </si>
  <si>
    <t>0133-4/09</t>
  </si>
  <si>
    <t>0133-4/10</t>
  </si>
  <si>
    <t>0133-4/11</t>
  </si>
  <si>
    <t>0133-4/99</t>
  </si>
  <si>
    <t>0134-2/00</t>
  </si>
  <si>
    <t>0135-1/00</t>
  </si>
  <si>
    <t>0139-3/01</t>
  </si>
  <si>
    <t>0139-3/02</t>
  </si>
  <si>
    <t>0139-3/03</t>
  </si>
  <si>
    <t>0139-3/04</t>
  </si>
  <si>
    <t>0139-3/05</t>
  </si>
  <si>
    <t>0139-3/06</t>
  </si>
  <si>
    <t>0139-3/99</t>
  </si>
  <si>
    <t>0141-5/01</t>
  </si>
  <si>
    <t>0141-5/02</t>
  </si>
  <si>
    <t>0142-3/00</t>
  </si>
  <si>
    <t>0151-2/01</t>
  </si>
  <si>
    <t>0151-2/02</t>
  </si>
  <si>
    <t>0151-2/03</t>
  </si>
  <si>
    <t>0152-1/01</t>
  </si>
  <si>
    <t>0152-1/02</t>
  </si>
  <si>
    <t>0152-1/03</t>
  </si>
  <si>
    <t>0153-9/01</t>
  </si>
  <si>
    <t>0153-9/02</t>
  </si>
  <si>
    <t>0154-7/00</t>
  </si>
  <si>
    <t>0155-5/01</t>
  </si>
  <si>
    <t>0155-5/02</t>
  </si>
  <si>
    <t>0155-5/03</t>
  </si>
  <si>
    <t>0155-5/04</t>
  </si>
  <si>
    <t>0155-5/05</t>
  </si>
  <si>
    <t>0159-8/01</t>
  </si>
  <si>
    <t>0159-8/02</t>
  </si>
  <si>
    <t>0159-8/03</t>
  </si>
  <si>
    <t>0159-8/04</t>
  </si>
  <si>
    <t>0159-8/99</t>
  </si>
  <si>
    <t>0161-0/01</t>
  </si>
  <si>
    <t>0161-0/02</t>
  </si>
  <si>
    <t>0161-0/03</t>
  </si>
  <si>
    <t>0161-0/99</t>
  </si>
  <si>
    <t>0162-8/01</t>
  </si>
  <si>
    <t>0162-8/02</t>
  </si>
  <si>
    <t>0162-8/03</t>
  </si>
  <si>
    <t>0162-8/99</t>
  </si>
  <si>
    <t>0163-6/00</t>
  </si>
  <si>
    <t>0170-9/00</t>
  </si>
  <si>
    <t>0210-1/01</t>
  </si>
  <si>
    <t>0210-1/02</t>
  </si>
  <si>
    <t>0210-1/03</t>
  </si>
  <si>
    <t>0210-1/04</t>
  </si>
  <si>
    <t>0210-1/05</t>
  </si>
  <si>
    <t>0210-1/06</t>
  </si>
  <si>
    <t>0210-1/07</t>
  </si>
  <si>
    <t>0210-1/08</t>
  </si>
  <si>
    <t>0210-1/09</t>
  </si>
  <si>
    <t>0210-1/99</t>
  </si>
  <si>
    <t>0220-9/01</t>
  </si>
  <si>
    <t>0220-9/02</t>
  </si>
  <si>
    <t>0220-9/03</t>
  </si>
  <si>
    <t>0220-9/04</t>
  </si>
  <si>
    <t>0220-9/05</t>
  </si>
  <si>
    <t>0220-9/06</t>
  </si>
  <si>
    <t>0220-9/99</t>
  </si>
  <si>
    <t>0230-6/00</t>
  </si>
  <si>
    <t>0311-6/01</t>
  </si>
  <si>
    <t>0311-6/02</t>
  </si>
  <si>
    <t>0311-6/03</t>
  </si>
  <si>
    <t>0311-6/04</t>
  </si>
  <si>
    <t>0312-4/01</t>
  </si>
  <si>
    <t>0312-4/02</t>
  </si>
  <si>
    <t>0312-4/03</t>
  </si>
  <si>
    <t>0312-4/04</t>
  </si>
  <si>
    <t>0321-3/01</t>
  </si>
  <si>
    <t>0321-3/02</t>
  </si>
  <si>
    <t>0321-3/03</t>
  </si>
  <si>
    <t>0321-3/04</t>
  </si>
  <si>
    <t>0321-3/05</t>
  </si>
  <si>
    <t>0321-3/99</t>
  </si>
  <si>
    <t>0322-1/01</t>
  </si>
  <si>
    <t>0322-1/02</t>
  </si>
  <si>
    <t>0322-1/03</t>
  </si>
  <si>
    <t>0322-1/04</t>
  </si>
  <si>
    <t>0322-1/05</t>
  </si>
  <si>
    <t>0322-1/06</t>
  </si>
  <si>
    <t>0322-1/07</t>
  </si>
  <si>
    <t>0322-1/99</t>
  </si>
  <si>
    <t>0500-3/01</t>
  </si>
  <si>
    <t>0500-3/02</t>
  </si>
  <si>
    <t>0600-0/01</t>
  </si>
  <si>
    <t>0600-0/02</t>
  </si>
  <si>
    <t>0600-0/03</t>
  </si>
  <si>
    <t>0710-3/01</t>
  </si>
  <si>
    <t>0710-3/02</t>
  </si>
  <si>
    <t>0721-9/01</t>
  </si>
  <si>
    <t>0721-9/02</t>
  </si>
  <si>
    <t>0722-7/01</t>
  </si>
  <si>
    <t>0722-7/02</t>
  </si>
  <si>
    <t>0723-5/01</t>
  </si>
  <si>
    <t>0723-5/02</t>
  </si>
  <si>
    <t>0724-3/01</t>
  </si>
  <si>
    <t>0724-3/02</t>
  </si>
  <si>
    <t>0725-1/00</t>
  </si>
  <si>
    <t>0729-4/01</t>
  </si>
  <si>
    <t>0729-4/02</t>
  </si>
  <si>
    <t>0729-4/03</t>
  </si>
  <si>
    <t>0729-4/04</t>
  </si>
  <si>
    <t>0729-4/05</t>
  </si>
  <si>
    <t>0810-0/01</t>
  </si>
  <si>
    <t>0810-0/02</t>
  </si>
  <si>
    <t>0810-0/03</t>
  </si>
  <si>
    <t>0810-0/04</t>
  </si>
  <si>
    <t>0810-0/05</t>
  </si>
  <si>
    <t>0810-0/06</t>
  </si>
  <si>
    <t>0810-0/07</t>
  </si>
  <si>
    <t>0810-0/08</t>
  </si>
  <si>
    <t>0810-0/09</t>
  </si>
  <si>
    <t>0810-0/10</t>
  </si>
  <si>
    <t>0810-0/99</t>
  </si>
  <si>
    <t>0891-6/00</t>
  </si>
  <si>
    <t>0892-4/01</t>
  </si>
  <si>
    <t>0892-4/02</t>
  </si>
  <si>
    <t>0892-4/03</t>
  </si>
  <si>
    <t>0893-2/00</t>
  </si>
  <si>
    <t>0899-1/01</t>
  </si>
  <si>
    <t>0899-1/02</t>
  </si>
  <si>
    <t>0899-1/03</t>
  </si>
  <si>
    <t>0899-1/99</t>
  </si>
  <si>
    <t>0910-6/00</t>
  </si>
  <si>
    <t>0990-4/01</t>
  </si>
  <si>
    <t>0990-4/02</t>
  </si>
  <si>
    <t>0990-4/03</t>
  </si>
  <si>
    <t>1011-2/01</t>
  </si>
  <si>
    <t>1011-2/02</t>
  </si>
  <si>
    <t>1011-2/03</t>
  </si>
  <si>
    <t>1011-2/04</t>
  </si>
  <si>
    <t>1011-2/05</t>
  </si>
  <si>
    <t>1012-1/01</t>
  </si>
  <si>
    <t>1012-1/02</t>
  </si>
  <si>
    <t>1012-1/03</t>
  </si>
  <si>
    <t>1012-1/04</t>
  </si>
  <si>
    <t>1013-9/01</t>
  </si>
  <si>
    <t>1013-9/02</t>
  </si>
  <si>
    <t>1020-1/01</t>
  </si>
  <si>
    <t>1020-1/02</t>
  </si>
  <si>
    <t>1031-7/00</t>
  </si>
  <si>
    <t>1032-5/01</t>
  </si>
  <si>
    <t>1032-5/99</t>
  </si>
  <si>
    <t>1033-3/01</t>
  </si>
  <si>
    <t>1033-3/02</t>
  </si>
  <si>
    <t>1041-4/00</t>
  </si>
  <si>
    <t>1042-2/00</t>
  </si>
  <si>
    <t>1043-1/00</t>
  </si>
  <si>
    <t>1051-1/00</t>
  </si>
  <si>
    <t>1052-0/00</t>
  </si>
  <si>
    <t>1053-8/00</t>
  </si>
  <si>
    <t>1061-9/01</t>
  </si>
  <si>
    <t>1061-9/02</t>
  </si>
  <si>
    <t>1062-7/00</t>
  </si>
  <si>
    <t>1063-5/00</t>
  </si>
  <si>
    <t>1064-3/00</t>
  </si>
  <si>
    <t>1065-1/01</t>
  </si>
  <si>
    <t>1065-1/02</t>
  </si>
  <si>
    <t>1065-1/03</t>
  </si>
  <si>
    <t>1066-0/00</t>
  </si>
  <si>
    <t>1069-4/00</t>
  </si>
  <si>
    <t>1071-6/00</t>
  </si>
  <si>
    <t>1072-4/01</t>
  </si>
  <si>
    <t>1072-4/02</t>
  </si>
  <si>
    <t>1081-3/01</t>
  </si>
  <si>
    <t>1081-3/02</t>
  </si>
  <si>
    <t>1082-1/00</t>
  </si>
  <si>
    <t>1091-1/00</t>
  </si>
  <si>
    <t>1092-9/00</t>
  </si>
  <si>
    <t>1093-7/01</t>
  </si>
  <si>
    <t>1093-7/02</t>
  </si>
  <si>
    <t>1094-5/00</t>
  </si>
  <si>
    <t>1095-3/00</t>
  </si>
  <si>
    <t>1096-1/00</t>
  </si>
  <si>
    <t>1099-6/01</t>
  </si>
  <si>
    <t>1099-6/02</t>
  </si>
  <si>
    <t>1099-6/03</t>
  </si>
  <si>
    <t>1099-6/04</t>
  </si>
  <si>
    <t>1099-6/05</t>
  </si>
  <si>
    <t>1099-6/06</t>
  </si>
  <si>
    <t>1099-6/99</t>
  </si>
  <si>
    <t>1111-9/01</t>
  </si>
  <si>
    <t>1111-9/02</t>
  </si>
  <si>
    <t>1112-7/00</t>
  </si>
  <si>
    <t>1113-5/01</t>
  </si>
  <si>
    <t>1113-5/02</t>
  </si>
  <si>
    <t>1121-6/00</t>
  </si>
  <si>
    <t>1122-4/01</t>
  </si>
  <si>
    <t>1122-4/02</t>
  </si>
  <si>
    <t>1122-4/03</t>
  </si>
  <si>
    <t>1122-4/99</t>
  </si>
  <si>
    <t>1210-7/00</t>
  </si>
  <si>
    <t>1220-4/01</t>
  </si>
  <si>
    <t>1220-4/02</t>
  </si>
  <si>
    <t>1220-4/03</t>
  </si>
  <si>
    <t>1220-4/99</t>
  </si>
  <si>
    <t>1311-1/00</t>
  </si>
  <si>
    <t>1312-0/00</t>
  </si>
  <si>
    <t>1313-8/00</t>
  </si>
  <si>
    <t>1314-6/00</t>
  </si>
  <si>
    <t>1321-9/00</t>
  </si>
  <si>
    <t>1322-7/00</t>
  </si>
  <si>
    <t>1323-5/00</t>
  </si>
  <si>
    <t>1330-8/00</t>
  </si>
  <si>
    <t>1340-5/01</t>
  </si>
  <si>
    <t>1340-5/02</t>
  </si>
  <si>
    <t>1340-5/99</t>
  </si>
  <si>
    <t>1351-1/00</t>
  </si>
  <si>
    <t>1352-9/00</t>
  </si>
  <si>
    <t>1353-7/00</t>
  </si>
  <si>
    <t>1354-5/00</t>
  </si>
  <si>
    <t>1359-6/00</t>
  </si>
  <si>
    <t>1411-8/01</t>
  </si>
  <si>
    <t>1411-8/02</t>
  </si>
  <si>
    <t>1412-6/01</t>
  </si>
  <si>
    <t>1412-6/02</t>
  </si>
  <si>
    <t>1412-6/03</t>
  </si>
  <si>
    <t>1413-4/01</t>
  </si>
  <si>
    <t>1413-4/02</t>
  </si>
  <si>
    <t>1413-4/03</t>
  </si>
  <si>
    <t>1414-2/00</t>
  </si>
  <si>
    <t>1421-5/00</t>
  </si>
  <si>
    <t>1422-3/00</t>
  </si>
  <si>
    <t>1510-6/00</t>
  </si>
  <si>
    <t>1521-1/00</t>
  </si>
  <si>
    <t>1529-7/00</t>
  </si>
  <si>
    <t>1531-9/01</t>
  </si>
  <si>
    <t>1531-9/02</t>
  </si>
  <si>
    <t>1532-7/00</t>
  </si>
  <si>
    <t>1533-5/00</t>
  </si>
  <si>
    <t>1539-4/00</t>
  </si>
  <si>
    <t>1540-8/00</t>
  </si>
  <si>
    <t>1610-2/01</t>
  </si>
  <si>
    <t>1610-2/02</t>
  </si>
  <si>
    <t>1621-8/00</t>
  </si>
  <si>
    <t>1622-6/01</t>
  </si>
  <si>
    <t>1622-6/02</t>
  </si>
  <si>
    <t>FABRICAÇÃO DE ESQUADRIAS DE MADEIRA E DE PEÇAS DE MADEIRA PARA INSTALAÇÕES INDUSTRIAIS E COMERCIAIS</t>
  </si>
  <si>
    <t>1622-6/99</t>
  </si>
  <si>
    <t>1623-4/00</t>
  </si>
  <si>
    <t>1629-3/01</t>
  </si>
  <si>
    <t>1629-3/02</t>
  </si>
  <si>
    <t>1710-9/00</t>
  </si>
  <si>
    <t>1721-4/00</t>
  </si>
  <si>
    <t>1722-2/00</t>
  </si>
  <si>
    <t>1731-1/00</t>
  </si>
  <si>
    <t>1732-0/00</t>
  </si>
  <si>
    <t>1733-8/00</t>
  </si>
  <si>
    <t>1741-9/01</t>
  </si>
  <si>
    <t>1741-9/02</t>
  </si>
  <si>
    <t>1742-7/01</t>
  </si>
  <si>
    <t>1742-7/02</t>
  </si>
  <si>
    <t>1742-7/99</t>
  </si>
  <si>
    <t>1749-4/00</t>
  </si>
  <si>
    <t>FABRICAÇÃO DE PRODUTOS DE PASTAS CELULÓSICAS, PAPEL, CARTOLINA, PAPEL-CARTÃO E PAPELÃO ONDULADO NÃO</t>
  </si>
  <si>
    <t>1811-3/01</t>
  </si>
  <si>
    <t>1811-3/02</t>
  </si>
  <si>
    <t>1812-1/00</t>
  </si>
  <si>
    <t>1813-0/01</t>
  </si>
  <si>
    <t>1813-0/99</t>
  </si>
  <si>
    <t>1821-1/00</t>
  </si>
  <si>
    <t>1822-9/00</t>
  </si>
  <si>
    <t>1830-0/01</t>
  </si>
  <si>
    <t>1830-0/02</t>
  </si>
  <si>
    <t>1830-0/03</t>
  </si>
  <si>
    <t>1910-1/00</t>
  </si>
  <si>
    <t>1921-7/00</t>
  </si>
  <si>
    <t>1922-5/01</t>
  </si>
  <si>
    <t>1922-5/02</t>
  </si>
  <si>
    <t>1922-5/99</t>
  </si>
  <si>
    <t>1931-4/00</t>
  </si>
  <si>
    <t>1932-2/00</t>
  </si>
  <si>
    <t>2011-8/00</t>
  </si>
  <si>
    <t>2012-6/00</t>
  </si>
  <si>
    <t>2013-4/00</t>
  </si>
  <si>
    <t>2014-2/00</t>
  </si>
  <si>
    <t>2019-3/01</t>
  </si>
  <si>
    <t>2019-3/99</t>
  </si>
  <si>
    <t>2021-5/00</t>
  </si>
  <si>
    <t>2022-3/00</t>
  </si>
  <si>
    <t>2029-1/00</t>
  </si>
  <si>
    <t>2031-2/00</t>
  </si>
  <si>
    <t>2032-1/00</t>
  </si>
  <si>
    <t>2033-9/00</t>
  </si>
  <si>
    <t>2040-1/00</t>
  </si>
  <si>
    <t>2051-7/00</t>
  </si>
  <si>
    <t>2052-5/00</t>
  </si>
  <si>
    <t>2061-4/00</t>
  </si>
  <si>
    <t>2062-2/00</t>
  </si>
  <si>
    <t>2063-1/00</t>
  </si>
  <si>
    <t>2071-1/00</t>
  </si>
  <si>
    <t>2072-0/00</t>
  </si>
  <si>
    <t>2073-8/00</t>
  </si>
  <si>
    <t>2091-6/00</t>
  </si>
  <si>
    <t>2092-4/01</t>
  </si>
  <si>
    <t>2092-4/02</t>
  </si>
  <si>
    <t>2092-4/03</t>
  </si>
  <si>
    <t>2093-2/00</t>
  </si>
  <si>
    <t>2094-1/00</t>
  </si>
  <si>
    <t>2099-1/01</t>
  </si>
  <si>
    <t>2099-1/99</t>
  </si>
  <si>
    <t>2110-6/00</t>
  </si>
  <si>
    <t>2121-1/01</t>
  </si>
  <si>
    <t>2121-1/02</t>
  </si>
  <si>
    <t>2121-1/03</t>
  </si>
  <si>
    <t>2122-0/00</t>
  </si>
  <si>
    <t>2123-8/00</t>
  </si>
  <si>
    <t>2211-1/00</t>
  </si>
  <si>
    <t>2212-9/00</t>
  </si>
  <si>
    <t>2219-6/00</t>
  </si>
  <si>
    <t>2221-8/00</t>
  </si>
  <si>
    <t>2222-6/00</t>
  </si>
  <si>
    <t>2223-4/00</t>
  </si>
  <si>
    <t>2229-3/01</t>
  </si>
  <si>
    <t>2229-3/02</t>
  </si>
  <si>
    <t>2229-3/03</t>
  </si>
  <si>
    <t>2229-3/99</t>
  </si>
  <si>
    <t>2311-7/00</t>
  </si>
  <si>
    <t>2312-5/00</t>
  </si>
  <si>
    <t>2319-2/00</t>
  </si>
  <si>
    <t>2320-6/00</t>
  </si>
  <si>
    <t>2330-3/01</t>
  </si>
  <si>
    <t>2330-3/02</t>
  </si>
  <si>
    <t>2330-3/03</t>
  </si>
  <si>
    <t>2330-3/04</t>
  </si>
  <si>
    <t>2330-3/05</t>
  </si>
  <si>
    <t>2330-3/99</t>
  </si>
  <si>
    <t>2341-9/00</t>
  </si>
  <si>
    <t>2342-7/01</t>
  </si>
  <si>
    <t>2342-7/02</t>
  </si>
  <si>
    <t>FABRICAÇÃO DE ARTEFATOS DE CERÂMICA E BARRO COZIDO PARA USO NA CONSTRUÇÃO, EXCETO AZULEJOS E PISOS</t>
  </si>
  <si>
    <t>2349-4/01</t>
  </si>
  <si>
    <t>2349-4/99</t>
  </si>
  <si>
    <t>2391-5/01</t>
  </si>
  <si>
    <t>2391-5/02</t>
  </si>
  <si>
    <t>2391-5/03</t>
  </si>
  <si>
    <t>2392-3/00</t>
  </si>
  <si>
    <t>2399-1/01</t>
  </si>
  <si>
    <t>DECORAÇÃO, LAPIDAÇÃO, GRAVAÇÃO, VITRIFICAÇÃO E OUTROS TRABALHOS EM CERÂMICA, LOUÇA, VIDRO E CRISTAL</t>
  </si>
  <si>
    <t>2399-1/99</t>
  </si>
  <si>
    <t>2411-3/00</t>
  </si>
  <si>
    <t>2412-1/00</t>
  </si>
  <si>
    <t>2421-1/00</t>
  </si>
  <si>
    <t>2422-9/01</t>
  </si>
  <si>
    <t>2422-9/02</t>
  </si>
  <si>
    <t>2423-7/01</t>
  </si>
  <si>
    <t>2423-7/02</t>
  </si>
  <si>
    <t>2424-5/01</t>
  </si>
  <si>
    <t>2424-5/02</t>
  </si>
  <si>
    <t>2431-8/00</t>
  </si>
  <si>
    <t>2439-3/00</t>
  </si>
  <si>
    <t>2441-5/01</t>
  </si>
  <si>
    <t>2441-5/02</t>
  </si>
  <si>
    <t>2442-3/00</t>
  </si>
  <si>
    <t>2443-1/00</t>
  </si>
  <si>
    <t>2449-1/01</t>
  </si>
  <si>
    <t>2449-1/02</t>
  </si>
  <si>
    <t>2449-1/03</t>
  </si>
  <si>
    <t>2449-1/99</t>
  </si>
  <si>
    <t>2451-2/00</t>
  </si>
  <si>
    <t>2452-1/00</t>
  </si>
  <si>
    <t>2511-0/00</t>
  </si>
  <si>
    <t>2512-8/00</t>
  </si>
  <si>
    <t>2513-6/00</t>
  </si>
  <si>
    <t>2521-7/00</t>
  </si>
  <si>
    <t>2522-5/00</t>
  </si>
  <si>
    <t>2531-4/01</t>
  </si>
  <si>
    <t>2531-4/02</t>
  </si>
  <si>
    <t>2532-2/01</t>
  </si>
  <si>
    <t>2532-2/02</t>
  </si>
  <si>
    <t>2539-0/00</t>
  </si>
  <si>
    <t>2541-1/00</t>
  </si>
  <si>
    <t>2542-0/00</t>
  </si>
  <si>
    <t>2543-8/00</t>
  </si>
  <si>
    <t>2550-1/01</t>
  </si>
  <si>
    <t>2550-1/02</t>
  </si>
  <si>
    <t>2591-8/00</t>
  </si>
  <si>
    <t>2592-6/01</t>
  </si>
  <si>
    <t>2592-6/02</t>
  </si>
  <si>
    <t>2593-4/00</t>
  </si>
  <si>
    <t>2599-3/01</t>
  </si>
  <si>
    <t>2599-3/99</t>
  </si>
  <si>
    <t>2610-8/00</t>
  </si>
  <si>
    <t>2621-3/00</t>
  </si>
  <si>
    <t>2622-1/00</t>
  </si>
  <si>
    <t>2631-1/00</t>
  </si>
  <si>
    <t>2632-9/00</t>
  </si>
  <si>
    <t>2640-0/00</t>
  </si>
  <si>
    <t>2651-5/00</t>
  </si>
  <si>
    <t>2652-3/00</t>
  </si>
  <si>
    <t>2660-4/00</t>
  </si>
  <si>
    <t>2670-1/01</t>
  </si>
  <si>
    <t>2670-1/02</t>
  </si>
  <si>
    <t>2680-9/00</t>
  </si>
  <si>
    <t>2710-4/01</t>
  </si>
  <si>
    <t>2710-4/02</t>
  </si>
  <si>
    <t>2710-4/03</t>
  </si>
  <si>
    <t>2721-0/00</t>
  </si>
  <si>
    <t>2722-8/01</t>
  </si>
  <si>
    <t>2722-8/02</t>
  </si>
  <si>
    <t>2731-7/00</t>
  </si>
  <si>
    <t>2732-5/00</t>
  </si>
  <si>
    <t>2733-3/00</t>
  </si>
  <si>
    <t>2740-6/01</t>
  </si>
  <si>
    <t>2740-6/02</t>
  </si>
  <si>
    <t>2751-1/00</t>
  </si>
  <si>
    <t>2759-7/01</t>
  </si>
  <si>
    <t>2759-7/99</t>
  </si>
  <si>
    <t>FABRICAÇÃO DE OUTROS APARELHOS ELETRODOMÉSTICOS NÃO ESPECIFICADOS ANTERIORMENTE, PEÇAS E ACESSÓRIOS</t>
  </si>
  <si>
    <t>2790-2/01</t>
  </si>
  <si>
    <t>2790-2/02</t>
  </si>
  <si>
    <t>2790-2/99</t>
  </si>
  <si>
    <t>2811-9/00</t>
  </si>
  <si>
    <t>2812-7/00</t>
  </si>
  <si>
    <t>2813-5/00</t>
  </si>
  <si>
    <t>2814-3/01</t>
  </si>
  <si>
    <t>2814-3/02</t>
  </si>
  <si>
    <t>2815-1/01</t>
  </si>
  <si>
    <t>2815-1/02</t>
  </si>
  <si>
    <t>2821-6/01</t>
  </si>
  <si>
    <t>FABRICAÇÃO DE FORNOS INDUSTRIAIS, APARELHOS E EQUIPAMENTOS NÃO-ELÉTRICOS PARA INSTALAÇÕES TÉRMICAS,</t>
  </si>
  <si>
    <t>2821-6/02</t>
  </si>
  <si>
    <t>2822-4/01</t>
  </si>
  <si>
    <t>2822-4/02</t>
  </si>
  <si>
    <t>2823-2/00</t>
  </si>
  <si>
    <t>2824-1/01</t>
  </si>
  <si>
    <t>2824-1/02</t>
  </si>
  <si>
    <t>2825-9/00</t>
  </si>
  <si>
    <t>2829-1/01</t>
  </si>
  <si>
    <t>FABRICAÇÃO DE MÁQUINAS DE ESCREVER, CALCULAR E OUTROS EQUIPAMENTOS NÃO-ELETRÔNICOS PARA ESCRITÓRIO,</t>
  </si>
  <si>
    <t>2829-1/99</t>
  </si>
  <si>
    <t>2831-3/00</t>
  </si>
  <si>
    <t>2832-1/00</t>
  </si>
  <si>
    <t>2833-0/00</t>
  </si>
  <si>
    <t>2840-2/00</t>
  </si>
  <si>
    <t>2851-8/00</t>
  </si>
  <si>
    <t>FABRICAÇÃO DE MÁQUINAS E EQUIPAMENTOS PARA A PROSPECÇÃO E EXTRAÇÃO DE PETRÓLEO, PEÇAS E ACESSÓRIOS</t>
  </si>
  <si>
    <t>2852-6/00</t>
  </si>
  <si>
    <t>2853-4/00</t>
  </si>
  <si>
    <t>2854-2/00</t>
  </si>
  <si>
    <t>2861-5/00</t>
  </si>
  <si>
    <t>FABRICAÇÃO DE MÁQUINAS PARA A INDÚSTRIA METALÚRGICA, PEÇAS E ACESSÓRIOS, EXCETO MÁQUINAS-FERRAMENTA</t>
  </si>
  <si>
    <t>2862-3/00</t>
  </si>
  <si>
    <t>2863-1/00</t>
  </si>
  <si>
    <t>2864-0/00</t>
  </si>
  <si>
    <t>2865-8/00</t>
  </si>
  <si>
    <t>2866-6/00</t>
  </si>
  <si>
    <t>2869-1/00</t>
  </si>
  <si>
    <t>2910-7/01</t>
  </si>
  <si>
    <t>2910-7/02</t>
  </si>
  <si>
    <t>2910-7/03</t>
  </si>
  <si>
    <t>2920-4/01</t>
  </si>
  <si>
    <t>2920-4/02</t>
  </si>
  <si>
    <t>2930-1/01</t>
  </si>
  <si>
    <t>2930-1/02</t>
  </si>
  <si>
    <t>2930-1/03</t>
  </si>
  <si>
    <t>2941-7/00</t>
  </si>
  <si>
    <t>2942-5/00</t>
  </si>
  <si>
    <t>2943-3/00</t>
  </si>
  <si>
    <t>2944-1/00</t>
  </si>
  <si>
    <t>2945-0/00</t>
  </si>
  <si>
    <t>2949-2/01</t>
  </si>
  <si>
    <t>2949-2/99</t>
  </si>
  <si>
    <t>2950-6/00</t>
  </si>
  <si>
    <t>3011-3/01</t>
  </si>
  <si>
    <t>3011-3/02</t>
  </si>
  <si>
    <t>3012-1/00</t>
  </si>
  <si>
    <t>3021-1/00</t>
  </si>
  <si>
    <t>3022-9/00</t>
  </si>
  <si>
    <t>3031-8/00</t>
  </si>
  <si>
    <t>3032-6/00</t>
  </si>
  <si>
    <t>3041-5/00</t>
  </si>
  <si>
    <t>3042-3/00</t>
  </si>
  <si>
    <t>3050-4/00</t>
  </si>
  <si>
    <t>3091-1/00</t>
  </si>
  <si>
    <t>3092-0/00</t>
  </si>
  <si>
    <t>3099-7/00</t>
  </si>
  <si>
    <t>3101-2/00</t>
  </si>
  <si>
    <t>3102-1/00</t>
  </si>
  <si>
    <t>3103-9/00</t>
  </si>
  <si>
    <t>3104-7/00</t>
  </si>
  <si>
    <t>3211-6/01</t>
  </si>
  <si>
    <t>3211-6/02</t>
  </si>
  <si>
    <t>3211-6/03</t>
  </si>
  <si>
    <t>3212-4/00</t>
  </si>
  <si>
    <t>3220-5/00</t>
  </si>
  <si>
    <t>3230-2/00</t>
  </si>
  <si>
    <t>3240-0/01</t>
  </si>
  <si>
    <t>3240-0/02</t>
  </si>
  <si>
    <t>3240-0/03</t>
  </si>
  <si>
    <t>3240-0/99</t>
  </si>
  <si>
    <t>3250-7/01</t>
  </si>
  <si>
    <t>3250-7/02</t>
  </si>
  <si>
    <t>3250-7/03</t>
  </si>
  <si>
    <t>3250-7/04</t>
  </si>
  <si>
    <t>3250-7/05</t>
  </si>
  <si>
    <t>3250-7/06</t>
  </si>
  <si>
    <t>3250-7/07</t>
  </si>
  <si>
    <t>3250-7/08</t>
  </si>
  <si>
    <t>3291-4/00</t>
  </si>
  <si>
    <t>3292-2/01</t>
  </si>
  <si>
    <t>3292-2/02</t>
  </si>
  <si>
    <t>3299-0/01</t>
  </si>
  <si>
    <t>3299-0/02</t>
  </si>
  <si>
    <t>3299-0/03</t>
  </si>
  <si>
    <t>3299-0/04</t>
  </si>
  <si>
    <t>3299-0/05</t>
  </si>
  <si>
    <t>3299-0/99</t>
  </si>
  <si>
    <t>3311-2/00</t>
  </si>
  <si>
    <t>3312-1/01</t>
  </si>
  <si>
    <t>3312-1/02</t>
  </si>
  <si>
    <t>3312-1/03</t>
  </si>
  <si>
    <t>MANUTENÇÃO E REPARAÇÃO DE APARELHOS ELETROMÉDICOS E ELETROTERAPÊUTICOS E EQUIPAMENTOS DE IRRADIAÇÃO</t>
  </si>
  <si>
    <t>3312-1/04</t>
  </si>
  <si>
    <t>3313-9/01</t>
  </si>
  <si>
    <t>3313-9/02</t>
  </si>
  <si>
    <t>3313-9/99</t>
  </si>
  <si>
    <t>MANUTENÇÃO E REPARAÇÃO DE MÁQUINAS, APARELHOS E MATERIAIS ELÉTRICOS NÃO ESPECIFICADOS ANTERIORMENTE</t>
  </si>
  <si>
    <t>3314-7/01</t>
  </si>
  <si>
    <t>3314-7/02</t>
  </si>
  <si>
    <t>3314-7/03</t>
  </si>
  <si>
    <t>3314-7/04</t>
  </si>
  <si>
    <t>3314-7/05</t>
  </si>
  <si>
    <t>3314-7/06</t>
  </si>
  <si>
    <t>3314-7/07</t>
  </si>
  <si>
    <t>3314-7/08</t>
  </si>
  <si>
    <t>3314-7/09</t>
  </si>
  <si>
    <t>3314-7/10</t>
  </si>
  <si>
    <t>3314-7/11</t>
  </si>
  <si>
    <t>3314-7/12</t>
  </si>
  <si>
    <t>3314-7/13</t>
  </si>
  <si>
    <t>3314-7/14</t>
  </si>
  <si>
    <t>3314-7/15</t>
  </si>
  <si>
    <t>3314-7/16</t>
  </si>
  <si>
    <t>3314-7/17</t>
  </si>
  <si>
    <t>3314-7/18</t>
  </si>
  <si>
    <t>3314-7/19</t>
  </si>
  <si>
    <t>3314-7/20</t>
  </si>
  <si>
    <t>MANUTENÇÃO E REPARAÇÃO DE MÁQUINAS E EQUIPAMENTOS PARA A INDÚSTRIA TÊXTIL, DO VESTUÁRIO, DO COURO E</t>
  </si>
  <si>
    <t>3314-7/21</t>
  </si>
  <si>
    <t>3314-7/22</t>
  </si>
  <si>
    <t>3314-7/99</t>
  </si>
  <si>
    <t>3315-5/00</t>
  </si>
  <si>
    <t>3316-3/01</t>
  </si>
  <si>
    <t>3316-3/02</t>
  </si>
  <si>
    <t>3319-8/00</t>
  </si>
  <si>
    <t>3321-0/00</t>
  </si>
  <si>
    <t>3329-5/01</t>
  </si>
  <si>
    <t>3329-5/99</t>
  </si>
  <si>
    <t>3511-5/00</t>
  </si>
  <si>
    <t>3512-3/00</t>
  </si>
  <si>
    <t>3513-1/00</t>
  </si>
  <si>
    <t>3514-0/00</t>
  </si>
  <si>
    <t>3520-4/01</t>
  </si>
  <si>
    <t>3520-4/02</t>
  </si>
  <si>
    <t>3530-1/00</t>
  </si>
  <si>
    <t>3600-6/01</t>
  </si>
  <si>
    <t>3600-6/02</t>
  </si>
  <si>
    <t>3701-1/00</t>
  </si>
  <si>
    <t>3702-9/00</t>
  </si>
  <si>
    <t>3811-4/00</t>
  </si>
  <si>
    <t>3812-2/00</t>
  </si>
  <si>
    <t>3821-1/00</t>
  </si>
  <si>
    <t>3822-0/00</t>
  </si>
  <si>
    <t>3831-9/01</t>
  </si>
  <si>
    <t>3831-9/99</t>
  </si>
  <si>
    <t>3832-7/00</t>
  </si>
  <si>
    <t>3839-4/01</t>
  </si>
  <si>
    <t>3839-4/99</t>
  </si>
  <si>
    <t>3900-5/00</t>
  </si>
  <si>
    <t>4110-7/00</t>
  </si>
  <si>
    <t>4120-4/00</t>
  </si>
  <si>
    <t>4211-1/01</t>
  </si>
  <si>
    <t>4211-1/02</t>
  </si>
  <si>
    <t>4212-0/00</t>
  </si>
  <si>
    <t>4213-8/00</t>
  </si>
  <si>
    <t>4221-9/01</t>
  </si>
  <si>
    <t>4221-9/02</t>
  </si>
  <si>
    <t>4221-9/03</t>
  </si>
  <si>
    <t>4221-9/04</t>
  </si>
  <si>
    <t>4221-9/05</t>
  </si>
  <si>
    <t>4222-7/01</t>
  </si>
  <si>
    <t>4222-7/02</t>
  </si>
  <si>
    <t>4223-5/00</t>
  </si>
  <si>
    <t>4291-0/00</t>
  </si>
  <si>
    <t>4292-8/01</t>
  </si>
  <si>
    <t>4292-8/02</t>
  </si>
  <si>
    <t>4299-5/01</t>
  </si>
  <si>
    <t>4299-5/99</t>
  </si>
  <si>
    <t>4311-8/01</t>
  </si>
  <si>
    <t>4311-8/02</t>
  </si>
  <si>
    <t>4312-6/00</t>
  </si>
  <si>
    <t>4313-4/00</t>
  </si>
  <si>
    <t>4319-3/00</t>
  </si>
  <si>
    <t>4321-5/00</t>
  </si>
  <si>
    <t>4322-3/01</t>
  </si>
  <si>
    <t>4322-3/02</t>
  </si>
  <si>
    <t>4322-3/03</t>
  </si>
  <si>
    <t>4329-1/01</t>
  </si>
  <si>
    <t>4329-1/02</t>
  </si>
  <si>
    <t>4329-1/03</t>
  </si>
  <si>
    <t>INSTALAÇÃO, MANUTENÇÃO E REPARAÇÃO DE ELEVADORES, ESCADAS E ESTEIRAS ROLANTES, EXCETO DE FABRICAÇÃO</t>
  </si>
  <si>
    <t>4329-1/04</t>
  </si>
  <si>
    <t>4329-1/05</t>
  </si>
  <si>
    <t>4329-1/99</t>
  </si>
  <si>
    <t>4330-4/01</t>
  </si>
  <si>
    <t>4330-4/02</t>
  </si>
  <si>
    <t>4330-4/03</t>
  </si>
  <si>
    <t>4330-4/04</t>
  </si>
  <si>
    <t>4330-4/05</t>
  </si>
  <si>
    <t>4330-4/99</t>
  </si>
  <si>
    <t>4391-6/00</t>
  </si>
  <si>
    <t>4399-1/01</t>
  </si>
  <si>
    <t>4399-1/02</t>
  </si>
  <si>
    <t>4399-1/03</t>
  </si>
  <si>
    <t>4399-1/04</t>
  </si>
  <si>
    <t>4399-1/05</t>
  </si>
  <si>
    <t>4399-1/99</t>
  </si>
  <si>
    <t>4511-1/01</t>
  </si>
  <si>
    <t>4511-1/02</t>
  </si>
  <si>
    <t>4511-1/03</t>
  </si>
  <si>
    <t>4511-1/04</t>
  </si>
  <si>
    <t>4511-1/05</t>
  </si>
  <si>
    <t>4511-1/06</t>
  </si>
  <si>
    <t>4512-9/01</t>
  </si>
  <si>
    <t>4512-9/02</t>
  </si>
  <si>
    <t>4520-0/01</t>
  </si>
  <si>
    <t>4520-0/02</t>
  </si>
  <si>
    <t>4520-0/03</t>
  </si>
  <si>
    <t>4520-0/04</t>
  </si>
  <si>
    <t>4520-0/05</t>
  </si>
  <si>
    <t>4520-0/06</t>
  </si>
  <si>
    <t>4520-0/07</t>
  </si>
  <si>
    <t>4530-7/01</t>
  </si>
  <si>
    <t>4530-7/02</t>
  </si>
  <si>
    <t>4530-7/03</t>
  </si>
  <si>
    <t>4530-7/04</t>
  </si>
  <si>
    <t>4530-7/05</t>
  </si>
  <si>
    <t>4530-7/06</t>
  </si>
  <si>
    <t>4541-2/01</t>
  </si>
  <si>
    <t>4541-2/02</t>
  </si>
  <si>
    <t>4541-2/03</t>
  </si>
  <si>
    <t>4541-2/04</t>
  </si>
  <si>
    <t>4541-2/05</t>
  </si>
  <si>
    <t>4542-1/01</t>
  </si>
  <si>
    <t>4542-1/02</t>
  </si>
  <si>
    <t>4543-9/00</t>
  </si>
  <si>
    <t>4611-7/00</t>
  </si>
  <si>
    <t>4612-5/00</t>
  </si>
  <si>
    <t>4613-3/00</t>
  </si>
  <si>
    <t>4614-1/00</t>
  </si>
  <si>
    <t>REPRESENTANTES COMERCIAIS E AGENTES DO COMÉRCIO DE MÁQUINAS, EQUIPAMENTOS, EMBARCAÇÕES E AERONAVES</t>
  </si>
  <si>
    <t>4615-0/00</t>
  </si>
  <si>
    <t>4616-8/00</t>
  </si>
  <si>
    <t>REPRESENTANTES COMERCIAIS E AGENTES DO COMÉRCIO DE TÊXTEIS, VESTUÁRIO, CALÇADOS E ARTIGOS DE VIAGEM</t>
  </si>
  <si>
    <t>4617-6/00</t>
  </si>
  <si>
    <t>4618-4/01</t>
  </si>
  <si>
    <t>4618-4/02</t>
  </si>
  <si>
    <t>4618-4/03</t>
  </si>
  <si>
    <t>4618-4/99</t>
  </si>
  <si>
    <t>4619-2/00</t>
  </si>
  <si>
    <t>4621-4/00</t>
  </si>
  <si>
    <t>4622-2/00</t>
  </si>
  <si>
    <t>4623-1/01</t>
  </si>
  <si>
    <t>4623-1/02</t>
  </si>
  <si>
    <t>4623-1/03</t>
  </si>
  <si>
    <t>4623-1/04</t>
  </si>
  <si>
    <t>4623-1/05</t>
  </si>
  <si>
    <t>4623-1/06</t>
  </si>
  <si>
    <t>4623-1/07</t>
  </si>
  <si>
    <t>4623-1/08</t>
  </si>
  <si>
    <t>4623-1/09</t>
  </si>
  <si>
    <t>4623-1/99</t>
  </si>
  <si>
    <t>4631-1/00</t>
  </si>
  <si>
    <t>4632-0/01</t>
  </si>
  <si>
    <t>4632-0/02</t>
  </si>
  <si>
    <t>4632-0/03</t>
  </si>
  <si>
    <t>4633-8/01</t>
  </si>
  <si>
    <t>4633-8/02</t>
  </si>
  <si>
    <t>4633-8/03</t>
  </si>
  <si>
    <t>4634-6/01</t>
  </si>
  <si>
    <t>4634-6/02</t>
  </si>
  <si>
    <t>4634-6/03</t>
  </si>
  <si>
    <t>4634-6/99</t>
  </si>
  <si>
    <t>4635-4/01</t>
  </si>
  <si>
    <t>4635-4/02</t>
  </si>
  <si>
    <t>4635-4/03</t>
  </si>
  <si>
    <t>4635-4/99</t>
  </si>
  <si>
    <t>4636-2/01</t>
  </si>
  <si>
    <t>4636-2/02</t>
  </si>
  <si>
    <t>4637-1/01</t>
  </si>
  <si>
    <t>4637-1/02</t>
  </si>
  <si>
    <t>4637-1/03</t>
  </si>
  <si>
    <t>4637-1/04</t>
  </si>
  <si>
    <t>4637-1/05</t>
  </si>
  <si>
    <t>4637-1/06</t>
  </si>
  <si>
    <t>4637-1/07</t>
  </si>
  <si>
    <t>4637-1/99</t>
  </si>
  <si>
    <t>4639-7/01</t>
  </si>
  <si>
    <t>4639-7/02</t>
  </si>
  <si>
    <t>4641-9/01</t>
  </si>
  <si>
    <t>4641-9/02</t>
  </si>
  <si>
    <t>4641-9/03</t>
  </si>
  <si>
    <t>4642-7/01</t>
  </si>
  <si>
    <t>4642-7/02</t>
  </si>
  <si>
    <t>4643-5/01</t>
  </si>
  <si>
    <t>4643-5/02</t>
  </si>
  <si>
    <t>4644-3/01</t>
  </si>
  <si>
    <t>4644-3/02</t>
  </si>
  <si>
    <t>4645-1/01</t>
  </si>
  <si>
    <t>4645-1/02</t>
  </si>
  <si>
    <t>4645-1/03</t>
  </si>
  <si>
    <t>4646-0/01</t>
  </si>
  <si>
    <t>4646-0/02</t>
  </si>
  <si>
    <t>4647-8/01</t>
  </si>
  <si>
    <t>4647-8/02</t>
  </si>
  <si>
    <t>4649-4/01</t>
  </si>
  <si>
    <t>4649-4/02</t>
  </si>
  <si>
    <t>4649-4/03</t>
  </si>
  <si>
    <t>4649-4/04</t>
  </si>
  <si>
    <t>4649-4/05</t>
  </si>
  <si>
    <t>4649-4/06</t>
  </si>
  <si>
    <t>4649-4/07</t>
  </si>
  <si>
    <t>4649-4/08</t>
  </si>
  <si>
    <t>4649-4/09</t>
  </si>
  <si>
    <t>4649-4/10</t>
  </si>
  <si>
    <t>4651-6/01</t>
  </si>
  <si>
    <t>4651-6/02</t>
  </si>
  <si>
    <t>4652-4/00</t>
  </si>
  <si>
    <t>4661-3/00</t>
  </si>
  <si>
    <t>4662-1/00</t>
  </si>
  <si>
    <t>4663-0/00</t>
  </si>
  <si>
    <t>4664-8/00</t>
  </si>
  <si>
    <t>4665-6/00</t>
  </si>
  <si>
    <t>4669-9/01</t>
  </si>
  <si>
    <t>4669-9/99</t>
  </si>
  <si>
    <t>4671-1/00</t>
  </si>
  <si>
    <t>4672-9/00</t>
  </si>
  <si>
    <t>4673-7/00</t>
  </si>
  <si>
    <t>4674-5/00</t>
  </si>
  <si>
    <t>4679-6/01</t>
  </si>
  <si>
    <t>4679-6/02</t>
  </si>
  <si>
    <t>4679-6/03</t>
  </si>
  <si>
    <t>4679-6/04</t>
  </si>
  <si>
    <t>4679-6/99</t>
  </si>
  <si>
    <t>4681-8/01</t>
  </si>
  <si>
    <t>4681-8/02</t>
  </si>
  <si>
    <t>4681-8/03</t>
  </si>
  <si>
    <t>4681-8/04</t>
  </si>
  <si>
    <t>4681-8/05</t>
  </si>
  <si>
    <t>4682-6/00</t>
  </si>
  <si>
    <t>4683-4/00</t>
  </si>
  <si>
    <t>4684-2/01</t>
  </si>
  <si>
    <t>4684-2/02</t>
  </si>
  <si>
    <t>4684-2/99</t>
  </si>
  <si>
    <t>4685-1/00</t>
  </si>
  <si>
    <t>4686-9/01</t>
  </si>
  <si>
    <t>4686-9/02</t>
  </si>
  <si>
    <t>4687-7/01</t>
  </si>
  <si>
    <t>4687-7/02</t>
  </si>
  <si>
    <t>4687-7/03</t>
  </si>
  <si>
    <t>4689-3/01</t>
  </si>
  <si>
    <t>4689-3/02</t>
  </si>
  <si>
    <t>4689-3/99</t>
  </si>
  <si>
    <t>4691-5/00</t>
  </si>
  <si>
    <t>4692-3/00</t>
  </si>
  <si>
    <t>4693-1/00</t>
  </si>
  <si>
    <t>4711-3/01</t>
  </si>
  <si>
    <t>4711-3/02</t>
  </si>
  <si>
    <t>4712-1/00</t>
  </si>
  <si>
    <t>4713-0/01</t>
  </si>
  <si>
    <t>4713-0/02</t>
  </si>
  <si>
    <t>4713-0/03</t>
  </si>
  <si>
    <t>4721-1/01</t>
  </si>
  <si>
    <t>4721-1/02</t>
  </si>
  <si>
    <t>4721-1/03</t>
  </si>
  <si>
    <t>4721-1/04</t>
  </si>
  <si>
    <t>4722-9/01</t>
  </si>
  <si>
    <t>4722-9/02</t>
  </si>
  <si>
    <t>4723-7/00</t>
  </si>
  <si>
    <t>4724-5/00</t>
  </si>
  <si>
    <t>4729-6/01</t>
  </si>
  <si>
    <t>4729-6/99</t>
  </si>
  <si>
    <t>4731-8/00</t>
  </si>
  <si>
    <t>4732-6/00</t>
  </si>
  <si>
    <t>4741-5/00</t>
  </si>
  <si>
    <t>4742-3/00</t>
  </si>
  <si>
    <t>4743-1/00</t>
  </si>
  <si>
    <t>4744-0/01</t>
  </si>
  <si>
    <t>4744-0/02</t>
  </si>
  <si>
    <t>4744-0/03</t>
  </si>
  <si>
    <t>4744-0/04</t>
  </si>
  <si>
    <t>4744-0/05</t>
  </si>
  <si>
    <t>4744-0/99</t>
  </si>
  <si>
    <t>4751-2/00</t>
  </si>
  <si>
    <t>4752-1/00</t>
  </si>
  <si>
    <t>4753-9/00</t>
  </si>
  <si>
    <t>4754-7/01</t>
  </si>
  <si>
    <t>4754-7/02</t>
  </si>
  <si>
    <t>4754-7/03</t>
  </si>
  <si>
    <t>4755-5/01</t>
  </si>
  <si>
    <t>4755-5/02</t>
  </si>
  <si>
    <t>4755-5/03</t>
  </si>
  <si>
    <t>4756-3/00</t>
  </si>
  <si>
    <t>4757-1/00</t>
  </si>
  <si>
    <t>4759-8/01</t>
  </si>
  <si>
    <t>4759-8/99</t>
  </si>
  <si>
    <t>4761-0/01</t>
  </si>
  <si>
    <t>4761-0/02</t>
  </si>
  <si>
    <t>4761-0/03</t>
  </si>
  <si>
    <t>4762-8/00</t>
  </si>
  <si>
    <t>4763-6/01</t>
  </si>
  <si>
    <t>4763-6/02</t>
  </si>
  <si>
    <t>4763-6/03</t>
  </si>
  <si>
    <t>4763-6/04</t>
  </si>
  <si>
    <t>4763-6/05</t>
  </si>
  <si>
    <t>4771-7/01</t>
  </si>
  <si>
    <t>4771-7/02</t>
  </si>
  <si>
    <t>4771-7/03</t>
  </si>
  <si>
    <t>4771-7/04</t>
  </si>
  <si>
    <t>4772-5/00</t>
  </si>
  <si>
    <t>4773-3/00</t>
  </si>
  <si>
    <t>4774-1/00</t>
  </si>
  <si>
    <t>4781-4/00</t>
  </si>
  <si>
    <t>4782-2/01</t>
  </si>
  <si>
    <t>4782-2/02</t>
  </si>
  <si>
    <t>4783-1/01</t>
  </si>
  <si>
    <t>4783-1/02</t>
  </si>
  <si>
    <t>4784-9/00</t>
  </si>
  <si>
    <t>4785-7/01</t>
  </si>
  <si>
    <t>4785-7/99</t>
  </si>
  <si>
    <t>4789-0/01</t>
  </si>
  <si>
    <t>4789-0/02</t>
  </si>
  <si>
    <t>4789-0/03</t>
  </si>
  <si>
    <t>4789-0/04</t>
  </si>
  <si>
    <t>4789-0/05</t>
  </si>
  <si>
    <t>4789-0/06</t>
  </si>
  <si>
    <t>4789-0/07</t>
  </si>
  <si>
    <t>4789-0/08</t>
  </si>
  <si>
    <t>4789-0/09</t>
  </si>
  <si>
    <t>4789-0/99</t>
  </si>
  <si>
    <t>4911-6/00</t>
  </si>
  <si>
    <t>4912-4/01</t>
  </si>
  <si>
    <t>4912-4/02</t>
  </si>
  <si>
    <t>4912-4/03</t>
  </si>
  <si>
    <t>4921-3/01</t>
  </si>
  <si>
    <t>4921-3/02</t>
  </si>
  <si>
    <t>4922-1/01</t>
  </si>
  <si>
    <t>4922-1/02</t>
  </si>
  <si>
    <t>4922-1/03</t>
  </si>
  <si>
    <t>4923-0/01</t>
  </si>
  <si>
    <t>4923-0/02</t>
  </si>
  <si>
    <t>4924-8/00</t>
  </si>
  <si>
    <t>4929-9/01</t>
  </si>
  <si>
    <t>4929-9/02</t>
  </si>
  <si>
    <t>4929-9/03</t>
  </si>
  <si>
    <t>4929-9/04</t>
  </si>
  <si>
    <t>4929-9/99</t>
  </si>
  <si>
    <t>4930-2/01</t>
  </si>
  <si>
    <t>4930-2/02</t>
  </si>
  <si>
    <t>TRANSPORTE RODOVIÁRIO DE CARGA, EXCETO PRODUTOS PERIGOSOS E MUDANÇAS, INTERMUNICIPAL, INTERESTADUAL</t>
  </si>
  <si>
    <t>4930-2/03</t>
  </si>
  <si>
    <t>4930-2/04</t>
  </si>
  <si>
    <t>4940-0/00</t>
  </si>
  <si>
    <t>4950-7/00</t>
  </si>
  <si>
    <t>5011-4/01</t>
  </si>
  <si>
    <t>5011-4/02</t>
  </si>
  <si>
    <t>5012-2/01</t>
  </si>
  <si>
    <t>5012-2/02</t>
  </si>
  <si>
    <t>5021-1/01</t>
  </si>
  <si>
    <t>5021-1/02</t>
  </si>
  <si>
    <t>5022-0/01</t>
  </si>
  <si>
    <t>5022-0/02</t>
  </si>
  <si>
    <t>TRANSPORTE POR NAVEGAÇÃO INTERIOR DE PASSAGEIROS EM LINHAS REGULARES, INTERMUNICIPAL, INTERESTADUAL</t>
  </si>
  <si>
    <t>5030-1/01</t>
  </si>
  <si>
    <t>5030-1/02</t>
  </si>
  <si>
    <t>5091-2/01</t>
  </si>
  <si>
    <t>5091-2/02</t>
  </si>
  <si>
    <t>5099-8/01</t>
  </si>
  <si>
    <t>5099-8/99</t>
  </si>
  <si>
    <t>5111-1/00</t>
  </si>
  <si>
    <t>5112-9/01</t>
  </si>
  <si>
    <t>5112-9/99</t>
  </si>
  <si>
    <t>5120-0/00</t>
  </si>
  <si>
    <t>5130-7/00</t>
  </si>
  <si>
    <t>5211-7/01</t>
  </si>
  <si>
    <t>5211-7/02</t>
  </si>
  <si>
    <t>5211-7/99</t>
  </si>
  <si>
    <t>5212-5/00</t>
  </si>
  <si>
    <t>5221-4/00</t>
  </si>
  <si>
    <t>5222-2/00</t>
  </si>
  <si>
    <t>5223-1/00</t>
  </si>
  <si>
    <t>5229-0/01</t>
  </si>
  <si>
    <t>5229-0/02</t>
  </si>
  <si>
    <t>5229-0/99</t>
  </si>
  <si>
    <t>5231-1/01</t>
  </si>
  <si>
    <t>5231-1/02</t>
  </si>
  <si>
    <t>5232-0/00</t>
  </si>
  <si>
    <t>5239-7/00</t>
  </si>
  <si>
    <t>5240-1/01</t>
  </si>
  <si>
    <t>5240-1/99</t>
  </si>
  <si>
    <t>5250-8/01</t>
  </si>
  <si>
    <t>5250-8/02</t>
  </si>
  <si>
    <t>5250-8/03</t>
  </si>
  <si>
    <t>5250-8/04</t>
  </si>
  <si>
    <t>5250-8/05</t>
  </si>
  <si>
    <t>5310-5/01</t>
  </si>
  <si>
    <t>5310-5/02</t>
  </si>
  <si>
    <t>5320-2/01</t>
  </si>
  <si>
    <t>5320-2/02</t>
  </si>
  <si>
    <t>5510-8/01</t>
  </si>
  <si>
    <t>5510-8/02</t>
  </si>
  <si>
    <t>5510-8/03</t>
  </si>
  <si>
    <t>5590-6/01</t>
  </si>
  <si>
    <t>5590-6/02</t>
  </si>
  <si>
    <t>5590-6/03</t>
  </si>
  <si>
    <t>5590-6/99</t>
  </si>
  <si>
    <t>5611-2/01</t>
  </si>
  <si>
    <t>5611-2/02</t>
  </si>
  <si>
    <t>5611-2/03</t>
  </si>
  <si>
    <t>5612-1/00</t>
  </si>
  <si>
    <t>5620-1/01</t>
  </si>
  <si>
    <t>5620-1/02</t>
  </si>
  <si>
    <t>5620-1/03</t>
  </si>
  <si>
    <t>5620-1/04</t>
  </si>
  <si>
    <t>5811-5/00</t>
  </si>
  <si>
    <t>5812-3/00</t>
  </si>
  <si>
    <t>5813-1/00</t>
  </si>
  <si>
    <t>5819-1/00</t>
  </si>
  <si>
    <t>5821-2/00</t>
  </si>
  <si>
    <t>5822-1/00</t>
  </si>
  <si>
    <t>5823-9/00</t>
  </si>
  <si>
    <t>5829-8/00</t>
  </si>
  <si>
    <t>5911-1/01</t>
  </si>
  <si>
    <t>5911-1/02</t>
  </si>
  <si>
    <t>5911-1/99</t>
  </si>
  <si>
    <t>5912-0/01</t>
  </si>
  <si>
    <t>5912-0/02</t>
  </si>
  <si>
    <t>5912-0/99</t>
  </si>
  <si>
    <t>ATIVIDADES DE PÓS-PRODUÇÃO CINEMATOGRÁFICA, DE VÍDEOS E DE PROGRAMAS DE TELEVISÃO NÃO ESPECIFICADAS</t>
  </si>
  <si>
    <t>5913-8/00</t>
  </si>
  <si>
    <t>5914-6/00</t>
  </si>
  <si>
    <t>5920-1/00</t>
  </si>
  <si>
    <t>6010-1/00</t>
  </si>
  <si>
    <t>6021-7/00</t>
  </si>
  <si>
    <t>6022-5/01</t>
  </si>
  <si>
    <t>6022-5/02</t>
  </si>
  <si>
    <t>6110-8/01</t>
  </si>
  <si>
    <t>6110-8/02</t>
  </si>
  <si>
    <t>6110-8/03</t>
  </si>
  <si>
    <t>6110-8/99</t>
  </si>
  <si>
    <t>6120-5/01</t>
  </si>
  <si>
    <t>6120-5/02</t>
  </si>
  <si>
    <t>6120-5/99</t>
  </si>
  <si>
    <t>6130-2/00</t>
  </si>
  <si>
    <t>6141-8/00</t>
  </si>
  <si>
    <t>6142-6/00</t>
  </si>
  <si>
    <t>6143-4/00</t>
  </si>
  <si>
    <t>6190-6/01</t>
  </si>
  <si>
    <t>6190-6/02</t>
  </si>
  <si>
    <t>6190-6/99</t>
  </si>
  <si>
    <t>6201-5/00</t>
  </si>
  <si>
    <t>6202-3/00</t>
  </si>
  <si>
    <t>6203-1/00</t>
  </si>
  <si>
    <t>6204-0/00</t>
  </si>
  <si>
    <t>6209-1/00</t>
  </si>
  <si>
    <t>6311-9/00</t>
  </si>
  <si>
    <t>6319-4/00</t>
  </si>
  <si>
    <t>6391-7/00</t>
  </si>
  <si>
    <t>6399-2/00</t>
  </si>
  <si>
    <t>6410-7/00</t>
  </si>
  <si>
    <t>6421-2/00</t>
  </si>
  <si>
    <t>6422-1/00</t>
  </si>
  <si>
    <t>6423-9/00</t>
  </si>
  <si>
    <t>6424-7/01</t>
  </si>
  <si>
    <t>6424-7/02</t>
  </si>
  <si>
    <t>6424-7/03</t>
  </si>
  <si>
    <t>6424-7/04</t>
  </si>
  <si>
    <t>6431-0/00</t>
  </si>
  <si>
    <t>6432-8/00</t>
  </si>
  <si>
    <t>6433-6/00</t>
  </si>
  <si>
    <t>6434-4/00</t>
  </si>
  <si>
    <t>6435-2/01</t>
  </si>
  <si>
    <t>6435-2/02</t>
  </si>
  <si>
    <t>6435-2/03</t>
  </si>
  <si>
    <t>6436-1/00</t>
  </si>
  <si>
    <t>6437-9/00</t>
  </si>
  <si>
    <t>6440-9/00</t>
  </si>
  <si>
    <t>6450-6/00</t>
  </si>
  <si>
    <t>6461-1/00</t>
  </si>
  <si>
    <t>6462-0/00</t>
  </si>
  <si>
    <t>6463-8/00</t>
  </si>
  <si>
    <t>6470-1/01</t>
  </si>
  <si>
    <t>6470-1/02</t>
  </si>
  <si>
    <t>6470-1/03</t>
  </si>
  <si>
    <t>6491-3/00</t>
  </si>
  <si>
    <t>6492-1/00</t>
  </si>
  <si>
    <t>6493-0/00</t>
  </si>
  <si>
    <t>6499-9/01</t>
  </si>
  <si>
    <t>6499-9/02</t>
  </si>
  <si>
    <t>6499-9/03</t>
  </si>
  <si>
    <t>6499-9/04</t>
  </si>
  <si>
    <t>6499-9/05</t>
  </si>
  <si>
    <t>6499-9/99</t>
  </si>
  <si>
    <t>6511-1/01</t>
  </si>
  <si>
    <t>6511-1/02</t>
  </si>
  <si>
    <t>6512-0/00</t>
  </si>
  <si>
    <t>6520-1/00</t>
  </si>
  <si>
    <t>6530-8/00</t>
  </si>
  <si>
    <t>6541-3/00</t>
  </si>
  <si>
    <t>6542-1/00</t>
  </si>
  <si>
    <t>6550-2/00</t>
  </si>
  <si>
    <t>6611-8/01</t>
  </si>
  <si>
    <t>6611-8/02</t>
  </si>
  <si>
    <t>6611-8/03</t>
  </si>
  <si>
    <t>6611-8/04</t>
  </si>
  <si>
    <t>6612-6/01</t>
  </si>
  <si>
    <t>6612-6/02</t>
  </si>
  <si>
    <t>6612-6/03</t>
  </si>
  <si>
    <t>6612-6/04</t>
  </si>
  <si>
    <t>6612-6/05</t>
  </si>
  <si>
    <t>6613-4/00</t>
  </si>
  <si>
    <t>6619-3/01</t>
  </si>
  <si>
    <t>6619-3/02</t>
  </si>
  <si>
    <t>6619-3/03</t>
  </si>
  <si>
    <t>6619-3/04</t>
  </si>
  <si>
    <t>6619-3/05</t>
  </si>
  <si>
    <t>6619-3/99</t>
  </si>
  <si>
    <t>6621-5/01</t>
  </si>
  <si>
    <t>6621-5/02</t>
  </si>
  <si>
    <t>6622-3/00</t>
  </si>
  <si>
    <t>6629-1/00</t>
  </si>
  <si>
    <t>6630-4/00</t>
  </si>
  <si>
    <t>6810-2/01</t>
  </si>
  <si>
    <t>6810-2/02</t>
  </si>
  <si>
    <t>6821-8/01</t>
  </si>
  <si>
    <t>6821-8/02</t>
  </si>
  <si>
    <t>6822-6/00</t>
  </si>
  <si>
    <t>6911-7/01</t>
  </si>
  <si>
    <t>6911-7/02</t>
  </si>
  <si>
    <t>6911-7/03</t>
  </si>
  <si>
    <t>6912-5/00</t>
  </si>
  <si>
    <t>6920-6/01</t>
  </si>
  <si>
    <t>6920-6/02</t>
  </si>
  <si>
    <t>7020-4/00</t>
  </si>
  <si>
    <t>7111-1/00</t>
  </si>
  <si>
    <t>7112-0/00</t>
  </si>
  <si>
    <t>7119-7/01</t>
  </si>
  <si>
    <t>7119-7/02</t>
  </si>
  <si>
    <t>7119-7/03</t>
  </si>
  <si>
    <t>7119-7/04</t>
  </si>
  <si>
    <t>7119-7/99</t>
  </si>
  <si>
    <t>7120-1/00</t>
  </si>
  <si>
    <t>7210-0/00</t>
  </si>
  <si>
    <t>7220-7/00</t>
  </si>
  <si>
    <t>7311-4/00</t>
  </si>
  <si>
    <t>7312-2/00</t>
  </si>
  <si>
    <t>7319-0/01</t>
  </si>
  <si>
    <t>7319-0/02</t>
  </si>
  <si>
    <t>7319-0/03</t>
  </si>
  <si>
    <t>7319-0/04</t>
  </si>
  <si>
    <t>7319-0/99</t>
  </si>
  <si>
    <t>7320-3/00</t>
  </si>
  <si>
    <t>7410-2/01</t>
  </si>
  <si>
    <t>7410-2/02</t>
  </si>
  <si>
    <t>7420-0/01</t>
  </si>
  <si>
    <t>7420-0/02</t>
  </si>
  <si>
    <t>7420-0/03</t>
  </si>
  <si>
    <t>7420-0/04</t>
  </si>
  <si>
    <t>7420-0/05</t>
  </si>
  <si>
    <t>7490-1/01</t>
  </si>
  <si>
    <t>7490-1/02</t>
  </si>
  <si>
    <t>7490-1/03</t>
  </si>
  <si>
    <t>7490-1/04</t>
  </si>
  <si>
    <t>7490-1/05</t>
  </si>
  <si>
    <t>7490-1/99</t>
  </si>
  <si>
    <t>7500-1/00</t>
  </si>
  <si>
    <t>7711-0/00</t>
  </si>
  <si>
    <t>7719-5/01</t>
  </si>
  <si>
    <t>7719-5/02</t>
  </si>
  <si>
    <t>7719-5/99</t>
  </si>
  <si>
    <t>7721-7/00</t>
  </si>
  <si>
    <t>7722-5/00</t>
  </si>
  <si>
    <t>7723-3/00</t>
  </si>
  <si>
    <t>7729-2/01</t>
  </si>
  <si>
    <t>7729-2/02</t>
  </si>
  <si>
    <t>7729-2/03</t>
  </si>
  <si>
    <t>7729-2/99</t>
  </si>
  <si>
    <t>7731-4/00</t>
  </si>
  <si>
    <t>7732-2/01</t>
  </si>
  <si>
    <t>7732-2/02</t>
  </si>
  <si>
    <t>7733-1/00</t>
  </si>
  <si>
    <t>7739-0/01</t>
  </si>
  <si>
    <t>7739-0/02</t>
  </si>
  <si>
    <t>7739-0/03</t>
  </si>
  <si>
    <t>7739-0/99</t>
  </si>
  <si>
    <t>ALUGUEL DE OUTRAS MÁQUINAS E EQUIPAMENTOS COMERCIAIS E INDUSTRIAIS NÃO ESPECIFICADOS ANTERIORMENTE,</t>
  </si>
  <si>
    <t>7740-3/00</t>
  </si>
  <si>
    <t>7810-8/00</t>
  </si>
  <si>
    <t>7820-5/00</t>
  </si>
  <si>
    <t>7830-2/00</t>
  </si>
  <si>
    <t>7911-2/00</t>
  </si>
  <si>
    <t>7912-1/00</t>
  </si>
  <si>
    <t>7990-2/00</t>
  </si>
  <si>
    <t>8011-1/01</t>
  </si>
  <si>
    <t>8011-1/02</t>
  </si>
  <si>
    <t>8012-9/00</t>
  </si>
  <si>
    <t>8020-0/00</t>
  </si>
  <si>
    <t>8030-7/00</t>
  </si>
  <si>
    <t>8111-7/00</t>
  </si>
  <si>
    <t>8112-5/00</t>
  </si>
  <si>
    <t>8121-4/00</t>
  </si>
  <si>
    <t>8122-2/00</t>
  </si>
  <si>
    <t>8129-0/00</t>
  </si>
  <si>
    <t>8130-3/00</t>
  </si>
  <si>
    <t>8211-3/00</t>
  </si>
  <si>
    <t>8219-9/01</t>
  </si>
  <si>
    <t>8219-9/99</t>
  </si>
  <si>
    <t>8220-2/00</t>
  </si>
  <si>
    <t>8230-0/01</t>
  </si>
  <si>
    <t>8230-0/02</t>
  </si>
  <si>
    <t>8291-1/00</t>
  </si>
  <si>
    <t>8292-0/00</t>
  </si>
  <si>
    <t>8299-7/01</t>
  </si>
  <si>
    <t>8299-7/02</t>
  </si>
  <si>
    <t>8299-7/03</t>
  </si>
  <si>
    <t>8299-7/04</t>
  </si>
  <si>
    <t>8299-7/05</t>
  </si>
  <si>
    <t>8299-7/06</t>
  </si>
  <si>
    <t>8299-7/07</t>
  </si>
  <si>
    <t>8299-7/99</t>
  </si>
  <si>
    <t>OUTRAS ATIVIDADES DE SERVIÇOS PRESTADOS PRINCIPALMENTE ÀS EMPRESAS NÃO ESPECIFICADAS ANTERIORMENTE</t>
  </si>
  <si>
    <t>8411-6/00</t>
  </si>
  <si>
    <t>8412-4/00</t>
  </si>
  <si>
    <t>8413-2/00</t>
  </si>
  <si>
    <t>8414-1/00</t>
  </si>
  <si>
    <t>8421-3/00</t>
  </si>
  <si>
    <t>8422-1/00</t>
  </si>
  <si>
    <t>8423-0/00</t>
  </si>
  <si>
    <t>8424-8/00</t>
  </si>
  <si>
    <t>8425-6/00</t>
  </si>
  <si>
    <t>8430-2/00</t>
  </si>
  <si>
    <t>8511-2/00</t>
  </si>
  <si>
    <t>8512-1/00</t>
  </si>
  <si>
    <t>8513-9/00</t>
  </si>
  <si>
    <t>8520-1/00</t>
  </si>
  <si>
    <t>8531-7/00</t>
  </si>
  <si>
    <t>8532-5/00</t>
  </si>
  <si>
    <t>8533-3/00</t>
  </si>
  <si>
    <t>8541-4/00</t>
  </si>
  <si>
    <t>8542-2/00</t>
  </si>
  <si>
    <t>8550-3/01</t>
  </si>
  <si>
    <t>8550-3/02</t>
  </si>
  <si>
    <t>8591-1/00</t>
  </si>
  <si>
    <t>8592-9/01</t>
  </si>
  <si>
    <t>8592-9/02</t>
  </si>
  <si>
    <t>8592-9/03</t>
  </si>
  <si>
    <t>8592-9/99</t>
  </si>
  <si>
    <t>8593-7/00</t>
  </si>
  <si>
    <t>8599-6/01</t>
  </si>
  <si>
    <t>8599-6/02</t>
  </si>
  <si>
    <t>8599-6/03</t>
  </si>
  <si>
    <t>8599-6/04</t>
  </si>
  <si>
    <t>8599-6/05</t>
  </si>
  <si>
    <t>8599-6/99</t>
  </si>
  <si>
    <t>8610-1/01</t>
  </si>
  <si>
    <t>ATIVIDADES DE ATENDIMENTO HOSPITALAR, EXCETO PRONTO-SOCORRO E UNIDADES PARA ATENDIMENTO A URGÊNCIAS</t>
  </si>
  <si>
    <t>8610-1/02</t>
  </si>
  <si>
    <t>8621-6/01</t>
  </si>
  <si>
    <t>8621-6/02</t>
  </si>
  <si>
    <t>8622-4/00</t>
  </si>
  <si>
    <t>8630-5/01</t>
  </si>
  <si>
    <t>8630-5/02</t>
  </si>
  <si>
    <t>8630-5/03</t>
  </si>
  <si>
    <t>8630-5/04</t>
  </si>
  <si>
    <t>8630-5/05</t>
  </si>
  <si>
    <t>8630-5/06</t>
  </si>
  <si>
    <t>8630-5/07</t>
  </si>
  <si>
    <t>8630-5/99</t>
  </si>
  <si>
    <t>8640-2/01</t>
  </si>
  <si>
    <t>8640-2/02</t>
  </si>
  <si>
    <t>8640-2/03</t>
  </si>
  <si>
    <t>8640-2/04</t>
  </si>
  <si>
    <t>8640-2/05</t>
  </si>
  <si>
    <t>8640-2/06</t>
  </si>
  <si>
    <t>8640-2/07</t>
  </si>
  <si>
    <t>8640-2/08</t>
  </si>
  <si>
    <t>8640-2/09</t>
  </si>
  <si>
    <t>8640-2/10</t>
  </si>
  <si>
    <t>8640-2/11</t>
  </si>
  <si>
    <t>8640-2/12</t>
  </si>
  <si>
    <t>8640-2/13</t>
  </si>
  <si>
    <t>8640-2/14</t>
  </si>
  <si>
    <t>8640-2/99</t>
  </si>
  <si>
    <t>ATIVIDADES DE SERVIÇOS DE COMPLEMENTAÇÃO DIAGNÓSTICA E TERAPÊUTICA NÃO ESPECIFICADAS ANTERIORMENTE</t>
  </si>
  <si>
    <t>8650-0/01</t>
  </si>
  <si>
    <t>8650-0/02</t>
  </si>
  <si>
    <t>8650-0/03</t>
  </si>
  <si>
    <t>8650-0/04</t>
  </si>
  <si>
    <t>8650-0/05</t>
  </si>
  <si>
    <t>8650-0/06</t>
  </si>
  <si>
    <t>8650-0/07</t>
  </si>
  <si>
    <t>8650-0/99</t>
  </si>
  <si>
    <t>8660-7/00</t>
  </si>
  <si>
    <t>8690-9/01</t>
  </si>
  <si>
    <t>8690-9/02</t>
  </si>
  <si>
    <t>8690-9/99</t>
  </si>
  <si>
    <t>8711-5/01</t>
  </si>
  <si>
    <t>8711-5/02</t>
  </si>
  <si>
    <t>8711-5/03</t>
  </si>
  <si>
    <t>8711-5/04</t>
  </si>
  <si>
    <t>8711-5/05</t>
  </si>
  <si>
    <t>8712-3/00</t>
  </si>
  <si>
    <t>8720-4/01</t>
  </si>
  <si>
    <t>8720-4/99</t>
  </si>
  <si>
    <t>8730-1/01</t>
  </si>
  <si>
    <t>8730-1/02</t>
  </si>
  <si>
    <t>8730-1/99</t>
  </si>
  <si>
    <t>8800-6/00</t>
  </si>
  <si>
    <t>9001-9/01</t>
  </si>
  <si>
    <t>9001-9/02</t>
  </si>
  <si>
    <t>9001-9/03</t>
  </si>
  <si>
    <t>9001-9/04</t>
  </si>
  <si>
    <t>9001-9/05</t>
  </si>
  <si>
    <t>9001-9/06</t>
  </si>
  <si>
    <t>9001-9/99</t>
  </si>
  <si>
    <t>9002-7/01</t>
  </si>
  <si>
    <t>9002-7/02</t>
  </si>
  <si>
    <t>9003-5/00</t>
  </si>
  <si>
    <t>9101-5/00</t>
  </si>
  <si>
    <t>9102-3/01</t>
  </si>
  <si>
    <t>9102-3/02</t>
  </si>
  <si>
    <t>9103-1/00</t>
  </si>
  <si>
    <t>9200-3/01</t>
  </si>
  <si>
    <t>9200-3/02</t>
  </si>
  <si>
    <t>9200-3/99</t>
  </si>
  <si>
    <t>9311-5/00</t>
  </si>
  <si>
    <t>9312-3/00</t>
  </si>
  <si>
    <t>9313-1/00</t>
  </si>
  <si>
    <t>9319-1/01</t>
  </si>
  <si>
    <t>9319-1/99</t>
  </si>
  <si>
    <t>9321-2/00</t>
  </si>
  <si>
    <t>9329-8/01</t>
  </si>
  <si>
    <t>9329-8/02</t>
  </si>
  <si>
    <t>9329-8/03</t>
  </si>
  <si>
    <t>9329-8/04</t>
  </si>
  <si>
    <t>9329-8/99</t>
  </si>
  <si>
    <t>9411-1/00</t>
  </si>
  <si>
    <t>9412-0/00</t>
  </si>
  <si>
    <t>9420-1/00</t>
  </si>
  <si>
    <t>9430-8/00</t>
  </si>
  <si>
    <t>9491-0/00</t>
  </si>
  <si>
    <t>9492-8/00</t>
  </si>
  <si>
    <t>9493-6/00</t>
  </si>
  <si>
    <t>9499-5/00</t>
  </si>
  <si>
    <t>9511-8/00</t>
  </si>
  <si>
    <t>9512-6/00</t>
  </si>
  <si>
    <t>9521-5/00</t>
  </si>
  <si>
    <t>9529-1/01</t>
  </si>
  <si>
    <t>9529-1/02</t>
  </si>
  <si>
    <t>9529-1/03</t>
  </si>
  <si>
    <t>9529-1/04</t>
  </si>
  <si>
    <t>9529-1/05</t>
  </si>
  <si>
    <t>9529-1/06</t>
  </si>
  <si>
    <t>9529-1/99</t>
  </si>
  <si>
    <t>9601-7/01</t>
  </si>
  <si>
    <t>9601-7/02</t>
  </si>
  <si>
    <t>9601-7/03</t>
  </si>
  <si>
    <t>9602-5/01</t>
  </si>
  <si>
    <t>9602-5/02</t>
  </si>
  <si>
    <t>9603-3/01</t>
  </si>
  <si>
    <t>9603-3/02</t>
  </si>
  <si>
    <t>9603-3/03</t>
  </si>
  <si>
    <t>9603-3/04</t>
  </si>
  <si>
    <t>9603-3/05</t>
  </si>
  <si>
    <t>9603-3/99</t>
  </si>
  <si>
    <t>9609-2/01</t>
  </si>
  <si>
    <t>9609-2/02</t>
  </si>
  <si>
    <t>9609-2/03</t>
  </si>
  <si>
    <t>9609-2/04</t>
  </si>
  <si>
    <t>9609-2/99</t>
  </si>
  <si>
    <t>9700-5/00</t>
  </si>
  <si>
    <t>9900-8/00</t>
  </si>
  <si>
    <t>Unid 5</t>
  </si>
  <si>
    <t>Torneira + Aquec IP</t>
  </si>
  <si>
    <t>Unidade 5</t>
  </si>
  <si>
    <t>Unidade 6</t>
  </si>
  <si>
    <t>Unidade 7</t>
  </si>
  <si>
    <t>Unidade 8</t>
  </si>
  <si>
    <t>Unidade 9</t>
  </si>
  <si>
    <t>Unidade 10</t>
  </si>
  <si>
    <t>Unidade 11</t>
  </si>
  <si>
    <t>Unidade 12</t>
  </si>
  <si>
    <t>BI 1</t>
  </si>
  <si>
    <t>FatorIs ramal secundário CAIXA L</t>
  </si>
  <si>
    <t>geral CAIXA L</t>
  </si>
  <si>
    <t xml:space="preserve"> L  SEC 1</t>
  </si>
  <si>
    <t>L  SEC 2</t>
  </si>
  <si>
    <t>K GERAL</t>
  </si>
  <si>
    <t>L GERAL</t>
  </si>
  <si>
    <t>CAIXA K</t>
  </si>
  <si>
    <t>geral CAIXA L SEC 1</t>
  </si>
  <si>
    <t>geral CAIXA L SEC 2</t>
  </si>
  <si>
    <t xml:space="preserve"> H  SEC 1</t>
  </si>
  <si>
    <t>H SEC 2</t>
  </si>
  <si>
    <t>H GERAL</t>
  </si>
  <si>
    <t>geral CAIXA H</t>
  </si>
  <si>
    <t>sec1 CAIXA H</t>
  </si>
  <si>
    <t>sec2 CAIXA H</t>
  </si>
  <si>
    <t xml:space="preserve"> M SEC 1</t>
  </si>
  <si>
    <t>M SEC 2</t>
  </si>
  <si>
    <t>M  SEC 3</t>
  </si>
  <si>
    <t>M SEC 4</t>
  </si>
  <si>
    <t>M GERAL</t>
  </si>
  <si>
    <t>geral CAIXA M</t>
  </si>
  <si>
    <t>CAIXA M SEC 3</t>
  </si>
  <si>
    <t>CAIXA M SEC 4</t>
  </si>
  <si>
    <t xml:space="preserve"> N SEC 1</t>
  </si>
  <si>
    <t>N SEC 2</t>
  </si>
  <si>
    <t>N  SEC 3</t>
  </si>
  <si>
    <t>N SEC 4</t>
  </si>
  <si>
    <t>N GERAL</t>
  </si>
  <si>
    <t>geral CAIXA N</t>
  </si>
  <si>
    <t>sec3 CAIXA N</t>
  </si>
  <si>
    <t>sec4 CAIXA N</t>
  </si>
  <si>
    <t>Vazio</t>
  </si>
  <si>
    <t>unidade 5</t>
  </si>
  <si>
    <t>unidade 6</t>
  </si>
  <si>
    <t>unidade 7</t>
  </si>
  <si>
    <t>unidade 8</t>
  </si>
  <si>
    <t>unidade 9</t>
  </si>
  <si>
    <t>unidade 10</t>
  </si>
  <si>
    <t>unidade 11</t>
  </si>
  <si>
    <t>unidade 12</t>
  </si>
  <si>
    <t>k GERAL</t>
  </si>
  <si>
    <t>L SEC 1</t>
  </si>
  <si>
    <t>L SEC 2</t>
  </si>
  <si>
    <t>H SEC 1</t>
  </si>
  <si>
    <t>M SEC 1</t>
  </si>
  <si>
    <t>M SEC 3</t>
  </si>
  <si>
    <t>N SEC 3</t>
  </si>
  <si>
    <t>maior</t>
  </si>
  <si>
    <t>SELETIVIDADE</t>
  </si>
  <si>
    <t>SEC 2</t>
  </si>
  <si>
    <t>SEC 3</t>
  </si>
  <si>
    <t>SEC 4</t>
  </si>
  <si>
    <t>CONDUTOR</t>
  </si>
  <si>
    <t>prot</t>
  </si>
  <si>
    <t>PROTEÇÃO(A)</t>
  </si>
  <si>
    <t>TIPO DE PROTEÇÃO</t>
  </si>
  <si>
    <t>CONDUTORES(mm²)</t>
  </si>
  <si>
    <t>DEMANDA</t>
  </si>
  <si>
    <t>DEM BI</t>
  </si>
  <si>
    <t>DEM TRI</t>
  </si>
  <si>
    <t>DUTO GERAL</t>
  </si>
  <si>
    <t>Deseja Ordem de Venda após aprovação?</t>
  </si>
  <si>
    <t>SIM</t>
  </si>
  <si>
    <t>NÃO</t>
  </si>
  <si>
    <t>Micro-ondas</t>
  </si>
  <si>
    <t>Unidade 01 - Potência mínima para chuveiros de 5,4kW</t>
  </si>
  <si>
    <t>Unidade 02 - Potência mínima para chuveiros de 5,4kW</t>
  </si>
  <si>
    <t>Unidade 03 - Potência mínima para chuveiros de 5,4kW</t>
  </si>
  <si>
    <t>Unidade 04 - Potência mínima para chuveiros de 5,4kW</t>
  </si>
  <si>
    <t>Unidade 05 - Potência mínima para chuveiros de 5,4kW</t>
  </si>
  <si>
    <t>Unidade 06 - Potência mínima para chuveiros de 5,4kW</t>
  </si>
  <si>
    <t>Unidade 07 - Potência mínima para chuveiros de 5,4kW</t>
  </si>
  <si>
    <t>Unidade 08 - Potência mínima para chuveiros de 5,4kW</t>
  </si>
  <si>
    <t>Unidade 09 - Potência mínima para chuveiros de 5,4kW</t>
  </si>
  <si>
    <t>Unidade 10 - Potência mínima para chuveiros de 5,4kW</t>
  </si>
  <si>
    <t>Unidade 11 - Potência mínima para chuveiros de 5,4kW</t>
  </si>
  <si>
    <t>Unidade 12 - Potência mínima para chuveiros de 5,4kW</t>
  </si>
  <si>
    <t>Unidade 01 - Potência mínima para torneiras de 3kW</t>
  </si>
  <si>
    <t>Unidade 02 - Potência mínima para torneiras de 3kW</t>
  </si>
  <si>
    <t>Unidade 03 - Potência mínima para torneiras de 3kW</t>
  </si>
  <si>
    <t>Unidade 04 - Potência mínima para torneiras de 3kW</t>
  </si>
  <si>
    <t>Unidade 05 - Potência mínima para torneiras de 3kW</t>
  </si>
  <si>
    <t>Unidade 06 - Potência mínima para torneiras de 3kW</t>
  </si>
  <si>
    <t>Unidade 07 - Potência mínima para torneiras de 3kW</t>
  </si>
  <si>
    <t>Unidade 08 - Potência mínima para torneiras de 3kW</t>
  </si>
  <si>
    <t>Unidade 09 - Potência mínima para torneiras de 3kW</t>
  </si>
  <si>
    <t>Unidade 10 - Potência mínima para torneiras de 3kW</t>
  </si>
  <si>
    <t>Unidade 11 - Potência mínima para torneiras de 3kW</t>
  </si>
  <si>
    <t>Unidade 12 - Potência mínima para torneiras de 3kW</t>
  </si>
  <si>
    <t>Unidade 01 - Potência mínima para micro-ondas de 1,5kW</t>
  </si>
  <si>
    <t>Unidade 02 - Potência mínima para micro-ondas de 1,5kW</t>
  </si>
  <si>
    <t>Unidade 03 - Potência mínima para micro-ondas de 1,5kW</t>
  </si>
  <si>
    <t>Unidade 04 - Potência mínima para micro-ondas de 1,5kW</t>
  </si>
  <si>
    <t>Unidade 05 - Potência mínima para micro-ondas de 1,5kW</t>
  </si>
  <si>
    <t>Unidade 06 - Potência mínima para micro-ondas de 1,5kW</t>
  </si>
  <si>
    <t>Unidade 07 - Potência mínima para micro-ondas de 1,5kW</t>
  </si>
  <si>
    <t>Unidade 08 - Potência mínima para micro-ondas de 1,5kW</t>
  </si>
  <si>
    <t>Unidade 09 - Potência mínima para micro-ondas de 1,5kW</t>
  </si>
  <si>
    <t>Unidade 10 - Potência mínima para micro-ondas de 1,5kW</t>
  </si>
  <si>
    <t>Unidade 11 - Potência mínima para micro-ondas de 1,5kW</t>
  </si>
  <si>
    <t>Unidade 12 - Potência mínima para micro-ondas de 1,5kW</t>
  </si>
  <si>
    <t>Unidade 01 - Potência mínima para secadora de 2,5kW</t>
  </si>
  <si>
    <t>Unidade 02 - Potência mínima para secadora de 2,5kW</t>
  </si>
  <si>
    <t>Unidade 03 - Potência mínima para secadora de 2,5kW</t>
  </si>
  <si>
    <t>Unidade 04 - Potência mínima para secadora de 2,5kW</t>
  </si>
  <si>
    <t>Unidade 05 - Potência mínima para secadora de 2,5kW</t>
  </si>
  <si>
    <t>Unidade 06 - Potência mínima para secadora de 2,5kW</t>
  </si>
  <si>
    <t>Unidade 07 - Potência mínima para secadora de 2,5kW</t>
  </si>
  <si>
    <t>Unidade 08 - Potência mínima para secadora de 2,5kW</t>
  </si>
  <si>
    <t>Unidade 09 - Potência mínima para secadora de 2,5kW</t>
  </si>
  <si>
    <t>Unidade 10 - Potência mínima para secadora de 2,5kW</t>
  </si>
  <si>
    <t>Unidade 11 - Potência mínima para secadora de 2,5kW</t>
  </si>
  <si>
    <t>Unidade 12 - Potência mínima para secadora de 2,5kW</t>
  </si>
  <si>
    <t>Possui unidade(s) definidas como trifásicas e o ramal de entrada esta definido como 2F+N</t>
  </si>
  <si>
    <t>Para ligações no sistema Estrela com Potência instalada maior ou igual a 25kW, sua entrada deverá ser trifásica</t>
  </si>
  <si>
    <t>CS 10</t>
  </si>
  <si>
    <t>CS 11</t>
  </si>
  <si>
    <t>DT. ESTRELA:</t>
  </si>
  <si>
    <t>Necessita de Ligação Provisória para Construção?</t>
  </si>
  <si>
    <t>Quantos dias?</t>
  </si>
  <si>
    <t>OBS: Dias corridos</t>
  </si>
  <si>
    <t>Ferro elétrico</t>
  </si>
  <si>
    <t xml:space="preserve">Fone </t>
  </si>
  <si>
    <t>Celular</t>
  </si>
  <si>
    <t>B</t>
  </si>
  <si>
    <t>C</t>
  </si>
  <si>
    <t>caixa L sec 1</t>
  </si>
  <si>
    <t>Quantidade de Bombas de Incêndio</t>
  </si>
  <si>
    <t>BIFÁSICA</t>
  </si>
  <si>
    <t>TRIFÁSICA</t>
  </si>
  <si>
    <t>monofásico</t>
  </si>
  <si>
    <t>trifásico</t>
  </si>
  <si>
    <t>K PRIM</t>
  </si>
  <si>
    <t>L PRIM</t>
  </si>
  <si>
    <t>H PRIM</t>
  </si>
  <si>
    <t>M PRIM</t>
  </si>
  <si>
    <t>N PRIM</t>
  </si>
  <si>
    <t>RAMAL PRINCIPAL</t>
  </si>
  <si>
    <t>RAMAL DE ENTRADA</t>
  </si>
  <si>
    <t>ATERRAMENTO</t>
  </si>
  <si>
    <t>Definir o tipo de sistema de atendimento: Estrela ou Delta</t>
  </si>
  <si>
    <t>Definir se o ramal principal será 2F + N ou 3F + N</t>
  </si>
  <si>
    <t>Definir se será em poste, coluna ou fachada</t>
  </si>
  <si>
    <t>Definir o tipo de isolação dos condutores do ramal de entrada e primário</t>
  </si>
  <si>
    <t>Definir o tipo da proteção geral</t>
  </si>
  <si>
    <t>Definir o tipo de isolação dos condutores das unidades</t>
  </si>
  <si>
    <t>Definir o tipo de isolação do condutor da bomba de incêndio</t>
  </si>
  <si>
    <t>Definir se a unidade 1 será Bifásica ou Trifásica</t>
  </si>
  <si>
    <t>Definir se a unidade 2 será Bifásica ou Trifásica</t>
  </si>
  <si>
    <t>Definir se a unidade 3 será Bifásica ou Trifásica</t>
  </si>
  <si>
    <t>Definir se a unidade 4 será Bifásica ou Trifásica</t>
  </si>
  <si>
    <t>Definir se a unidade 5 será Bifásica ou Trifásica</t>
  </si>
  <si>
    <t>Definir se a unidade 6 será Bifásica ou Trifásica</t>
  </si>
  <si>
    <t>Definir se a unidade 7 será Bifásica ou Trifásica</t>
  </si>
  <si>
    <t>Definir se a unidade 8 será Bifásica ou Trifásica</t>
  </si>
  <si>
    <t>Definir se a unidade 9 será Bifásica ou Trifásica</t>
  </si>
  <si>
    <t>Definir se a unidade 10 será Bifásica ou Trifásica</t>
  </si>
  <si>
    <t>Definir se a unidade 11 será Bifásica ou Trifásica</t>
  </si>
  <si>
    <t>Definir se a unidade 12 será Bifásica ou Trifásica</t>
  </si>
  <si>
    <t>Definir se a bomba de incêndio será Bifásica ou Trifásica</t>
  </si>
  <si>
    <t>Assinalar o tipo de solicitação: Ligação nova ou Modificação</t>
  </si>
  <si>
    <t>Assinalar apenas um tipo de solicitação: Ligação nova ou Modificação</t>
  </si>
  <si>
    <t>Assinalar apenas um opção: Necessita de ligação provisória?</t>
  </si>
  <si>
    <t>Assinalar uma opção: Necessita de ligação provisória?</t>
  </si>
  <si>
    <t>Especificar quantos dias necessitará de ligação provisória</t>
  </si>
  <si>
    <t>Inserir o número da instalação existente</t>
  </si>
  <si>
    <t>Complemento</t>
  </si>
  <si>
    <t>PE</t>
  </si>
  <si>
    <t>Assinalar apenas uma resposta na pergunta: Deseja ordem de venda após aprovação?</t>
  </si>
  <si>
    <t>Responder se deseja ordem de venda após aprovação</t>
  </si>
  <si>
    <t>Preencher o campo nome do cliente</t>
  </si>
  <si>
    <t>Pessoa Física ou  Jurídica</t>
  </si>
  <si>
    <t>Pessoa Jurídica</t>
  </si>
  <si>
    <t>Pessoa Física</t>
  </si>
  <si>
    <t>Preencher o campo: Pessoa Física ou Jurídica</t>
  </si>
  <si>
    <t>Preencher o campo: CPF</t>
  </si>
  <si>
    <t>Preencher o campo: RG</t>
  </si>
  <si>
    <t>Preencher o campo: CNPJ</t>
  </si>
  <si>
    <t>Preencher o campo: e-mail do cliente</t>
  </si>
  <si>
    <t>RC</t>
  </si>
  <si>
    <t>CS 12</t>
  </si>
  <si>
    <t>Unidade 01 - ligações no sistema Estrela com Potência instalada maior ou igual a 25kW deverão ser trifásicas</t>
  </si>
  <si>
    <t>Unidade 02 - ligações no sistema Estrela com Potência instalada maior ou igual a 25kW deverão ser trifásicas</t>
  </si>
  <si>
    <t>Unidade 03 - ligações no sistema Estrela com Potência instalada maior ou igual a 25kW deverão ser trifásicas</t>
  </si>
  <si>
    <t>Unidade 04 - ligações no sistema Estrela com Potência instalada maior ou igual a 25kW deverão ser trifásicas</t>
  </si>
  <si>
    <t>Unidade 05 - ligações no sistema Estrela com Potência instalada maior ou igual a 25kW deverão ser trifásicas</t>
  </si>
  <si>
    <t>Unidade 06 - ligações no sistema Estrela com Potência instalada maior ou igual a 25kW deverão ser trifásicas</t>
  </si>
  <si>
    <t>Unidade 07 - ligações no sistema Estrela com Potência instalada maior ou igual a 25kW deverão ser trifásicas</t>
  </si>
  <si>
    <t>Unidade 08 - ligações no sistema Estrela com Potência instalada maior ou igual a 25kW deverão ser trifásicas</t>
  </si>
  <si>
    <t>Unidade 09 - ligações no sistema Estrela com Potência instalada maior ou igual a 25kW deverão ser trifásicas</t>
  </si>
  <si>
    <t>Unidade 10 - ligações no sistema Estrela com Potência instalada maior ou igual a 25kW deverão ser trifásicas</t>
  </si>
  <si>
    <t>Unidade 11 - ligações no sistema Estrela com Potência instalada maior ou igual a 25kW deverão ser trifásicas</t>
  </si>
  <si>
    <t>Unidade 12 - ligações no sistema Estrela com Potência instalada maior ou igual a 25kW deverão ser trifásicas</t>
  </si>
  <si>
    <t>Flat</t>
  </si>
  <si>
    <t>Unidade 01 - Potência mínima para tomadas em residência 2,5kW</t>
  </si>
  <si>
    <t>Unidade 02 - Potência mínima para tomadas em residência 2,5kW</t>
  </si>
  <si>
    <t>Unidade 03 - Potência mínima para tomadas em residência 2,5kW</t>
  </si>
  <si>
    <t>Unidade 04 - Potência mínima para tomadas em residência 2,5kW</t>
  </si>
  <si>
    <t>Unidade 05 - Potência mínima para tomadas em residência 2,5kW</t>
  </si>
  <si>
    <t>Unidade 06 - Potência mínima para tomadas em residência 2,5kW</t>
  </si>
  <si>
    <t>Unidade 07 - Potência mínima para tomadas em residência 2,5kW</t>
  </si>
  <si>
    <t>Unidade 08 - Potência mínima para tomadas em residência 2,5kW</t>
  </si>
  <si>
    <t>Unidade 09 - Potência mínima para tomadas em residência 2,5kW</t>
  </si>
  <si>
    <t>Unidade 10 - Potência mínima para tomadas em residência 2,5kW</t>
  </si>
  <si>
    <t>Unidade 11 - Potência mínima para tomadas em residência 2,5kW</t>
  </si>
  <si>
    <t>Unidade 12 - Potência mínima para tomadas em residência 2,5kW</t>
  </si>
  <si>
    <t>Quantidade de Motores Monofásicos / Bifásicos</t>
  </si>
  <si>
    <t>Preencher o campo: Rua/Avenida da obra</t>
  </si>
  <si>
    <t>ERRO</t>
  </si>
  <si>
    <t>O Ramal de entrada será duplado, portanto deverá ser elaborado projeto e encaminhado para a Concessionária</t>
  </si>
  <si>
    <t>Preencher o campo:CEP da obra</t>
  </si>
  <si>
    <t>Preencher o campo:Bairro da obra</t>
  </si>
  <si>
    <t>Preencher o campo:Cidade da obra</t>
  </si>
  <si>
    <t>Preencher o campo: Nome do Técnico ou Engenheiro responsável</t>
  </si>
  <si>
    <t>Preencher o campo: CREA / CAU</t>
  </si>
  <si>
    <t>Preencher o campo: ART / RRT</t>
  </si>
  <si>
    <t>A ART deverá ser de projeto</t>
  </si>
  <si>
    <t>Preencher o campo: Rua / Avenida para correspondência</t>
  </si>
  <si>
    <t>Preencher o campo: N.º para correspondência</t>
  </si>
  <si>
    <t>Preencher o campo: N.º da obra</t>
  </si>
  <si>
    <t>Preencher o campo: Bairro para correspondência</t>
  </si>
  <si>
    <t>Preencher o campo: Celular para correspondência</t>
  </si>
  <si>
    <t>Preencher o campo: CEP para correspondência</t>
  </si>
  <si>
    <t>Preencher o campo: Cidade para correspondência</t>
  </si>
  <si>
    <t>Preencher o campo: e-mail para correspondência</t>
  </si>
  <si>
    <t>Para corrente abaixo ou igual a 150A utilizar sempre Disjuntor</t>
  </si>
  <si>
    <t>TRI?????</t>
  </si>
  <si>
    <t>Unidade 1: Possui equipamento(s) trifásico(s) mas esta definido como Bifásico</t>
  </si>
  <si>
    <t>Unidade 2: Possui equipamento(s) trifásico(s) mas esta definido como Bifásico</t>
  </si>
  <si>
    <t>Unidade 3: Possui equipamento(s) trifásico(s) mas esta definido como Bifásico</t>
  </si>
  <si>
    <t>Unidade 4: Possui equipamento(s) trifásico(s) mas esta definido como Bifásico</t>
  </si>
  <si>
    <t>Unidade 5: Possui equipamento(s) trifásico(s) mas esta definido como Bifásico</t>
  </si>
  <si>
    <t>Unidade 6: Possui equipamento(s) trifásico(s) mas esta definido como Bifásico</t>
  </si>
  <si>
    <t>Unidade 7: Possui equipamento(s) trifásico(s) mas esta definido como Bifásico</t>
  </si>
  <si>
    <t>Unidade 8: Possui equipamento(s) trifásico(s) mas esta definido como Bifásico</t>
  </si>
  <si>
    <t>Unidade 9: Possui equipamento(s) trifásico(s) mas esta definido como Bifásico</t>
  </si>
  <si>
    <t>Unidade 10: Possui equipamento(s) trifásico(s) mas esta definido como Bifásico</t>
  </si>
  <si>
    <t>Unidade 11: Possui equipamento(s) trifásico(s) mas esta definido como Bifásico</t>
  </si>
  <si>
    <t>Unidade 12: Possui equipamento(s) trifásico(s) mas esta definido como Bifásico</t>
  </si>
  <si>
    <t>Ar Comercial</t>
  </si>
  <si>
    <t>Ar Residencial</t>
  </si>
  <si>
    <t>Especiais / outros</t>
  </si>
  <si>
    <t>Possui unidade(s) com corrente acima de 150A, deverá ser elaborado projeto com medição indireta e encaminhado para a Concessionária</t>
  </si>
  <si>
    <t>Fogão / Forno</t>
  </si>
  <si>
    <t>32 mm</t>
  </si>
  <si>
    <t>40 mm</t>
  </si>
  <si>
    <t>50 mm</t>
  </si>
  <si>
    <t>60 mm</t>
  </si>
  <si>
    <t>75 mm</t>
  </si>
  <si>
    <t>85 mm</t>
  </si>
  <si>
    <t>Construir conforme desenho n.º 12 do Padrão Técnico PT.PN.03.24.0002</t>
  </si>
  <si>
    <t>Construir conforme desenho n.º 13 do Padrão Técnico PT.PN.03.24.0002</t>
  </si>
  <si>
    <t>Construir conforme desenho n.º 14 do Padrão Técnico PT.PN.03.24.0002</t>
  </si>
  <si>
    <t>Construir conforme desenho n.º 15 do Padrão Técnico PT.PN.03.24.0002</t>
  </si>
  <si>
    <t>Construir conforme desenho n.º 16 do Padrão Técnico PT.PN.03.24.0002</t>
  </si>
  <si>
    <t>Ilum. Incand.  (kW)</t>
  </si>
  <si>
    <t>Ilum. Fluores.  (kW)</t>
  </si>
  <si>
    <t>Iluminação  (kW)</t>
  </si>
  <si>
    <t>Tomadas (kW)</t>
  </si>
  <si>
    <t>kW</t>
  </si>
  <si>
    <t>CREA</t>
  </si>
  <si>
    <t>ART Nº</t>
  </si>
  <si>
    <t xml:space="preserve">         Preferencialmente utilizar mapas da internet</t>
  </si>
  <si>
    <t>CS 01</t>
  </si>
  <si>
    <t>CS 02</t>
  </si>
  <si>
    <t>CS 03</t>
  </si>
  <si>
    <t>CS 04</t>
  </si>
  <si>
    <t>CS 05</t>
  </si>
  <si>
    <t>CS 06</t>
  </si>
  <si>
    <t>CS 07</t>
  </si>
  <si>
    <t>CS 08</t>
  </si>
  <si>
    <t>CS 09</t>
  </si>
  <si>
    <t>m</t>
  </si>
  <si>
    <t>CRO</t>
  </si>
  <si>
    <t>Assinalar a posição do centro de medição na propriedade</t>
  </si>
  <si>
    <t>Assinalar apenas uma posição para o centro de medição na propriedade</t>
  </si>
  <si>
    <t>Informar a quantos metros o centro de medição será construído em relação ao limite da propriedade</t>
  </si>
  <si>
    <t>O padrão expresso não contempla centro de medição com distância superior a 15 metros do limite da propriedade, deverá ser elaborado projeto identificando a localização das caixas de passagem e cálculo de queda de tensão, para encaminhar à Concessionária</t>
  </si>
  <si>
    <t>Croqui</t>
  </si>
  <si>
    <t>Propriedade (cliente)</t>
  </si>
  <si>
    <t>FDC</t>
  </si>
  <si>
    <t xml:space="preserve">XLPE </t>
  </si>
  <si>
    <t>Industrial</t>
  </si>
  <si>
    <t>UNIDADES:</t>
  </si>
  <si>
    <t>BARRAMENTO</t>
  </si>
  <si>
    <t>-</t>
  </si>
  <si>
    <t>3/4" x 1/4"</t>
  </si>
  <si>
    <t>1" x 1/4"</t>
  </si>
  <si>
    <t>Montar conforme desenho do Padrão PT.PN.03.24.0002</t>
  </si>
  <si>
    <t xml:space="preserve">   </t>
  </si>
  <si>
    <t xml:space="preserve">L: </t>
  </si>
  <si>
    <t xml:space="preserve">      </t>
  </si>
  <si>
    <t xml:space="preserve">F: </t>
  </si>
  <si>
    <t>DT. DELTA ABERTO:</t>
  </si>
  <si>
    <t>DT. DELTA FECHADO:</t>
  </si>
  <si>
    <t>Descrição</t>
  </si>
  <si>
    <t>Residencia I</t>
  </si>
  <si>
    <t>Residencia I - Serviço</t>
  </si>
  <si>
    <t>Residencia I - Bomba de Incêndio</t>
  </si>
  <si>
    <t>CULTIVO DE ARROZ</t>
  </si>
  <si>
    <t>CULTIVO DE MILHO</t>
  </si>
  <si>
    <t>CULTIVO DE TRIGO</t>
  </si>
  <si>
    <t>CULTIVO DE OUTROS CEREAIS NÃO ESPECIFICADOS ANTERIORMENTE</t>
  </si>
  <si>
    <t>CULTIVO DE ALGODÃO HERBÁCEO</t>
  </si>
  <si>
    <t>CULTIVO DE JUTA</t>
  </si>
  <si>
    <t>CULTIVO DE OUTRAS FIBRAS DE LAVOURA TEMPORÁRIA NÃO ESPECIFICADAS ANTERIORMENTE</t>
  </si>
  <si>
    <t>CULTIVO DE CANA-DE-AÇÚCAR</t>
  </si>
  <si>
    <t>CULTIVO DE FUMO</t>
  </si>
  <si>
    <t>CULTIVO DE SOJA</t>
  </si>
  <si>
    <t>CULTIVO DE AMENDOIM</t>
  </si>
  <si>
    <t>CULTIVO DE GIRASSOL</t>
  </si>
  <si>
    <t>CULTIVO DE MAMONA</t>
  </si>
  <si>
    <t>CULTIVO DE OUTRAS OLEAGINOSAS DE LAVOURA TEMPORÁRIA NÃO ESPECIFICADAS ANTERIORMENTE</t>
  </si>
  <si>
    <t>CULTIVO DE ABACAXI</t>
  </si>
  <si>
    <t>CULTIVO DE ALHO</t>
  </si>
  <si>
    <t>CULTIVO DE BATATA-INGLESA</t>
  </si>
  <si>
    <t>CULTIVO DE CEBOLA</t>
  </si>
  <si>
    <t>CULTIVO DE FEIJÃO</t>
  </si>
  <si>
    <t>CULTIVO DE MANDIOCA</t>
  </si>
  <si>
    <t>CULTIVO DE MELÃO</t>
  </si>
  <si>
    <t>CULTIVO DE MELANCIA</t>
  </si>
  <si>
    <t>CULTIVO DE TOMATE RASTEIRO</t>
  </si>
  <si>
    <t>CULTIVO DE OUTRAS PLANTAS DE LAVOURA TEMPORÁRIA NÃO ESPECIFICADAS ANTERIORMENTE</t>
  </si>
  <si>
    <t>HORTICULTURA, EXCETO MORANGO</t>
  </si>
  <si>
    <t>CULTIVO DE MORANGO</t>
  </si>
  <si>
    <t>FLORICULTURA</t>
  </si>
  <si>
    <t>CULTIVO DE LARANJA</t>
  </si>
  <si>
    <t>CULTIVO DE UVA</t>
  </si>
  <si>
    <t>CULTIVO DE AÇAÍ</t>
  </si>
  <si>
    <t>CULTIVO DE BANANA</t>
  </si>
  <si>
    <t>CULTIVO DE CAJU</t>
  </si>
  <si>
    <t>CULTIVO DE CÍTRICOS, EXCETO LARANJA</t>
  </si>
  <si>
    <t>CULTIVO DE COCO-DA-BAÍA</t>
  </si>
  <si>
    <t>CULTIVO DE GUARANÁ</t>
  </si>
  <si>
    <t>CULTIVO DE MAÇÃ</t>
  </si>
  <si>
    <t>CULTIVO DE MAMÃO</t>
  </si>
  <si>
    <t>CULTIVO DE MARACUJÁ</t>
  </si>
  <si>
    <t>CULTIVO DE MANGA</t>
  </si>
  <si>
    <t>CULTIVO DE PÊSSEGO</t>
  </si>
  <si>
    <t>CULTIVO DE FRUTAS DE LAVOURA PERMANENTE NÃO ESPECIFICADAS ANTERIORMENTE</t>
  </si>
  <si>
    <t>CULTIVO DE CAFÉ</t>
  </si>
  <si>
    <t>CULTIVO DE CACAU</t>
  </si>
  <si>
    <t>CULTIVO DE CHÁ-DA-ÍNDIA</t>
  </si>
  <si>
    <t>CULTIVO DE ERVA-MATE</t>
  </si>
  <si>
    <t>CULTIVO DE PIMENTA-DO-REINO</t>
  </si>
  <si>
    <t>CULTIVO DE PLANTAS PARA CONDIMENTO, EXCETO PIMENTA-DO-REINO</t>
  </si>
  <si>
    <t>CULTIVO DE DENDÊ</t>
  </si>
  <si>
    <t>CULTIVO DE SERINGUEIRA</t>
  </si>
  <si>
    <t>CULTIVO DE OUTRAS PLANTAS DE LAVOURA PERMANENTE NÃO ESPECIFICADAS ANTERIORMENTE</t>
  </si>
  <si>
    <t>PRODUÇÃO DE SEMENTES CERTIFICADAS, EXCETO DE FORRAGEIRAS PARA PASTO</t>
  </si>
  <si>
    <t>PRODUÇÃO DE SEMENTES CERTIFICADAS DE FORRAGEIRAS PARA FORMAÇÃO DE PASTO</t>
  </si>
  <si>
    <t>PRODUÇÃO DE MUDAS E OUTRAS FORMAS DE PROPAGAÇÃO VEGETAL, CERTIFICADAS</t>
  </si>
  <si>
    <t>CRIAÇÃO DE BOVINOS PARA CORTE</t>
  </si>
  <si>
    <t>CRIAÇÃO DE BOVINOS PARA LEITE</t>
  </si>
  <si>
    <t>CRIAÇÃO DE BOVINOS, EXCETO PARA CORTE E LEITE</t>
  </si>
  <si>
    <t>CRIAÇÃO DE BUFALINOS</t>
  </si>
  <si>
    <t>CRIAÇÃO DE EQÜINOS</t>
  </si>
  <si>
    <t>CRIAÇÃO DE ASININOS E MUARES</t>
  </si>
  <si>
    <t>CRIAÇÃO DE CAPRINOS</t>
  </si>
  <si>
    <t>CRIAÇÃO DE OVINOS, INCLUSIVE PARA PRODUÇÃO DE LÃ</t>
  </si>
  <si>
    <t>CRIAÇÃO DE SUÍNOS</t>
  </si>
  <si>
    <t>CRIAÇÃO DE FRANGOS PARA CORTE</t>
  </si>
  <si>
    <t>PRODUÇÃO DE PINTOS DE UM DIA</t>
  </si>
  <si>
    <t>CRIAÇÃO DE OUTROS GALINÁCEOS, EXCETO PARA CORTE</t>
  </si>
  <si>
    <t>CRIAÇÃO DE AVES, EXCETO GALINÁCEOS</t>
  </si>
  <si>
    <t>PRODUÇÃO DE OVOS</t>
  </si>
  <si>
    <t>APICULTURA</t>
  </si>
  <si>
    <t>CRIAÇÃO DE ANIMAIS DE ESTIMAÇÃO</t>
  </si>
  <si>
    <t>CRIAÇÃO DE ESCARGÔ</t>
  </si>
  <si>
    <t>CRIAÇÃO DE BICHO-DA-SEDA</t>
  </si>
  <si>
    <t>CRIAÇÃO DE OUTROS ANIMAIS NÃO ESPECIFICADOS ANTERIORMENTE</t>
  </si>
  <si>
    <t>SERVIÇO DE PULVERIZAÇÃO E CONTROLE DE PRAGAS AGRÍCOLAS</t>
  </si>
  <si>
    <t>SERVIÇO DE PODA DE ÁRVORES PARA LAVOURAS</t>
  </si>
  <si>
    <t>SERVIÇO DE PREPARAÇÃO DE TERRENO, CULTIVO E COLHEITA</t>
  </si>
  <si>
    <t>ATIVIDADES DE APOIO À AGRICULTURA NÃO ESPECIFICADAS ANTERIORMENTE</t>
  </si>
  <si>
    <t>SERVIÇO DE INSEMINAÇÃO ARTIFICIAL</t>
  </si>
  <si>
    <t>SERVIÇO DE TOSQUIAMENTO DE OVINOS</t>
  </si>
  <si>
    <t>SERVIÇO DE MANEJO DE ANIMAIS</t>
  </si>
  <si>
    <t>ATIVIDADES DE APOIO À PECUÁRIA NÃO ESPECIFICADAS ANTERIORMENTE</t>
  </si>
  <si>
    <t>ATIVIDADES DE PÓS-COLHEITA</t>
  </si>
  <si>
    <t>CAÇA E SERVIÇOS RELACIONADOS</t>
  </si>
  <si>
    <t>CULTIVO DE EUCALIPTO</t>
  </si>
  <si>
    <t>CULTIVO DE ACÁCIA-NEGRA</t>
  </si>
  <si>
    <t>CULTIVO DE PINUS</t>
  </si>
  <si>
    <t>CULTIVO DE TECA</t>
  </si>
  <si>
    <t>CULTIVO DE ESPÉCIES MADEIREIRAS, EXCETO EUCALIPTO, ACÁCIA-NEGRA, PINUS E TECA</t>
  </si>
  <si>
    <t>CULTIVO DE MUDAS EM VIVEIROS FLORESTAIS</t>
  </si>
  <si>
    <t>EXTRAÇÃO DE MADEIRA EM FLORESTAS PLANTADAS</t>
  </si>
  <si>
    <t>PRODUÇÃO DE CARVÃO VEGETAL - FLORESTAS PLANTADAS</t>
  </si>
  <si>
    <t>PRODUÇÃO DE CASCA DE ACÁCIA-NEGRA - FLORESTAS PLANTADAS</t>
  </si>
  <si>
    <t>PRODUÇÃO DE PRODUTOS NÃO-MADEIREIROS NÃO ESPECIFICADOS ANTERIORMENTE EM FLORESTAS PLANTADAS</t>
  </si>
  <si>
    <t>EXTRAÇÃO DE MADEIRA EM FLORESTAS NATIVAS</t>
  </si>
  <si>
    <t>PRODUÇÃO DE CARVÃO VEGETAL - FLORESTAS NATIVAS</t>
  </si>
  <si>
    <t>COLETA DE CASTANHA-DO-PARÁ EM FLORESTAS NATIVAS</t>
  </si>
  <si>
    <t>COLETA DE LÁTEX EM FLORESTAS NATIVAS</t>
  </si>
  <si>
    <t>COLETA DE PALMITO EM FLORESTAS NATIVAS</t>
  </si>
  <si>
    <t>CONSERVAÇÃO DE FLORESTAS NATIVAS</t>
  </si>
  <si>
    <t>COLETA DE PRODUTOS NÃO-MADEIREIROS NÃO ESPECIFICADOS ANTERIORMENTE EM FLORESTAS NATIVAS</t>
  </si>
  <si>
    <t>ATIVIDADES DE APOIO À PRODUÇÃO FLORESTAL</t>
  </si>
  <si>
    <t>PESCA DE PEIXES EM ÁGUA SALGADA</t>
  </si>
  <si>
    <t>PESCA DE CRUSTÁCEOS E MOLUSCOS EM ÁGUA SALGADA</t>
  </si>
  <si>
    <t>COLETA DE OUTROS PRODUTOS MARINHOS</t>
  </si>
  <si>
    <t>ATIVIDADES DE APOIO À PESCA EM ÁGUA SALGADA</t>
  </si>
  <si>
    <t>PESCA DE PEIXES EM ÁGUA DOCE</t>
  </si>
  <si>
    <t>PESCA DE CRUSTÁCEOS E MOLUSCOS EM ÁGUA DOCE</t>
  </si>
  <si>
    <t>COLETA DE OUTROS PRODUTOS AQUÁTICOS DE ÁGUA DOCE</t>
  </si>
  <si>
    <t>ATIVIDADES DE APOIO À PESCA EM ÁGUA DOCE</t>
  </si>
  <si>
    <t>CRIAÇÃO DE PEIXES EM ÁGUA SALGADA E SALOBRA</t>
  </si>
  <si>
    <t>CRIAÇÃO DE CAMARÕES EM ÁGUA SALGADA E SALOBRA</t>
  </si>
  <si>
    <t>CRIAÇÃO DE OSTRAS E MEXILHÕES EM ÁGUA SALGADA E SALOBRA</t>
  </si>
  <si>
    <t>CRIAÇÃO DE PEIXES ORNAMENTAIS EM ÁGUA SALGADA E SALOBRA</t>
  </si>
  <si>
    <t>ATIVIDADES DE APOIO À AQÜICULTURA EM ÁGUA SALGADA E SALOBRA</t>
  </si>
  <si>
    <t>CULTIVOS E SEMICULTIVOS DA AQÜICULTURA EM ÁGUA SALGADA E SALOBRA NÃO ESPECIFICADOS ANTERIORMENTE</t>
  </si>
  <si>
    <t>CRIAÇÃO DE PEIXES EM ÁGUA DOCE</t>
  </si>
  <si>
    <t>CRIAÇÃO DE CAMARÕES EM ÁGUA DOCE</t>
  </si>
  <si>
    <t>CRIAÇÃO DE OSTRAS E MEXILHÕES EM ÁGUA DOCE</t>
  </si>
  <si>
    <t>CRIAÇÃO DE PEIXES ORNAMENTAIS EM ÁGUA DOCE</t>
  </si>
  <si>
    <t>RANICULTURA</t>
  </si>
  <si>
    <t>CRIAÇÃO DE JACARÉ</t>
  </si>
  <si>
    <t>ATIVIDADES DE APOIO À AQÜICULTURA EM ÁGUA DOCE</t>
  </si>
  <si>
    <t>CULTIVOS E SEMICULTIVOS DA AQÜICULTURA EM ÁGUA DOCE NÃO ESPECIFICADOS ANTERIORMENTE</t>
  </si>
  <si>
    <t>EXTRAÇÃO DE CARVÃO MINERAL</t>
  </si>
  <si>
    <t>BENEFICIAMENTO DE CARVÃO MINERAL</t>
  </si>
  <si>
    <t>EXTRAÇÃO DE PETRÓLEO E GÁS NATURAL</t>
  </si>
  <si>
    <t>EXTRAÇÃO E BENEFICIAMENTO DE XISTO</t>
  </si>
  <si>
    <t>EXTRAÇÃO E BENEFICIAMENTO DE AREIAS BETUMINOSAS</t>
  </si>
  <si>
    <t>EXTRAÇÃO DE MINÉRIO DE FERRO</t>
  </si>
  <si>
    <t>PELOTIZAÇÃO, SINTERIZAÇÃO E OUTROS BENEFICIAMENTOS DE MINÉRIO DE FERRO</t>
  </si>
  <si>
    <t>EXTRAÇÃO DE MINÉRIO DE ALUMÍNIO</t>
  </si>
  <si>
    <t>BENEFICIAMENTO DE MINÉRIO DE ALUMÍNIO</t>
  </si>
  <si>
    <t>EXTRAÇÃO DE MINÉRIO DE ESTANHO</t>
  </si>
  <si>
    <t>BENEFICIAMENTO DE MINÉRIO DE ESTANHO</t>
  </si>
  <si>
    <t>EXTRAÇÃO DE MINÉRIO DE MANGANÊS</t>
  </si>
  <si>
    <t>BENEFICIAMENTO DE MINÉRIO DE MANGANÊS</t>
  </si>
  <si>
    <t>EXTRAÇÃO DE MINÉRIO DE METAIS PRECIOSOS</t>
  </si>
  <si>
    <t>BENEFICIAMENTO DE MINÉRIO DE METAIS PRECIOSOS</t>
  </si>
  <si>
    <t>EXTRAÇÃO DE MINERAIS RADIOATIVOS</t>
  </si>
  <si>
    <t>EXTRAÇÃO DE MINÉRIOS DE NIÓBIO E TITÂNIO</t>
  </si>
  <si>
    <t>EXTRAÇÃO DE MINÉRIO DE TUNGSTÊNIO</t>
  </si>
  <si>
    <t>EXTRAÇÃO DE MINÉRIO DE NÍQUEL</t>
  </si>
  <si>
    <t>EXTRAÇÃO DE MINÉRIOS DE COBRE, CHUMBO, ZINCO E OUTROS MINERAIS METÁLICOS NÃO-FERROSOS NÃO ESPECIFICA</t>
  </si>
  <si>
    <t>BENEFICIAMENTO DE MINÉRIOS DE COBRE, CHUMBO, ZINCO E OUTROS MINERAIS METÁLICOS NÃO-FERROSOS NÃO ESPE</t>
  </si>
  <si>
    <t>EXTRAÇÃO DE ARDÓSIA E BENEFICIAMENTO ASSOCIADO</t>
  </si>
  <si>
    <t>EXTRAÇÃO DE GRANITO E BENEFICIAMENTO ASSOCIADO</t>
  </si>
  <si>
    <t>EXTRAÇÃO DE MÁRMORE E BENEFICIAMENTO ASSOCIADO</t>
  </si>
  <si>
    <t>EXTRAÇÃO DE CALCÁRIO E DOLOMITA E BENEFICIAMENTO ASSOCIADO</t>
  </si>
  <si>
    <t>EXTRAÇÃO DE GESSO E CAULIM</t>
  </si>
  <si>
    <t>EXTRAÇÃO DE AREIA, CASCALHO OU PEDREGULHO E BENEFICIAMENTO ASSOCIADO</t>
  </si>
  <si>
    <t>EXTRAÇÃO DE ARGILA E BENEFICIAMENTO ASSOCIADO</t>
  </si>
  <si>
    <t>EXTRAÇÃO DE SAIBRO E BENEFICIAMENTO ASSOCIADO</t>
  </si>
  <si>
    <t>EXTRAÇÃO DE BASALTO E BENEFICIAMENTO ASSOCIADO</t>
  </si>
  <si>
    <t>BENEFICIAMENTO DE GESSO E CAULIM ASSOCIADO À EXTRAÇÃO</t>
  </si>
  <si>
    <t>EXTRAÇÃO E BRITAMENTO DE PEDRAS E OUTROS MATERIAIS PARA CONSTRUÇÃO E BENEFICIAMENTO ASSOCIADO</t>
  </si>
  <si>
    <t>EXTRAÇÃO DE MINERAIS PARA FABRICAÇÃO DE ADUBOS, FERTILIZANTES E OUTROS PRODUTOS QUÍMICOS</t>
  </si>
  <si>
    <t>EXTRAÇÃO DE SAL MARINHO</t>
  </si>
  <si>
    <t>EXTRAÇÃO DE SAL-GEMA</t>
  </si>
  <si>
    <t>REFINO E OUTROS TRATAMENTOS DO SAL</t>
  </si>
  <si>
    <t>EXTRAÇÃO DE GEMAS (PEDRAS PRECIOSAS E SEMIPRECIOSAS)</t>
  </si>
  <si>
    <t>EXTRAÇÃO DE GRAFITA</t>
  </si>
  <si>
    <t>EXTRAÇÃO DE QUARTZO</t>
  </si>
  <si>
    <t>EXTRAÇÃO DE AMIANTO</t>
  </si>
  <si>
    <t>EXTRAÇÃO DE OUTROS MINERAIS NÃO-METÁLICOS NÃO ESPECIFICADOS ANTERIORMENTE</t>
  </si>
  <si>
    <t>ATIVIDADES DE APOIO À EXTRAÇÃO DE PETRÓLEO E GÁS NATURAL</t>
  </si>
  <si>
    <t>ATIVIDADES DE APOIO À EXTRAÇÃO DE MINÉRIO DE FERRO</t>
  </si>
  <si>
    <t>ATIVIDADES DE APOIO À EXTRAÇÃO DE MINERAIS METÁLICOS NÃO-FERROSOS</t>
  </si>
  <si>
    <t>ATIVIDADES DE APOIO À EXTRAÇÃO DE MINERAIS NÃO-METÁLICOS</t>
  </si>
  <si>
    <t>FRIGORÍFICO - ABATE DE BOVINOS</t>
  </si>
  <si>
    <t>FRIGORÍFICO - ABATE DE EQÜINOS</t>
  </si>
  <si>
    <t>FRIGORÍFICO - ABATE DE OVINOS E CAPRINOS</t>
  </si>
  <si>
    <t>FRIGORÍFICO - ABATE DE BUFALINOS</t>
  </si>
  <si>
    <t>MATADOURO - ABATE DE RESES SOB CONTRATO - EXCETO ABATE DE SUÍNOS</t>
  </si>
  <si>
    <t>ABATE DE AVES</t>
  </si>
  <si>
    <t>ABATE DE PEQUENOS ANIMAIS</t>
  </si>
  <si>
    <t>FRIGORÍFICO - ABATE DE SUÍNOS</t>
  </si>
  <si>
    <t>MATADOURO - ABATE DE SUÍNOS SOB CONTRATO</t>
  </si>
  <si>
    <t>FABRICAÇÃO DE PRODUTOS DE CARNE</t>
  </si>
  <si>
    <t>PREPARAÇÃO DE SUBPRODUTOS DO ABATE</t>
  </si>
  <si>
    <t>PRESERVAÇÃO DE PEIXES, CRUSTÁCEOS E MOLUSCOS</t>
  </si>
  <si>
    <t>FABRICAÇÃO DE CONSERVAS DE PEIXES, CRUSTÁCEOS E MOLUSCOS</t>
  </si>
  <si>
    <t>FABRICAÇÃO DE CONSERVAS DE FRUTAS</t>
  </si>
  <si>
    <t>FABRICAÇÃO DE CONSERVAS DE PALMITO</t>
  </si>
  <si>
    <t>FABRICAÇÃO DE CONSERVAS DE LEGUMES E OUTROS VEGETAIS, EXCETO PALMITO</t>
  </si>
  <si>
    <t>FABRICAÇÃO DE SUCOS CONCENTRADOS DE FRUTAS, HORTALIÇAS E LEGUMES</t>
  </si>
  <si>
    <t>FABRICAÇÃO DE SUCOS DE FRUTAS, HORTALIÇAS E LEGUMES, EXCETO CONCENTRADOS</t>
  </si>
  <si>
    <t>FABRICAÇÃO DE ÓLEOS VEGETAIS EM BRUTO, EXCETO ÓLEO DE MILHO</t>
  </si>
  <si>
    <t>FABRICAÇÃO DE ÓLEOS VEGETAIS REFINADOS, EXCETO ÓLEO DE MILHO</t>
  </si>
  <si>
    <t>FABRICAÇÃO DE MARGARINA E OUTRAS GORDURAS VEGETAIS E DE ÓLEOS NÃO-COMESTÍVEIS DE ANIMAIS</t>
  </si>
  <si>
    <t>PREPARAÇÃO DO LEITE</t>
  </si>
  <si>
    <t>FABRICAÇÃO DE LATICÍNIOS</t>
  </si>
  <si>
    <t>FABRICAÇÃO DE SORVETES E OUTROS GELADOS COMESTÍVEIS</t>
  </si>
  <si>
    <t>BENEFICIAMENTO DE ARROZ</t>
  </si>
  <si>
    <t>FABRICAÇÃO DE PRODUTOS DO ARROZ</t>
  </si>
  <si>
    <t>MOAGEM DE TRIGO E FABRICAÇÃO DE DERIVADOS</t>
  </si>
  <si>
    <t>FABRICAÇÃO DE FARINHA DE MANDIOCA E DERIVADOS</t>
  </si>
  <si>
    <t>FABRICAÇÃO DE FARINHA DE MILHO E DERIVADOS, EXCETO ÓLEOS DE MILHO</t>
  </si>
  <si>
    <t>FABRICAÇÃO DE AMIDOS E FÉCULAS DE VEGETAIS</t>
  </si>
  <si>
    <t>FABRICAÇÃO DE ÓLEO DE MILHO EM BRUTO</t>
  </si>
  <si>
    <t>FABRICAÇÃO DE ÓLEO DE MILHO REFINADO</t>
  </si>
  <si>
    <t>FABRICAÇÃO DE ALIMENTOS PARA ANIMAIS</t>
  </si>
  <si>
    <t>MOAGEM E FABRICAÇÃO DE PRODUTOS DE ORIGEM VEGETAL NÃO ESPECIFICADOS ANTERIORMENTE</t>
  </si>
  <si>
    <t>FABRICAÇÃO DE AÇÚCAR EM BRUTO</t>
  </si>
  <si>
    <t>FABRICAÇÃO DE AÇÚCAR DE CANA REFINADO</t>
  </si>
  <si>
    <t>FABRICAÇÃO DE AÇÚCAR DE CEREAIS (DEXTROSE) E DE BETERRABA</t>
  </si>
  <si>
    <t>BENEFICIAMENTO DE CAFÉ</t>
  </si>
  <si>
    <t>TORREFAÇÃO E MOAGEM DE CAFÉ</t>
  </si>
  <si>
    <t>FABRICAÇÃO DE PRODUTOS À BASE DE CAFÉ</t>
  </si>
  <si>
    <t>FABRICAÇÃO DE PRODUTOS DE PANIFICAÇÃO</t>
  </si>
  <si>
    <t>FABRICAÇÃO DE BISCOITOS E BOLACHAS</t>
  </si>
  <si>
    <t>FABRICAÇÃO DE PRODUTOS DERIVADOS DO CACAU E DE CHOCOLATES</t>
  </si>
  <si>
    <t>FABRICAÇÃO DE FRUTAS CRISTALIZADAS, BALAS E SEMELHANTES</t>
  </si>
  <si>
    <t>FABRICAÇÃO DE MASSAS ALIMENTÍCIAS</t>
  </si>
  <si>
    <t>FABRICAÇÃO DE ESPECIARIAS, MOLHOS, TEMPEROS E CONDIMENTOS</t>
  </si>
  <si>
    <t>FABRICAÇÃO DE ALIMENTOS E PRATOS PRONTOS</t>
  </si>
  <si>
    <t>FABRICAÇÃO DE VINAGRES</t>
  </si>
  <si>
    <t>FABRICAÇÃO DE PÓS ALIMENTÍCIOS</t>
  </si>
  <si>
    <t>FABRICAÇÃO DE FERMENTOS E LEVEDURAS</t>
  </si>
  <si>
    <t>FABRICAÇÃO DE GELO COMUM</t>
  </si>
  <si>
    <t>FABRICAÇÃO DE PRODUTOS PARA INFUSÃO (CHÁ, MATE, ETC.)</t>
  </si>
  <si>
    <t>FABRICAÇÃO DE ADOÇANTES NATURAIS E ARTIFICIAIS</t>
  </si>
  <si>
    <t>FABRICAÇÃO DE OUTROS PRODUTOS ALIMENTÍCIOS NÃO ESPECIFICADOS ANTERIORMENTE</t>
  </si>
  <si>
    <t>FABRICAÇÃO DE AGUARDENTE DE CANA-DE-AÇÚCAR</t>
  </si>
  <si>
    <t>FABRICAÇÃO DE OUTRAS AGUARDENTES E BEBIDAS DESTILADAS</t>
  </si>
  <si>
    <t>FABRICAÇÃO DE VINHO</t>
  </si>
  <si>
    <t>FABRICAÇÃO DE MALTE, INCLUSIVE MALTE UÍSQUE</t>
  </si>
  <si>
    <t>FABRICAÇÃO DE CERVEJAS E CHOPES</t>
  </si>
  <si>
    <t>FABRICAÇÃO DE ÁGUAS ENVASADAS</t>
  </si>
  <si>
    <t>FABRICAÇÃO DE REFRIGERANTES</t>
  </si>
  <si>
    <t>FABRICAÇÃO DE CHÁ MATE E OUTROS CHÁS PRONTOS PARA CONSUMO</t>
  </si>
  <si>
    <t>FABRICAÇÃO DE REFRESCOS, XAROPES E PÓS PARA REFRESCOS, EXCETO REFRESCOS DE FRUTAS</t>
  </si>
  <si>
    <t>FABRICAÇÃO DE OUTRAS BEBIDAS NÃO-ALCOÓLICAS NÃO ESPECIFICADAS ANTERIORMENTE</t>
  </si>
  <si>
    <t>PROCESSAMENTO INDUSTRIAL DO FUMO</t>
  </si>
  <si>
    <t>FABRICAÇÃO DE CIGARROS</t>
  </si>
  <si>
    <t>FABRICAÇÃO DE CIGARRILHAS E CHARUTOS</t>
  </si>
  <si>
    <t>FABRICAÇÃO DE FILTROS PARA CIGARROS</t>
  </si>
  <si>
    <t>FABRICAÇÃO DE OUTROS PRODUTOS DO FUMO, EXCETO CIGARROS, CIGARRILHAS E CHARUTOS</t>
  </si>
  <si>
    <t>PREPARAÇÃO E FIAÇÃO DE FIBRAS DE ALGODÃO</t>
  </si>
  <si>
    <t>PREPARAÇÃO E FIAÇÃO DE FIBRAS TÊXTEIS NATURAIS, EXCETO ALGODÃO</t>
  </si>
  <si>
    <t>FIAÇÃO DE FIBRAS ARTIFICIAIS E SINTÉTICAS</t>
  </si>
  <si>
    <t>FABRICAÇÃO DE LINHAS PARA COSTURAR E BORDAR</t>
  </si>
  <si>
    <t>TECELAGEM DE FIOS DE ALGODÃO</t>
  </si>
  <si>
    <t>TECELAGEM DE FIOS DE FIBRAS TÊXTEIS NATURAIS, EXCETO ALGODÃO</t>
  </si>
  <si>
    <t>TECELAGEM DE FIOS DE FIBRAS ARTIFICIAIS E SINTÉTICAS</t>
  </si>
  <si>
    <t>FABRICAÇÃO DE TECIDOS DE MALHA</t>
  </si>
  <si>
    <t>ESTAMPARIA E TEXTURIZAÇÃO EM FIOS, TECIDOS, ARTEFATOS TÊXTEIS E PEÇAS DO VESTUÁRIO</t>
  </si>
  <si>
    <t>ALVEJAMENTO, TINGIMENTO E TORÇÃO EM FIOS, TECIDOS, ARTEFATOS TÊXTEIS E PEÇAS DO VESTUÁRIO</t>
  </si>
  <si>
    <t>OUTROS SERVIÇOS DE ACABAMENTO EM FIOS, TECIDOS, ARTEFATOS TÊXTEIS E PEÇAS DO VESTUÁRIO</t>
  </si>
  <si>
    <t>FABRICAÇÃO DE ARTEFATOS TÊXTEIS PARA USO DOMÉSTICO</t>
  </si>
  <si>
    <t>FABRICAÇÃO DE ARTEFATOS DE TAPEÇARIA</t>
  </si>
  <si>
    <t>FABRICAÇÃO DE ARTEFATOS DE CORDOARIA</t>
  </si>
  <si>
    <t>FABRICAÇÃO DE TECIDOS ESPECIAIS, INCLUSIVE ARTEFATOS</t>
  </si>
  <si>
    <t>FABRICAÇÃO DE OUTROS PRODUTOS TÊXTEIS NÃO ESPECIFICADOS ANTERIORMENTE</t>
  </si>
  <si>
    <t>CONFECÇÃO DE ROUPAS ÍNTIMAS</t>
  </si>
  <si>
    <t>FACÇÃO DE ROUPAS ÍNTIMAS</t>
  </si>
  <si>
    <t>CONFECÇÃO DE PEÇAS DE VESTUÁRIO, EXCETO ROUPAS ÍNTIMAS E AS CONFECCIONADAS SOB MEDIDA</t>
  </si>
  <si>
    <t>CONFECÇÃO, SOB MEDIDA, DE PEÇAS DO VESTUÁRIO, EXCETO ROUPAS ÍNTIMAS</t>
  </si>
  <si>
    <t>FACÇÃO DE PEÇAS DO VESTUÁRIO, EXCETO ROUPAS ÍNTIMAS</t>
  </si>
  <si>
    <t>CONFECÇÃO DE ROUPAS PROFISSIONAIS, EXCETO SOB MEDIDA</t>
  </si>
  <si>
    <t>CONFECÇÃO, SOB MEDIDA, DE ROUPAS PROFISSIONAIS</t>
  </si>
  <si>
    <t>FACÇÃO DE ROUPAS PROFISSIONAIS</t>
  </si>
  <si>
    <t>FABRICAÇÃO DE ACESSÓRIOS DO VESTUÁRIO, EXCETO PARA SEGURANÇA E PROTEÇÃO</t>
  </si>
  <si>
    <t>FABRICAÇÃO DE MEIAS</t>
  </si>
  <si>
    <t>FABRICAÇÃO DE ARTIGOS DO VESTUÁRIO, PRODUZIDOS EM MALHARIAS E TRICOTAGENS, EXCETO MEIAS</t>
  </si>
  <si>
    <t>CURTIMENTO E OUTRAS PREPARAÇÕES DE COURO</t>
  </si>
  <si>
    <t>FABRICAÇÃO DE ARTIGOS PARA VIAGEM, BOLSAS E SEMELHANTES DE QUALQUER MATERIAL</t>
  </si>
  <si>
    <t>FABRICAÇÃO DE ARTEFATOS DE COURO NÃO ESPECIFICADOS ANTERIORMENTE</t>
  </si>
  <si>
    <t>FABRICAÇÃO DE CALÇADOS DE COURO</t>
  </si>
  <si>
    <t>ACABAMENTO DE CALÇADOS DE COURO SOB CONTRATO</t>
  </si>
  <si>
    <t>FABRICAÇÃO DE TÊNIS DE QUALQUER MATERIAL</t>
  </si>
  <si>
    <t>FABRICAÇÃO DE CALÇADOS DE MATERIAL SINTÉTICO</t>
  </si>
  <si>
    <t>FABRICAÇÃO DE CALÇADOS DE MATERIAIS NÃO ESPECIFICADOS ANTERIORMENTE</t>
  </si>
  <si>
    <t>FABRICAÇÃO DE PARTES PARA CALÇADOS, DE QUALQUER MATERIAL</t>
  </si>
  <si>
    <t>SERRARIAS COM DESDOBRAMENTO DE MADEIRA</t>
  </si>
  <si>
    <t>SERRARIAS SEM DESDOBRAMENTO DE MADEIRA</t>
  </si>
  <si>
    <t>FABRICAÇÃO DE MADEIRA LAMINADA E DE CHAPAS DE MADEIRA COMPENSADA, PRENSADA E AGLOMERADA</t>
  </si>
  <si>
    <t>FABRICAÇÃO DE CASAS DE MADEIRA PRÉ-FABRICADAS</t>
  </si>
  <si>
    <t>FABRICAÇÃO DE OUTROS ARTIGOS DE CARPINTARIA PARA CONSTRUÇÃO</t>
  </si>
  <si>
    <t>FABRICAÇÃO DE ARTEFATOS DE TANOARIA E DE EMBALAGENS DE MADEIRA</t>
  </si>
  <si>
    <t>FABRICAÇÃO DE ARTEFATOS DIVERSOS DE MADEIRA, EXCETO MÓVEIS</t>
  </si>
  <si>
    <t>FABRICAÇÃO DE ARTEFATOS DIVERSOS DE CORTIÇA, BAMBU, PALHA, VIME E OUTROS MATERIAIS TRANÇADOS, EXCETO</t>
  </si>
  <si>
    <t>FABRICAÇÃO DE CELULOSE E OUTRAS PASTAS PARA A FABRICAÇÃO DE PAPEL</t>
  </si>
  <si>
    <t>FABRICAÇÃO DE PAPEL</t>
  </si>
  <si>
    <t>FABRICAÇÃO DE CARTOLINA E PAPEL-CARTÃO</t>
  </si>
  <si>
    <t>FABRICAÇÃO DE EMBALAGENS DE PAPEL</t>
  </si>
  <si>
    <t>FABRICAÇÃO DE EMBALAGENS DE CARTOLINA E PAPEL-CARTÃO</t>
  </si>
  <si>
    <t>FABRICAÇÃO DE CHAPAS E DE EMBALAGENS DE PAPELÃO ONDULADO</t>
  </si>
  <si>
    <t>FABRICAÇÃO DE FORMULÁRIOS CONTÍNUOS</t>
  </si>
  <si>
    <t>FABRICAÇÃO DE PRODUTOS DE PAPEL, CARTOLINA, PAPEL-CARTÃO E PAPELÃO ONDULADO PARA USO INDUSTRIAL, COM</t>
  </si>
  <si>
    <t>FABRICAÇÃO DE FRALDAS DESCARTÁVEIS</t>
  </si>
  <si>
    <t>FABRICAÇÃO DE ABSORVENTES HIGIÊNICOS</t>
  </si>
  <si>
    <t>FABRICAÇÃO DE PRODUTOS DE PAPEL PARA USO DOMÉSTICO E HIGIÊNICO-SANITÁRIO NÃO ESPECIFICADOS ANTERIORM</t>
  </si>
  <si>
    <t>IMPRESSÃO DE JORNAIS</t>
  </si>
  <si>
    <t>IMPRESSÃO DE LIVROS, REVISTAS E OUTRAS PUBLICAÇÕES PERIÓDICAS</t>
  </si>
  <si>
    <t>IMPRESSÃO DE MATERIAL DE SEGURANÇA</t>
  </si>
  <si>
    <t>IMPRESSÃO DE MATERIAL PARA USO PUBLICITÁRIO</t>
  </si>
  <si>
    <t>IMPRESSÃO DE MATERIAL PARA OUTROS USOS</t>
  </si>
  <si>
    <t>SERVIÇOS DE PRÉ-IMPRESSÃO</t>
  </si>
  <si>
    <t>SERVIÇOS DE ACABAMENTOS GRÁFICOS</t>
  </si>
  <si>
    <t>REPRODUÇÃO DE SOM EM QUALQUER SUPORTE</t>
  </si>
  <si>
    <t>REPRODUÇÃO DE VÍDEO EM QUALQUER SUPORTE</t>
  </si>
  <si>
    <t>REPRODUÇÃO DE SOFTWARE EM QUALQUER SUPORTE</t>
  </si>
  <si>
    <t>COQUERIAS</t>
  </si>
  <si>
    <t>FABRICAÇÃO DE PRODUTOS DO REFINO DE PETRÓLEO</t>
  </si>
  <si>
    <t>FORMULAÇÃO DE COMBUSTÍVEIS</t>
  </si>
  <si>
    <t>RERREFINO DE ÓLEOS LUBRIFICANTES</t>
  </si>
  <si>
    <t>FABRICAÇÃO DE OUTROS PRODUTOS DERIVADOS DO PETRÓLEO, EXCETO PRODUTOS DO REFINO</t>
  </si>
  <si>
    <t>FABRICAÇÃO DE ÁLCOOL</t>
  </si>
  <si>
    <t>FABRICAÇÃO DE BIOCOMBUSTÍVEIS, EXCETO ÁLCOOL</t>
  </si>
  <si>
    <t>FABRICAÇÃO DE CLORO E ÁLCALIS</t>
  </si>
  <si>
    <t>FABRICAÇÃO DE INTERMEDIÁRIOS PARA FERTILIZANTES</t>
  </si>
  <si>
    <t>FABRICAÇÃO DE ADUBOS E FERTILIZANTES</t>
  </si>
  <si>
    <t>FABRICAÇÃO DE GASES INDUSTRIAIS</t>
  </si>
  <si>
    <t>ELABORAÇÃO DE COMBUSTÍVEIS NUCLEARES</t>
  </si>
  <si>
    <t>FABRICAÇÃO DE OUTROS PRODUTOS QUÍMICOS INORGÂNICOS NÃO ESPECIFICADOS ANTERIORMENTE</t>
  </si>
  <si>
    <t>FABRICAÇÃO DE PRODUTOS PETROQUÍMICOS BÁSICOS</t>
  </si>
  <si>
    <t>FABRICAÇÃO DE INTERMEDIÁRIOS PARA PLASTIFICANTES, RESINAS E FIBRAS</t>
  </si>
  <si>
    <t>FABRICAÇÃO DE PRODUTOS QUÍMICOS ORGÂNICOS NÃO ESPECIFICADOS ANTERIORMENTE</t>
  </si>
  <si>
    <t>FABRICAÇÃO DE RESINAS TERMOPLÁSTICAS</t>
  </si>
  <si>
    <t>FABRICAÇÃO DE RESINAS TERMOFIXAS</t>
  </si>
  <si>
    <t>FABRICAÇÃO DE ELASTÔMEROS</t>
  </si>
  <si>
    <t>FABRICAÇÃO DE FIBRAS ARTIFICIAIS E SINTÉTICAS</t>
  </si>
  <si>
    <t>FABRICAÇÃO DE DEFENSIVOS AGRÍCOLAS</t>
  </si>
  <si>
    <t>FABRICAÇÃO DE DESINFESTANTES DOMISSANITÁRIOS</t>
  </si>
  <si>
    <t>FABRICAÇÃO DE SABÕES E DETERGENTES SINTÉTICOS</t>
  </si>
  <si>
    <t>FABRICAÇÃO DE PRODUTOS DE LIMPEZA E POLIMENTO</t>
  </si>
  <si>
    <t>FABRICAÇÃO DE COSMÉTICOS, PRODUTOS DE PERFUMARIA E DE HIGIENE PESSOAL</t>
  </si>
  <si>
    <t>FABRICAÇÃO DE TINTAS, VERNIZES, ESMALTES E LACAS</t>
  </si>
  <si>
    <t>FABRICAÇÃO DE TINTAS DE IMPRESSÃO</t>
  </si>
  <si>
    <t>FABRICAÇÃO DE IMPERMEABILIZANTES, SOLVENTES E PRODUTOS AFINS</t>
  </si>
  <si>
    <t>FABRICAÇÃO DE ADESIVOS E SELANTES</t>
  </si>
  <si>
    <t>FABRICAÇÃO DE PÓLVORAS, EXPLOSIVOS E DETONANTES</t>
  </si>
  <si>
    <t>FABRICAÇÃO DE ARTIGOS PIROTÉCNICOS</t>
  </si>
  <si>
    <t>FABRICAÇÃO DE FÓSFOROS DE SEGURANÇA</t>
  </si>
  <si>
    <t>FABRICAÇÃO DE ADITIVOS DE USO INDUSTRIAL</t>
  </si>
  <si>
    <t>FABRICAÇÃO DE CATALISADORES</t>
  </si>
  <si>
    <t>FABRICAÇÃO DE CHAPAS, FILMES, PAPÉIS E OUTROS MATERIAIS E PRODUTOS QUÍMICOS PARA FOTOGRAFIA</t>
  </si>
  <si>
    <t>FABRICAÇÃO DE OUTROS PRODUTOS QUÍMICOS NÃO ESPECIFICADOS ANTERIORMENTE</t>
  </si>
  <si>
    <t>FABRICAÇÃO DE PRODUTOS FARMOQUÍMICOS</t>
  </si>
  <si>
    <t>FABRICAÇÃO DE MEDICAMENTOS ALOPÁTICOS PARA USO HUMANO</t>
  </si>
  <si>
    <t>FABRICAÇÃO DE MEDICAMENTOS HOMEOPÁTICOS PARA USO HUMANO</t>
  </si>
  <si>
    <t>FABRICAÇÃO DE MEDICAMENTOS FITOTERÁPICOS PARA USO HUMANO</t>
  </si>
  <si>
    <t>FABRICAÇÃO DE MEDICAMENTOS PARA USO VETERINÁRIO</t>
  </si>
  <si>
    <t>FABRICAÇÃO DE PREPARAÇÕES FARMACÊUTICAS</t>
  </si>
  <si>
    <t>FABRICAÇÃO DE PNEUMÁTICOS E DE CÂMARAS-DE-AR</t>
  </si>
  <si>
    <t>REFORMA DE PNEUMÁTICOS USADOS</t>
  </si>
  <si>
    <t>FABRICAÇÃO DE ARTEFATOS DE BORRACHA NÃO ESPECIFICADOS ANTERIORMENTE</t>
  </si>
  <si>
    <t>FABRICAÇÃO DE LAMINADOS PLANOS E TUBULARES DE MATERIAL PLÁSTICO</t>
  </si>
  <si>
    <t>FABRICAÇÃO DE EMBALAGENS DE MATERIAL PLÁSTICO</t>
  </si>
  <si>
    <t>FABRICAÇÃO DE TUBOS E ACESSÓRIOS DE MATERIAL PLÁSTICO PARA USO NA CONSTRUÇÃO</t>
  </si>
  <si>
    <t>FABRICAÇÃO DE ARTEFATOS DE MATERIAL PLÁSTICO PARA USO PESSOAL E DOMÉSTICO</t>
  </si>
  <si>
    <t>FABRICAÇÃO DE ARTEFATOS DE MATERIAL PLÁSTICO PARA USOS INDUSTRIAIS</t>
  </si>
  <si>
    <t>FABRICAÇÃO DE ARTEFATOS DE MATERIAL PLÁSTICO PARA USO NA CONSTRUÇÃO, EXCETO TUBOS E ACESSÓRIOS</t>
  </si>
  <si>
    <t>FABRICAÇÃO DE ARTEFATOS DE MATERIAL PLÁSTICO PARA OUTROS USOS NÃO ESPECIFICADOS ANTERIORMENTE</t>
  </si>
  <si>
    <t>FABRICAÇÃO DE VIDRO PLANO E DE SEGURANÇA</t>
  </si>
  <si>
    <t>FABRICAÇÃO DE EMBALAGENS DE VIDRO</t>
  </si>
  <si>
    <t>FABRICAÇÃO DE ARTIGOS DE VIDRO</t>
  </si>
  <si>
    <t>FABRICAÇÃO DE CIMENTO</t>
  </si>
  <si>
    <t>FABRICAÇÃO DE ESTRUTURAS PRÉ-MOLDADAS DE CONCRETO ARMADO, EM SÉRIE E SOB ENCOMENDA</t>
  </si>
  <si>
    <t>FABRICAÇÃO DE ARTEFATOS DE CIMENTO PARA USO NA CONSTRUÇÃO</t>
  </si>
  <si>
    <t>FABRICAÇÃO DE ARTEFATOS DE FIBROCIMENTO PARA USO NA CONSTRUÇÃO</t>
  </si>
  <si>
    <t>FABRICAÇÃO DE CASAS PRÉ-MOLDADAS DE CONCRETO</t>
  </si>
  <si>
    <t>PREPARAÇÃO DE MASSA DE CONCRETO E ARGAMASSA PARA CONSTRUÇÃO</t>
  </si>
  <si>
    <t>FABRICAÇÃO DE OUTROS ARTEFATOS E PRODUTOS DE CONCRETO, CIMENTO, FIBROCIMENTO, GESSO E MATERIAIS SEME</t>
  </si>
  <si>
    <t>FABRICAÇÃO DE PRODUTOS CERÂMICOS REFRATÁRIOS</t>
  </si>
  <si>
    <t>FABRICAÇÃO DE AZULEJOS E PISOS</t>
  </si>
  <si>
    <t>FABRICAÇÃO DE MATERIAL SANITÁRIO DE CERÂMICA</t>
  </si>
  <si>
    <t>FABRICAÇÃO DE PRODUTOS CERÂMICOS NÃO-REFRATÁRIOS NÃO ESPECIFICADOS ANTERIORMENTE</t>
  </si>
  <si>
    <t>BRITAMENTO DE PEDRAS, EXCETO ASSOCIADO À EXTRAÇÃO</t>
  </si>
  <si>
    <t>APARELHAMENTO DE PEDRAS PARA CONSTRUÇÃO, EXCETO ASSOCIADO À EXTRAÇÃO</t>
  </si>
  <si>
    <t>APARELHAMENTO DE PLACAS E EXECUÇÃO DE TRABALHOS EM MÁRMORE, GRANITO, ARDÓSIA E OUTRAS PEDRAS</t>
  </si>
  <si>
    <t>FABRICAÇÃO DE CAL E GESSO</t>
  </si>
  <si>
    <t>FABRICAÇÃO DE OUTROS PRODUTOS DE MINERAIS NÃO-METÁLICOS NÃO ESPECIFICADOS ANTERIORMENTE</t>
  </si>
  <si>
    <t>PRODUÇÃO DE FERRO-GUSA</t>
  </si>
  <si>
    <t>PRODUÇÃO DE FERROLIGAS</t>
  </si>
  <si>
    <t>PRODUÇÃO DE SEMI-ACABADOS DE AÇO</t>
  </si>
  <si>
    <t>PRODUÇÃO DE LAMINADOS PLANOS DE AÇO AO CARBONO, REVESTIDOS OU NÃO</t>
  </si>
  <si>
    <t>PRODUÇÃO DE LAMINADOS PLANOS DE AÇOS ESPECIAIS</t>
  </si>
  <si>
    <t>PRODUÇÃO DE TUBOS DE AÇO SEM COSTURA</t>
  </si>
  <si>
    <t>PRODUÇÃO DE LAMINADOS LONGOS DE AÇO, EXCETO TUBOS</t>
  </si>
  <si>
    <t>PRODUÇÃO DE ARAMES DE AÇO</t>
  </si>
  <si>
    <t>PRODUÇÃO DE RELAMINADOS, TREFILADOS E PERFILADOS DE AÇO, EXCETO ARAMES</t>
  </si>
  <si>
    <t>PRODUÇÃO DE TUBOS DE AÇO COM COSTURA</t>
  </si>
  <si>
    <t>PRODUÇÃO DE OUTROS TUBOS DE FERRO E AÇO</t>
  </si>
  <si>
    <t>PRODUÇÃO DE ALUMÍNIO E SUAS LIGAS EM FORMAS PRIMÁRIAS</t>
  </si>
  <si>
    <t>PRODUÇÃO DE LAMINADOS DE ALUMÍNIO</t>
  </si>
  <si>
    <t>METALURGIA DOS METAIS PRECIOSOS</t>
  </si>
  <si>
    <t>METALURGIA DO COBRE</t>
  </si>
  <si>
    <t>PRODUÇÃO DE ZINCO EM FORMAS PRIMÁRIAS</t>
  </si>
  <si>
    <t>PRODUÇÃO DE LAMINADOS DE ZINCO</t>
  </si>
  <si>
    <t>PRODUÇÃO DE SOLDAS E ÂNODOS PARA GALVANOPLASTIA</t>
  </si>
  <si>
    <t>METALURGIA DE OUTROS METAIS NÃO-FERROSOS E SUAS LIGAS NÃO ESPECIFICADOS ANTERIORMENTE</t>
  </si>
  <si>
    <t>FUNDIÇÃO DE FERRO E AÇO</t>
  </si>
  <si>
    <t>FUNDIÇÃO DE METAIS NÃO-FERROSOS E SUAS LIGAS</t>
  </si>
  <si>
    <t>FABRICAÇÃO DE ESTRUTURAS METÁLICAS</t>
  </si>
  <si>
    <t>FABRICAÇÃO DE ESQUADRIAS DE METAL</t>
  </si>
  <si>
    <t>FABRICAÇÃO DE OBRAS DE CALDEIRARIA PESADA</t>
  </si>
  <si>
    <t>FABRICAÇÃO DE TANQUES, RESERVATÓRIOS METÁLICOS E CALDEIRAS PARA AQUECIMENTO CENTRAL</t>
  </si>
  <si>
    <t>FABRICAÇÃO DE CALDEIRAS GERADORAS DE VAPOR, EXCETO PARA AQUECIMENTO CENTRAL E PARA VEÍCULOS</t>
  </si>
  <si>
    <t>PRODUÇÃO DE FORJADOS DE AÇO</t>
  </si>
  <si>
    <t>PRODUÇÃO DE FORJADOS DE METAIS NÃO-FERROSOS E SUAS LIGAS</t>
  </si>
  <si>
    <t>PRODUÇÃO DE ARTEFATOS ESTAMPADOS DE METAL</t>
  </si>
  <si>
    <t>METALURGIA DO PÓ</t>
  </si>
  <si>
    <t>SERVIÇOS DE USINAGEM, SOLDA, TRATAMENTO E REVESTIMENTO EM METAIS</t>
  </si>
  <si>
    <t>FABRICAÇÃO DE ARTIGOS DE CUTELARIA</t>
  </si>
  <si>
    <t>FABRICAÇÃO DE ARTIGOS DE SERRALHERIA, EXCETO ESQUADRIAS</t>
  </si>
  <si>
    <t>FABRICAÇÃO DE FERRAMENTAS</t>
  </si>
  <si>
    <t>FABRICAÇÃO DE EQUIPAMENTO BÉLICO PESADO, EXCETO VEÍCULOS MILITARES DE COMBATE</t>
  </si>
  <si>
    <t>FABRICAÇÃO DE ARMAS DE FOGO E MUNIÇÕES</t>
  </si>
  <si>
    <t>FABRICAÇÃO DE EMBALAGENS METÁLICAS</t>
  </si>
  <si>
    <t>FABRICAÇÃO DE PRODUTOS DE TREFILADOS DE METAL PADRONIZADOS</t>
  </si>
  <si>
    <t>FABRICAÇÃO DE PRODUTOS DE TREFILADOS DE METAL, EXCETO PADRONIZADOS</t>
  </si>
  <si>
    <t>FABRICAÇÃO DE ARTIGOS DE METAL PARA USO DOMÉSTICO E PESSOAL</t>
  </si>
  <si>
    <t>SERVIÇOS DE CONFECÇÃO DE ARMAÇÕES METÁLICAS PARA A CONSTRUÇÃO</t>
  </si>
  <si>
    <t>FABRICAÇÃO DE OUTROS PRODUTOS DE METAL NÃO ESPECIFICADOS ANTERIORMENTE</t>
  </si>
  <si>
    <t>FABRICAÇÃO DE COMPONENTES ELETRÔNICOS</t>
  </si>
  <si>
    <t>FABRICAÇÃO DE EQUIPAMENTOS DE INFORMÁTICA</t>
  </si>
  <si>
    <t>FABRICAÇÃO DE PERIFÉRICOS PARA EQUIPAMENTOS DE INFORMÁTICA</t>
  </si>
  <si>
    <t>FABRICAÇÃO DE EQUIPAMENTOS TRANSMISSORES DE COMUNICAÇÃO, PEÇAS E ACESSÓRIOS</t>
  </si>
  <si>
    <t>FABRICAÇÃO DE APARELHOS TELEFÔNICOS E DE OUTROS EQUIPAMENTOS DE COMUNICAÇÃO, PEÇAS E ACESSÓRIOS</t>
  </si>
  <si>
    <t>FABRICAÇÃO DE APARELHOS DE RECEPÇÃO, REPRODUÇÃO, GRAVAÇÃO E AMPLIFICAÇÃO DE ÁUDIO E VÍDEO</t>
  </si>
  <si>
    <t>FABRICAÇÃO DE APARELHOS E EQUIPAMENTOS DE MEDIDA, TESTE E CONTROLE</t>
  </si>
  <si>
    <t>FABRICAÇÃO DE CRONÔMETROS E RELÓGIOS</t>
  </si>
  <si>
    <t>FABRICAÇÃO DE APARELHOS ELETROMÉDICOS E ELETROTERAPÊUTICOS E EQUIPAMENTOS DE IRRADIAÇÃO</t>
  </si>
  <si>
    <t>FABRICAÇÃO DE EQUIPAMENTOS E INSTRUMENTOS ÓPTICOS, PEÇAS E ACESSÓRIOS</t>
  </si>
  <si>
    <t>FABRICAÇÃO DE APARELHOS FOTOGRÁFICOS E CINEMATOGRÁFICOS, PEÇAS E ACESSÓRIOS</t>
  </si>
  <si>
    <t>FABRICAÇÃO DE MÍDIAS VIRGENS, MAGNÉTICAS E ÓPTICAS</t>
  </si>
  <si>
    <t>FABRICAÇÃO DE GERADORES DE CORRENTE CONTÍNUA E ALTERNADA, PEÇAS E ACESSÓRIOS</t>
  </si>
  <si>
    <t>FABRICAÇÃO DE TRANSFORMADORES, INDUTORES, CONVERSORES, SINCRONIZADORES E SEMELHANTES, PEÇAS E ACESSÓ</t>
  </si>
  <si>
    <t>FABRICAÇÃO DE MOTORES ELÉTRICOS, PEÇAS E ACESSÓRIOS</t>
  </si>
  <si>
    <t>FABRICAÇÃO DE PILHAS, BATERIAS E ACUMULADORES ELÉTRICOS, EXCETO PARA VEÍCULOS AUTOMOTORES</t>
  </si>
  <si>
    <t>FABRICAÇÃO DE BATERIAS E ACUMULADORES PARA VEÍCULOS AUTOMOTORES</t>
  </si>
  <si>
    <t>RECONDICIONAMENTO DE BATERIAS E ACUMULADORES PARA VEÍCULOS AUTOMOTORES</t>
  </si>
  <si>
    <t>FABRICAÇÃO DE APARELHOS E EQUIPAMENTOS PARA DISTRIBUIÇÃO E CONTROLE DE ENERGIA ELÉTRICA</t>
  </si>
  <si>
    <t>FABRICAÇÃO DE MATERIAL ELÉTRICO PARA INSTALAÇÕES EM CIRCUITO DE CONSUMO</t>
  </si>
  <si>
    <t>FABRICAÇÃO DE FIOS, CABOS E CONDUTORES ELÉTRICOS ISOLADOS</t>
  </si>
  <si>
    <t>FABRICAÇÃO DE LÂMPADAS</t>
  </si>
  <si>
    <t>FABRICAÇÃO DE LUMINÁRIAS E OUTROS EQUIPAMENTOS DE ILUMINAÇÃO</t>
  </si>
  <si>
    <t>FABRICAÇÃO DE FOGÕES, REFRIGERADORES E MÁQUINAS DE LAVAR E SECAR PARA USO DOMÉSTICO, PEÇAS E ACESSÓR</t>
  </si>
  <si>
    <t>FABRICAÇÃO DE APARELHOS ELÉTRICOS DE USO PESSOAL, PEÇAS E ACESSÓRIOS</t>
  </si>
  <si>
    <t>FABRICAÇÃO DE ELETRODOS, CONTATOS E OUTROS ARTIGOS DE CARVÃO E GRAFITA PARA USO ELÉTRICO, ELETROÍMÃS</t>
  </si>
  <si>
    <t>FABRICAÇÃO DE EQUIPAMENTOS PARA SINALIZAÇÃO E ALARME</t>
  </si>
  <si>
    <t>FABRICAÇÃO DE OUTROS EQUIPAMENTOS E APARELHOS ELÉTRICOS NÃO ESPECIFICADOS ANTERIORMENTE</t>
  </si>
  <si>
    <t>FABRICAÇÃO DE MOTORES E TURBINAS, PEÇAS E ACESSÓRIOS, EXCETO PARA AVIÕES E VEÍCULOS RODOVIÁRIOS</t>
  </si>
  <si>
    <t>FABRICAÇÃO DE EQUIPAMENTOS HIDRÁULICOS E PNEUMÁTICOS, PEÇAS E ACESSÓRIOS, EXCETO VÁLVULAS</t>
  </si>
  <si>
    <t>FABRICAÇÃO DE VÁLVULAS, REGISTROS E DISPOSITIVOS SEMELHANTES, PEÇAS E ACESSÓRIOS</t>
  </si>
  <si>
    <t>FABRICAÇÃO DE COMPRESSORES PARA USO INDUSTRIAL, PEÇAS E ACESSÓRIOS</t>
  </si>
  <si>
    <t>FABRICAÇÃO DE COMPRESSORES PARA USO NÃO INDUSTRIAL, PEÇAS E ACESSÓRIOS</t>
  </si>
  <si>
    <t>FABRICAÇÃO DE ROLAMENTOS PARA FINS INDUSTRIAIS</t>
  </si>
  <si>
    <t>FABRICAÇÃO DE EQUIPAMENTOS DE TRANSMISSÃO PARA FINS INDUSTRIAIS, EXCETO ROLAMENTOS</t>
  </si>
  <si>
    <t>FABRICAÇÃO DE ESTUFAS E FORNOS ELÉTRICOS PARA FINS INDUSTRIAIS, PEÇAS E ACESSÓRIOS</t>
  </si>
  <si>
    <t>FABRICAÇÃO DE MÁQUINAS, EQUIPAMENTOS E APARELHOS PARA TRANSPORTE E ELEVAÇÃO DE PESSOAS, PEÇAS E ACES</t>
  </si>
  <si>
    <t>FABRICAÇÃO DE MÁQUINAS, EQUIPAMENTOS E APARELHOS PARA TRANSPORTE E ELEVAÇÃO DE CARGAS, PEÇAS E ACESS</t>
  </si>
  <si>
    <t>FABRICAÇÃO DE MÁQUINAS E APARELHOS DE REFRIGERAÇÃO E VENTILAÇÃO PARA USO INDUSTRIAL E COMERCIAL, PEÇ</t>
  </si>
  <si>
    <t>FABRICAÇÃO DE APARELHOS E EQUIPAMENTOS DE AR CONDICIONADO PARA USO INDUSTRIAL</t>
  </si>
  <si>
    <t>FABRICAÇÃO DE APARELHOS E EQUIPAMENTOS DE AR CONDICIONADO PARA USO NÃO-INDUSTRIAL</t>
  </si>
  <si>
    <t>FABRICAÇÃO DE MÁQUINAS E EQUIPAMENTOS PARA SANEAMENTO BÁSICO E AMBIENTAL, PEÇAS E ACESSÓRIOS</t>
  </si>
  <si>
    <t>FABRICAÇÃO DE OUTRAS MÁQUINAS E EQUIPAMENTOS DE USO GERAL NÃO ESPECIFICADOS ANTERIORMENTE, PEÇAS E A</t>
  </si>
  <si>
    <t>FABRICAÇÃO DE TRATORES AGRÍCOLAS, PEÇAS E ACESSÓRIOS</t>
  </si>
  <si>
    <t>FABRICAÇÃO DE EQUIPAMENTOS PARA IRRIGAÇÃO AGRÍCOLA, PEÇAS E ACESSÓRIOS</t>
  </si>
  <si>
    <t>FABRICAÇÃO DE MÁQUINAS E EQUIPAMENTOS PARA A AGRICULTURA E PECUÁRIA, PEÇAS E ACESSÓRIOS, EXCETO PARA</t>
  </si>
  <si>
    <t>FABRICAÇÃO DE MÁQUINAS-FERRAMENTA, PEÇAS E ACESSÓRIOS</t>
  </si>
  <si>
    <t>FABRICAÇÃO DE OUTRAS MÁQUINAS E EQUIPAMENTOS PARA USO NA EXTRAÇÃO MINERAL, PEÇAS E ACESSÓRIOS, EXCET</t>
  </si>
  <si>
    <t>FABRICAÇÃO DE TRATORES, PEÇAS E ACESSÓRIOS, EXCETO AGRÍCOLAS</t>
  </si>
  <si>
    <t>FABRICAÇÃO DE MÁQUINAS E EQUIPAMENTOS PARA TERRAPLENAGEM, PAVIMENTAÇÃO E CONSTRUÇÃO, PEÇAS E ACESSÓR</t>
  </si>
  <si>
    <t>FABRICAÇÃO DE MÁQUINAS E EQUIPAMENTOS PARA AS INDÚSTRIAS DE ALIMENTOS, BEBIDAS E FUMO, PEÇAS E ACESS</t>
  </si>
  <si>
    <t>FABRICAÇÃO DE MÁQUINAS E EQUIPAMENTOS PARA A INDÚSTRIA TÊXTIL, PEÇAS E ACESSÓRIOS</t>
  </si>
  <si>
    <t>FABRICAÇÃO DE MÁQUINAS E EQUIPAMENTOS PARA AS INDÚSTRIAS DO VESTUÁRIO, DO COURO E DE CALÇADOS, PEÇAS</t>
  </si>
  <si>
    <t>FABRICAÇÃO DE MÁQUINAS E EQUIPAMENTOS PARA AS INDÚSTRIAS DE CELULOSE, PAPEL E PAPELÃO E ARTEFATOS, P</t>
  </si>
  <si>
    <t>FABRICAÇÃO DE MÁQUINAS E EQUIPAMENTOS PARA A INDÚSTRIA DO PLÁSTICO, PEÇAS E ACESSÓRIOS</t>
  </si>
  <si>
    <t>FABRICAÇÃO DE MÁQUINAS E EQUIPAMENTOS PARA USO INDUSTRIAL ESPECÍFICO NÃO ESPECIFICADOS ANTERIORMENTE</t>
  </si>
  <si>
    <t>FABRICAÇÃO DE AUTOMÓVEIS, CAMIONETAS E UTILITÁRIOS</t>
  </si>
  <si>
    <t>FABRICAÇÃO DE CHASSIS COM MOTOR PARA AUTOMÓVEIS, CAMIONETAS E UTILITÁRIOS</t>
  </si>
  <si>
    <t>FABRICAÇÃO DE MOTORES PARA AUTOMÓVEIS, CAMIONETAS E UTILITÁRIOS</t>
  </si>
  <si>
    <t>FABRICAÇÃO DE CAMINHÕES E ÔNIBUS</t>
  </si>
  <si>
    <t>FABRICAÇÃO DE MOTORES PARA CAMINHÕES E ÔNIBUS</t>
  </si>
  <si>
    <t>FABRICAÇÃO DE CABINES, CARROCERIAS E REBOQUES PARA CAMINHÕES</t>
  </si>
  <si>
    <t>FABRICAÇÃO DE CARROCERIAS PARA ÔNIBUS</t>
  </si>
  <si>
    <t>FABRICAÇÃO DE CABINES, CARROCERIAS E REBOQUES PARA OUTROS VEÍCULOS AUTOMOTORES, EXCETO CAMINHÕES E Ô</t>
  </si>
  <si>
    <t>FABRICAÇÃO DE PEÇAS E ACESSÓRIOS PARA O SISTEMA MOTOR DE VEÍCULOS AUTOMOTORES</t>
  </si>
  <si>
    <t>FABRICAÇÃO DE PEÇAS E ACESSÓRIOS PARA OS SISTEMAS DE MARCHA E TRANSMISSÃO DE VEÍCULOS AUTOMOTORES</t>
  </si>
  <si>
    <t>FABRICAÇÃO DE PEÇAS E ACESSÓRIOS PARA O SISTEMA DE FREIOS DE VEÍCULOS AUTOMOTORES</t>
  </si>
  <si>
    <t>FABRICAÇÃO DE PEÇAS E ACESSÓRIOS PARA O SISTEMA DE DIREÇÃO E SUSPENSÃO DE VEÍCULOS AUTOMOTORES</t>
  </si>
  <si>
    <t>FABRICAÇÃO DE MATERIAL ELÉTRICO E ELETRÔNICO PARA VEÍCULOS AUTOMOTORES, EXCETO BATERIAS</t>
  </si>
  <si>
    <t>FABRICAÇÃO DE BANCOS E ESTOFADOS PARA VEÍCULOS AUTOMOTORES</t>
  </si>
  <si>
    <t>FABRICAÇÃO DE OUTRAS PEÇAS E ACESSÓRIOS PARA VEÍCULOS AUTOMOTORES NÃO ESPECIFICADAS ANTERIORMENTE</t>
  </si>
  <si>
    <t>RECONDICIONAMENTO E RECUPERAÇÃO DE MOTORES PARA VEÍCULOS AUTOMOTORES</t>
  </si>
  <si>
    <t>CONSTRUÇÃO DE EMBARCAÇÕES DE GRANDE PORTE</t>
  </si>
  <si>
    <t>CONSTRUÇÃO DE EMBARCAÇÕES PARA USO COMERCIAL E PARA USOS ESPECIAIS, EXCETO DE GRANDE PORTE</t>
  </si>
  <si>
    <t>CONSTRUÇÃO DE EMBARCAÇÕES PARA ESPORTE E LAZER</t>
  </si>
  <si>
    <t>MANUTENÇÃO E REPARAÇÃO DE EMBARCAÇÕES E ESTRUTURAS FLUTUANTES</t>
  </si>
  <si>
    <t>MANUTENÇÃO E REPARAÇÃO DE EMBARCAÇÕES PARA ESPORTE E LAZER</t>
  </si>
  <si>
    <t>FABRICAÇÃO DE LOCOMOTIVAS, VAGÕES E OUTROS MATERIAIS RODANTES</t>
  </si>
  <si>
    <t>FABRICAÇÃO DE PEÇAS E ACESSÓRIOS PARA VEÍCULOS FERROVIÁRIOS</t>
  </si>
  <si>
    <t>FABRICAÇÃO DE AERONAVES</t>
  </si>
  <si>
    <t>FABRICAÇÃO DE TURBINAS, MOTORES E OUTROS COMPONENTES E PEÇAS PARA AERONAVES</t>
  </si>
  <si>
    <t>FABRICAÇÃO DE VEÍCULOS MILITARES DE COMBATE</t>
  </si>
  <si>
    <t>FABRICAÇÃO DE MOTOCICLETAS, PEÇAS E ACESSÓRIOS</t>
  </si>
  <si>
    <t>FABRICAÇÃO DE BICICLETAS E TRICICLOS NÃO-MOTORIZADOS, PEÇAS E ACESSÓRIOS</t>
  </si>
  <si>
    <t>FABRICAÇÃO DE EQUIPAMENTOS DE TRANSPORTE NÃO ESPECIFICADOS ANTERIORMENTE</t>
  </si>
  <si>
    <t>FABRICAÇÃO DE MÓVEIS COM PREDOMINÂNCIA DE MADEIRA</t>
  </si>
  <si>
    <t>FABRICAÇÃO DE MÓVEIS COM PREDOMINÂNCIA DE METAL</t>
  </si>
  <si>
    <t>FABRICAÇÃO DE MÓVEIS DE OUTROS MATERIAIS, EXCETO MADEIRA E METAL</t>
  </si>
  <si>
    <t>FABRICAÇÃO DE COLCHÕES</t>
  </si>
  <si>
    <t>LAPIDAÇÃO DE GEMAS</t>
  </si>
  <si>
    <t>FABRICAÇÃO DE ARTEFATOS DE JOALHERIA E OURIVESARIA</t>
  </si>
  <si>
    <t>CUNHAGEM DE MOEDAS E MEDALHAS</t>
  </si>
  <si>
    <t>FABRICAÇÃO DE BIJUTERIAS E ARTEFATOS SEMELHANTES</t>
  </si>
  <si>
    <t>FABRICAÇÃO DE INSTRUMENTOS MUSICAIS, PEÇAS E ACESSÓRIOS</t>
  </si>
  <si>
    <t>FABRICAÇÃO DE ARTEFATOS PARA PESCA E ESPORTE</t>
  </si>
  <si>
    <t>FABRICAÇÃO DE JOGOS ELETRÔNICOS</t>
  </si>
  <si>
    <t>FABRICAÇÃO DE MESAS DE BILHAR, DE SINUCA E ACESSÓRIOS NÃO ASSOCIADA À LOCAÇÃO</t>
  </si>
  <si>
    <t>FABRICAÇÃO DE MESAS DE BILHAR, DE SINUCA E ACESSÓRIOS ASSOCIADA À LOCAÇÃO</t>
  </si>
  <si>
    <t>FABRICAÇÃO DE OUTROS BRINQUEDOS E JOGOS RECREATIVOS NÃO ESPECIFICADOS ANTERIORMENTE</t>
  </si>
  <si>
    <t>FABRICAÇÃO DE INSTRUMENTOS NÃO-ELETRÔNICOS E UTENSÍLIOS PARA USO MÉDICO, CIRÚRGICO, ODONTOLÓGICO E D</t>
  </si>
  <si>
    <t>FABRICAÇÃO DE MOBILIÁRIO PARA USO MÉDICO, CIRÚRGICO, ODONTOLÓGICO E DE LABORATÓRIO</t>
  </si>
  <si>
    <t>FABRICAÇÃO DE APARELHOS E UTENSÍLIOS PARA CORREÇÃO DE DEFEITOS FÍSICOS E APARELHOS ORTOPÉDICOS EM GE</t>
  </si>
  <si>
    <t>FABRICAÇÃO DE MATERIAIS PARA MEDICINA E ODONTOLOGIA</t>
  </si>
  <si>
    <t>SERVIÇOS DE PRÓTESE DENTÁRIA</t>
  </si>
  <si>
    <t>FABRICAÇÃO DE ARTIGOS ÓPTICOS</t>
  </si>
  <si>
    <t>FABRICAÇÃO DE ARTEFATOS DE TECIDO NÃO TECIDO PARA USO ODONTO-MÉDICO-HOSPITALAR</t>
  </si>
  <si>
    <t>FABRICAÇÃO DE ESCOVAS, PINCÉIS E VASSOURAS</t>
  </si>
  <si>
    <t>FABRICAÇÃO DE ROUPAS DE PROTEÇÃO E SEGURANÇA E RESISTENTES A FOGO</t>
  </si>
  <si>
    <t>FABRICAÇÃO DE EQUIPAMENTOS E ACESSÓRIOS PARA SEGURANÇA PESSOAL E PROFISSIONAL</t>
  </si>
  <si>
    <t>FABRICAÇÃO DE GUARDA-CHUVAS E SIMILARES</t>
  </si>
  <si>
    <t>FABRICAÇÃO DE CANETAS, LÁPIS E OUTROS ARTIGOS PARA ESCRITÓRIO</t>
  </si>
  <si>
    <t>FABRICAÇÃO DE LETRAS, LETREIROS E PLACAS DE QUALQUER MATERIAL, EXCETO LUMINOSOS</t>
  </si>
  <si>
    <t>FABRICAÇÃO DE PAINÉIS E LETREIROS LUMINOSOS</t>
  </si>
  <si>
    <t>FABRICAÇÃO DE AVIAMENTOS PARA COSTURA</t>
  </si>
  <si>
    <t>FABRICAÇÃO DE PRODUTOS DIVERSOS NÃO ESPECIFICADOS ANTERIORMENTE</t>
  </si>
  <si>
    <t>MANUTENÇÃO E REPARAÇÃO DE TANQUES, RESERVATÓRIOS METÁLICOS E CALDEIRAS, EXCETO PARA VEÍCULOS</t>
  </si>
  <si>
    <t>MANUTENÇÃO E REPARAÇÃO DE EQUIPAMENTOS TRANSMISSORES DE COMUNICAÇÃO</t>
  </si>
  <si>
    <t>MANUTENÇÃO E REPARAÇÃO DE APARELHOS E INSTRUMENTOS DE MEDIDA, TESTE E CONTROLE</t>
  </si>
  <si>
    <t>MANUTENÇÃO E REPARAÇÃO DE EQUIPAMENTOS E INSTRUMENTOS ÓPTICOS</t>
  </si>
  <si>
    <t>MANUTENÇÃO E REPARAÇÃO DE GERADORES, TRANSFORMADORES E MOTORES ELÉTRICOS</t>
  </si>
  <si>
    <t>MANUTENÇÃO E REPARAÇÃO DE BATERIAS E ACUMULADORES ELÉTRICOS, EXCETO PARA VEÍCULOS</t>
  </si>
  <si>
    <t>MANUTENÇÃO E REPARAÇÃO DE MÁQUINAS MOTRIZES NÃO-ELÉTRICAS</t>
  </si>
  <si>
    <t>MANUTENÇÃO E REPARAÇÃO DE EQUIPAMENTOS HIDRÁULICOS E PNEUMÁTICOS, EXCETO VÁLVULAS</t>
  </si>
  <si>
    <t>MANUTENÇÃO E REPARAÇÃO DE VÁLVULAS INDUSTRIAIS</t>
  </si>
  <si>
    <t>MANUTENÇÃO E REPARAÇÃO DE COMPRESSORES</t>
  </si>
  <si>
    <t>MANUTENÇÃO E REPARAÇÃO DE EQUIPAMENTOS DE TRANSMISSÃO PARA FINS INDUSTRIAIS</t>
  </si>
  <si>
    <t>MANUTENÇÃO E REPARAÇÃO DE MÁQUINAS, APARELHOS E EQUIPAMENTOS PARA INSTALAÇÕES TÉRMICAS</t>
  </si>
  <si>
    <t>MANUTENÇÃO E REPARAÇÃO DE MÁQUINAS E APARELHOS DE REFRIGERAÇÃO E VENTILAÇÃO PARA USO INDUSTRIAL E CO</t>
  </si>
  <si>
    <t>MANUTENÇÃO E REPARAÇÃO DE MÁQUINAS, EQUIPAMENTOS E APARELHOS PARA TRANSPORTE E ELEVAÇÃO DE CARGAS</t>
  </si>
  <si>
    <t>MANUTENÇÃO E REPARAÇÃO DE MÁQUINAS DE ESCREVER, CALCULAR E DE OUTROS EQUIPAMENTOS NÃO-ELETRÔNICOS PA</t>
  </si>
  <si>
    <t>MANUTENÇÃO E REPARAÇÃO DE MÁQUINAS E EQUIPAMENTOS PARA USO GERAL NÃO ESPECIFICADOS ANTERIORMENTE</t>
  </si>
  <si>
    <t>MANUTENÇÃO E REPARAÇÃO DE MÁQUINAS E EQUIPAMENTOS PARA AGRICULTURA E PECUÁRIA</t>
  </si>
  <si>
    <t>MANUTENÇÃO E REPARAÇÃO DE TRATORES AGRÍCOLAS</t>
  </si>
  <si>
    <t>MANUTENÇÃO E REPARAÇÃO DE MÁQUINAS-FERRAMENTA</t>
  </si>
  <si>
    <t>MANUTENÇÃO E REPARAÇÃO DE MÁQUINAS E EQUIPAMENTOS PARA A PROSPECÇÃO E EXTRAÇÃO DE PETRÓLEO</t>
  </si>
  <si>
    <t>MANUTENÇÃO E REPARAÇÃO DE MÁQUINAS E EQUIPAMENTOS PARA USO NA EXTRAÇÃO MINERAL, EXCETO NA EXTRAÇÃO D</t>
  </si>
  <si>
    <t>MANUTENÇÃO E REPARAÇÃO DE TRATORES, EXCETO AGRÍCOLAS</t>
  </si>
  <si>
    <t>MANUTENÇÃO E REPARAÇÃO DE MÁQUINAS E EQUIPAMENTOS DE TERRAPLENAGEM, PAVIMENTAÇÃO E CONSTRUÇÃO, EXCET</t>
  </si>
  <si>
    <t>MANUTENÇÃO E REPARAÇÃO DE MÁQUINAS PARA A INDÚSTRIA METALÚRGICA, EXCETO MÁQUINAS-FERRAMENTA</t>
  </si>
  <si>
    <t>MANUTENÇÃO E REPARAÇÃO DE MÁQUINAS E EQUIPAMENTOS PARA AS INDÚSTRIAS DE ALIMENTOS, BEBIDAS E FUMO</t>
  </si>
  <si>
    <t>MANUTENÇÃO E REPARAÇÃO DE MÁQUINAS E APARELHOS PARA A INDÚSTRIA DE CELULOSE, PAPEL E PAPELÃO E ARTEF</t>
  </si>
  <si>
    <t>MANUTENÇÃO E REPARAÇÃO DE MÁQUINAS E APARELHOS PARA A INDÚSTRIA DO PLÁSTICO</t>
  </si>
  <si>
    <t>MANUTENÇÃO E REPARAÇÃO DE OUTRAS MÁQUINAS E EQUIPAMENTOS PARA USOS INDUSTRIAIS NÃO ESPECIFICADOS ANT</t>
  </si>
  <si>
    <t>MANUTENÇÃO E REPARAÇÃO DE VEÍCULOS FERROVIÁRIOS</t>
  </si>
  <si>
    <t>MANUTENÇÃO E REPARAÇÃO DE AERONAVES, EXCETO A MANUTENÇÃO NA PISTA</t>
  </si>
  <si>
    <t>MANUTENÇÃO E LIMPEZA DE AERONAVES NA PISTA</t>
  </si>
  <si>
    <t>MANUTENÇÃO E REPARAÇÃO DE EQUIPAMENTOS E PRODUTOS NÃO ESPECIFICADOS ANTERIORMENTE</t>
  </si>
  <si>
    <t>INSTALAÇÃO DE MÁQUINAS E EQUIPAMENTOS INDUSTRIAIS</t>
  </si>
  <si>
    <t>SERVIÇOS DE MONTAGEM DE MÓVEIS DE QUALQUER MATERIAL</t>
  </si>
  <si>
    <t>INSTALAÇÃO DE OUTROS EQUIPAMENTOS NÃO ESPECIFICADOS ANTERIORMENTE</t>
  </si>
  <si>
    <t>GERAÇÃO DE ENERGIA ELÉTRICA</t>
  </si>
  <si>
    <t>TRANSMISSÃO DE ENERGIA ELÉTRICA</t>
  </si>
  <si>
    <t>COMÉRCIO ATACADISTA DE ENERGIA ELÉTRICA</t>
  </si>
  <si>
    <t>DISTRIBUIÇÃO DE ENERGIA ELÉTRICA</t>
  </si>
  <si>
    <t>PRODUÇÃO DE GÁS; PROCESSAMENTO DE GÁS NATURAL</t>
  </si>
  <si>
    <t>DISTRIBUIÇÃO DE COMBUSTÍVEIS GASOSOS POR REDES URBANAS</t>
  </si>
  <si>
    <t>PRODUÇÃO E DISTRIBUIÇÃO DE VAPOR, ÁGUA QUENTE E AR CONDICIONADO</t>
  </si>
  <si>
    <t>CAPTAÇÃO, TRATAMENTO E DISTRIBUIÇÃO DE ÁGUA</t>
  </si>
  <si>
    <t>DISTRIBUIÇÃO DE ÁGUA POR CAMINHÕES</t>
  </si>
  <si>
    <t>GESTÃO DE REDES DE ESGOTO</t>
  </si>
  <si>
    <t>ATIVIDADES RELACIONADAS A ESGOTO, EXCETO A GESTÃO DE REDES</t>
  </si>
  <si>
    <t>COLETA DE RESÍDUOS NÃO-PERIGOSOS</t>
  </si>
  <si>
    <t>COLETA DE RESÍDUOS PERIGOSOS</t>
  </si>
  <si>
    <t>TRATAMENTO E DISPOSIÇÃO DE RESÍDUOS NÃO-PERIGOSOS</t>
  </si>
  <si>
    <t>TRATAMENTO E DISPOSIÇÃO DE RESÍDUOS PERIGOSOS</t>
  </si>
  <si>
    <t>RECUPERAÇÃO DE SUCATAS DE ALUMÍNIO</t>
  </si>
  <si>
    <t>RECUPERAÇÃO DE MATERIAIS METÁLICOS, EXCETO ALUMÍNIO</t>
  </si>
  <si>
    <t>RECUPERAÇÃO DE MATERIAIS PLÁSTICOS</t>
  </si>
  <si>
    <t>USINAS DE COMPOSTAGEM</t>
  </si>
  <si>
    <t>RECUPERAÇÃO DE MATERIAIS NÃO ESPECIFICADOS ANTERIORMENTE</t>
  </si>
  <si>
    <t>DESCONTAMINAÇÃO E OUTROS SERVIÇOS DE GESTÃO DE RESÍDUOS</t>
  </si>
  <si>
    <t>INCORPORAÇÃO DE EMPREENDIMENTOS IMOBILIÁRIOS</t>
  </si>
  <si>
    <t>CONSTRUÇÃO DE EDIFÍCIOS</t>
  </si>
  <si>
    <t>CONSTRUÇÃO DE RODOVIAS E FERROVIAS</t>
  </si>
  <si>
    <t>PINTURA PARA SINALIZAÇÃO EM PISTAS RODOVIÁRIAS E AEROPORTOS</t>
  </si>
  <si>
    <t>CONSTRUÇÃO DE OBRAS DE ARTE ESPECIAIS</t>
  </si>
  <si>
    <t>OBRAS DE URBANIZAÇÃO - RUAS, PRAÇAS E CALÇADAS</t>
  </si>
  <si>
    <t>CONSTRUÇÃO DE BARRAGENS E REPRESAS PARA GERAÇÃO DE ENERGIA ELÉTRICA</t>
  </si>
  <si>
    <t>CONSTRUÇÃO DE ESTAÇÕES E REDES DE DISTRIBUIÇÃO DE ENERGIA ELÉTRICA</t>
  </si>
  <si>
    <t>MANUTENÇÃO DE REDES DE DISTRIBUIÇÃO DE ENERGIA ELÉTRICA</t>
  </si>
  <si>
    <t>CONSTRUÇÃO DE ESTAÇÕES E REDES DE TELECOMUNICAÇÕES</t>
  </si>
  <si>
    <t>MANUTENÇÃO DE ESTAÇÕES E REDES DE TELECOMUNICAÇÕES</t>
  </si>
  <si>
    <t>CONSTRUÇÃO DE REDES DE ABASTECIMENTO DE ÁGUA, COLETA DE ESGOTO E CONSTRUÇÕES CORRELATAS, EXCETO OBRA</t>
  </si>
  <si>
    <t>OBRAS DE IRRIGAÇÃO</t>
  </si>
  <si>
    <t>CONSTRUÇÃO DE REDES DE TRANSPORTES POR DUTOS, EXCETO PARA ÁGUA E ESGOTO</t>
  </si>
  <si>
    <t>OBRAS PORTUÁRIAS, MARÍTIMAS E FLUVIAIS</t>
  </si>
  <si>
    <t>MONTAGEM DE ESTRUTURAS METÁLICAS</t>
  </si>
  <si>
    <t>OBRAS DE MONTAGEM INDUSTRIAL</t>
  </si>
  <si>
    <t>CONSTRUÇÃO DE INSTALAÇÕES ESPORTIVAS E RECREATIVAS</t>
  </si>
  <si>
    <t>OUTRAS OBRAS DE ENGENHARIA CIVIL NÃO ESPECIFICADAS ANTERIORMENTE</t>
  </si>
  <si>
    <t>DEMOLIÇÃO DE EDIFÍCIOS E OUTRAS ESTRUTURAS</t>
  </si>
  <si>
    <t>PREPARAÇÃO DE CANTEIRO E LIMPEZA DE TERRENO</t>
  </si>
  <si>
    <t>PERFURAÇÕES E SONDAGENS</t>
  </si>
  <si>
    <t>OBRAS DE TERRAPLENAGEM</t>
  </si>
  <si>
    <t>SERVIÇOS DE PREPARAÇÃO DO TERRENO NÃO ESPECIFICADOS ANTERIORMENTE</t>
  </si>
  <si>
    <t>INSTALAÇÃO E MANUTENÇÃO ELÉTRICA</t>
  </si>
  <si>
    <t>INSTALAÇÕES HIDRÁULICAS, SANITÁRIAS E DE GÁS</t>
  </si>
  <si>
    <t>INSTALAÇÃO E MANUTENÇÃO DE SISTEMAS CENTRAIS DE AR CONDICIONADO, DE VENTILAÇÃO E REFRIGERAÇÃO</t>
  </si>
  <si>
    <t>INSTALAÇÕES DE SISTEMA DE PREVENÇÃO CONTRA INCÊNDIO</t>
  </si>
  <si>
    <t>INSTALAÇÃO DE PAINÉIS PUBLICITÁRIOS</t>
  </si>
  <si>
    <t>INSTALAÇÃO DE EQUIPAMENTOS PARA ORIENTAÇÃO À NAVEGAÇÃO MARÍTIMA FLUVIAL E LACUSTRE</t>
  </si>
  <si>
    <t>MONTAGEM E INSTALAÇÃO DE SISTEMAS E EQUIPAMENTOS DE ILUMINAÇÃO E SINALIZAÇÃO EM VIAS PÚBLICAS, PORTO</t>
  </si>
  <si>
    <t>TRATAMENTOS TÉRMICOS, ACÚSTICOS OU DE VIBRAÇÃO</t>
  </si>
  <si>
    <t>OUTRAS OBRAS DE INSTALAÇÕES EM CONSTRUÇÕES NÃO ESPECIFICADAS ANTERIORMENTE</t>
  </si>
  <si>
    <t>IMPERMEABILIZAÇÃO EM OBRAS DE ENGENHARIA CIVIL</t>
  </si>
  <si>
    <t>INSTALAÇÃO DE PORTAS, JANELAS, TETOS, DIVISÓRIAS E ARMÁRIOS EMBUTIDOS DE QUALQUER MATERIAL</t>
  </si>
  <si>
    <t>OBRAS DE ACABAMENTO EM GESSO E ESTUQUE</t>
  </si>
  <si>
    <t>SERVIÇOS DE PINTURA DE EDIFÍCIOS EM GERAL</t>
  </si>
  <si>
    <t>APLICAÇÃO DE REVESTIMENTOS E DE RESINAS EM INTERIORES E EXTERIORES</t>
  </si>
  <si>
    <t>OUTRAS OBRAS DE ACABAMENTO DA CONSTRUÇÃO</t>
  </si>
  <si>
    <t>OBRAS DE FUNDAÇÕES</t>
  </si>
  <si>
    <t>ADMINISTRAÇÃO DE OBRAS</t>
  </si>
  <si>
    <t>MONTAGEM E DESMONTAGEM DE ANDAIMES E OUTRAS ESTRUTURAS TEMPORÁRIAS</t>
  </si>
  <si>
    <t>OBRAS DE ALVENARIA</t>
  </si>
  <si>
    <t>SERVIÇOS DE OPERAÇÃO E FORNECIMENTO DE EQUIPAMENTOS PARA TRANSPORTE E ELEVAÇÃO DE CARGAS E PESSOAS P</t>
  </si>
  <si>
    <t>PERFURAÇÃO E CONSTRUÇÃO DE POÇOS DE ÁGUA</t>
  </si>
  <si>
    <t>SERVIÇOS ESPECIALIZADOS PARA CONSTRUÇÃO NÃO ESPECIFICADOS ANTERIORMENTE</t>
  </si>
  <si>
    <t>COMÉRCIO A VAREJO DE AUTOMÓVEIS, CAMIONETAS E UTILITÁRIOS NOVOS</t>
  </si>
  <si>
    <t>COMÉRCIO A VAREJO DE AUTOMÓVEIS, CAMIONETAS E UTILITÁRIOS USADOS</t>
  </si>
  <si>
    <t>COMÉRCIO POR ATACADO DE AUTOMÓVEIS, CAMIONETAS E UTILITÁRIOS NOVOS E USADOS</t>
  </si>
  <si>
    <t>COMÉRCIO POR ATACADO DE CAMINHÕES NOVOS E USADOS</t>
  </si>
  <si>
    <t>COMÉRCIO POR ATACADO DE REBOQUES E SEMI-REBOQUES NOVOS E USADOS</t>
  </si>
  <si>
    <t>COMÉRCIO POR ATACADO DE ÔNIBUS E MICROÔNIBUS NOVOS E USADOS</t>
  </si>
  <si>
    <t>REPRESENTANTES COMERCIAIS E AGENTES DO COMÉRCIO DE VEÍCULOS AUTOMOTORES</t>
  </si>
  <si>
    <t>COMÉRCIO SOB CONSIGNAÇÃO DE VEÍCULOS AUTOMOTORES</t>
  </si>
  <si>
    <t>SERVIÇOS DE MANUTENÇÃO E REPARAÇÃO MECÂNICA DE VEÍCULOS AUTOMOTORES</t>
  </si>
  <si>
    <t>SERVIÇOS DE LANTERNAGEM OU FUNILARIA E PINTURA DE VEÍCULOS AUTOMOTORES</t>
  </si>
  <si>
    <t>SERVIÇOS DE MANUTENÇÃO E REPARAÇÃO ELÉTRICA DE VEÍCULOS AUTOMOTORES</t>
  </si>
  <si>
    <t>SERVIÇOS DE ALINHAMENTO E BALANCEAMENTO DE VEÍCULOS AUTOMOTORES</t>
  </si>
  <si>
    <t>SERVIÇOS DE LAVAGEM, LUBRIFICAÇÃO E POLIMENTO DE VEÍCULOS AUTOMOTORES</t>
  </si>
  <si>
    <t>SERVIÇOS DE BORRACHARIA PARA VEÍCULOS AUTOMOTORES</t>
  </si>
  <si>
    <t>SERVIÇOS DE INSTALAÇÃO, MANUTENÇÃO E REPARAÇÃO DE ACESSÓRIOS PARA VEÍCULOS AUTOMOTORES</t>
  </si>
  <si>
    <t>COMÉRCIO POR ATACADO DE PEÇAS E ACESSÓRIOS NOVOS PARA VEÍCULOS AUTOMOTORES</t>
  </si>
  <si>
    <t>COMÉRCIO POR ATACADO DE PNEUMÁTICOS E CÂMARAS-DE-AR</t>
  </si>
  <si>
    <t>COMÉRCIO A VAREJO DE PEÇAS E ACESSÓRIOS NOVOS PARA VEÍCULOS AUTOMOTORES</t>
  </si>
  <si>
    <t>COMÉRCIO A VAREJO DE PEÇAS E ACESSÓRIOS USADOS PARA VEÍCULOS AUTOMOTORES</t>
  </si>
  <si>
    <t>COMÉRCIO A VAREJO DE PNEUMÁTICOS E CÂMARAS-DE-AR</t>
  </si>
  <si>
    <t>REPRESENTANTES COMERCIAIS E AGENTES DO COMÉRCIO DE PEÇAS E ACESSÓRIOS NOVOS E USADOS PARA VEÍCULOS A</t>
  </si>
  <si>
    <t>COMÉRCIO POR ATACADO DE MOTOCICLETAS E MOTONETAS</t>
  </si>
  <si>
    <t>COMÉRCIO POR ATACADO DE PEÇAS E ACESSÓRIOS PARA MOTOCICLETAS E MOTONETAS</t>
  </si>
  <si>
    <t>COMÉRCIO A VAREJO DE MOTOCICLETAS E MOTONETAS NOVAS</t>
  </si>
  <si>
    <t>COMÉRCIO A VAREJO DE MOTOCICLETAS E MOTONETAS USADAS</t>
  </si>
  <si>
    <t>COMÉRCIO A VAREJO DE PEÇAS E ACESSÓRIOS PARA MOTOCICLETAS E MOTONETAS</t>
  </si>
  <si>
    <t>REPRESENTANTES COMERCIAIS E AGENTES DO COMÉRCIO DE MOTOCICLETAS E MOTONETAS, PEÇAS E ACESSÓRIOS</t>
  </si>
  <si>
    <t>COMÉRCIO SOB CONSIGNAÇÃO DE MOTOCICLETAS E MOTONETAS</t>
  </si>
  <si>
    <t>MANUTENÇÃO E REPARAÇÃO DE MOTOCICLETAS E MOTONETAS</t>
  </si>
  <si>
    <t>REPRESENTANTES COMERCIAIS E AGENTES DO COMÉRCIO DE MATÉRIAS-PRIMAS AGRÍCOLAS E ANIMAIS VIVOS</t>
  </si>
  <si>
    <t>REPRESENTANTES COMERCIAIS E AGENTES DO COMÉRCIO DE COMBUSTÍVEIS, MINERAIS, PRODUTOS SIDERÚRGICOS E Q</t>
  </si>
  <si>
    <t>REPRESENTANTES COMERCIAIS E AGENTES DO COMÉRCIO DE MADEIRA, MATERIAL DE CONSTRUÇÃO E FERRAGENS</t>
  </si>
  <si>
    <t>REPRESENTANTES COMERCIAIS E AGENTES DO COMÉRCIO DE ELETRODOMÉSTICOS, MÓVEIS E ARTIGOS DE USO DOMÉSTI</t>
  </si>
  <si>
    <t>REPRESENTANTES COMERCIAIS E AGENTES DO COMÉRCIO DE PRODUTOS ALIMENTÍCIOS, BEBIDAS E FUMO</t>
  </si>
  <si>
    <t>REPRESENTANTES COMERCIAIS E AGENTES DO COMÉRCIO DE MEDICAMENTOS, COSMÉTICOS E PRODUTOS DE PERFUMARIA</t>
  </si>
  <si>
    <t>REPRESENTANTES COMERCIAIS E AGENTES DO COMÉRCIO DE INSTRUMENTOS E MATERIAIS ODONTO-MÉDICO-HOSPITALAR</t>
  </si>
  <si>
    <t>REPRESENTANTES COMERCIAIS E AGENTES DO COMÉRCIO DE JORNAIS, REVISTAS E OUTRAS PUBLICAÇÕES</t>
  </si>
  <si>
    <t>OUTROS REPRESENTANTES COMERCIAIS E AGENTES DO COMÉRCIO ESPECIALIZADO EM PRODUTOS NÃO ESPECIFICADOS A</t>
  </si>
  <si>
    <t>REPRESENTANTES COMERCIAIS E AGENTES DO COMÉRCIO DE MERCADORIAS EM GERAL NÃO ESPECIALIZADO</t>
  </si>
  <si>
    <t>COMÉRCIO ATACADISTA DE CAFÉ EM GRÃO</t>
  </si>
  <si>
    <t>COMÉRCIO ATACADISTA DE SOJA</t>
  </si>
  <si>
    <t>COMÉRCIO ATACADISTA DE ANIMAIS VIVOS</t>
  </si>
  <si>
    <t>COMÉRCIO ATACADISTA DE COUROS, LÃS, PELES E OUTROS SUBPRODUTOS NÃO-COMESTÍVEIS DE ORIGEM ANIMAL</t>
  </si>
  <si>
    <t>COMÉRCIO ATACADISTA DE ALGODÃO</t>
  </si>
  <si>
    <t>COMÉRCIO ATACADISTA DE FUMO EM FOLHA NÃO BENEFICIADO</t>
  </si>
  <si>
    <t>COMÉRCIO ATACADISTA DE CACAU EM BAGA</t>
  </si>
  <si>
    <t>COMÉRCIO ATACADISTA DE SEMENTES, FLORES, PLANTAS E GRAMAS</t>
  </si>
  <si>
    <t>COMÉRCIO ATACADISTA DE SISAL</t>
  </si>
  <si>
    <t>COMÉRCIO ATACADISTA DE MATÉRIAS-PRIMAS AGRÍCOLAS COM ATIVIDADE DE FRACIONAMENTO E ACONDICIONAMENTO A</t>
  </si>
  <si>
    <t>COMÉRCIO ATACADISTA DE ALIMENTOS PARA ANIMAIS</t>
  </si>
  <si>
    <t>COMÉRCIO ATACADISTA DE MATÉRIAS-PRIMAS AGRÍCOLAS NÃO ESPECIFICADAS ANTERIORMENTE</t>
  </si>
  <si>
    <t>COMÉRCIO ATACADISTA DE LEITE E LATICÍNIOS</t>
  </si>
  <si>
    <t>COMÉRCIO ATACADISTA DE CEREAIS E LEGUMINOSAS BENEFICIADOS</t>
  </si>
  <si>
    <t>COMÉRCIO ATACADISTA DE FARINHAS, AMIDOS E FÉCULAS</t>
  </si>
  <si>
    <t>COMÉRCIO ATACADISTA DE CEREAIS E LEGUMINOSAS BENEFICIADOS, FARINHAS, AMIDOS E FÉCULAS, COM ATIVIDADE</t>
  </si>
  <si>
    <t>COMÉRCIO ATACADISTA DE FRUTAS, VERDURAS, RAÍZES, TUBÉRCULOS, HORTALIÇAS E LEGUMES FRESCOS</t>
  </si>
  <si>
    <t>COMÉRCIO ATACADISTA DE AVES VIVAS E OVOS</t>
  </si>
  <si>
    <t>COMÉRCIO ATACADISTA DE COELHOS E OUTROS PEQUENOS ANIMAIS VIVOS PARA ALIMENTAÇÃO</t>
  </si>
  <si>
    <t>COMÉRCIO ATACADISTA DE CARNES BOVINAS E SUÍNAS E DERIVADOS</t>
  </si>
  <si>
    <t>COMÉRCIO ATACADISTA DE AVES ABATIDAS E DERIVADOS</t>
  </si>
  <si>
    <t>COMÉRCIO ATACADISTA DE PESCADOS E FRUTOS DO MAR</t>
  </si>
  <si>
    <t>COMÉRCIO ATACADISTA DE CARNES E DERIVADOS DE OUTROS ANIMAIS</t>
  </si>
  <si>
    <t>COMÉRCIO ATACADISTA DE ÁGUA MINERAL</t>
  </si>
  <si>
    <t>COMÉRCIO ATACADISTA DE CERVEJA, CHOPE E REFRIGERANTE</t>
  </si>
  <si>
    <t>COMÉRCIO ATACADISTA DE BEBIDAS COM ATIVIDADE DE FRACIONAMENTO E ACONDICIONAMENTO ASSOCIADA</t>
  </si>
  <si>
    <t>COMÉRCIO ATACADISTA DE BEBIDAS NÃO ESPECIFICADAS ANTERIORMENTE</t>
  </si>
  <si>
    <t>COMÉRCIO ATACADISTA DE FUMO BENEFICIADO</t>
  </si>
  <si>
    <t>COMÉRCIO ATACADISTA DE CIGARROS, CIGARRILHAS E CHARUTOS</t>
  </si>
  <si>
    <t>COMÉRCIO ATACADISTA DE CAFÉ TORRADO, MOÍDO E SOLÚVEL</t>
  </si>
  <si>
    <t>COMÉRCIO ATACADISTA DE AÇÚCAR</t>
  </si>
  <si>
    <t>COMÉRCIO ATACADISTA DE ÓLEOS E GORDURAS</t>
  </si>
  <si>
    <t>COMÉRCIO ATACADISTA DE PÃES, BOLOS, BISCOITOS E SIMILARES</t>
  </si>
  <si>
    <t>COMÉRCIO ATACADISTA DE MASSAS ALIMENTÍCIAS</t>
  </si>
  <si>
    <t>COMÉRCIO ATACADISTA DE SORVETES</t>
  </si>
  <si>
    <t>COMÉRCIO ATACADISTA DE CHOCOLATES, CONFEITOS, BALAS, BOMBONS E SEMELHANTES</t>
  </si>
  <si>
    <t>COMÉRCIO ATACADISTA ESPECIALIZADO EM OUTROS PRODUTOS ALIMENTÍCIOS NÃO ESPECIFICADOS ANTERIORMENTE</t>
  </si>
  <si>
    <t>COMÉRCIO ATACADISTA DE PRODUTOS ALIMENTÍCIOS EM GERAL</t>
  </si>
  <si>
    <t>COMÉRCIO ATACADISTA DE PRODUTOS ALIMENTÍCIOS EM GERAL, COM ATIVIDADE DE FRACIONAMENTO E ACONDICIONAM</t>
  </si>
  <si>
    <t>COMÉRCIO ATACADISTA DE TECIDOS</t>
  </si>
  <si>
    <t>COMÉRCIO ATACADISTA DE ARTIGOS DE CAMA, MESA E BANHO</t>
  </si>
  <si>
    <t>COMÉRCIO ATACADISTA DE ARTIGOS DE ARMARINHO</t>
  </si>
  <si>
    <t>COMÉRCIO ATACADISTA DE ARTIGOS DO VESTUÁRIO E ACESSÓRIOS, EXCETO PROFISSIONAIS E DE SEGURANÇA</t>
  </si>
  <si>
    <t>COMÉRCIO ATACADISTA DE ROUPAS E ACESSÓRIOS PARA USO PROFISSIONAL E DE SEGURANÇA DO TRABALHO</t>
  </si>
  <si>
    <t>COMÉRCIO ATACADISTA DE CALÇADOS</t>
  </si>
  <si>
    <t>COMÉRCIO ATACADISTA DE BOLSAS, MALAS E ARTIGOS DE VIAGEM</t>
  </si>
  <si>
    <t>COMÉRCIO ATACADISTA DE MEDICAMENTOS E DROGAS DE USO HUMANO</t>
  </si>
  <si>
    <t>COMÉRCIO ATACADISTA DE MEDICAMENTOS E DROGAS DE USO VETERINÁRIO</t>
  </si>
  <si>
    <t>COMÉRCIO ATACADISTA DE INSTRUMENTOS E MATERIAIS PARA USO MÉDICO, CIRÚRGICO, HOSPITALAR E DE LABORATÓ</t>
  </si>
  <si>
    <t>COMÉRCIO ATACADISTA DE PRÓTESES E ARTIGOS DE ORTOPEDIA</t>
  </si>
  <si>
    <t>COMÉRCIO ATACADISTA DE PRODUTOS ODONTOLÓGICOS</t>
  </si>
  <si>
    <t>COMÉRCIO ATACADISTA DE COSMÉTICOS E PRODUTOS DE PERFUMARIA</t>
  </si>
  <si>
    <t>COMÉRCIO ATACADISTA DE PRODUTOS DE HIGIENE PESSOAL</t>
  </si>
  <si>
    <t>COMÉRCIO ATACADISTA DE ARTIGOS DE ESCRITÓRIO E DE PAPELARIA</t>
  </si>
  <si>
    <t>COMÉRCIO ATACADISTA DE LIVROS, JORNAIS E OUTRAS PUBLICAÇÕES</t>
  </si>
  <si>
    <t>COMÉRCIO ATACADISTA DE EQUIPAMENTOS ELÉTRICOS DE USO PESSOAL E DOMÉSTICO</t>
  </si>
  <si>
    <t>COMÉRCIO ATACADISTA DE APARELHOS ELETRÔNICOS DE USO PESSOAL E DOMÉSTICO</t>
  </si>
  <si>
    <t>COMÉRCIO ATACADISTA DE BICICLETAS, TRICICLOS E OUTROS VEÍCULOS RECREATIVOS</t>
  </si>
  <si>
    <t>COMÉRCIO ATACADISTA DE MÓVEIS E ARTIGOS DE COLCHOARIA</t>
  </si>
  <si>
    <t>COMÉRCIO ATACADISTA DE ARTIGOS DE TAPEÇARIA; PERSIANAS E CORTINAS</t>
  </si>
  <si>
    <t>COMÉRCIO ATACADISTA DE LUSTRES, LUMINÁRIAS E ABAJURES</t>
  </si>
  <si>
    <t>COMÉRCIO ATACADISTA DE FILMES, CDS, DVDS, FITAS E DISCOS</t>
  </si>
  <si>
    <t>COMÉRCIO ATACADISTA DE PRODUTOS DE HIGIENE, LIMPEZA E CONSERVAÇÃO DOMICILIAR</t>
  </si>
  <si>
    <t>COMÉRCIO ATACADISTA DE PRODUTOS DE HIGIENE, LIMPEZA E CONSERVAÇÃO DOMICILIAR, COM ATIVIDADE DE FRACI</t>
  </si>
  <si>
    <t>COMÉRCIO ATACADISTA DE JÓIAS, RELÓGIOS E BIJUTERIAS, INCLUSIVE PEDRAS PRECIOSAS E SEMIPRECIOSAS LAPI</t>
  </si>
  <si>
    <t>COMÉRCIO ATACADISTA DE OUTROS EQUIPAMENTOS E ARTIGOS DE USO PESSOAL E DOMÉSTICO NÃO ESPECIFICADOS AN</t>
  </si>
  <si>
    <t>COMÉRCIO ATACADISTA DE EQUIPAMENTOS DE INFORMÁTICA</t>
  </si>
  <si>
    <t>COMÉRCIO ATACADISTA DE SUPRIMENTOS PARA INFORMÁTICA</t>
  </si>
  <si>
    <t>COMÉRCIO ATACADISTA DE COMPONENTES ELETRÔNICOS E EQUIPAMENTOS DE TELEFONIA E COMUNICAÇÃO</t>
  </si>
  <si>
    <t>COMÉRCIO ATACADISTA DE MÁQUINAS, APARELHOS E EQUIPAMENTOS PARA USO AGROPECUÁRIO; PARTES E PEÇAS</t>
  </si>
  <si>
    <t>COMÉRCIO ATACADISTA DE MÁQUINAS, EQUIPAMENTOS PARA TERRAPLENAGEM, MINERAÇÃO E CONSTRUÇÃO; PARTES E P</t>
  </si>
  <si>
    <t>COMÉRCIO ATACADISTA DE MÁQUINAS E EQUIPAMENTOS PARA USO INDUSTRIAL; PARTES E PEÇAS</t>
  </si>
  <si>
    <t>COMÉRCIO ATACADISTA DE MÁQUINAS, APARELHOS E EQUIPAMENTOS PARA USO ODONTO-MÉDICO-HOSPITALAR; PARTES</t>
  </si>
  <si>
    <t>COMÉRCIO ATACADISTA DE MÁQUINAS E EQUIPAMENTOS PARA USO COMERCIAL; PARTES E PEÇAS</t>
  </si>
  <si>
    <t>COMÉRCIO ATACADISTA DE BOMBAS E COMPRESSORES; PARTES E PEÇAS</t>
  </si>
  <si>
    <t>COMÉRCIO ATACADISTA DE OUTRAS MÁQUINAS E EQUIPAMENTOS NÃO ESPECIFICADOS ANTERIORMENTE; PARTES E PEÇA</t>
  </si>
  <si>
    <t>COMÉRCIO ATACADISTA DE MADEIRA E PRODUTOS DERIVADOS</t>
  </si>
  <si>
    <t>COMÉRCIO ATACADISTA DE FERRAGENS E FERRAMENTAS</t>
  </si>
  <si>
    <t>COMÉRCIO ATACADISTA DE MATERIAL ELÉTRICO</t>
  </si>
  <si>
    <t>COMÉRCIO ATACADISTA DE CIMENTO</t>
  </si>
  <si>
    <t>COMÉRCIO ATACADISTA DE TINTAS, VERNIZES E SIMILARES</t>
  </si>
  <si>
    <t>COMÉRCIO ATACADISTA DE MÁRMORES E GRANITOS</t>
  </si>
  <si>
    <t>COMÉRCIO ATACADISTA DE VIDROS, ESPELHOS, VITRAIS E MOLDURAS</t>
  </si>
  <si>
    <t>COMÉRCIO ATACADISTA ESPECIALIZADO DE MATERIAIS DE CONSTRUÇÃO NÃO ESPECIFICADOS ANTERIORMENTE</t>
  </si>
  <si>
    <t>COMÉRCIO ATACADISTA DE MATERIAIS DE CONSTRUÇÃO EM GERAL</t>
  </si>
  <si>
    <t>COMÉRCIO ATACADISTA DE ÁLCOOL CARBURANTE, BIODIESEL, GASOLINA E DEMAIS DERIVADOS DE PETRÓLEO, EXCETO</t>
  </si>
  <si>
    <t>COMÉRCIO ATACADISTA DE COMBUSTÍVEIS REALIZADO POR TRANSPORTADOR RETALHISTA (T.R.R.)</t>
  </si>
  <si>
    <t>COMÉRCIO ATACADISTA DE COMBUSTÍVEIS DE ORIGEM VEGETAL, EXCETO ÁLCOOL CARBURANTE</t>
  </si>
  <si>
    <t>COMÉRCIO ATACADISTA DE COMBUSTÍVEIS DE ORIGEM MINERAL EM BRUTO</t>
  </si>
  <si>
    <t>COMÉRCIO ATACADISTA DE LUBRIFICANTES</t>
  </si>
  <si>
    <t>COMÉRCIO ATACADISTA DE GÁS LIQÜEFEITO DE PETRÓLEO (GLP)</t>
  </si>
  <si>
    <t>COMÉRCIO ATACADISTA DE DEFENSIVOS AGRÍCOLAS, ADUBOS, FERTILIZANTES E CORRETIVOS DO SOLO</t>
  </si>
  <si>
    <t>COMÉRCIO ATACADISTA DE RESINAS E ELASTÔMEROS</t>
  </si>
  <si>
    <t>COMÉRCIO ATACADISTA DE SOLVENTES</t>
  </si>
  <si>
    <t>COMÉRCIO ATACADISTA DE OUTROS PRODUTOS QUÍMICOS E PETROQUÍMICOS NÃO ESPECIFICADOS ANTERIORMENTE</t>
  </si>
  <si>
    <t>COMÉRCIO ATACADISTA DE PRODUTOS SIDERÚRGICOS E METALÚRGICOS, EXCETO PARA CONSTRUÇÃO</t>
  </si>
  <si>
    <t>COMÉRCIO ATACADISTA DE PAPEL E PAPELÃO EM BRUTO</t>
  </si>
  <si>
    <t>COMÉRCIO ATACADISTA DE EMBALAGENS</t>
  </si>
  <si>
    <t>COMÉRCIO ATACADISTA DE RESÍDUOS DE PAPEL E PAPELÃO</t>
  </si>
  <si>
    <t>COMÉRCIO ATACADISTA DE RESÍDUOS E SUCATAS NÃO-METÁLICOS, EXCETO DE PAPEL E PAPELÃO</t>
  </si>
  <si>
    <t>COMÉRCIO ATACADISTA DE RESÍDUOS E SUCATAS METÁLICOS</t>
  </si>
  <si>
    <t>COMÉRCIO ATACADISTA DE PRODUTOS DA EXTRAÇÃO MINERAL, EXCETO COMBUSTÍVEIS</t>
  </si>
  <si>
    <t>COMÉRCIO ATACADISTA DE FIOS E FIBRAS TÊXTEIS</t>
  </si>
  <si>
    <t>COMÉRCIO ATACADISTA ESPECIALIZADO EM OUTROS PRODUTOS NÃO ESPECIFICADOS ANTERIORMENTE</t>
  </si>
  <si>
    <t>COMÉRCIO ATACADISTA DE MERCADORIAS EM GERAL, COM PREDOMINÂNCIA DE PRODUTOS ALIMENTÍCIOS</t>
  </si>
  <si>
    <t>COMÉRCIO ATACADISTA DE MERCADORIAS EM GERAL, COM PREDOMINÂNCIA DE INSUMOS AGROPECUÁRIOS</t>
  </si>
  <si>
    <t>COMÉRCIO ATACADISTA DE MERCADORIAS EM GERAL, SEM PREDOMINÂNCIA DE ALIMENTOS OU DE INSUMOS AGROPECUÁR</t>
  </si>
  <si>
    <t>COMÉRCIO VAREJISTA DE MERCADORIAS EM GERAL, COM PREDOMINÂNCIA DE PRODUTOS ALIMENTÍCIOS - HIPERMERCAD</t>
  </si>
  <si>
    <t>COMÉRCIO VAREJISTA DE MERCADORIAS EM GERAL, COM PREDOMINÂNCIA DE PRODUTOS ALIMENTÍCIOS - SUPERMERCAD</t>
  </si>
  <si>
    <t>COMÉRCIO VAREJISTA DE MERCADORIAS EM GERAL, COM PREDOMINÂNCIA DE PRODUTOS ALIMENTÍCIOS - MINIMERCADO</t>
  </si>
  <si>
    <t>LOJAS DE DEPARTAMENTOS OU MAGAZINES</t>
  </si>
  <si>
    <t>LOJAS DE VARIEDADES, EXCETO LOJAS DE DEPARTAMENTOS OU MAGAZINES</t>
  </si>
  <si>
    <t>LOJAS DUTY FREE DE AEROPORTOS INTERNACIONAIS</t>
  </si>
  <si>
    <t>PADARIA E CONFEITARIA COM PREDOMINÂNCIA DE PRODUÇÃO PRÓPRIA</t>
  </si>
  <si>
    <t>PADARIA E CONFEITARIA COM PREDOMINÂNCIA DE REVENDA</t>
  </si>
  <si>
    <t>COMÉRCIO VAREJISTA DE LATICÍNIOS E FRIOS</t>
  </si>
  <si>
    <t>COMÉRCIO VAREJISTA DE DOCES, BALAS, BOMBONS E SEMELHANTES</t>
  </si>
  <si>
    <t>COMÉRCIO VAREJISTA DE CARNES - AÇOUGUES</t>
  </si>
  <si>
    <t>PEIXARIA</t>
  </si>
  <si>
    <t>COMÉRCIO VAREJISTA DE BEBIDAS</t>
  </si>
  <si>
    <t>COMÉRCIO VAREJISTA DE HORTIFRUTIGRANJEIROS</t>
  </si>
  <si>
    <t>TABACARIA</t>
  </si>
  <si>
    <t>COMÉRCIO VAREJISTA DE PRODUTOS ALIMENTÍCIOS EM GERAL OU ESPECIALIZADO EM PRODUTOS ALIMENTÍCIOS NÃO E</t>
  </si>
  <si>
    <t>COMÉRCIO VAREJISTA DE COMBUSTÍVEIS PARA VEÍCULOS AUTOMOTORES</t>
  </si>
  <si>
    <t>COMÉRCIO VAREJISTA DE LUBRIFICANTES</t>
  </si>
  <si>
    <t>COMÉRCIO VAREJISTA DE TINTAS E MATERIAIS PARA PINTURA</t>
  </si>
  <si>
    <t>COMÉRCIO VAREJISTA DE MATERIAL ELÉTRICO</t>
  </si>
  <si>
    <t>COMÉRCIO VAREJISTA DE VIDROS</t>
  </si>
  <si>
    <t>COMÉRCIO VAREJISTA DE FERRAGENS E FERRAMENTAS</t>
  </si>
  <si>
    <t>COMÉRCIO VAREJISTA DE MADEIRA E ARTEFATOS</t>
  </si>
  <si>
    <t>COMÉRCIO VAREJISTA DE MATERIAIS HIDRÁULICOS</t>
  </si>
  <si>
    <t>COMÉRCIO VAREJISTA DE CAL, AREIA, PEDRA BRITADA, TIJOLOS E TELHAS</t>
  </si>
  <si>
    <t>COMÉRCIO VAREJISTA DE MATERIAIS DE CONSTRUÇÃO NÃO ESPECIFICADOS ANTERIORMENTE</t>
  </si>
  <si>
    <t>COMÉRCIO VAREJISTA DE MATERIAIS DE CONSTRUÇÃO EM GERAL</t>
  </si>
  <si>
    <t>COMÉRCIO VAREJISTA ESPECIALIZADO DE EQUIPAMENTOS E SUPRIMENTOS DE INFORMÁTICA</t>
  </si>
  <si>
    <t>COMÉRCIO VAREJISTA ESPECIALIZADO DE EQUIPAMENTOS DE TELEFONIA E COMUNICAÇÃO</t>
  </si>
  <si>
    <t>COMÉRCIO VAREJISTA ESPECIALIZADO DE ELETRODOMÉSTICOS E EQUIPAMENTOS DE ÁUDIO E VÍDEO</t>
  </si>
  <si>
    <t>COMÉRCIO VAREJISTA DE MÓVEIS</t>
  </si>
  <si>
    <t>COMÉRCIO VAREJISTA DE ARTIGOS DE COLCHOARIA</t>
  </si>
  <si>
    <t>COMÉRCIO VAREJISTA DE ARTIGOS DE ILUMINAÇÃO</t>
  </si>
  <si>
    <t>COMÉRCIO VAREJISTA DE TECIDOS</t>
  </si>
  <si>
    <t>COMERCIO VAREJISTA DE ARTIGOS DE ARMARINHO</t>
  </si>
  <si>
    <t>COMERCIO VAREJISTA DE ARTIGOS DE CAMA, MESA E BANHO</t>
  </si>
  <si>
    <t>COMÉRCIO VAREJISTA ESPECIALIZADO DE INSTRUMENTOS MUSICAIS E ACESSÓRIOS</t>
  </si>
  <si>
    <t>COMÉRCIO VAREJISTA ESPECIALIZADO DE PEÇAS E ACESSÓRIOS PARA APARELHOS ELETROELETRÔNICOS PARA USO DOM</t>
  </si>
  <si>
    <t>COMÉRCIO VAREJISTA DE ARTIGOS DE TAPEÇARIA, CORTINAS E PERSIANAS</t>
  </si>
  <si>
    <t>COMÉRCIO VAREJISTA DE OUTROS ARTIGOS DE USO PESSOAL E DOMÉSTICO NÃO ESPECIFICADOS ANTERIORMENTE</t>
  </si>
  <si>
    <t>COMÉRCIO VAREJISTA DE LIVROS</t>
  </si>
  <si>
    <t>COMÉRCIO VAREJISTA DE JORNAIS E REVISTAS</t>
  </si>
  <si>
    <t>COMÉRCIO VAREJISTA DE ARTIGOS DE PAPELARIA</t>
  </si>
  <si>
    <t>COMÉRCIO VAREJISTA DE DISCOS, CDS, DVDS E FITAS</t>
  </si>
  <si>
    <t>COMÉRCIO VAREJISTA DE BRINQUEDOS E ARTIGOS RECREATIVOS</t>
  </si>
  <si>
    <t>COMÉRCIO VAREJISTA DE ARTIGOS ESPORTIVOS</t>
  </si>
  <si>
    <t>COMÉRCIO VAREJISTA DE BICICLETAS E TRICICLOS; PEÇAS E ACESSÓRIOS</t>
  </si>
  <si>
    <t>COMÉRCIO VAREJISTA DE ARTIGOS DE CAÇA, PESCA E CAMPING</t>
  </si>
  <si>
    <t>COMÉRCIO VAREJISTA DE EMBARCAÇÕES E OUTROS VEÍCULOS RECREATIVOS; PEÇAS E ACESSÓRIOS</t>
  </si>
  <si>
    <t>COMÉRCIO VAREJISTA DE PRODUTOS FARMACÊUTICOS, SEM MANIPULAÇÃO DE FÓRMULAS</t>
  </si>
  <si>
    <t>COMÉRCIO VAREJISTA DE PRODUTOS FARMACÊUTICOS, COM MANIPULAÇÃO DE FÓRMULAS</t>
  </si>
  <si>
    <t>COMÉRCIO VAREJISTA DE PRODUTOS FARMACÊUTICOS HOMEOPÁTICOS</t>
  </si>
  <si>
    <t>COMÉRCIO VAREJISTA DE MEDICAMENTOS VETERINÁRIOS</t>
  </si>
  <si>
    <t>COMÉRCIO VAREJISTA DE COSMÉTICOS, PRODUTOS DE PERFUMARIA E DE HIGIENE PESSOAL</t>
  </si>
  <si>
    <t>COMÉRCIO VAREJISTA DE ARTIGOS MÉDICOS E ORTOPÉDICOS</t>
  </si>
  <si>
    <t>COMÉRCIO VAREJISTA DE ARTIGOS DE ÓPTICA</t>
  </si>
  <si>
    <t>COMÉRCIO VAREJISTA DE ARTIGOS DO VESTUÁRIO E ACESSÓRIOS</t>
  </si>
  <si>
    <t>COMÉRCIO VAREJISTA DE CALÇADOS</t>
  </si>
  <si>
    <t>COMÉRCIO VAREJISTA DE ARTIGOS DE VIAGEM</t>
  </si>
  <si>
    <t>COMÉRCIO VAREJISTA DE ARTIGOS DE JOALHERIA</t>
  </si>
  <si>
    <t>COMÉRCIO VAREJISTA DE ARTIGOS DE RELOJOARIA</t>
  </si>
  <si>
    <t>COMÉRCIO VAREJISTA DE GÁS LIQÜEFEITO DE PETRÓLEO (GLP)</t>
  </si>
  <si>
    <t>COMÉRCIO VAREJISTA DE ANTIGÜIDADES</t>
  </si>
  <si>
    <t>COMÉRCIO VAREJISTA DE OUTROS ARTIGOS USADOS</t>
  </si>
  <si>
    <t>COMÉRCIO VAREJISTA DE SUVENIRES, BIJUTERIAS E ARTESANATOS</t>
  </si>
  <si>
    <t>COMÉRCIO VAREJISTA DE PLANTAS E FLORES NATURAIS</t>
  </si>
  <si>
    <t>COMÉRCIO VAREJISTA DE OBJETOS DE ARTE</t>
  </si>
  <si>
    <t>COMÉRCIO VAREJISTA DE ANIMAIS VIVOS E DE ARTIGOS E ALIMENTOS PARA ANIMAIS DE ESTIMAÇÃO</t>
  </si>
  <si>
    <t>COMÉRCIO VAREJISTA DE PRODUTOS SANEANTES DOMISSANITÁRIOS</t>
  </si>
  <si>
    <t>COMÉRCIO VAREJISTA DE FOGOS DE ARTIFÍCIO E ARTIGOS PIROTÉCNICOS</t>
  </si>
  <si>
    <t>COMÉRCIO VAREJISTA DE EQUIPAMENTOS PARA ESCRITÓRIO</t>
  </si>
  <si>
    <t>COMÉRCIO VAREJISTA DE ARTIGOS FOTOGRÁFICOS E PARA FILMAGEM</t>
  </si>
  <si>
    <t>COMÉRCIO VAREJISTA DE ARMAS E MUNIÇÕES</t>
  </si>
  <si>
    <t>COMÉRCIO VAREJISTA DE OUTROS PRODUTOS NÃO ESPECIFICADOS ANTERIORMENTE</t>
  </si>
  <si>
    <t>TRANSPORTE FERROVIÁRIO DE CARGA</t>
  </si>
  <si>
    <t>TRANSPORTE FERROVIÁRIO DE PASSAGEIROS INTERMUNICIPAL E INTERESTADUAL</t>
  </si>
  <si>
    <t>TRANSPORTE FERROVIÁRIO DE PASSAGEIROS MUNICIPAL E EM REGIÃO METROPOLITANA</t>
  </si>
  <si>
    <t>TRANSPORTE METROVIÁRIO</t>
  </si>
  <si>
    <t>TRANSPORTE RODOVIÁRIO COLETIVO DE PASSAGEIROS, COM ITINERÁRIO FIXO, MUNICIPAL</t>
  </si>
  <si>
    <t>TRANSPORTE RODOVIÁRIO COLETIVO DE PASSAGEIROS, COM ITINERÁRIO FIXO, INTERMUNICIPAL EM REGIÃO METROPO</t>
  </si>
  <si>
    <t>TRANSPORTE RODOVIÁRIO COLETIVO DE PASSAGEIROS, COM ITINERÁRIO FIXO, INTERMUNICIPAL, EXCETO EM REGIÃO</t>
  </si>
  <si>
    <t>TRANSPORTE RODOVIÁRIO COLETIVO DE PASSAGEIROS, COM ITINERÁRIO FIXO, INTERESTADUAL</t>
  </si>
  <si>
    <t>TRANSPORTE RODOVIÁRIO COLETIVO DE PASSAGEIROS, COM ITINERÁRIO FIXO, INTERNACIONAL</t>
  </si>
  <si>
    <t>SERVIÇO DE TÁXI</t>
  </si>
  <si>
    <t>SERVIÇO DE TRANSPORTE DE PASSAGEIROS - LOCAÇÃO DE AUTOMÓVEIS COM MOTORISTA</t>
  </si>
  <si>
    <t>TRANSPORTE ESCOLAR</t>
  </si>
  <si>
    <t>TRANSPORTE RODOVIÁRIO COLETIVO DE PASSAGEIROS, SOB REGIME DE FRETAMENTO, MUNICIPAL</t>
  </si>
  <si>
    <t>TRANSPORTE RODOVIÁRIO COLETIVO DE PASSAGEIROS, SOB REGIME DE FRETAMENTO, INTERMUNICIPAL, INTERESTADU</t>
  </si>
  <si>
    <t>ORGANIZAÇÃO DE EXCURSÕES EM VEÍCULOS RODOVIÁRIOS PRÓPRIOS, MUNICIPAL</t>
  </si>
  <si>
    <t>ORGANIZAÇÃO DE EXCURSÕES EM VEÍCULOS RODOVIÁRIOS PRÓPRIOS, INTERMUNICIPAL, INTERESTADUAL E INTERNACI</t>
  </si>
  <si>
    <t>OUTROS TRANSPORTES RODOVIÁRIOS DE PASSAGEIROS NÃO ESPECIFICADOS ANTERIORMENTE</t>
  </si>
  <si>
    <t>TRANSPORTE RODOVIÁRIO DE CARGA, EXCETO PRODUTOS PERIGOSOS E MUDANÇAS, MUNICIPAL</t>
  </si>
  <si>
    <t>TRANSPORTE RODOVIÁRIO DE PRODUTOS PERIGOSOS</t>
  </si>
  <si>
    <t>TRANSPORTE RODOVIÁRIO DE MUDANÇAS</t>
  </si>
  <si>
    <t>TRANSPORTE DUTOVIÁRIO</t>
  </si>
  <si>
    <t>TRENS TURÍSTICOS, TELEFÉRICOS E SIMILARES</t>
  </si>
  <si>
    <t>TRANSPORTE MARÍTIMO DE CABOTAGEM - CARGA</t>
  </si>
  <si>
    <t>TRANSPORTE MARÍTIMO DE CABOTAGEM - PASSAGEIROS</t>
  </si>
  <si>
    <t>TRANSPORTE MARÍTIMO DE LONGO CURSO - CARGA</t>
  </si>
  <si>
    <t>TRANSPORTE MARÍTIMO DE LONGO CURSO - PASSAGEIROS</t>
  </si>
  <si>
    <t>TRANSPORTE POR NAVEGAÇÃO INTERIOR DE CARGA, MUNICIPAL, EXCETO TRAVESSIA</t>
  </si>
  <si>
    <t>TRANSPORTE POR NAVEGAÇÃO INTERIOR DE CARGA, INTERMUNICIPAL, INTERESTADUAL E INTERNACIONAL, EXCETO TR</t>
  </si>
  <si>
    <t>TRANSPORTE POR NAVEGAÇÃO INTERIOR DE PASSAGEIROS EM LINHAS REGULARES, MUNICIPAL, EXCETO TRAVESSIA</t>
  </si>
  <si>
    <t>NAVEGAÇÃO DE APOIO MARÍTIMO</t>
  </si>
  <si>
    <t>NAVEGAÇÃO DE APOIO PORTUÁRIO</t>
  </si>
  <si>
    <t>TRANSPORTE POR NAVEGAÇÃO DE TRAVESSIA, MUNICIPAL</t>
  </si>
  <si>
    <t>TRANSPORTE POR NAVEGAÇÃO DE TRAVESSIA, INTERMUNICIPAL</t>
  </si>
  <si>
    <t>TRANSPORTE AQUAVIÁRIO PARA PASSEIOS TURÍSTICOS</t>
  </si>
  <si>
    <t>OUTROS TRANSPORTES AQUAVIÁRIOS NÃO ESPECIFICADOS ANTERIORMENTE</t>
  </si>
  <si>
    <t>TRANSPORTE AÉREO DE PASSAGEIROS REGULAR</t>
  </si>
  <si>
    <t>SERVIÇO DE TÁXI AÉREO E LOCAÇÃO DE AERONAVES COM TRIPULAÇÃO</t>
  </si>
  <si>
    <t>OUTROS SERVIÇOS DE TRANSPORTE AÉREO DE PASSAGEIROS NÃO-REGULAR</t>
  </si>
  <si>
    <t>TRANSPORTE AÉREO DE CARGA</t>
  </si>
  <si>
    <t>TRANSPORTE ESPACIAL</t>
  </si>
  <si>
    <t>ARMAZÉNS GERAIS - EMISSÃO DE WARRANT</t>
  </si>
  <si>
    <t>GUARDA-MÓVEIS</t>
  </si>
  <si>
    <t>DEPÓSITOS DE MERCADORIAS PARA TERCEIROS, EXCETO ARMAZÉNS GERAIS E GUARDA-MÓVEIS</t>
  </si>
  <si>
    <t>CARGA E DESCARGA</t>
  </si>
  <si>
    <t>CONCESSIONÁRIAS DE RODOVIAS, PONTES, TÚNEIS E SERVIÇOS RELACIONADOS</t>
  </si>
  <si>
    <t>TERMINAIS RODOVIÁRIOS E FERROVIÁRIOS</t>
  </si>
  <si>
    <t>ESTACIONAMENTO DE VEÍCULOS</t>
  </si>
  <si>
    <t>SERVIÇOS DE APOIO AO TRANSPORTE POR TÁXI, INCLUSIVE CENTRAIS DE CHAMADA</t>
  </si>
  <si>
    <t>SERVIÇOS DE REBOQUE DE VEÍCULOS</t>
  </si>
  <si>
    <t>OUTRAS ATIVIDADES AUXILIARES DOS TRANSPORTES TERRESTRES NÃO ESPECIFICADAS ANTERIORMENTE</t>
  </si>
  <si>
    <t>ADMINISTRAÇÃO DA INFRA-ESTRUTURA PORTUÁRIA</t>
  </si>
  <si>
    <t>OPERAÇÕES DE TERMINAIS</t>
  </si>
  <si>
    <t>ATIVIDADES DE AGENCIAMENTO MARÍTIMO</t>
  </si>
  <si>
    <t>ATIVIDADES AUXILIARES DOS TRANSPORTES AQUAVIÁRIOS NÃO ESPECIFICADAS ANTERIORMENTE</t>
  </si>
  <si>
    <t>OPERAÇÃO DOS AEROPORTOS E CAMPOS DE ATERRISSAGEM</t>
  </si>
  <si>
    <t>ATIVIDADES AUXILIARES DOS TRANSPORTES AÉREOS, EXCETO OPERAÇÃO DOS AEROPORTOS E CAMPOS DE ATERRISSAGE</t>
  </si>
  <si>
    <t>COMISSARIA DE DESPACHOS</t>
  </si>
  <si>
    <t>ATIVIDADES DE DESPACHANTES ADUANEIROS</t>
  </si>
  <si>
    <t>AGENCIAMENTO DE CARGAS, EXCETO PARA O TRANSPORTE MARÍTIMO</t>
  </si>
  <si>
    <t>ORGANIZAÇÃO LOGÍSTICA DO TRANSPORTE DE CARGA</t>
  </si>
  <si>
    <t>OPERADOR DE TRANSPORTE MULTIMODAL - OTM</t>
  </si>
  <si>
    <t>ATIVIDADES DO CORREIO NACIONAL</t>
  </si>
  <si>
    <t>ATIVIDADES DE FRANQUEADAS DO CORREIO NACIONAL</t>
  </si>
  <si>
    <t>SERVIÇOS DE MALOTE NÃO REALIZADOS PELO CORREIO NACIONAL</t>
  </si>
  <si>
    <t>SERVIÇOS DE ENTREGA RÁPIDA</t>
  </si>
  <si>
    <t>HOTÉIS</t>
  </si>
  <si>
    <t>APART-HOTÉIS</t>
  </si>
  <si>
    <t>MOTÉIS</t>
  </si>
  <si>
    <t>ALBERGUES, EXCETO ASSISTENCIAIS</t>
  </si>
  <si>
    <t>CAMPINGS</t>
  </si>
  <si>
    <t>PENSÕES</t>
  </si>
  <si>
    <t>OUTROS ALOJAMENTOS NÃO ESPECIFICADOS ANTERIORMENTE</t>
  </si>
  <si>
    <t>RESTAURANTES E SIMILARES</t>
  </si>
  <si>
    <t>BARES E OUTROS ESTABELECIMENTOS ESPECIALIZADOS EM SERVIR BEBIDAS</t>
  </si>
  <si>
    <t>LANCHONETES, CASAS DE CHÁ, DE SUCOS E SIMILARES</t>
  </si>
  <si>
    <t>SERVIÇOS AMBULANTES DE ALIMENTAÇÃO</t>
  </si>
  <si>
    <t>FORNECIMENTO DE ALIMENTOS PREPARADOS PREPONDERANTEMENTE PARA EMPRESAS</t>
  </si>
  <si>
    <t>SERVIÇOS DE ALIMENTAÇÃO PARA EVENTOS E RECEPÇÕES - BUFÊ</t>
  </si>
  <si>
    <t>CANTINAS - SERVIÇOS DE ALIMENTAÇÃO PRIVATIVOS</t>
  </si>
  <si>
    <t>FORNECIMENTO DE ALIMENTOS PREPARADOS PREPONDERANTEMENTE PARA CONSUMO DOMICILIAR</t>
  </si>
  <si>
    <t>EDIÇÃO DE LIVROS</t>
  </si>
  <si>
    <t>EDIÇÃO DE JORNAIS</t>
  </si>
  <si>
    <t>EDIÇÃO DE REVISTAS</t>
  </si>
  <si>
    <t>EDIÇÃO DE CADASTROS, LISTAS E DE OUTROS PRODUTOS GRÁFICOS</t>
  </si>
  <si>
    <t>EDIÇÃO INTEGRADA À IMPRESSÃO DE LIVROS</t>
  </si>
  <si>
    <t>EDIÇÃO INTEGRADA À IMPRESSÃO DE JORNAIS</t>
  </si>
  <si>
    <t>EDIÇÃO INTEGRADA À IMPRESSÃO DE REVISTAS</t>
  </si>
  <si>
    <t>EDIÇÃO INTEGRADA À IMPRESSÃO DE CADASTROS, LISTAS E DE OUTROS PRODUTOS GRÁFICOS</t>
  </si>
  <si>
    <t>ESTÚDIOS CINEMATOGRÁFICOS</t>
  </si>
  <si>
    <t>PRODUÇÃO DE FILMES PARA PUBLICIDADE</t>
  </si>
  <si>
    <t>ATIVIDADES DE PRODUÇÃO CINEMATOGRÁFICA, DE VÍDEOS E DE PROGRAMAS DE TELEVISÃO NÃO ESPECIFICADAS ANTE</t>
  </si>
  <si>
    <t>SERVIÇOS DE DUBLAGEM</t>
  </si>
  <si>
    <t>SERVIÇOS DE MIXAGEM SONORA</t>
  </si>
  <si>
    <t>DISTRIBUIÇÃO CINEMATOGRÁFICA, DE VÍDEO E DE PROGRAMAS DE TELEVISÃO</t>
  </si>
  <si>
    <t>ATIVIDADES DE EXIBIÇÃO CINEMATOGRÁFICA</t>
  </si>
  <si>
    <t>ATIVIDADES DE GRAVAÇÃO DE SOM E DE EDIÇÃO DE MÚSICA</t>
  </si>
  <si>
    <t>ATIVIDADES DE RÁDIO</t>
  </si>
  <si>
    <t>ATIVIDADES DE TELEVISÃO ABERTA</t>
  </si>
  <si>
    <t>PROGRAMADORAS</t>
  </si>
  <si>
    <t>ATIVIDADES RELACIONADAS À TELEVISÃO POR ASSINATURA, EXCETO PROGRAMADORAS</t>
  </si>
  <si>
    <t>SERVIÇOS DE TELEFONIA FIXA COMUTADA - STFC</t>
  </si>
  <si>
    <t>SERVIÇOS DE REDES DE TRANSPORTES DE TELECOMUNICAÇÕES - SRTT</t>
  </si>
  <si>
    <t>SERVIÇOS DE COMUNICAÇÃO MULTIMÍDIA - SMC</t>
  </si>
  <si>
    <t>SERVIÇOS DE TELECOMUNICAÇÕES POR FIO NÃO ESPECIFICADOS ANTERIORMENTE</t>
  </si>
  <si>
    <t>TELEFONIA MÓVEL CELULAR</t>
  </si>
  <si>
    <t>SERVIÇO MÓVEL ESPECIALIZADO - SME</t>
  </si>
  <si>
    <t>SERVIÇOS DE TELECOMUNICAÇÕES SEM FIO NÃO ESPECIFICADOS ANTERIORMENTE</t>
  </si>
  <si>
    <t>TELECOMUNICAÇÕES POR SATÉLITE</t>
  </si>
  <si>
    <t>OPERADORAS DE TELEVISÃO POR ASSINATURA POR CABO</t>
  </si>
  <si>
    <t>OPERADORAS DE TELEVISÃO POR ASSINATURA POR MICROONDAS</t>
  </si>
  <si>
    <t>OPERADORAS DE TELEVISÃO POR ASSINATURA POR SATÉLITE</t>
  </si>
  <si>
    <t>PROVEDORES DE ACESSO ÀS REDES DE COMUNICAÇÕES</t>
  </si>
  <si>
    <t>PROVEDORES DE VOZ SOBRE PROTOCOLO INTERNET - VOIP</t>
  </si>
  <si>
    <t>OUTRAS ATIVIDADES DE TELECOMUNICAÇÕES NÃO ESPECIFICADAS ANTERIORMENTE</t>
  </si>
  <si>
    <t>DESENVOLVIMENTO DE PROGRAMAS DE COMPUTADOR SOB ENCOMENDA</t>
  </si>
  <si>
    <t>DESENVOLVIMENTO E LICENCIAMENTO DE PROGRAMAS DE COMPUTADOR CUSTOMIZÁVEIS</t>
  </si>
  <si>
    <t>DESENVOLVIMENTO E LICENCIAMENTO DE PROGRAMAS DE COMPUTADOR NÃO-CUSTOMIZÁVEIS</t>
  </si>
  <si>
    <t>CONSULTORIA EM TECNOLOGIA DA INFORMAÇÃO</t>
  </si>
  <si>
    <t>SUPORTE TÉCNICO, MANUTENÇÃO E OUTROS SERVIÇOS EM TECNOLOGIA DA INFORMAÇÃO</t>
  </si>
  <si>
    <t>TRATAMENTO DE DADOS, PROVEDORES DE SERVIÇOS DE APLICAÇÃO E SERVIÇOS DE HOSPEDAGEM NA INTERNET</t>
  </si>
  <si>
    <t>PORTAIS, PROVEDORES DE CONTEÚDO E OUTROS SERVIÇOS DE INFORMAÇÃO NA INTERNET</t>
  </si>
  <si>
    <t>AGÊNCIAS DE NOTÍCIAS</t>
  </si>
  <si>
    <t>OUTRAS ATIVIDADES DE PRESTAÇÃO DE SERVIÇOS DE INFORMAÇÃO NÃO ESPECIFICADAS ANTERIORMENTE</t>
  </si>
  <si>
    <t>BANCO CENTRAL</t>
  </si>
  <si>
    <t>BANCOS COMERCIAIS</t>
  </si>
  <si>
    <t>BANCOS MÚLTIPLOS, COM CARTEIRA COMERCIAL</t>
  </si>
  <si>
    <t>CAIXAS ECONÔMICAS</t>
  </si>
  <si>
    <t>BANCOS COOPERATIVOS</t>
  </si>
  <si>
    <t>COOPERATIVAS CENTRAIS DE CRÉDITO</t>
  </si>
  <si>
    <t>COOPERATIVAS DE CRÉDITO MÚTUO</t>
  </si>
  <si>
    <t>COOPERATIVAS DE CRÉDITO RURAL</t>
  </si>
  <si>
    <t>BANCOS MÚLTIPLOS, SEM CARTEIRA COMERCIAL</t>
  </si>
  <si>
    <t>BANCOS DE INVESTIMENTO</t>
  </si>
  <si>
    <t>BANCOS DE DESENVOLVIMENTO</t>
  </si>
  <si>
    <t>AGÊNCIAS DE FOMENTO</t>
  </si>
  <si>
    <t>SOCIEDADES DE CRÉDITO IMOBILIÁRIO</t>
  </si>
  <si>
    <t>ASSOCIAÇÕES DE POUPANÇA E EMPRÉSTIMO</t>
  </si>
  <si>
    <t>COMPANHIAS HIPOTECÁRIAS</t>
  </si>
  <si>
    <t>SOCIEDADES DE CRÉDITO, FINANCIAMENTO E INVESTIMENTO - FINANCEIRAS</t>
  </si>
  <si>
    <t>SOCIEDADES DE CRÉDITO AO MICROEMPREENDEDOR</t>
  </si>
  <si>
    <t>ARRENDAMENTO MERCANTIL</t>
  </si>
  <si>
    <t>SOCIEDADES DE CAPITALIZAÇÃO</t>
  </si>
  <si>
    <t>HOLDINGS DE INSTITUIÇÕES FINANCEIRAS</t>
  </si>
  <si>
    <t>HOLDINGS DE INSTITUIÇÕES NÃO-FINANCEIRAS</t>
  </si>
  <si>
    <t>OUTRAS SOCIEDADES DE PARTICIPAÇÃO, EXCETO HOLDINGS</t>
  </si>
  <si>
    <t>FUNDOS DE INVESTIMENTO, EXCETO PREVIDENCIÁRIOS E IMOBILIÁRIOS</t>
  </si>
  <si>
    <t>FUNDOS DE INVESTIMENTO PREVIDENCIÁRIOS</t>
  </si>
  <si>
    <t>FUNDOS DE INVESTIMENTO IMOBILIÁRIOS</t>
  </si>
  <si>
    <t>SOCIEDADES DE FOMENTO MERCANTIL - FACTORING</t>
  </si>
  <si>
    <t>SECURITIZAÇÃO DE CRÉDITOS</t>
  </si>
  <si>
    <t>ADMINISTRAÇÃO DE CONSÓRCIOS PARA AQUISIÇÃO DE BENS E DIREITOS</t>
  </si>
  <si>
    <t>CLUBES DE INVESTIMENTO</t>
  </si>
  <si>
    <t>SOCIEDADES DE INVESTIMENTO</t>
  </si>
  <si>
    <t>FUNDO GARANTIDOR DE CRÉDITO</t>
  </si>
  <si>
    <t>CAIXAS DE FINANCIAMENTO DE CORPORAÇÕES</t>
  </si>
  <si>
    <t>CONCESSÃO DE CRÉDITO PELAS OSCIP</t>
  </si>
  <si>
    <t>OUTRAS ATIVIDADES DE SERVIÇOS FINANCEIROS NÃO ESPECIFICADAS ANTERIORMENTE</t>
  </si>
  <si>
    <t>SEGUROS DE VIDA</t>
  </si>
  <si>
    <t>PLANOS DE AUXÍLIO-FUNERAL</t>
  </si>
  <si>
    <t>SEGUROS NÃO-VIDA</t>
  </si>
  <si>
    <t>SEGUROS-SAÚDE</t>
  </si>
  <si>
    <t>RESSEGUROS</t>
  </si>
  <si>
    <t>PREVIDÊNCIA COMPLEMENTAR FECHADA</t>
  </si>
  <si>
    <t>PREVIDÊNCIA COMPLEMENTAR ABERTA</t>
  </si>
  <si>
    <t>PLANOS DE SAÚDE</t>
  </si>
  <si>
    <t>BOLSA DE VALORES</t>
  </si>
  <si>
    <t>BOLSA DE MERCADORIAS</t>
  </si>
  <si>
    <t>BOLSA DE MERCADORIAS E FUTUROS</t>
  </si>
  <si>
    <t>ADMINISTRAÇÃO DE MERCADOS DE BALCÃO ORGANIZADOS</t>
  </si>
  <si>
    <t>CORRETORAS DE TÍTULOS E VALORES MOBILIÁRIOS</t>
  </si>
  <si>
    <t>DISTRIBUIDORAS DE TÍTULOS E VALORES MOBILIÁRIOS</t>
  </si>
  <si>
    <t>CORRETORAS DE CÂMBIO</t>
  </si>
  <si>
    <t>CORRETORAS DE CONTRATOS DE MERCADORIAS</t>
  </si>
  <si>
    <t>AGENTES DE INVESTIMENTOS EM APLICAÇÕES FINANCEIRAS</t>
  </si>
  <si>
    <t>ADMINISTRAÇÃO DE CARTÕES DE CRÉDITO</t>
  </si>
  <si>
    <t>SERVIÇOS DE LIQUIDAÇÃO E CUSTÓDIA</t>
  </si>
  <si>
    <t>CORRESPONDENTES DE INSTITUIÇÕES FINANCEIRAS</t>
  </si>
  <si>
    <t>REPRESENTAÇÕES DE BANCOS ESTRANGEIROS</t>
  </si>
  <si>
    <t>CAIXAS ELETRÔNICOS</t>
  </si>
  <si>
    <t>OPERADORAS DE CARTÕES DE DÉBITO</t>
  </si>
  <si>
    <t>OUTRAS ATIVIDADES AUXILIARES DOS SERVIÇOS FINANCEIROS NÃO ESPECIFICADAS ANTERIORMENTE</t>
  </si>
  <si>
    <t>PERITOS E AVALIADORES DE SEGUROS</t>
  </si>
  <si>
    <t>AUDITORIA E CONSULTORIA ATUARIAL</t>
  </si>
  <si>
    <t>CORRETORES E AGENTES DE SEGUROS, DE PLANOS DE PREVIDÊNCIA COMPLEMENTAR E DE SAÚDE</t>
  </si>
  <si>
    <t>ATIVIDADES AUXILIARES DOS SEGUROS, DA PREVIDÊNCIA COMPLEMENTAR E DOS PLANOS DE SAÚDE NÃO ESPECIFICAD</t>
  </si>
  <si>
    <t>ATIVIDADES DE ADMINISTRAÇÃO DE FUNDOS POR CONTRATO OU COMISSÃO</t>
  </si>
  <si>
    <t>COMPRA E VENDA DE IMÓVEIS PRÓPRIOS</t>
  </si>
  <si>
    <t>ALUGUEL DE IMÓVEIS PRÓPRIOS</t>
  </si>
  <si>
    <t>CORRETAGEM NA COMPRA E VENDA E AVALIAÇÃO DE IMÓVEIS</t>
  </si>
  <si>
    <t>CORRETAGEM NO ALUGUEL DE IMÓVEIS</t>
  </si>
  <si>
    <t>ADMINISTRAÇÃO DE CONDOMÍNIOS, DE SHOPPING CENTERS E DE OUTROS IMÓVEIS</t>
  </si>
  <si>
    <t>SERVIÇOS ADVOCATÍCIOS</t>
  </si>
  <si>
    <t>ATIVIDADES AUXILIARES DA JUSTIÇA</t>
  </si>
  <si>
    <t>AGENTE DE PROPRIEDADE INDUSTRIAL</t>
  </si>
  <si>
    <t>CARTÓRIOS</t>
  </si>
  <si>
    <t>ATIVIDADES DE CONTABILIDADE</t>
  </si>
  <si>
    <t>ATIVIDADES DE CONSULTORIA E AUDITORIA CONTÁBIL E TRIBUTÁRIA</t>
  </si>
  <si>
    <t>ATIVIDADES DE CONSULTORIA EM GESTÃO EMPRESARIAL, EXCETO CONSULTORIA TÉCNICA ESPECÍFICA</t>
  </si>
  <si>
    <t>SERVIÇOS DE ARQUITETURA</t>
  </si>
  <si>
    <t>SERVIÇOS DE ENGENHARIA</t>
  </si>
  <si>
    <t>SERVIÇOS DE CARTOGRAFIA, TOPOGRAFIA E GEODÉSIA</t>
  </si>
  <si>
    <t>ATIVIDADES DE ESTUDOS GEOLÓGICOS</t>
  </si>
  <si>
    <t>SERVIÇOS DE DESENHO TÉCNICO RELACIONADOS À ARQUITETURA E ENGENHARIA</t>
  </si>
  <si>
    <t>SERVIÇOS DE PERÍCIA TÉCNICA RELACIONADOS À SEGURANÇA DO TRABALHO</t>
  </si>
  <si>
    <t>ATIVIDADES TÉCNICAS RELACIONADAS À ENGENHARIA E ARQUITETURA NÃO ESPECIFICADAS ANTERIORMENTE</t>
  </si>
  <si>
    <t>TESTES E ANÁLISES TÉCNICAS</t>
  </si>
  <si>
    <t>PESQUISA E DESENVOLVIMENTO EXPERIMENTAL EM CIÊNCIAS FÍSICAS E NATURAIS</t>
  </si>
  <si>
    <t>PESQUISA E DESENVOLVIMENTO EXPERIMENTAL EM CIÊNCIAS SOCIAIS E HUMANAS</t>
  </si>
  <si>
    <t>AGÊNCIAS DE PUBLICIDADE</t>
  </si>
  <si>
    <t>AGENCIAMENTO DE ESPAÇOS PARA PUBLICIDADE, EXCETO EM VEÍCULOS DE COMUNICAÇÃO</t>
  </si>
  <si>
    <t>CRIAÇÃO E MONTAGEM DE ESTANDES PARA FEIRAS E EXPOSIÇÕES</t>
  </si>
  <si>
    <t>PROMOÇÃO DE VENDAS</t>
  </si>
  <si>
    <t>MARKETING DIRETO</t>
  </si>
  <si>
    <t>CONSULTORIA EM PUBLICIDADE</t>
  </si>
  <si>
    <t>OUTRAS ATIVIDADES DE PUBLICIDADE NÃO ESPECIFICADAS ANTERIORMENTE</t>
  </si>
  <si>
    <t>PESQUISAS DE MERCADO E DE OPINIÃO PÚBLICA</t>
  </si>
  <si>
    <t>DESIGN</t>
  </si>
  <si>
    <t>DECORAÇÃO DE INTERIORES</t>
  </si>
  <si>
    <t>ATIVIDADES DE PRODUÇÃO DE FOTOGRAFIAS, EXCETO AÉREA E SUBMARINA</t>
  </si>
  <si>
    <t>ATIVIDADES DE PRODUÇÃO DE FOTOGRAFIAS AÉREAS E SUBMARINAS</t>
  </si>
  <si>
    <t>LABORATÓRIOS FOTOGRÁFICOS</t>
  </si>
  <si>
    <t>FILMAGEM DE FESTAS E EVENTOS</t>
  </si>
  <si>
    <t>SERVIÇOS DE MICROFILMAGEM</t>
  </si>
  <si>
    <t>SERVIÇOS DE TRADUÇÃO, INTERPRETAÇÃO E SIMILARES</t>
  </si>
  <si>
    <t>ESCAFANDRIA E MERGULHO</t>
  </si>
  <si>
    <t>SERVIÇOS DE AGRONOMIA E DE CONSULTORIA ÀS ATIVIDADES AGRÍCOLAS E PECUÁRIAS</t>
  </si>
  <si>
    <t>ATIVIDADES DE INTERMEDIAÇÃO E AGENCIAMENTO DE SERVIÇOS E NEGÓCIOS EM GERAL, EXCETO IMOBILIÁRIOS</t>
  </si>
  <si>
    <t>AGENCIAMENTO DE PROFISSIONAIS PARA ATIVIDADES ESPORTIVAS, CULTURAIS E ARTÍSTICAS</t>
  </si>
  <si>
    <t>OUTRAS ATIVIDADES PROFISSIONAIS, CIENTÍFICAS E TÉCNICAS NÃO ESPECIFICADAS ANTERIORMENTE</t>
  </si>
  <si>
    <t>ATIVIDADES VETERINÁRIAS</t>
  </si>
  <si>
    <t>LOCAÇÃO DE AUTOMÓVEIS SEM CONDUTOR</t>
  </si>
  <si>
    <t>LOCAÇÃO DE EMBARCAÇÕES SEM TRIPULAÇÃO, EXCETO PARA FINS RECREATIVOS</t>
  </si>
  <si>
    <t>LOCAÇÃO DE AERONAVES SEM TRIPULAÇÃO</t>
  </si>
  <si>
    <t>LOCAÇÃO DE OUTROS MEIOS DE TRANSPORTE NÃO ESPECIFICADOS ANTERIORMENTE, SEM CONDUTOR</t>
  </si>
  <si>
    <t>ALUGUEL DE EQUIPAMENTOS RECREATIVOS E ESPORTIVOS</t>
  </si>
  <si>
    <t>ALUGUEL DE FITAS DE VÍDEO, DVDS E SIMILARES</t>
  </si>
  <si>
    <t>ALUGUEL DE OBJETOS DO VESTUÁRIO, JÓIAS E ACESSÓRIOS</t>
  </si>
  <si>
    <t>ALUGUEL DE APARELHOS DE JOGOS ELETRÔNICOS</t>
  </si>
  <si>
    <t>ALUGUEL DE MÓVEIS, UTENSÍLIOS E APARELHOS DE USO DOMÉSTICO E PESSOAL; INSTRUMENTOS MUSICAIS</t>
  </si>
  <si>
    <t>ALUGUEL DE MATERIAL MÉDICO E PARAMÉDICO</t>
  </si>
  <si>
    <t>ALUGUEL DE OUTROS OBJETOS PESSOAIS E DOMÉSTICOS NÃO ESPECIFICADOS ANTERIORMENTE</t>
  </si>
  <si>
    <t>ALUGUEL DE MÁQUINAS E EQUIPAMENTOS AGRÍCOLAS SEM OPERADOR</t>
  </si>
  <si>
    <t>ALUGUEL DE MÁQUINAS E EQUIPAMENTOS PARA CONSTRUÇÃO SEM OPERADOR, EXCETO ANDAIMES</t>
  </si>
  <si>
    <t>ALUGUEL DE ANDAIMES</t>
  </si>
  <si>
    <t>ALUGUEL DE MÁQUINAS E EQUIPAMENTOS PARA ESCRITÓRIOS</t>
  </si>
  <si>
    <t>ALUGUEL DE MÁQUINAS E EQUIPAMENTOS PARA EXTRAÇÃO DE MINÉRIOS E PETRÓLEO, SEM OPERADOR</t>
  </si>
  <si>
    <t>ALUGUEL DE EQUIPAMENTOS CIENTÍFICOS, MÉDICOS E HOSPITALARES, SEM OPERADOR</t>
  </si>
  <si>
    <t>ALUGUEL DE PALCOS, COBERTURAS E OUTRAS ESTRUTURAS DE USO TEMPORÁRIO, EXCETO ANDAIMES</t>
  </si>
  <si>
    <t>GESTÃO DE ATIVOS INTANGÍVEIS NÃO-FINANCEIROS</t>
  </si>
  <si>
    <t>SELEÇÃO E AGENCIAMENTO DE MÃO-DE-OBRA</t>
  </si>
  <si>
    <t>LOCAÇÃO DE MÃO-DE-OBRA TEMPORÁRIA</t>
  </si>
  <si>
    <t>FORNECIMENTO E GESTÃO DE RECURSOS HUMANOS PARA TERCEIROS</t>
  </si>
  <si>
    <t>AGÊNCIAS DE VIAGENS</t>
  </si>
  <si>
    <t>OPERADORES TURÍSTICOS</t>
  </si>
  <si>
    <t>SERVIÇOS DE RESERVAS E OUTROS SERVIÇOS DE TURISMO NÃO ESPECIFICADOS ANTERIORMENTE</t>
  </si>
  <si>
    <t>ATIVIDADES DE VIGILÂNCIA E SEGURANÇA PRIVADA</t>
  </si>
  <si>
    <t>SERVIÇOS DE ADESTRAMENTO DE CÃES DE GUARDA</t>
  </si>
  <si>
    <t>ATIVIDADES DE TRANSPORTE DE VALORES</t>
  </si>
  <si>
    <t>ATIVIDADES DE MONITORAMENTO DE SISTEMAS DE SEGURANÇA</t>
  </si>
  <si>
    <t>ATIVIDADES DE INVESTIGAÇÃO PARTICULAR</t>
  </si>
  <si>
    <t>SERVIÇOS COMBINADOS PARA APOIO A EDIFÍCIOS, EXCETO CONDOMÍNIOS PREDIAIS</t>
  </si>
  <si>
    <t>CONDOMÍNIOS PREDIAIS</t>
  </si>
  <si>
    <t>LIMPEZA EM PRÉDIOS E EM DOMICÍLIOS</t>
  </si>
  <si>
    <t>IMUNIZAÇÃO E CONTROLE DE PRAGAS URBANAS</t>
  </si>
  <si>
    <t>ATIVIDADES DE LIMPEZA NÃO ESPECIFICADAS ANTERIORMENTE</t>
  </si>
  <si>
    <t>ATIVIDADES PAISAGÍSTICAS</t>
  </si>
  <si>
    <t>SERVIÇOS COMBINADOS DE ESCRITÓRIO E APOIO ADMINISTRATIVO</t>
  </si>
  <si>
    <t>FOTOCÓPIAS</t>
  </si>
  <si>
    <t>PREPARAÇÃO DE DOCUMENTOS E SERVIÇOS ESPECIALIZADOS DE APOIO ADMINISTRATIVO NÃO ESPECIFICADOS ANTERIO</t>
  </si>
  <si>
    <t>ATIVIDADES DE TELEATENDIMENTO</t>
  </si>
  <si>
    <t>SERVIÇOS DE ORGANIZAÇÃO DE FEIRAS, CONGRESSOS, EXPOSIÇÕES E FESTAS</t>
  </si>
  <si>
    <t>CASAS DE FESTAS E EVENTOS</t>
  </si>
  <si>
    <t>ATIVIDADES DE COBRANÇAS E INFORMAÇÕES CADASTRAIS</t>
  </si>
  <si>
    <t>ENVASAMENTO E EMPACOTAMENTO SOB CONTRATO</t>
  </si>
  <si>
    <t>MEDIÇÃO DE CONSUMO DE ENERGIA ELÉTRICA, GÁS E ÁGUA</t>
  </si>
  <si>
    <t>EMISSÃO DE VALES-ALIMENTAÇÃO, VALES-TRANSPORTE E SIMILARES</t>
  </si>
  <si>
    <t>SERVIÇOS DE GRAVAÇÃO DE CARIMBOS, EXCETO CONFECÇÃO</t>
  </si>
  <si>
    <t>LEILOEIROS INDEPENDENTES</t>
  </si>
  <si>
    <t>SERVIÇOS DE LEVANTAMENTO DE FUNDOS SOB CONTRATO</t>
  </si>
  <si>
    <t>CASAS LOTÉRICAS</t>
  </si>
  <si>
    <t>SALAS DE ACESSO À INTERNET</t>
  </si>
  <si>
    <t>ADMINISTRAÇÃO PÚBLICA EM GERAL</t>
  </si>
  <si>
    <t>REGULAÇÃO DAS ATIVIDADES DE SAÚDE, EDUCAÇÃO, SERVIÇOS CULTURAIS E OUTROS SERVIÇOS SOCIAIS</t>
  </si>
  <si>
    <t>REGULAÇÃO DAS ATIVIDADES ECONÔMICAS</t>
  </si>
  <si>
    <t>ATIVIDADES DE SUPORTE À ADMINISTRAÇÃO PÚBLICA</t>
  </si>
  <si>
    <t>RELAÇÕES EXTERIORES</t>
  </si>
  <si>
    <t>DEFESA</t>
  </si>
  <si>
    <t>JUSTIÇA</t>
  </si>
  <si>
    <t>SEGURANÇA E ORDEM PÚBLICA</t>
  </si>
  <si>
    <t>DEFESA CIVIL</t>
  </si>
  <si>
    <t>SEGURIDADE SOCIAL OBRIGATÓRIA</t>
  </si>
  <si>
    <t>EDUCAÇÃO INFANTIL - CRECHE</t>
  </si>
  <si>
    <t>EDUCAÇÃO INFANTIL - PRÉ-ESCOLA</t>
  </si>
  <si>
    <t>ENSINO FUNDAMENTAL</t>
  </si>
  <si>
    <t>ENSINO MÉDIO</t>
  </si>
  <si>
    <t>EDUCAÇÃO SUPERIOR - GRADUAÇÃO</t>
  </si>
  <si>
    <t>EDUCAÇÃO SUPERIOR - GRADUAÇÃO E PÓS-GRADUAÇÃO</t>
  </si>
  <si>
    <t>EDUCAÇÃO SUPERIOR - PÓS-GRADUAÇÃO E EXTENSÃO</t>
  </si>
  <si>
    <t>EDUCAÇÃO PROFISSIONAL DE NÍVEL TÉCNICO</t>
  </si>
  <si>
    <t>EDUCAÇÃO PROFISSIONAL DE NÍVEL TECNOLÓGICO</t>
  </si>
  <si>
    <t>ADMINISTRAÇÃO DE CAIXAS ESCOLARES</t>
  </si>
  <si>
    <t>SERVIÇOS AUXILIARES À EDUCAÇÃO</t>
  </si>
  <si>
    <t>ENSINO DE ESPORTES</t>
  </si>
  <si>
    <t>ENSINO DE DANÇA</t>
  </si>
  <si>
    <t>ENSINO DE ARTES CÊNICAS, EXCETO DANÇA</t>
  </si>
  <si>
    <t>ENSINO DE MÚSICA</t>
  </si>
  <si>
    <t>ENSINO DE ARTE E CULTURA NÃO ESPECIFICADO ANTERIORMENTE</t>
  </si>
  <si>
    <t>ENSINO DE IDIOMAS</t>
  </si>
  <si>
    <t>FORMAÇÃO DE CONDUTORES</t>
  </si>
  <si>
    <t>CURSOS DE PILOTAGEM</t>
  </si>
  <si>
    <t>TREINAMENTO EM INFORMÁTICA</t>
  </si>
  <si>
    <t>TREINAMENTO EM DESENVOLVIMENTO PROFISSIONAL E GERENCIAL</t>
  </si>
  <si>
    <t>CURSOS PREPARATÓRIOS PARA CONCURSOS</t>
  </si>
  <si>
    <t>OUTRAS ATIVIDADES DE ENSINO NÃO ESPECIFICADAS ANTERIORMENTE</t>
  </si>
  <si>
    <t>ATIVIDADES DE ATENDIMENTO EM PRONTO-SOCORRO E UNIDADES HOSPITALARES PARA ATENDIMENTO A URGÊNCIAS</t>
  </si>
  <si>
    <t>UTI MÓVEL</t>
  </si>
  <si>
    <t>SERVIÇOS MÓVEIS DE ATENDIMENTO A URGÊNCIAS, EXCETO POR UTI MÓVEL</t>
  </si>
  <si>
    <t>SERVIÇOS DE REMOÇÃO DE PACIENTES, EXCETO OS SERVIÇOS MÓVEIS DE ATENDIMENTO A URGÊNCIAS</t>
  </si>
  <si>
    <t>ATIVIDADE MÉDICA AMBULATORIAL COM RECURSOS PARA REALIZAÇÃO DE PROCEDIMENTOS CIRÚRGICOS</t>
  </si>
  <si>
    <t>ATIVIDADE MÉDICA AMBULATORIAL COM RECURSOS PARA REALIZAÇÃO DE EXAMES COMPLEMENTARES</t>
  </si>
  <si>
    <t>ATIVIDADE MÉDICA AMBULATORIAL RESTRITA A CONSULTAS</t>
  </si>
  <si>
    <t>ATIVIDADE ODONTOLÓGICA COM RECURSOS PARA REALIZAÇÃO DE PROCEDIMENTOS CIRÚRGICOS</t>
  </si>
  <si>
    <t>ATIVIDADE ODONTOLÓGICA SEM RECURSOS PARA REALIZAÇÃO DE PROCEDIMENTOS CIRÚRGICOS</t>
  </si>
  <si>
    <t>SERVIÇOS DE VACINAÇÃO E IMUNIZAÇÃO HUMANA</t>
  </si>
  <si>
    <t>ATIVIDADES DE REPRODUÇÃO HUMANA ASSISTIDA</t>
  </si>
  <si>
    <t>ATIVIDADES DE ATENÇÃO AMBULATORIAL NÃO ESPECIFICADAS ANTERIORMENTE</t>
  </si>
  <si>
    <t>LABORATÓRIOS DE ANATOMIA PATOLÓGICA E CITOLÓGICA</t>
  </si>
  <si>
    <t>LABORATÓRIOS CLÍNICOS</t>
  </si>
  <si>
    <t>SERVIÇOS DE DIÁLISE E NEFROLOGIA</t>
  </si>
  <si>
    <t>SERVIÇOS DE TOMOGRAFIA</t>
  </si>
  <si>
    <t>SERVIÇOS DE DIAGNÓSTICO POR IMAGEM COM USO DE RADIAÇÃO IONIZANTE, EXCETO TOMOGRAFIA</t>
  </si>
  <si>
    <t>SERVIÇOS DE RESSONÂNCIA MAGNÉTICA</t>
  </si>
  <si>
    <t>SERVIÇOS DE DIAGNÓSTICO POR IMAGEM SEM USO DE RADIAÇÃO IONIZANTE, EXCETO RESSONÂNCIA MAGNÉTICA</t>
  </si>
  <si>
    <t>SERVIÇOS DE DIAGNÓSTICO POR REGISTRO GRÁFICO - ECG, EEG E OUTROS EXAMES ANÁLOGOS</t>
  </si>
  <si>
    <t>SERVIÇOS DE DIAGNÓSTICO POR MÉTODOS ÓPTICOS - ENDOSCOPIA E OUTROS EXAMES ANÁLOGOS</t>
  </si>
  <si>
    <t>SERVIÇOS DE QUIMIOTERAPIA</t>
  </si>
  <si>
    <t>SERVIÇOS DE RADIOTERAPIA</t>
  </si>
  <si>
    <t>SERVIÇOS DE HEMOTERAPIA</t>
  </si>
  <si>
    <t>SERVIÇOS DE LITOTRIPCIA</t>
  </si>
  <si>
    <t>SERVIÇOS DE BANCOS DE CÉLULAS E TECIDOS HUMANOS</t>
  </si>
  <si>
    <t>ATIVIDADES DE ENFERMAGEM</t>
  </si>
  <si>
    <t>ATIVIDADES DE PROFISSIONAIS DA NUTRIÇÃO</t>
  </si>
  <si>
    <t>ATIVIDADES DE PSICOLOGIA E PSICANÁLISE</t>
  </si>
  <si>
    <t>ATIVIDADES DE FISIOTERAPIA</t>
  </si>
  <si>
    <t>ATIVIDADES DE TERAPIA OCUPACIONAL</t>
  </si>
  <si>
    <t>ATIVIDADES DE FONOAUDIOLOGIA</t>
  </si>
  <si>
    <t>ATIVIDADES DE TERAPIA DE NUTRIÇÃO ENTERAL E PARENTERAL</t>
  </si>
  <si>
    <t>ATIVIDADES DE PROFISSIONAIS DA ÁREA DE SAÚDE NÃO ESPECIFICADAS ANTERIORMENTE</t>
  </si>
  <si>
    <t>ATIVIDADES DE APOIO À GESTÃO DE SAÚDE</t>
  </si>
  <si>
    <t>ATIVIDADES DE PRÁTICAS INTEGRATIVAS E COMPLEMENTARES EM SAÚDE HUMANA</t>
  </si>
  <si>
    <t>ATIVIDADES DE BANCO DE LEITE HUMANO</t>
  </si>
  <si>
    <t>OUTRAS ATIVIDADES DE ATENÇÃO À SAÚDE HUMANA NÃO ESPECIFICADAS ANTERIORMENTE</t>
  </si>
  <si>
    <t>CLÍNICAS E RESIDÊNCIAS GERIÁTRICAS</t>
  </si>
  <si>
    <t>INSTITUIÇÕES DE LONGA PERMANÊNCIA PARA IDOSOS</t>
  </si>
  <si>
    <t>ATIVIDADES DE ASSISTÊNCIA A DEFICIENTES FÍSICOS, IMUNODEPRIMIDOS E CONVALESCENTES</t>
  </si>
  <si>
    <t>CENTROS DE APOIO A PACIENTES COM CÂNCER E COM AIDS</t>
  </si>
  <si>
    <t>CONDOMÍNIOS RESIDENCIAIS PARA IDOSOS E DEFICIENTES FÍSICOS</t>
  </si>
  <si>
    <t>ATIVIDADES DE CENTROS DE ASSISTÊNCIA PSICOSSOCIAL</t>
  </si>
  <si>
    <t>ATIVIDADES DE ASSISTÊNCIA PSICOSSOCIAL E À SAÚDE A PORTADORES DE DISTÚRBIOS PSÍQUICOS, DEFICIÊNCIA M</t>
  </si>
  <si>
    <t>ORFANATOS</t>
  </si>
  <si>
    <t>ALBERGUES ASSISTENCIAIS</t>
  </si>
  <si>
    <t>ATIVIDADES DE ASSISTÊNCIA SOCIAL PRESTADAS EM RESIDÊNCIAS COLETIVAS E PARTICULARES NÃO ESPECIFICADAS</t>
  </si>
  <si>
    <t>SERVIÇOS DE ASSISTÊNCIA SOCIAL SEM ALOJAMENTO</t>
  </si>
  <si>
    <t>PRODUÇÃO TEATRAL</t>
  </si>
  <si>
    <t>PRODUÇÃO MUSICAL</t>
  </si>
  <si>
    <t>PRODUÇÃO DE ESPETÁCULOS DE DANÇA</t>
  </si>
  <si>
    <t>PRODUÇÃO DE ESPETÁCULOS CIRCENSES, DE MARIONETES E SIMILARES</t>
  </si>
  <si>
    <t>PRODUÇÃO DE ESPETÁCULOS DE RODEIOS, VAQUEJADAS E SIMILARES</t>
  </si>
  <si>
    <t>ATIVIDADES DE SONORIZAÇÃO E DE ILUMINAÇÃO</t>
  </si>
  <si>
    <t>ARTES CÊNICAS, ESPETÁCULOS E ATIVIDADES COMPLEMENTARES NÃO ESPECIFICADAS ANTERIORMENTE</t>
  </si>
  <si>
    <t>ATIVIDADES DE ARTISTAS PLÁSTICOS, JORNALISTAS INDEPENDENTES E ESCRITORES</t>
  </si>
  <si>
    <t>RESTAURAÇÃO DE OBRAS-DE-ARTE</t>
  </si>
  <si>
    <t>GESTÃO DE ESPAÇOS PARA ARTES CÊNICAS, ESPETÁCULOS E OUTRAS ATIVIDADES ARTÍSTICAS</t>
  </si>
  <si>
    <t>ATIVIDADES DE BIBLIOTECAS E ARQUIVOS</t>
  </si>
  <si>
    <t>ATIVIDADES DE MUSEUS E DE EXPLORAÇÃO DE LUGARES E PRÉDIOS HISTÓRICOS E ATRAÇÕES SIMILARES</t>
  </si>
  <si>
    <t>RESTAURAÇÃO E CONSERVAÇÃO DE LUGARES E PRÉDIOS HISTÓRICOS</t>
  </si>
  <si>
    <t>ATIVIDADES DE JARDINS BOTÂNICOS, ZOOLÓGICOS, PARQUES NACIONAIS, RESERVAS ECOLÓGICAS E ÁREAS DE PROTE</t>
  </si>
  <si>
    <t>CASAS DE BINGO</t>
  </si>
  <si>
    <t>EXPLORAÇÃO DE APOSTAS EM CORRIDAS DE CAVALOS</t>
  </si>
  <si>
    <t>EXPLORAÇÃO DE JOGOS DE AZAR E APOSTAS NÃO ESPECIFICADOS ANTERIORMENTE</t>
  </si>
  <si>
    <t>GESTÃO DE INSTALAÇÕES DE ESPORTES</t>
  </si>
  <si>
    <t>CLUBES SOCIAIS, ESPORTIVOS E SIMILARES</t>
  </si>
  <si>
    <t>ATIVIDADES DE CONDICIONAMENTO FÍSICO</t>
  </si>
  <si>
    <t>PRODUÇÃO E PROMOÇÃO DE EVENTOS ESPORTIVOS</t>
  </si>
  <si>
    <t>OUTRAS ATIVIDADES ESPORTIVAS NÃO ESPECIFICADAS ANTERIORMENTE</t>
  </si>
  <si>
    <t>PARQUES DE DIVERSÃO E PARQUES TEMÁTICOS</t>
  </si>
  <si>
    <t>DISCOTECAS, DANCETERIAS, SALÕES DE DANÇA E SIMILARES</t>
  </si>
  <si>
    <t>EXPLORAÇÃO DE BOLICHES</t>
  </si>
  <si>
    <t>EXPLORAÇÃO DE JOGOS DE SINUCA, BILHAR E SIMILARES</t>
  </si>
  <si>
    <t>EXPLORAÇÃO DE JOGOS ELETRÔNICOS RECREATIVOS</t>
  </si>
  <si>
    <t>OUTRAS ATIVIDADES DE RECREAÇÃO E LAZER NÃO ESPECIFICADAS ANTERIORMENTE</t>
  </si>
  <si>
    <t>ATIVIDADES DE ORGANIZAÇÕES ASSOCIATIVAS PATRONAIS E EMPRESARIAIS</t>
  </si>
  <si>
    <t>ATIVIDADES DE ORGANIZAÇÕES ASSOCIATIVAS PROFISSIONAIS</t>
  </si>
  <si>
    <t>ATIVIDADES DE ORGANIZAÇÕES SINDICAIS</t>
  </si>
  <si>
    <t>ATIVIDADES DE ASSOCIAÇÕES DE DEFESA DE DIREITOS SOCIAIS</t>
  </si>
  <si>
    <t>ATIVIDADES DE ORGANIZAÇÕES RELIGIOSAS</t>
  </si>
  <si>
    <t>ATIVIDADES DE ORGANIZAÇÕES POLÍTICAS</t>
  </si>
  <si>
    <t>ATIVIDADES DE ORGANIZAÇÕES ASSOCIATIVAS LIGADAS À CULTURA E À ARTE</t>
  </si>
  <si>
    <t>ATIVIDADES ASSOCIATIVAS NÃO ESPECIFICADAS ANTERIORMENTE</t>
  </si>
  <si>
    <t>REPARAÇÃO E MANUTENÇÃO DE COMPUTADORES E DE EQUIPAMENTOS PERIFÉRICOS</t>
  </si>
  <si>
    <t>REPARAÇÃO E MANUTENÇÃO DE EQUIPAMENTOS DE COMUNICAÇÃO</t>
  </si>
  <si>
    <t>REPARAÇÃO E MANUTENÇÃO DE EQUIPAMENTOS ELETROELETRÔNICOS DE USO PESSOAL E DOMÉSTICO</t>
  </si>
  <si>
    <t>REPARAÇÃO DE CALÇADOS</t>
  </si>
  <si>
    <t>CHAVEIROS</t>
  </si>
  <si>
    <t>REPARAÇÃO DE RELÓGIOS</t>
  </si>
  <si>
    <t>REPARAÇÃO DE BICICLETAS, TRICICLOS E OUTROS VEÍCULOS NÃO-MOTORIZADOS</t>
  </si>
  <si>
    <t>REPARAÇÃO DE ARTIGOS DO MOBILIÁRIO</t>
  </si>
  <si>
    <t>REPARAÇÃO DE JÓIAS</t>
  </si>
  <si>
    <t>REPARAÇÃO E MANUTENÇÃO DE OUTROS OBJETOS E EQUIPAMENTOS PESSOAIS E DOMÉSTICOS NÃO ESPECIFICADOS ANTE</t>
  </si>
  <si>
    <t>LAVANDERIAS</t>
  </si>
  <si>
    <t>TINTURARIAS</t>
  </si>
  <si>
    <t>TOALHEIROS</t>
  </si>
  <si>
    <t>CABELEIREIROS</t>
  </si>
  <si>
    <t>OUTRAS ATIVIDADES DE TRATAMENTO DE BELEZA</t>
  </si>
  <si>
    <t>GESTÃO E MANUTENÇÃO DE CEMITÉRIOS</t>
  </si>
  <si>
    <t>SERVIÇOS DE CREMAÇÃO</t>
  </si>
  <si>
    <t>SERVIÇOS DE SEPULTAMENTO</t>
  </si>
  <si>
    <t>SERVIÇOS DE FUNERÁRIAS</t>
  </si>
  <si>
    <t>SERVIÇOS DE SOMATOCONSERVAÇÃO</t>
  </si>
  <si>
    <t>ATIVIDADES FUNERÁRIAS E SERVIÇOS RELACIONADOS NÃO ESPECIFICADOS ANTERIORMENTE</t>
  </si>
  <si>
    <t>SAUNAS, CLÍNICAS DE ESTÉTICA E SIMILARES</t>
  </si>
  <si>
    <t>AGÊNCIAS MATRIMONIAIS</t>
  </si>
  <si>
    <t>ALOJAMENTO, HIGIENE E EMBELEZAMENTO DE ANIMAIS</t>
  </si>
  <si>
    <t>EXPLORAÇÃO DE MÁQUINAS DE SERVIÇOS PESSOAIS ACIONADAS POR MOEDA</t>
  </si>
  <si>
    <t>OUTRAS ATIVIDADES DE SERVIÇOS PESSOAIS NÃO ESPECIFICADAS ANTERIORMENTE</t>
  </si>
  <si>
    <t>SERVIÇOS DOMÉSTICOS</t>
  </si>
  <si>
    <t>ORGANISMOS INTERNACIONAIS E OUTRAS INSTITUIÇÕES EXTRATERRITORIAIS</t>
  </si>
  <si>
    <t>EDP São Paulo</t>
  </si>
  <si>
    <t>REVISÃO: 19</t>
  </si>
  <si>
    <t>Nº da Revisão</t>
  </si>
  <si>
    <t>Data</t>
  </si>
  <si>
    <t>Reponsáveis</t>
  </si>
  <si>
    <t>Problema Levantado</t>
  </si>
  <si>
    <t>Solução</t>
  </si>
  <si>
    <t>Luana e Maynara</t>
  </si>
  <si>
    <t>A planilha estava liberando unidades individuais com medição indireta</t>
  </si>
  <si>
    <t>Revisada a função que alertava o erro na capa, bem como adicionado alerta na linha que apresenta o erro.</t>
  </si>
  <si>
    <t>Modificado o tipo de arquivo, tendo em vista o problema de aceitação de Planilha Binária na Agência Virtual.</t>
  </si>
  <si>
    <t>Revisados erros de função que também não estavam aparecendo na planilha.</t>
  </si>
  <si>
    <t>Luana</t>
  </si>
  <si>
    <t>Planilha estava dando erro em solicitações para atendimento em Delta</t>
  </si>
  <si>
    <t>Erros nas células CX98, CY98, CT98, CT99, CO98, CO99 da aba calculo. Estavam puxando valores de carga declarada de equipamentos (chuveiros e afins) para o cálculo da corrente de demanda.</t>
  </si>
  <si>
    <t>Planilha estava liberando poste com 360 daN</t>
  </si>
  <si>
    <t>Célula F72 - CondutorxCorrentexProteção revisada. Provavelmente era erro de digitação.</t>
  </si>
  <si>
    <t>Planilha está vinculando a resistência mecânica do poste com a seção dos condutores do RAMAL DE ENTRADA, sem considerar o tipo de isolação, e a capacidade do dispositivo de proteção. Visto que a planilha já tem a inteligência da diferença de capacidade de condução de corrente entre os cabos PVC/XLPE/EPR.</t>
  </si>
  <si>
    <t>Alterada a célula D10 da aba "Centro de Medição" para buscar a resistência do poste a partir da proteção.</t>
  </si>
  <si>
    <t>Notar que a corrente de demanda está maior que a proteção na Rev18_LMG0908</t>
  </si>
  <si>
    <t>Está correto, porque a proteção não contabiliza a BI.</t>
  </si>
  <si>
    <t>Planilha libera ramal secundário maior que 70 mm²</t>
  </si>
  <si>
    <t>Libera, mas avisa na capa a divergência... Incluído aviso na aba "centro de medição" (SÓ PARA METÁLICA)</t>
  </si>
  <si>
    <t>Planilha está indicando a utilização de fusíveis NH 250 A com condutores 150 mm2 isolação PVC. Conforme cálculos, não há coordenação para essa condição;</t>
  </si>
  <si>
    <t>Solicitamos que sejam configuradas as abas das planilhas no formato adequado para impressão no tamanho A4, visualizando as informações necessárias em cada aba.</t>
  </si>
  <si>
    <t>Inserida Macro na Capa do Expresso com a função de imprimir em PDF todas as abas.</t>
  </si>
  <si>
    <t>Alterada a célula M51 da aba "Condutorxcorrentexproteção" de 150 para 185.</t>
  </si>
  <si>
    <t>TX-16</t>
  </si>
  <si>
    <t>QX-16</t>
  </si>
  <si>
    <t>Planilha apresenta ramais de ligação com seção de 50 mm² e 10 mm² (já despadronizados pela EDP).</t>
  </si>
  <si>
    <t>Atualizadas as células D63:E72 da aba "Condutorxcorrentexproteção" de acordo com as novas padronizações de ramais.</t>
  </si>
  <si>
    <t>Planilha solicita poste de 200 e 300 daN para a mesma seção de ramal de ligação.</t>
  </si>
  <si>
    <t>Revisada célula F67 da aba "Condutorxcorrentexproteção" de 200 para 300 daN.</t>
  </si>
  <si>
    <t>Erro no cálculo de demanda. Não está considerando os equipamentos da unidade 2.</t>
  </si>
  <si>
    <t>Revisadas as fórmulas das células BH e BI de 168 a 185 (aba 'calculo'), que estavam considerando a soma das cargas das unidades 1, 3 e 5 (colunas C,I e O), ao invés da soma das unidades 1, 2 e 3 (C,F e I). O que fazia não considerar a unidade 2 nos cálculos e considerar a unidade 5 duas vezes.</t>
  </si>
  <si>
    <t>Planilha apresenta erro no dimensionamento do ramal secundário 1 da caixa H.</t>
  </si>
  <si>
    <t>Revisada célula E19 da aba "Condutorxcorrentexproteção" de "='CENTRO DE MEDIÇÃO'D12" para "=E16"</t>
  </si>
  <si>
    <t>Quando a unidade 6 é preenchida na 'Relação de Carga', seus equipamentos não estão sendo considerados no cálculo dos ramais secundários.</t>
  </si>
  <si>
    <t>O espelho da aba 'Relação de Carga' na aba 'calculo' estava buscando as informações dos equipamentos da Unid.6 na Unid.5.
Revisadas as células das colunas R e S de 13 a 30, atualizando a busca pela referência da fórmula de 'O1' para 'R1'.</t>
  </si>
  <si>
    <t>Luana/Antonio</t>
  </si>
  <si>
    <t>Centro de medição instalado a quantos metros do limite da propriedade?</t>
  </si>
  <si>
    <t>Deixar o texto da aba 'CROQUI' célula N6 mais claro.</t>
  </si>
  <si>
    <t>Alterado de "Padrão a quantos metros..." para "Centro de medição instalado a quantos..."</t>
  </si>
  <si>
    <t>Planilha está dimensionando o ramal de ligação de acordo com o ramal de entrada. Quando na verdade tem que dimensionar conforme proteção geral.</t>
  </si>
  <si>
    <t>Luana/Gerson</t>
  </si>
  <si>
    <t>Alterada célula G7 da aba 'CENTRO DE MEDIÇÃO' 
de '=PROCV($F$13;CondutorXcorrenteXproteção!$A$63:$F$72;SE(I13="TRIFÁSICO";5;4))'
para '=PROCV($G$14;CondutorXcorrenteXproteção!$B$63:$F$72;SE(I13="TRIFÁSICO";4;3))'.</t>
  </si>
  <si>
    <t>Default da célula de proteção na aba 'CENTRO_DE_MEDIÇÃO' está apresentado o valor de 150 A.</t>
  </si>
  <si>
    <t>Alterada célula G14 da aba 'CENTRO_DE_MEDIÇÃO'
de "=PROCV($I$7;CondutorXcorrenteXproteção!$Q$24:$Y$28;9;FALSO)"
para "=SE(H10=0;"";PROCV($I$7;CondutorXcorrenteXproteção!$Q$24:$Y$28;9;FALSO))"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</si>
</sst>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quot;&quot;;[&lt;&gt;0]#;General"/>
    <numFmt numFmtId="165" formatCode="[=0]&quot;&quot;;[&lt;&gt;0]0.00;General"/>
    <numFmt numFmtId="166" formatCode="0.000"/>
    <numFmt numFmtId="167" formatCode="0.0000"/>
    <numFmt numFmtId="168" formatCode="[=0]&quot;&quot;;[&lt;&gt;0]#.00;General"/>
    <numFmt numFmtId="169" formatCode="0.00000"/>
  </numFmts>
  <fonts count="44" x14ac:knownFonts="1">
    <font>
      <sz val="10"/>
      <name val="Arial"/>
    </font>
    <font>
      <b/>
      <sz val="10"/>
      <color indexed="10"/>
      <name val="Century Gothic"/>
      <family val="2"/>
    </font>
    <font>
      <b/>
      <sz val="10"/>
      <name val="Century Gothic"/>
      <family val="2"/>
    </font>
    <font>
      <sz val="10"/>
      <name val="Century Gothic"/>
      <family val="2"/>
    </font>
    <font>
      <b/>
      <i/>
      <sz val="10"/>
      <color indexed="9"/>
      <name val="Century Gothic"/>
      <family val="2"/>
    </font>
    <font>
      <b/>
      <sz val="10"/>
      <color indexed="9"/>
      <name val="Century Gothic"/>
      <family val="2"/>
    </font>
    <font>
      <sz val="10"/>
      <color indexed="9"/>
      <name val="Century Gothic"/>
      <family val="2"/>
    </font>
    <font>
      <b/>
      <i/>
      <sz val="11"/>
      <color indexed="9"/>
      <name val="Century Gothic"/>
      <family val="2"/>
    </font>
    <font>
      <sz val="10"/>
      <color indexed="10"/>
      <name val="Century Gothic"/>
      <family val="2"/>
    </font>
    <font>
      <sz val="10"/>
      <name val="Arial"/>
      <family val="2"/>
    </font>
    <font>
      <i/>
      <sz val="10"/>
      <name val="Century Gothic"/>
      <family val="2"/>
    </font>
    <font>
      <sz val="11"/>
      <color indexed="9"/>
      <name val="Century Gothic"/>
      <family val="2"/>
    </font>
    <font>
      <sz val="11"/>
      <name val="Century Gothic"/>
      <family val="2"/>
    </font>
    <font>
      <b/>
      <sz val="16"/>
      <name val="Century Gothic"/>
      <family val="2"/>
    </font>
    <font>
      <b/>
      <sz val="12"/>
      <name val="Century Gothic"/>
      <family val="2"/>
    </font>
    <font>
      <b/>
      <i/>
      <sz val="11"/>
      <name val="Century Gothic"/>
      <family val="2"/>
    </font>
    <font>
      <b/>
      <sz val="10"/>
      <name val="Arial"/>
      <family val="2"/>
    </font>
    <font>
      <b/>
      <sz val="8"/>
      <color indexed="81"/>
      <name val="Tahoma"/>
      <family val="2"/>
    </font>
    <font>
      <sz val="10"/>
      <name val="Times New Roman"/>
      <family val="1"/>
    </font>
    <font>
      <sz val="18"/>
      <name val="Arial"/>
      <family val="2"/>
    </font>
    <font>
      <b/>
      <sz val="11"/>
      <name val="Century Gothic"/>
      <family val="2"/>
    </font>
    <font>
      <b/>
      <sz val="8"/>
      <name val="Century Gothic"/>
      <family val="2"/>
    </font>
    <font>
      <sz val="16"/>
      <name val="Arial"/>
      <family val="2"/>
    </font>
    <font>
      <b/>
      <sz val="10"/>
      <color theme="0"/>
      <name val="Arial"/>
      <family val="2"/>
    </font>
    <font>
      <sz val="10"/>
      <color theme="0"/>
      <name val="Arial"/>
      <family val="2"/>
    </font>
    <font>
      <sz val="10"/>
      <color theme="0"/>
      <name val="Century Gothic"/>
      <family val="2"/>
    </font>
    <font>
      <b/>
      <sz val="10"/>
      <color theme="4" tint="0.39997558519241921"/>
      <name val="Arial"/>
      <family val="2"/>
    </font>
    <font>
      <b/>
      <sz val="10"/>
      <color theme="0"/>
      <name val="Century Gothic"/>
      <family val="2"/>
    </font>
    <font>
      <b/>
      <sz val="10"/>
      <color theme="3" tint="0.59999389629810485"/>
      <name val="Arial"/>
      <family val="2"/>
    </font>
    <font>
      <b/>
      <i/>
      <sz val="10"/>
      <color theme="0"/>
      <name val="Century Gothic"/>
      <family val="2"/>
    </font>
    <font>
      <b/>
      <sz val="10"/>
      <color theme="4" tint="0.59996337778862885"/>
      <name val="Arial"/>
      <family val="2"/>
    </font>
    <font>
      <b/>
      <sz val="10"/>
      <color theme="4" tint="0.39994506668294322"/>
      <name val="Arial"/>
      <family val="2"/>
    </font>
    <font>
      <sz val="10"/>
      <color theme="4" tint="0.39997558519241921"/>
      <name val="Arial"/>
      <family val="2"/>
    </font>
    <font>
      <b/>
      <sz val="10"/>
      <color rgb="FFFF0000"/>
      <name val="Arial"/>
      <family val="2"/>
    </font>
    <font>
      <b/>
      <sz val="28"/>
      <color theme="0"/>
      <name val="Arial"/>
      <family val="2"/>
    </font>
    <font>
      <sz val="10"/>
      <color theme="1"/>
      <name val="Arial"/>
      <family val="2"/>
    </font>
    <font>
      <sz val="11"/>
      <color theme="0"/>
      <name val="Century Gothic"/>
      <family val="2"/>
    </font>
    <font>
      <b/>
      <sz val="11"/>
      <color theme="0"/>
      <name val="Century Gothic"/>
      <family val="2"/>
    </font>
    <font>
      <b/>
      <sz val="10"/>
      <color theme="4" tint="0.59999389629810485"/>
      <name val="Arial"/>
      <family val="2"/>
    </font>
    <font>
      <sz val="10"/>
      <name val="Arial"/>
      <family val="2"/>
    </font>
    <font>
      <b/>
      <sz val="10"/>
      <color rgb="FFFF0000"/>
      <name val="Century Gothic"/>
      <family val="2"/>
    </font>
    <font>
      <sz val="28"/>
      <name val="Calibri"/>
      <family val="2"/>
      <scheme val="minor"/>
    </font>
    <font>
      <sz val="9"/>
      <color indexed="81"/>
      <name val="Segoe UI"/>
      <charset val="1"/>
    </font>
    <font>
      <b/>
      <sz val="9"/>
      <color indexed="81"/>
      <name val="Segoe UI"/>
      <charset val="1"/>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44"/>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0" tint="-0.14996795556505021"/>
        <bgColor indexed="64"/>
      </patternFill>
    </fill>
    <fill>
      <patternFill patternType="darkGray">
        <fgColor indexed="9"/>
        <bgColor theme="0"/>
      </patternFill>
    </fill>
    <fill>
      <patternFill patternType="solid">
        <fgColor rgb="FF00B050"/>
        <bgColor indexed="64"/>
      </patternFill>
    </fill>
    <fill>
      <patternFill patternType="darkGray">
        <fgColor indexed="9"/>
        <bgColor indexed="10"/>
      </patternFill>
    </fill>
    <fill>
      <patternFill patternType="darkGray">
        <fgColor indexed="9"/>
        <bgColor indexed="9"/>
      </patternFill>
    </fill>
  </fills>
  <borders count="112">
    <border>
      <left/>
      <right/>
      <top/>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bottom/>
      <diagonal/>
    </border>
    <border>
      <left style="thin">
        <color indexed="9"/>
      </left>
      <right style="thin">
        <color indexed="9"/>
      </right>
      <top/>
      <bottom/>
      <diagonal/>
    </border>
    <border>
      <left/>
      <right/>
      <top style="thick">
        <color indexed="9"/>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9"/>
      </left>
      <right/>
      <top style="thin">
        <color indexed="9"/>
      </top>
      <bottom style="thin">
        <color indexed="9"/>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9"/>
      </left>
      <right style="thin">
        <color indexed="9"/>
      </right>
      <top/>
      <bottom style="thick">
        <color indexed="9"/>
      </bottom>
      <diagonal/>
    </border>
    <border>
      <left style="thin">
        <color indexed="9"/>
      </left>
      <right/>
      <top/>
      <bottom style="thick">
        <color indexed="9"/>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thick">
        <color indexed="9"/>
      </top>
      <bottom style="thick">
        <color indexed="9"/>
      </bottom>
      <diagonal/>
    </border>
    <border>
      <left/>
      <right style="thin">
        <color indexed="9"/>
      </right>
      <top style="thick">
        <color indexed="9"/>
      </top>
      <bottom style="thick">
        <color indexed="9"/>
      </bottom>
      <diagonal/>
    </border>
    <border>
      <left/>
      <right style="thin">
        <color indexed="9"/>
      </right>
      <top style="thick">
        <color indexed="9"/>
      </top>
      <bottom/>
      <diagonal/>
    </border>
    <border>
      <left/>
      <right/>
      <top/>
      <bottom style="thick">
        <color indexed="9"/>
      </bottom>
      <diagonal/>
    </border>
    <border>
      <left/>
      <right style="thin">
        <color indexed="9"/>
      </right>
      <top/>
      <bottom style="thick">
        <color indexed="9"/>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bottom style="medium">
        <color rgb="FF000000"/>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right style="medium">
        <color rgb="FF000000"/>
      </right>
      <top style="medium">
        <color rgb="FF000000"/>
      </top>
      <bottom/>
      <diagonal/>
    </border>
    <border>
      <left/>
      <right/>
      <top style="thin">
        <color theme="0"/>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dashDot">
        <color auto="1"/>
      </top>
      <bottom/>
      <diagonal/>
    </border>
    <border>
      <left style="thin">
        <color indexed="9"/>
      </left>
      <right/>
      <top style="thick">
        <color indexed="9"/>
      </top>
      <bottom/>
      <diagonal/>
    </border>
    <border>
      <left style="thin">
        <color indexed="9"/>
      </left>
      <right/>
      <top/>
      <bottom style="thin">
        <color theme="0"/>
      </bottom>
      <diagonal/>
    </border>
  </borders>
  <cellStyleXfs count="2">
    <xf numFmtId="0" fontId="0" fillId="0" borderId="0"/>
    <xf numFmtId="0" fontId="39" fillId="0" borderId="0"/>
  </cellStyleXfs>
  <cellXfs count="719">
    <xf numFmtId="0" fontId="0" fillId="0" borderId="0" xfId="0"/>
    <xf numFmtId="0" fontId="4" fillId="2" borderId="1" xfId="0" applyFont="1" applyFill="1" applyBorder="1" applyAlignment="1" applyProtection="1">
      <alignment horizontal="right"/>
    </xf>
    <xf numFmtId="0" fontId="6" fillId="2" borderId="2" xfId="0" applyFont="1" applyFill="1" applyBorder="1" applyAlignment="1" applyProtection="1">
      <alignment horizontal="left"/>
    </xf>
    <xf numFmtId="0" fontId="4" fillId="2" borderId="2" xfId="0" applyFont="1" applyFill="1" applyBorder="1" applyAlignment="1" applyProtection="1">
      <alignment horizontal="right"/>
    </xf>
    <xf numFmtId="0" fontId="6" fillId="2" borderId="3" xfId="0" applyFont="1" applyFill="1" applyBorder="1" applyAlignment="1" applyProtection="1">
      <alignment horizontal="left"/>
    </xf>
    <xf numFmtId="0" fontId="4" fillId="2" borderId="5" xfId="0" applyFont="1" applyFill="1" applyBorder="1" applyAlignment="1" applyProtection="1">
      <alignment horizontal="right"/>
    </xf>
    <xf numFmtId="0" fontId="5" fillId="3" borderId="0" xfId="0" applyFont="1" applyFill="1" applyBorder="1" applyAlignment="1" applyProtection="1">
      <alignment horizontal="right"/>
    </xf>
    <xf numFmtId="0" fontId="5" fillId="3" borderId="0" xfId="0" applyFont="1" applyFill="1" applyBorder="1" applyAlignment="1" applyProtection="1">
      <alignment horizontal="center"/>
    </xf>
    <xf numFmtId="0" fontId="6" fillId="3" borderId="0" xfId="0" applyFont="1" applyFill="1" applyBorder="1" applyAlignment="1" applyProtection="1">
      <alignment horizontal="left"/>
    </xf>
    <xf numFmtId="0" fontId="5" fillId="3" borderId="0" xfId="0" applyFont="1" applyFill="1" applyBorder="1" applyAlignment="1" applyProtection="1">
      <alignment horizontal="left"/>
    </xf>
    <xf numFmtId="0" fontId="4" fillId="2" borderId="6" xfId="0" applyFont="1" applyFill="1" applyBorder="1" applyAlignment="1" applyProtection="1">
      <alignment horizontal="right"/>
    </xf>
    <xf numFmtId="0" fontId="6" fillId="2" borderId="7" xfId="0" applyFont="1" applyFill="1" applyBorder="1" applyAlignment="1" applyProtection="1"/>
    <xf numFmtId="0" fontId="6" fillId="3" borderId="0" xfId="0" applyFont="1" applyFill="1" applyBorder="1" applyAlignment="1" applyProtection="1"/>
    <xf numFmtId="0" fontId="5" fillId="3" borderId="2" xfId="0" applyFont="1" applyFill="1" applyBorder="1" applyAlignment="1" applyProtection="1">
      <alignment horizontal="center"/>
    </xf>
    <xf numFmtId="0" fontId="3" fillId="3" borderId="0" xfId="0" applyFont="1" applyFill="1" applyBorder="1" applyAlignment="1" applyProtection="1"/>
    <xf numFmtId="0" fontId="1" fillId="3" borderId="0" xfId="0" applyFont="1" applyFill="1" applyBorder="1" applyProtection="1"/>
    <xf numFmtId="0" fontId="2" fillId="3" borderId="0" xfId="0" applyFont="1" applyFill="1" applyBorder="1" applyAlignment="1" applyProtection="1">
      <alignment horizontal="center"/>
    </xf>
    <xf numFmtId="0" fontId="3" fillId="3" borderId="0" xfId="0" applyFont="1" applyFill="1" applyProtection="1"/>
    <xf numFmtId="0" fontId="3" fillId="3" borderId="8" xfId="0" applyFont="1" applyFill="1" applyBorder="1" applyAlignment="1" applyProtection="1">
      <alignment horizontal="center"/>
    </xf>
    <xf numFmtId="0" fontId="0" fillId="3" borderId="0" xfId="0" applyFill="1" applyAlignment="1" applyProtection="1"/>
    <xf numFmtId="0" fontId="9" fillId="0" borderId="0" xfId="0" applyFont="1"/>
    <xf numFmtId="164" fontId="23" fillId="5" borderId="9" xfId="0" applyNumberFormat="1" applyFont="1" applyFill="1" applyBorder="1" applyAlignment="1">
      <alignment horizontal="center"/>
    </xf>
    <xf numFmtId="12" fontId="23" fillId="5" borderId="10" xfId="0" applyNumberFormat="1" applyFont="1" applyFill="1" applyBorder="1" applyAlignment="1">
      <alignment horizontal="center"/>
    </xf>
    <xf numFmtId="12" fontId="23" fillId="5" borderId="11" xfId="0" applyNumberFormat="1" applyFont="1" applyFill="1" applyBorder="1" applyAlignment="1">
      <alignment horizontal="center"/>
    </xf>
    <xf numFmtId="12" fontId="23" fillId="5" borderId="9" xfId="0" applyNumberFormat="1" applyFont="1" applyFill="1" applyBorder="1" applyAlignment="1">
      <alignment horizontal="center"/>
    </xf>
    <xf numFmtId="12" fontId="23" fillId="5" borderId="0" xfId="0" applyNumberFormat="1" applyFont="1" applyFill="1" applyBorder="1" applyAlignment="1">
      <alignment horizontal="center"/>
    </xf>
    <xf numFmtId="164" fontId="23" fillId="5" borderId="12" xfId="0" applyNumberFormat="1" applyFont="1" applyFill="1" applyBorder="1" applyAlignment="1">
      <alignment horizontal="center"/>
    </xf>
    <xf numFmtId="164" fontId="23" fillId="5" borderId="10" xfId="0" applyNumberFormat="1" applyFont="1" applyFill="1" applyBorder="1" applyAlignment="1">
      <alignment horizontal="center"/>
    </xf>
    <xf numFmtId="164" fontId="23" fillId="5" borderId="13" xfId="0" applyNumberFormat="1" applyFont="1" applyFill="1" applyBorder="1" applyAlignment="1">
      <alignment horizontal="center"/>
    </xf>
    <xf numFmtId="164" fontId="23" fillId="5" borderId="14" xfId="0" applyNumberFormat="1" applyFont="1" applyFill="1" applyBorder="1" applyAlignment="1">
      <alignment horizontal="center"/>
    </xf>
    <xf numFmtId="164" fontId="23" fillId="5" borderId="15" xfId="0" applyNumberFormat="1" applyFont="1" applyFill="1" applyBorder="1" applyAlignment="1">
      <alignment horizontal="center"/>
    </xf>
    <xf numFmtId="164" fontId="24" fillId="5" borderId="0" xfId="0" applyNumberFormat="1" applyFont="1" applyFill="1" applyAlignment="1">
      <alignment horizontal="center"/>
    </xf>
    <xf numFmtId="12" fontId="23" fillId="5" borderId="0" xfId="0" applyNumberFormat="1" applyFont="1" applyFill="1" applyAlignment="1">
      <alignment horizontal="center"/>
    </xf>
    <xf numFmtId="1" fontId="16" fillId="6" borderId="0" xfId="0" applyNumberFormat="1" applyFont="1" applyFill="1" applyBorder="1" applyAlignment="1" applyProtection="1">
      <alignment horizontal="center"/>
      <protection locked="0"/>
    </xf>
    <xf numFmtId="1" fontId="16" fillId="7" borderId="16" xfId="0" applyNumberFormat="1" applyFont="1" applyFill="1" applyBorder="1" applyAlignment="1" applyProtection="1">
      <alignment horizontal="center"/>
      <protection locked="0"/>
    </xf>
    <xf numFmtId="1" fontId="16" fillId="7" borderId="0" xfId="0" applyNumberFormat="1" applyFont="1" applyFill="1" applyBorder="1" applyAlignment="1" applyProtection="1">
      <alignment horizontal="center"/>
      <protection locked="0"/>
    </xf>
    <xf numFmtId="0" fontId="25" fillId="3" borderId="0" xfId="0" applyFont="1" applyFill="1" applyProtection="1"/>
    <xf numFmtId="0" fontId="25" fillId="3" borderId="0" xfId="0" applyFont="1" applyFill="1" applyBorder="1" applyAlignment="1" applyProtection="1">
      <alignment horizontal="center"/>
    </xf>
    <xf numFmtId="0" fontId="24" fillId="3" borderId="0" xfId="0" applyFont="1" applyFill="1" applyAlignment="1" applyProtection="1"/>
    <xf numFmtId="0" fontId="3" fillId="3" borderId="78" xfId="0" applyFont="1" applyFill="1" applyBorder="1" applyProtection="1"/>
    <xf numFmtId="0" fontId="3" fillId="3" borderId="79" xfId="0" applyFont="1" applyFill="1" applyBorder="1" applyProtection="1"/>
    <xf numFmtId="0" fontId="3" fillId="3" borderId="80" xfId="0" applyFont="1" applyFill="1" applyBorder="1" applyProtection="1"/>
    <xf numFmtId="0" fontId="3" fillId="3" borderId="81" xfId="0" applyFont="1" applyFill="1" applyBorder="1" applyProtection="1"/>
    <xf numFmtId="0" fontId="3" fillId="3" borderId="82" xfId="0" applyFont="1" applyFill="1" applyBorder="1" applyProtection="1"/>
    <xf numFmtId="0" fontId="3" fillId="3" borderId="83" xfId="0" applyFont="1" applyFill="1" applyBorder="1" applyProtection="1"/>
    <xf numFmtId="0" fontId="3" fillId="3" borderId="84" xfId="0" applyFont="1" applyFill="1" applyBorder="1" applyProtection="1"/>
    <xf numFmtId="0" fontId="3" fillId="3" borderId="85" xfId="0" applyFont="1" applyFill="1" applyBorder="1" applyProtection="1"/>
    <xf numFmtId="0" fontId="3" fillId="3" borderId="86" xfId="0" applyFont="1" applyFill="1" applyBorder="1" applyProtection="1"/>
    <xf numFmtId="0" fontId="3" fillId="3" borderId="0" xfId="0" applyFont="1" applyFill="1" applyBorder="1" applyProtection="1"/>
    <xf numFmtId="0" fontId="2" fillId="3" borderId="80" xfId="0" applyFont="1" applyFill="1" applyBorder="1" applyAlignment="1" applyProtection="1">
      <alignment horizontal="center"/>
    </xf>
    <xf numFmtId="0" fontId="3" fillId="3" borderId="87" xfId="0" applyFont="1" applyFill="1" applyBorder="1" applyProtection="1"/>
    <xf numFmtId="0" fontId="0" fillId="0" borderId="0" xfId="0" applyProtection="1">
      <protection locked="0"/>
    </xf>
    <xf numFmtId="0" fontId="9" fillId="0" borderId="0" xfId="0" applyFont="1" applyProtection="1">
      <protection locked="0"/>
    </xf>
    <xf numFmtId="164" fontId="16" fillId="7" borderId="0" xfId="0" applyNumberFormat="1" applyFont="1" applyFill="1" applyAlignment="1" applyProtection="1">
      <alignment horizontal="center"/>
      <protection locked="0"/>
    </xf>
    <xf numFmtId="164" fontId="16" fillId="6" borderId="0" xfId="0" applyNumberFormat="1" applyFont="1" applyFill="1" applyAlignment="1" applyProtection="1">
      <alignment horizontal="center"/>
      <protection locked="0"/>
    </xf>
    <xf numFmtId="164" fontId="16" fillId="7" borderId="19" xfId="0" applyNumberFormat="1" applyFont="1" applyFill="1" applyBorder="1" applyAlignment="1" applyProtection="1">
      <alignment horizontal="center"/>
      <protection locked="0"/>
    </xf>
    <xf numFmtId="164" fontId="16" fillId="7" borderId="20" xfId="0" applyNumberFormat="1" applyFont="1" applyFill="1" applyBorder="1" applyAlignment="1" applyProtection="1">
      <alignment horizontal="center"/>
      <protection locked="0"/>
    </xf>
    <xf numFmtId="164" fontId="16" fillId="6" borderId="19" xfId="0" applyNumberFormat="1" applyFont="1" applyFill="1" applyBorder="1" applyAlignment="1" applyProtection="1">
      <alignment horizontal="center"/>
      <protection locked="0"/>
    </xf>
    <xf numFmtId="164" fontId="16" fillId="6" borderId="20" xfId="0" applyNumberFormat="1" applyFont="1" applyFill="1" applyBorder="1" applyAlignment="1" applyProtection="1">
      <alignment horizontal="center"/>
      <protection locked="0"/>
    </xf>
    <xf numFmtId="0" fontId="16" fillId="7" borderId="20" xfId="0" applyNumberFormat="1" applyFont="1" applyFill="1" applyBorder="1" applyAlignment="1" applyProtection="1">
      <alignment horizontal="center"/>
      <protection locked="0"/>
    </xf>
    <xf numFmtId="0" fontId="16" fillId="6" borderId="19" xfId="0" applyNumberFormat="1" applyFont="1" applyFill="1" applyBorder="1" applyAlignment="1" applyProtection="1">
      <alignment horizontal="center"/>
      <protection locked="0"/>
    </xf>
    <xf numFmtId="164" fontId="0" fillId="7" borderId="0" xfId="0" applyNumberFormat="1" applyFill="1" applyAlignment="1" applyProtection="1">
      <alignment horizontal="center"/>
      <protection locked="0"/>
    </xf>
    <xf numFmtId="164" fontId="0" fillId="6" borderId="0" xfId="0" applyNumberFormat="1" applyFill="1" applyAlignment="1" applyProtection="1">
      <alignment horizontal="center"/>
      <protection locked="0"/>
    </xf>
    <xf numFmtId="0" fontId="3" fillId="8" borderId="0" xfId="0" applyFont="1" applyFill="1" applyBorder="1" applyAlignment="1" applyProtection="1">
      <protection locked="0"/>
    </xf>
    <xf numFmtId="0" fontId="11" fillId="8" borderId="0" xfId="0" applyFont="1" applyFill="1" applyBorder="1" applyAlignment="1" applyProtection="1">
      <protection locked="0"/>
    </xf>
    <xf numFmtId="0" fontId="6" fillId="8" borderId="0" xfId="0" applyFont="1" applyFill="1" applyBorder="1" applyAlignment="1" applyProtection="1">
      <protection locked="0"/>
    </xf>
    <xf numFmtId="0" fontId="6" fillId="8" borderId="0" xfId="0" quotePrefix="1" applyFont="1" applyFill="1" applyBorder="1" applyAlignment="1" applyProtection="1">
      <protection locked="0"/>
    </xf>
    <xf numFmtId="0" fontId="6" fillId="8" borderId="0" xfId="0" applyFont="1" applyFill="1" applyBorder="1" applyAlignment="1" applyProtection="1">
      <alignment vertical="center"/>
      <protection locked="0"/>
    </xf>
    <xf numFmtId="164" fontId="16" fillId="0" borderId="21" xfId="0" applyNumberFormat="1" applyFont="1" applyFill="1" applyBorder="1" applyAlignment="1" applyProtection="1"/>
    <xf numFmtId="164" fontId="16" fillId="0" borderId="22" xfId="0" applyNumberFormat="1" applyFont="1" applyFill="1" applyBorder="1" applyAlignment="1" applyProtection="1"/>
    <xf numFmtId="2" fontId="0" fillId="0" borderId="0" xfId="0" applyNumberFormat="1" applyProtection="1">
      <protection locked="0"/>
    </xf>
    <xf numFmtId="0" fontId="9" fillId="0" borderId="0" xfId="0" applyFont="1" applyBorder="1" applyAlignment="1" applyProtection="1">
      <alignment horizontal="center"/>
      <protection locked="0"/>
    </xf>
    <xf numFmtId="0" fontId="9" fillId="0" borderId="0" xfId="0" applyFont="1" applyFill="1" applyBorder="1"/>
    <xf numFmtId="0" fontId="0" fillId="0" borderId="15"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22" xfId="0" applyBorder="1" applyAlignment="1">
      <alignment horizontal="center"/>
    </xf>
    <xf numFmtId="2" fontId="16" fillId="7" borderId="31" xfId="0" applyNumberFormat="1" applyFont="1" applyFill="1" applyBorder="1" applyAlignment="1">
      <alignment horizontal="center"/>
    </xf>
    <xf numFmtId="2" fontId="16" fillId="7" borderId="0" xfId="0" applyNumberFormat="1" applyFont="1" applyFill="1" applyAlignment="1">
      <alignment horizontal="center"/>
    </xf>
    <xf numFmtId="2" fontId="16" fillId="7" borderId="21" xfId="0" applyNumberFormat="1" applyFont="1" applyFill="1" applyBorder="1" applyAlignment="1">
      <alignment horizontal="center"/>
    </xf>
    <xf numFmtId="2" fontId="9" fillId="7" borderId="0" xfId="0" applyNumberFormat="1" applyFont="1" applyFill="1" applyAlignment="1">
      <alignment horizontal="center"/>
    </xf>
    <xf numFmtId="2" fontId="16" fillId="7" borderId="0" xfId="0" applyNumberFormat="1" applyFont="1" applyFill="1" applyBorder="1" applyAlignment="1">
      <alignment horizontal="center"/>
    </xf>
    <xf numFmtId="2" fontId="9" fillId="0" borderId="0" xfId="0" applyNumberFormat="1" applyFont="1"/>
    <xf numFmtId="2" fontId="16" fillId="8" borderId="0" xfId="0" applyNumberFormat="1" applyFont="1" applyFill="1" applyAlignment="1">
      <alignment horizontal="center"/>
    </xf>
    <xf numFmtId="2" fontId="16" fillId="8" borderId="21" xfId="0" applyNumberFormat="1" applyFont="1" applyFill="1" applyBorder="1" applyAlignment="1">
      <alignment horizontal="center"/>
    </xf>
    <xf numFmtId="2" fontId="9" fillId="8" borderId="0" xfId="0" applyNumberFormat="1" applyFont="1" applyFill="1" applyAlignment="1">
      <alignment horizontal="center"/>
    </xf>
    <xf numFmtId="2" fontId="16" fillId="8" borderId="0" xfId="0" applyNumberFormat="1" applyFont="1" applyFill="1" applyBorder="1" applyAlignment="1">
      <alignment horizontal="center"/>
    </xf>
    <xf numFmtId="2" fontId="16" fillId="9" borderId="31" xfId="0" applyNumberFormat="1" applyFont="1" applyFill="1" applyBorder="1" applyAlignment="1">
      <alignment horizontal="center"/>
    </xf>
    <xf numFmtId="166" fontId="0" fillId="0" borderId="0" xfId="0" applyNumberFormat="1" applyProtection="1">
      <protection locked="0"/>
    </xf>
    <xf numFmtId="167" fontId="0" fillId="0" borderId="0" xfId="0" applyNumberFormat="1" applyProtection="1">
      <protection locked="0"/>
    </xf>
    <xf numFmtId="0" fontId="0" fillId="0" borderId="0" xfId="0" applyAlignment="1">
      <alignment horizontal="center"/>
    </xf>
    <xf numFmtId="0" fontId="0" fillId="0" borderId="0" xfId="0" applyAlignment="1">
      <alignment horizontal="center" vertical="center" wrapText="1"/>
    </xf>
    <xf numFmtId="2" fontId="0" fillId="0" borderId="0" xfId="0" applyNumberFormat="1"/>
    <xf numFmtId="0" fontId="0" fillId="0" borderId="23" xfId="0" applyBorder="1" applyAlignment="1">
      <alignment horizontal="center"/>
    </xf>
    <xf numFmtId="0" fontId="0" fillId="0" borderId="25" xfId="0" applyBorder="1" applyAlignment="1">
      <alignment horizontal="center"/>
    </xf>
    <xf numFmtId="0" fontId="0" fillId="0" borderId="32" xfId="0" applyBorder="1" applyAlignment="1">
      <alignment horizontal="center"/>
    </xf>
    <xf numFmtId="0" fontId="0" fillId="0" borderId="33" xfId="0" applyBorder="1" applyAlignment="1" applyProtection="1">
      <alignment horizontal="center"/>
      <protection locked="0"/>
    </xf>
    <xf numFmtId="0" fontId="0" fillId="0" borderId="34" xfId="0" applyBorder="1" applyAlignment="1">
      <alignment horizontal="center"/>
    </xf>
    <xf numFmtId="1" fontId="0" fillId="0" borderId="26" xfId="0" applyNumberFormat="1" applyBorder="1" applyAlignment="1">
      <alignment horizontal="center"/>
    </xf>
    <xf numFmtId="2" fontId="0" fillId="0" borderId="27" xfId="0" applyNumberFormat="1" applyBorder="1" applyAlignment="1">
      <alignment horizontal="center"/>
    </xf>
    <xf numFmtId="0" fontId="0" fillId="0" borderId="27" xfId="0" applyBorder="1" applyAlignment="1">
      <alignment horizontal="center"/>
    </xf>
    <xf numFmtId="0" fontId="0" fillId="0" borderId="34" xfId="0" applyBorder="1"/>
    <xf numFmtId="1" fontId="0" fillId="0" borderId="28" xfId="0" applyNumberFormat="1" applyBorder="1" applyAlignment="1">
      <alignment horizontal="center"/>
    </xf>
    <xf numFmtId="2" fontId="0" fillId="0" borderId="30" xfId="0" applyNumberFormat="1" applyBorder="1" applyAlignment="1">
      <alignment horizontal="center"/>
    </xf>
    <xf numFmtId="0" fontId="0" fillId="0" borderId="30" xfId="0" applyBorder="1" applyAlignment="1">
      <alignment horizontal="center"/>
    </xf>
    <xf numFmtId="0" fontId="9" fillId="0" borderId="25" xfId="0" applyFont="1"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12" fontId="0" fillId="0" borderId="0" xfId="0" applyNumberFormat="1" applyProtection="1">
      <protection locked="0"/>
    </xf>
    <xf numFmtId="12" fontId="9" fillId="0" borderId="0" xfId="0" applyNumberFormat="1" applyFont="1" applyProtection="1">
      <protection locked="0"/>
    </xf>
    <xf numFmtId="12" fontId="0" fillId="0" borderId="0" xfId="0" applyNumberFormat="1" applyAlignment="1" applyProtection="1">
      <protection locked="0"/>
    </xf>
    <xf numFmtId="12" fontId="9" fillId="0" borderId="0" xfId="0" applyNumberFormat="1" applyFont="1" applyAlignment="1" applyProtection="1">
      <protection locked="0"/>
    </xf>
    <xf numFmtId="12" fontId="9" fillId="0" borderId="0" xfId="0" applyNumberFormat="1" applyFont="1"/>
    <xf numFmtId="12" fontId="0" fillId="0" borderId="0" xfId="0" applyNumberFormat="1"/>
    <xf numFmtId="2" fontId="9" fillId="0" borderId="0" xfId="0" applyNumberFormat="1" applyFont="1" applyProtection="1">
      <protection locked="0"/>
    </xf>
    <xf numFmtId="0" fontId="16" fillId="0" borderId="27" xfId="0" applyFont="1" applyFill="1" applyBorder="1" applyAlignment="1" applyProtection="1">
      <alignment horizontal="center"/>
    </xf>
    <xf numFmtId="0" fontId="16" fillId="4" borderId="30" xfId="0" applyFont="1" applyFill="1" applyBorder="1" applyAlignment="1" applyProtection="1">
      <alignment horizontal="center"/>
    </xf>
    <xf numFmtId="0" fontId="0" fillId="0" borderId="16" xfId="0" applyBorder="1" applyAlignment="1">
      <alignment horizontal="center"/>
    </xf>
    <xf numFmtId="0" fontId="0" fillId="0" borderId="37" xfId="0" applyBorder="1" applyAlignment="1">
      <alignment horizontal="center"/>
    </xf>
    <xf numFmtId="12" fontId="0" fillId="10" borderId="0" xfId="0" applyNumberFormat="1" applyFill="1" applyProtection="1">
      <protection locked="0"/>
    </xf>
    <xf numFmtId="0" fontId="0" fillId="10" borderId="0" xfId="0" applyFill="1" applyProtection="1">
      <protection locked="0"/>
    </xf>
    <xf numFmtId="12" fontId="0" fillId="11" borderId="0" xfId="0" applyNumberFormat="1" applyFill="1" applyProtection="1">
      <protection locked="0"/>
    </xf>
    <xf numFmtId="0" fontId="0" fillId="11" borderId="0" xfId="0" applyFill="1" applyProtection="1">
      <protection locked="0"/>
    </xf>
    <xf numFmtId="164" fontId="16" fillId="12" borderId="0" xfId="0" applyNumberFormat="1" applyFont="1" applyFill="1" applyBorder="1" applyAlignment="1" applyProtection="1">
      <alignment horizontal="center"/>
    </xf>
    <xf numFmtId="164" fontId="23" fillId="5" borderId="10" xfId="0" applyNumberFormat="1" applyFont="1" applyFill="1" applyBorder="1" applyAlignment="1" applyProtection="1">
      <alignment horizontal="center"/>
    </xf>
    <xf numFmtId="164" fontId="23" fillId="5" borderId="13" xfId="0" applyNumberFormat="1" applyFont="1" applyFill="1" applyBorder="1" applyAlignment="1" applyProtection="1">
      <alignment horizontal="center"/>
    </xf>
    <xf numFmtId="164" fontId="23" fillId="5" borderId="9" xfId="0" applyNumberFormat="1" applyFont="1" applyFill="1" applyBorder="1" applyAlignment="1" applyProtection="1">
      <alignment horizontal="center"/>
    </xf>
    <xf numFmtId="164" fontId="23" fillId="5" borderId="12" xfId="0" applyNumberFormat="1" applyFont="1" applyFill="1" applyBorder="1" applyAlignment="1" applyProtection="1">
      <alignment horizontal="center"/>
    </xf>
    <xf numFmtId="164" fontId="23" fillId="5" borderId="14" xfId="0" applyNumberFormat="1" applyFont="1" applyFill="1" applyBorder="1" applyAlignment="1" applyProtection="1">
      <alignment horizontal="center"/>
    </xf>
    <xf numFmtId="12" fontId="23" fillId="5" borderId="10" xfId="0" applyNumberFormat="1" applyFont="1" applyFill="1" applyBorder="1" applyAlignment="1" applyProtection="1">
      <alignment horizontal="center"/>
    </xf>
    <xf numFmtId="12" fontId="23" fillId="5" borderId="11" xfId="0" applyNumberFormat="1" applyFont="1" applyFill="1" applyBorder="1" applyAlignment="1" applyProtection="1">
      <alignment horizontal="center"/>
    </xf>
    <xf numFmtId="12" fontId="23" fillId="5" borderId="9" xfId="0" applyNumberFormat="1" applyFont="1" applyFill="1" applyBorder="1" applyAlignment="1" applyProtection="1">
      <alignment horizontal="center"/>
    </xf>
    <xf numFmtId="165" fontId="16" fillId="12" borderId="0" xfId="0" applyNumberFormat="1" applyFont="1" applyFill="1" applyBorder="1" applyAlignment="1" applyProtection="1">
      <alignment horizontal="center"/>
    </xf>
    <xf numFmtId="164" fontId="24" fillId="12" borderId="0" xfId="0" applyNumberFormat="1" applyFont="1" applyFill="1" applyBorder="1" applyAlignment="1" applyProtection="1">
      <alignment horizontal="center"/>
    </xf>
    <xf numFmtId="12" fontId="23" fillId="12" borderId="0" xfId="0" applyNumberFormat="1" applyFont="1" applyFill="1" applyBorder="1" applyAlignment="1" applyProtection="1">
      <alignment horizontal="center"/>
    </xf>
    <xf numFmtId="0" fontId="24" fillId="12" borderId="0" xfId="0" applyFont="1" applyFill="1" applyBorder="1" applyAlignment="1" applyProtection="1">
      <alignment horizontal="center"/>
    </xf>
    <xf numFmtId="0" fontId="0" fillId="12" borderId="0" xfId="0" applyFill="1" applyBorder="1" applyProtection="1"/>
    <xf numFmtId="0" fontId="0" fillId="0" borderId="0" xfId="0" applyProtection="1"/>
    <xf numFmtId="0" fontId="9" fillId="0" borderId="0" xfId="0" applyFont="1" applyProtection="1"/>
    <xf numFmtId="2" fontId="16" fillId="9" borderId="31" xfId="0" applyNumberFormat="1" applyFont="1" applyFill="1" applyBorder="1" applyAlignment="1" applyProtection="1">
      <alignment horizontal="center"/>
    </xf>
    <xf numFmtId="2" fontId="16" fillId="7" borderId="31" xfId="0" applyNumberFormat="1" applyFont="1" applyFill="1" applyBorder="1" applyAlignment="1" applyProtection="1">
      <alignment horizontal="center"/>
    </xf>
    <xf numFmtId="2" fontId="16" fillId="8" borderId="31" xfId="0" applyNumberFormat="1" applyFont="1" applyFill="1" applyBorder="1" applyAlignment="1" applyProtection="1">
      <alignment horizontal="center"/>
    </xf>
    <xf numFmtId="2" fontId="16" fillId="7" borderId="38" xfId="0" applyNumberFormat="1" applyFont="1" applyFill="1" applyBorder="1" applyAlignment="1" applyProtection="1">
      <alignment horizontal="center"/>
    </xf>
    <xf numFmtId="2" fontId="16" fillId="8" borderId="0" xfId="0" applyNumberFormat="1" applyFont="1" applyFill="1" applyBorder="1" applyAlignment="1" applyProtection="1">
      <alignment horizontal="center"/>
    </xf>
    <xf numFmtId="2" fontId="16" fillId="7" borderId="39" xfId="0" applyNumberFormat="1" applyFont="1" applyFill="1" applyBorder="1" applyAlignment="1" applyProtection="1">
      <alignment horizontal="center"/>
    </xf>
    <xf numFmtId="2" fontId="16" fillId="8" borderId="39" xfId="0" applyNumberFormat="1" applyFont="1" applyFill="1" applyBorder="1" applyAlignment="1" applyProtection="1">
      <alignment horizontal="center"/>
    </xf>
    <xf numFmtId="12" fontId="23" fillId="8" borderId="0" xfId="0" applyNumberFormat="1" applyFont="1" applyFill="1" applyBorder="1" applyAlignment="1" applyProtection="1">
      <alignment horizontal="center"/>
    </xf>
    <xf numFmtId="12" fontId="23" fillId="8" borderId="40" xfId="0" applyNumberFormat="1" applyFont="1" applyFill="1" applyBorder="1" applyAlignment="1" applyProtection="1">
      <alignment horizontal="center"/>
    </xf>
    <xf numFmtId="12" fontId="23" fillId="8" borderId="35" xfId="0" applyNumberFormat="1" applyFont="1" applyFill="1" applyBorder="1" applyAlignment="1" applyProtection="1">
      <alignment horizontal="center"/>
    </xf>
    <xf numFmtId="12" fontId="23" fillId="8" borderId="31" xfId="0" applyNumberFormat="1" applyFont="1" applyFill="1" applyBorder="1" applyAlignment="1" applyProtection="1">
      <alignment horizontal="center"/>
    </xf>
    <xf numFmtId="12" fontId="23" fillId="8" borderId="36" xfId="0" applyNumberFormat="1" applyFont="1" applyFill="1" applyBorder="1" applyAlignment="1" applyProtection="1">
      <alignment horizontal="center"/>
    </xf>
    <xf numFmtId="12" fontId="23" fillId="8" borderId="41" xfId="0" applyNumberFormat="1" applyFont="1" applyFill="1" applyBorder="1" applyAlignment="1" applyProtection="1">
      <alignment horizontal="center"/>
    </xf>
    <xf numFmtId="1" fontId="16" fillId="7" borderId="0" xfId="0" applyNumberFormat="1" applyFont="1" applyFill="1" applyBorder="1" applyAlignment="1" applyProtection="1">
      <alignment horizontal="center"/>
    </xf>
    <xf numFmtId="1" fontId="16" fillId="6" borderId="0" xfId="0" applyNumberFormat="1" applyFont="1" applyFill="1" applyBorder="1" applyAlignment="1" applyProtection="1">
      <alignment horizontal="center"/>
    </xf>
    <xf numFmtId="0" fontId="24" fillId="8" borderId="0" xfId="0" applyFont="1" applyFill="1" applyAlignment="1" applyProtection="1">
      <alignment horizontal="center"/>
    </xf>
    <xf numFmtId="0" fontId="0" fillId="7" borderId="0" xfId="0" applyFill="1" applyProtection="1"/>
    <xf numFmtId="0" fontId="0" fillId="6" borderId="0" xfId="0" applyFill="1" applyProtection="1"/>
    <xf numFmtId="0" fontId="24" fillId="5" borderId="0" xfId="0" applyFont="1" applyFill="1" applyAlignment="1" applyProtection="1">
      <alignment horizontal="center"/>
    </xf>
    <xf numFmtId="2" fontId="9" fillId="8" borderId="0" xfId="0" applyNumberFormat="1" applyFont="1" applyFill="1" applyAlignment="1" applyProtection="1">
      <alignment horizontal="center"/>
    </xf>
    <xf numFmtId="2" fontId="24" fillId="8" borderId="0" xfId="0" applyNumberFormat="1" applyFont="1" applyFill="1" applyAlignment="1" applyProtection="1">
      <alignment horizontal="center"/>
    </xf>
    <xf numFmtId="0" fontId="24" fillId="12" borderId="0" xfId="0" applyFont="1" applyFill="1" applyAlignment="1" applyProtection="1">
      <alignment horizontal="center"/>
    </xf>
    <xf numFmtId="0" fontId="0" fillId="12" borderId="0" xfId="0" applyFill="1" applyProtection="1"/>
    <xf numFmtId="2" fontId="16" fillId="7" borderId="0" xfId="0" applyNumberFormat="1" applyFont="1" applyFill="1" applyBorder="1" applyAlignment="1" applyProtection="1">
      <alignment horizontal="center"/>
      <protection locked="0"/>
    </xf>
    <xf numFmtId="0" fontId="9" fillId="0" borderId="0" xfId="0" applyFont="1" applyAlignment="1" applyProtection="1">
      <alignment horizontal="center"/>
      <protection locked="0"/>
    </xf>
    <xf numFmtId="1" fontId="0" fillId="0" borderId="0" xfId="0" applyNumberFormat="1" applyProtection="1">
      <protection locked="0"/>
    </xf>
    <xf numFmtId="0" fontId="9" fillId="10" borderId="0" xfId="0" applyFont="1" applyFill="1"/>
    <xf numFmtId="0" fontId="9" fillId="10" borderId="0" xfId="0" applyFont="1" applyFill="1" applyProtection="1">
      <protection locked="0"/>
    </xf>
    <xf numFmtId="12" fontId="9" fillId="10" borderId="0" xfId="0" applyNumberFormat="1" applyFont="1" applyFill="1" applyProtection="1">
      <protection locked="0"/>
    </xf>
    <xf numFmtId="12" fontId="0" fillId="10" borderId="0" xfId="0" applyNumberFormat="1" applyFill="1" applyAlignment="1" applyProtection="1">
      <protection locked="0"/>
    </xf>
    <xf numFmtId="12" fontId="9" fillId="10" borderId="0" xfId="0" applyNumberFormat="1" applyFont="1" applyFill="1" applyAlignment="1" applyProtection="1">
      <protection locked="0"/>
    </xf>
    <xf numFmtId="12" fontId="9" fillId="10" borderId="0" xfId="0" applyNumberFormat="1" applyFont="1" applyFill="1"/>
    <xf numFmtId="0" fontId="0" fillId="10" borderId="0" xfId="0" applyFill="1"/>
    <xf numFmtId="2" fontId="16" fillId="9" borderId="39" xfId="0" applyNumberFormat="1" applyFont="1" applyFill="1" applyBorder="1" applyAlignment="1" applyProtection="1">
      <alignment horizontal="center"/>
    </xf>
    <xf numFmtId="2" fontId="16" fillId="9" borderId="41" xfId="0" applyNumberFormat="1" applyFont="1" applyFill="1" applyBorder="1" applyAlignment="1" applyProtection="1">
      <alignment horizontal="center"/>
    </xf>
    <xf numFmtId="2" fontId="16" fillId="9" borderId="38" xfId="0" applyNumberFormat="1" applyFont="1" applyFill="1" applyBorder="1" applyAlignment="1" applyProtection="1">
      <alignment horizontal="center"/>
    </xf>
    <xf numFmtId="0" fontId="3" fillId="8" borderId="0" xfId="0" applyFont="1" applyFill="1" applyProtection="1"/>
    <xf numFmtId="0" fontId="5" fillId="13" borderId="5" xfId="0" applyFont="1" applyFill="1" applyBorder="1" applyAlignment="1" applyProtection="1">
      <alignment horizontal="center"/>
      <protection locked="0"/>
    </xf>
    <xf numFmtId="0" fontId="5" fillId="13" borderId="42" xfId="0" applyFont="1" applyFill="1" applyBorder="1" applyAlignment="1" applyProtection="1">
      <alignment horizontal="left"/>
      <protection locked="0"/>
    </xf>
    <xf numFmtId="0" fontId="4" fillId="13" borderId="7" xfId="0" applyFont="1" applyFill="1" applyBorder="1" applyAlignment="1" applyProtection="1">
      <alignment horizontal="center"/>
      <protection locked="0"/>
    </xf>
    <xf numFmtId="0" fontId="5" fillId="13" borderId="7" xfId="0" applyFont="1" applyFill="1" applyBorder="1" applyAlignment="1" applyProtection="1">
      <alignment horizontal="center"/>
      <protection locked="0"/>
    </xf>
    <xf numFmtId="164" fontId="23" fillId="12" borderId="0" xfId="0" applyNumberFormat="1" applyFont="1" applyFill="1" applyBorder="1" applyAlignment="1" applyProtection="1">
      <alignment horizontal="center"/>
    </xf>
    <xf numFmtId="1" fontId="16" fillId="12" borderId="0" xfId="0" applyNumberFormat="1" applyFont="1" applyFill="1" applyBorder="1" applyAlignment="1" applyProtection="1">
      <alignment vertical="center" wrapText="1"/>
    </xf>
    <xf numFmtId="0" fontId="16" fillId="5" borderId="0" xfId="0" applyFont="1" applyFill="1" applyBorder="1" applyAlignment="1" applyProtection="1">
      <alignment horizontal="center" vertical="center" wrapText="1"/>
      <protection locked="0"/>
    </xf>
    <xf numFmtId="164" fontId="23" fillId="5" borderId="0" xfId="0" applyNumberFormat="1" applyFont="1" applyFill="1" applyBorder="1" applyAlignment="1">
      <alignment horizontal="center"/>
    </xf>
    <xf numFmtId="164" fontId="16" fillId="6" borderId="0" xfId="0" applyNumberFormat="1" applyFont="1" applyFill="1" applyBorder="1" applyAlignment="1" applyProtection="1">
      <alignment horizontal="center"/>
      <protection locked="0"/>
    </xf>
    <xf numFmtId="1" fontId="16" fillId="10" borderId="16" xfId="0" applyNumberFormat="1" applyFont="1" applyFill="1" applyBorder="1" applyAlignment="1" applyProtection="1">
      <alignment horizontal="center"/>
      <protection locked="0"/>
    </xf>
    <xf numFmtId="164" fontId="16" fillId="7" borderId="22" xfId="0" applyNumberFormat="1" applyFont="1" applyFill="1" applyBorder="1" applyAlignment="1" applyProtection="1"/>
    <xf numFmtId="164" fontId="23" fillId="5" borderId="43" xfId="0" applyNumberFormat="1" applyFont="1" applyFill="1" applyBorder="1" applyAlignment="1">
      <alignment horizontal="center"/>
    </xf>
    <xf numFmtId="2" fontId="16" fillId="7" borderId="44" xfId="0" applyNumberFormat="1" applyFont="1" applyFill="1" applyBorder="1" applyAlignment="1">
      <alignment horizontal="center"/>
    </xf>
    <xf numFmtId="2" fontId="16" fillId="7" borderId="44" xfId="0" applyNumberFormat="1" applyFont="1" applyFill="1" applyBorder="1" applyAlignment="1" applyProtection="1">
      <alignment horizontal="center"/>
      <protection locked="0"/>
    </xf>
    <xf numFmtId="2" fontId="16" fillId="7" borderId="34" xfId="0" applyNumberFormat="1" applyFont="1" applyFill="1" applyBorder="1" applyAlignment="1" applyProtection="1">
      <alignment horizontal="center"/>
      <protection locked="0"/>
    </xf>
    <xf numFmtId="2" fontId="16" fillId="10" borderId="16" xfId="0" applyNumberFormat="1" applyFont="1" applyFill="1" applyBorder="1" applyAlignment="1" applyProtection="1">
      <alignment horizontal="center"/>
      <protection locked="0"/>
    </xf>
    <xf numFmtId="2" fontId="16" fillId="7" borderId="19" xfId="0" applyNumberFormat="1" applyFont="1" applyFill="1" applyBorder="1" applyAlignment="1" applyProtection="1">
      <alignment horizontal="center"/>
      <protection locked="0"/>
    </xf>
    <xf numFmtId="2" fontId="16" fillId="7" borderId="20" xfId="0" applyNumberFormat="1" applyFont="1" applyFill="1" applyBorder="1" applyAlignment="1" applyProtection="1">
      <alignment horizontal="center"/>
      <protection locked="0"/>
    </xf>
    <xf numFmtId="2" fontId="16" fillId="7" borderId="16" xfId="0" applyNumberFormat="1" applyFont="1" applyFill="1" applyBorder="1" applyAlignment="1" applyProtection="1">
      <alignment horizontal="center"/>
      <protection locked="0"/>
    </xf>
    <xf numFmtId="2" fontId="0" fillId="7" borderId="0" xfId="0" applyNumberFormat="1" applyFill="1" applyAlignment="1" applyProtection="1">
      <alignment horizontal="center"/>
      <protection locked="0"/>
    </xf>
    <xf numFmtId="2" fontId="16" fillId="7" borderId="22" xfId="0" applyNumberFormat="1" applyFont="1" applyFill="1" applyBorder="1" applyAlignment="1" applyProtection="1"/>
    <xf numFmtId="2" fontId="16" fillId="7" borderId="0" xfId="0" applyNumberFormat="1" applyFont="1" applyFill="1" applyAlignment="1" applyProtection="1">
      <alignment horizontal="center"/>
      <protection locked="0"/>
    </xf>
    <xf numFmtId="2" fontId="16" fillId="7" borderId="21" xfId="0" applyNumberFormat="1" applyFont="1" applyFill="1" applyBorder="1" applyAlignment="1" applyProtection="1"/>
    <xf numFmtId="1" fontId="0" fillId="10" borderId="0" xfId="0" applyNumberFormat="1" applyFill="1" applyProtection="1">
      <protection locked="0"/>
    </xf>
    <xf numFmtId="2" fontId="16" fillId="12" borderId="0" xfId="0" applyNumberFormat="1" applyFont="1" applyFill="1" applyBorder="1" applyAlignment="1" applyProtection="1"/>
    <xf numFmtId="0" fontId="9" fillId="0" borderId="0" xfId="0" quotePrefix="1" applyFont="1"/>
    <xf numFmtId="2" fontId="0" fillId="11" borderId="0" xfId="0" applyNumberFormat="1" applyFill="1" applyProtection="1">
      <protection locked="0"/>
    </xf>
    <xf numFmtId="166" fontId="0" fillId="10" borderId="0" xfId="0" applyNumberFormat="1" applyFill="1" applyProtection="1">
      <protection locked="0"/>
    </xf>
    <xf numFmtId="2" fontId="0" fillId="10" borderId="0" xfId="0" applyNumberFormat="1" applyFill="1" applyProtection="1">
      <protection locked="0"/>
    </xf>
    <xf numFmtId="0" fontId="3" fillId="8" borderId="0" xfId="0" applyFont="1" applyFill="1" applyAlignment="1" applyProtection="1">
      <alignment horizontal="center"/>
    </xf>
    <xf numFmtId="0" fontId="26" fillId="8" borderId="21" xfId="0" applyNumberFormat="1" applyFont="1" applyFill="1" applyBorder="1" applyAlignment="1" applyProtection="1">
      <alignment vertical="center" wrapText="1"/>
    </xf>
    <xf numFmtId="1" fontId="16" fillId="8" borderId="45" xfId="0" applyNumberFormat="1" applyFont="1" applyFill="1" applyBorder="1" applyAlignment="1" applyProtection="1">
      <alignment vertical="center" wrapText="1"/>
    </xf>
    <xf numFmtId="2" fontId="16" fillId="7" borderId="0" xfId="0" applyNumberFormat="1" applyFont="1" applyFill="1" applyBorder="1" applyAlignment="1" applyProtection="1">
      <alignment horizontal="center"/>
    </xf>
    <xf numFmtId="1" fontId="16" fillId="6" borderId="34" xfId="0" applyNumberFormat="1" applyFont="1" applyFill="1" applyBorder="1" applyAlignment="1" applyProtection="1">
      <alignment horizontal="center"/>
    </xf>
    <xf numFmtId="12" fontId="23" fillId="5" borderId="10" xfId="0" applyNumberFormat="1" applyFont="1" applyFill="1" applyBorder="1" applyAlignment="1" applyProtection="1">
      <alignment horizontal="center" vertical="center"/>
    </xf>
    <xf numFmtId="12" fontId="23" fillId="5" borderId="11" xfId="0" applyNumberFormat="1" applyFont="1" applyFill="1" applyBorder="1" applyAlignment="1" applyProtection="1">
      <alignment horizontal="center" vertical="center"/>
    </xf>
    <xf numFmtId="0" fontId="0" fillId="8" borderId="0" xfId="0" applyFill="1" applyProtection="1"/>
    <xf numFmtId="0" fontId="5" fillId="2" borderId="2" xfId="0" applyFont="1" applyFill="1" applyBorder="1" applyAlignment="1" applyProtection="1">
      <alignment horizontal="center"/>
    </xf>
    <xf numFmtId="2" fontId="5" fillId="2" borderId="2" xfId="0" applyNumberFormat="1" applyFont="1" applyFill="1" applyBorder="1" applyAlignment="1" applyProtection="1">
      <alignment horizontal="center"/>
    </xf>
    <xf numFmtId="0" fontId="5" fillId="2" borderId="7" xfId="0" applyFont="1" applyFill="1" applyBorder="1" applyAlignment="1" applyProtection="1">
      <alignment horizontal="center"/>
    </xf>
    <xf numFmtId="0" fontId="5" fillId="5" borderId="3" xfId="0" applyFont="1" applyFill="1" applyBorder="1" applyAlignment="1" applyProtection="1">
      <alignment horizontal="center"/>
    </xf>
    <xf numFmtId="0" fontId="5" fillId="8" borderId="1" xfId="0" applyFont="1" applyFill="1" applyBorder="1" applyAlignment="1" applyProtection="1">
      <alignment horizontal="center"/>
    </xf>
    <xf numFmtId="0" fontId="5" fillId="8" borderId="4" xfId="0" applyFont="1" applyFill="1" applyBorder="1" applyAlignment="1" applyProtection="1">
      <alignment horizontal="center"/>
    </xf>
    <xf numFmtId="2" fontId="5" fillId="2" borderId="1" xfId="0" applyNumberFormat="1" applyFont="1" applyFill="1" applyBorder="1" applyAlignment="1" applyProtection="1">
      <alignment horizontal="center"/>
    </xf>
    <xf numFmtId="2" fontId="5" fillId="2" borderId="4" xfId="0" applyNumberFormat="1" applyFont="1" applyFill="1" applyBorder="1" applyAlignment="1" applyProtection="1">
      <alignment horizontal="center"/>
    </xf>
    <xf numFmtId="0" fontId="0" fillId="8" borderId="0" xfId="0" applyFill="1" applyBorder="1" applyAlignment="1" applyProtection="1">
      <alignment horizontal="center" vertical="center"/>
    </xf>
    <xf numFmtId="0" fontId="12" fillId="8" borderId="0" xfId="0" applyFont="1" applyFill="1" applyBorder="1" applyAlignment="1" applyProtection="1">
      <alignment horizontal="center" vertical="top" wrapText="1"/>
    </xf>
    <xf numFmtId="0" fontId="12" fillId="8" borderId="0" xfId="0" applyFont="1" applyFill="1" applyBorder="1" applyAlignment="1" applyProtection="1">
      <alignment horizontal="left" vertical="top" wrapText="1" indent="3"/>
    </xf>
    <xf numFmtId="0" fontId="20" fillId="8" borderId="0" xfId="0" applyFont="1" applyFill="1" applyBorder="1" applyAlignment="1" applyProtection="1">
      <alignment vertical="top" wrapText="1"/>
    </xf>
    <xf numFmtId="0" fontId="27" fillId="5" borderId="90" xfId="0" applyFont="1" applyFill="1" applyBorder="1" applyAlignment="1" applyProtection="1">
      <alignment horizontal="center" wrapText="1"/>
    </xf>
    <xf numFmtId="0" fontId="27" fillId="5" borderId="91" xfId="0" applyFont="1" applyFill="1" applyBorder="1" applyAlignment="1" applyProtection="1">
      <alignment horizontal="center" wrapText="1"/>
    </xf>
    <xf numFmtId="0" fontId="27" fillId="5" borderId="92" xfId="0" applyFont="1" applyFill="1" applyBorder="1" applyAlignment="1" applyProtection="1">
      <alignment horizontal="center" wrapText="1"/>
    </xf>
    <xf numFmtId="0" fontId="18" fillId="8" borderId="0" xfId="0" applyFont="1" applyFill="1" applyAlignment="1" applyProtection="1">
      <alignment wrapText="1"/>
    </xf>
    <xf numFmtId="0" fontId="12" fillId="8" borderId="0" xfId="0" applyFont="1" applyFill="1" applyAlignment="1" applyProtection="1">
      <alignment horizontal="left" indent="3"/>
    </xf>
    <xf numFmtId="0" fontId="27" fillId="5" borderId="89" xfId="0" applyFont="1" applyFill="1" applyBorder="1" applyAlignment="1" applyProtection="1">
      <alignment horizontal="center" vertical="center" wrapText="1"/>
    </xf>
    <xf numFmtId="0" fontId="27" fillId="5" borderId="90" xfId="0" applyFont="1" applyFill="1" applyBorder="1" applyAlignment="1" applyProtection="1">
      <alignment horizontal="center" vertical="top" wrapText="1"/>
    </xf>
    <xf numFmtId="0" fontId="27" fillId="5" borderId="91" xfId="0" applyFont="1" applyFill="1" applyBorder="1" applyAlignment="1" applyProtection="1">
      <alignment horizontal="center" vertical="top" wrapText="1"/>
    </xf>
    <xf numFmtId="0" fontId="27" fillId="5" borderId="92" xfId="0" applyFont="1" applyFill="1" applyBorder="1" applyAlignment="1" applyProtection="1">
      <alignment horizontal="center" vertical="top" wrapText="1"/>
    </xf>
    <xf numFmtId="1" fontId="23" fillId="13" borderId="16" xfId="0" applyNumberFormat="1" applyFont="1" applyFill="1" applyBorder="1" applyAlignment="1" applyProtection="1">
      <alignment horizontal="center"/>
      <protection locked="0"/>
    </xf>
    <xf numFmtId="2" fontId="23" fillId="13" borderId="37" xfId="0" applyNumberFormat="1" applyFont="1" applyFill="1" applyBorder="1" applyAlignment="1" applyProtection="1">
      <alignment horizontal="center"/>
      <protection locked="0"/>
    </xf>
    <xf numFmtId="2" fontId="23" fillId="13" borderId="27" xfId="0" applyNumberFormat="1" applyFont="1" applyFill="1" applyBorder="1" applyAlignment="1" applyProtection="1">
      <alignment horizontal="center"/>
      <protection locked="0"/>
    </xf>
    <xf numFmtId="164" fontId="23" fillId="5" borderId="31" xfId="0" applyNumberFormat="1" applyFont="1" applyFill="1" applyBorder="1" applyAlignment="1" applyProtection="1">
      <alignment horizontal="center"/>
    </xf>
    <xf numFmtId="2" fontId="28" fillId="12" borderId="46" xfId="0" applyNumberFormat="1" applyFont="1" applyFill="1" applyBorder="1" applyAlignment="1" applyProtection="1">
      <alignment horizontal="center"/>
    </xf>
    <xf numFmtId="2" fontId="28" fillId="12" borderId="47" xfId="0" applyNumberFormat="1" applyFont="1" applyFill="1" applyBorder="1" applyAlignment="1" applyProtection="1">
      <alignment horizontal="center"/>
    </xf>
    <xf numFmtId="164" fontId="23" fillId="5" borderId="43" xfId="0" applyNumberFormat="1" applyFont="1" applyFill="1" applyBorder="1" applyAlignment="1" applyProtection="1">
      <alignment horizontal="center"/>
    </xf>
    <xf numFmtId="164" fontId="16" fillId="7" borderId="48" xfId="0" applyNumberFormat="1" applyFont="1" applyFill="1" applyBorder="1" applyAlignment="1" applyProtection="1">
      <alignment horizontal="center"/>
    </xf>
    <xf numFmtId="164" fontId="16" fillId="7" borderId="49" xfId="0" applyNumberFormat="1" applyFont="1" applyFill="1" applyBorder="1" applyAlignment="1" applyProtection="1">
      <alignment horizontal="center"/>
    </xf>
    <xf numFmtId="164" fontId="16" fillId="6" borderId="48" xfId="0" applyNumberFormat="1" applyFont="1" applyFill="1" applyBorder="1" applyAlignment="1" applyProtection="1">
      <alignment horizontal="center"/>
    </xf>
    <xf numFmtId="164" fontId="16" fillId="6" borderId="49" xfId="0" applyNumberFormat="1" applyFont="1" applyFill="1" applyBorder="1" applyAlignment="1" applyProtection="1">
      <alignment horizontal="center"/>
    </xf>
    <xf numFmtId="0" fontId="16" fillId="7" borderId="49" xfId="0" applyNumberFormat="1" applyFont="1" applyFill="1" applyBorder="1" applyAlignment="1" applyProtection="1">
      <alignment horizontal="center"/>
    </xf>
    <xf numFmtId="2" fontId="28" fillId="12" borderId="50" xfId="0" applyNumberFormat="1" applyFont="1" applyFill="1" applyBorder="1" applyAlignment="1" applyProtection="1">
      <alignment horizontal="center"/>
    </xf>
    <xf numFmtId="2" fontId="28" fillId="12" borderId="35" xfId="0" applyNumberFormat="1" applyFont="1" applyFill="1" applyBorder="1" applyAlignment="1" applyProtection="1">
      <alignment horizontal="center"/>
    </xf>
    <xf numFmtId="0" fontId="27" fillId="5" borderId="93" xfId="0" applyFont="1" applyFill="1" applyBorder="1" applyAlignment="1" applyProtection="1">
      <alignment vertical="top" wrapText="1"/>
    </xf>
    <xf numFmtId="0" fontId="27" fillId="7" borderId="0" xfId="0" applyFont="1" applyFill="1" applyAlignment="1" applyProtection="1">
      <alignment horizontal="center" vertical="center"/>
    </xf>
    <xf numFmtId="0" fontId="27" fillId="7" borderId="0" xfId="0" applyFont="1" applyFill="1" applyBorder="1" applyAlignment="1" applyProtection="1">
      <alignment horizontal="center" vertical="center"/>
    </xf>
    <xf numFmtId="0" fontId="29" fillId="7" borderId="0" xfId="0" applyFont="1" applyFill="1" applyBorder="1" applyAlignment="1" applyProtection="1">
      <alignment horizontal="center" vertical="center"/>
    </xf>
    <xf numFmtId="2" fontId="27" fillId="7" borderId="0" xfId="0" applyNumberFormat="1" applyFont="1" applyFill="1" applyAlignment="1" applyProtection="1">
      <alignment horizontal="center" vertical="center"/>
    </xf>
    <xf numFmtId="2" fontId="27" fillId="7" borderId="0" xfId="0" applyNumberFormat="1" applyFont="1" applyFill="1" applyBorder="1" applyAlignment="1" applyProtection="1">
      <alignment horizontal="center" vertical="center"/>
    </xf>
    <xf numFmtId="0" fontId="24" fillId="8" borderId="0" xfId="0" applyFont="1" applyFill="1" applyProtection="1"/>
    <xf numFmtId="1" fontId="0" fillId="0" borderId="0" xfId="0" applyNumberFormat="1"/>
    <xf numFmtId="0" fontId="0" fillId="0" borderId="0" xfId="0" applyNumberFormat="1"/>
    <xf numFmtId="2" fontId="30" fillId="12" borderId="0" xfId="0" applyNumberFormat="1" applyFont="1" applyFill="1" applyBorder="1" applyAlignment="1" applyProtection="1">
      <alignment horizontal="center"/>
    </xf>
    <xf numFmtId="1" fontId="30" fillId="12" borderId="0" xfId="0" applyNumberFormat="1" applyFont="1" applyFill="1" applyBorder="1" applyAlignment="1" applyProtection="1">
      <alignment horizontal="center"/>
    </xf>
    <xf numFmtId="1" fontId="31" fillId="12" borderId="0" xfId="0" applyNumberFormat="1" applyFont="1" applyFill="1" applyBorder="1" applyAlignment="1" applyProtection="1">
      <alignment horizontal="center"/>
    </xf>
    <xf numFmtId="1" fontId="16" fillId="12" borderId="0" xfId="0" applyNumberFormat="1" applyFont="1" applyFill="1" applyBorder="1" applyAlignment="1" applyProtection="1"/>
    <xf numFmtId="2" fontId="28" fillId="12" borderId="0" xfId="0" applyNumberFormat="1" applyFont="1" applyFill="1" applyBorder="1" applyAlignment="1" applyProtection="1">
      <alignment horizontal="center"/>
    </xf>
    <xf numFmtId="0" fontId="0" fillId="0" borderId="0" xfId="0" applyAlignment="1" applyProtection="1">
      <alignment horizontal="center"/>
      <protection locked="0"/>
    </xf>
    <xf numFmtId="49" fontId="32" fillId="12" borderId="0" xfId="0" applyNumberFormat="1" applyFont="1" applyFill="1" applyProtection="1"/>
    <xf numFmtId="12" fontId="23" fillId="8" borderId="39" xfId="0" applyNumberFormat="1" applyFont="1" applyFill="1" applyBorder="1" applyAlignment="1" applyProtection="1">
      <alignment horizontal="center"/>
    </xf>
    <xf numFmtId="164" fontId="26" fillId="14" borderId="0" xfId="0" applyNumberFormat="1" applyFont="1" applyFill="1" applyBorder="1" applyAlignment="1" applyProtection="1"/>
    <xf numFmtId="164" fontId="16" fillId="7" borderId="0" xfId="0" applyNumberFormat="1" applyFont="1" applyFill="1" applyBorder="1" applyAlignment="1" applyProtection="1">
      <alignment horizontal="center"/>
    </xf>
    <xf numFmtId="2" fontId="28" fillId="12" borderId="0" xfId="0" applyNumberFormat="1" applyFont="1" applyFill="1" applyBorder="1" applyAlignment="1" applyProtection="1"/>
    <xf numFmtId="0" fontId="0" fillId="0" borderId="0" xfId="0" applyNumberFormat="1" applyProtection="1">
      <protection locked="0"/>
    </xf>
    <xf numFmtId="0" fontId="0" fillId="15" borderId="0" xfId="0" applyFill="1" applyProtection="1">
      <protection locked="0"/>
    </xf>
    <xf numFmtId="1" fontId="16" fillId="7" borderId="53" xfId="0" applyNumberFormat="1" applyFont="1" applyFill="1" applyBorder="1" applyAlignment="1" applyProtection="1">
      <alignment horizontal="center"/>
      <protection locked="0"/>
    </xf>
    <xf numFmtId="1" fontId="16" fillId="7" borderId="54" xfId="0" applyNumberFormat="1" applyFont="1" applyFill="1" applyBorder="1" applyAlignment="1" applyProtection="1">
      <alignment horizontal="center"/>
      <protection locked="0"/>
    </xf>
    <xf numFmtId="2" fontId="28" fillId="12" borderId="55" xfId="0" applyNumberFormat="1" applyFont="1" applyFill="1" applyBorder="1" applyAlignment="1" applyProtection="1">
      <alignment horizontal="center"/>
    </xf>
    <xf numFmtId="2" fontId="28" fillId="12" borderId="56" xfId="0" applyNumberFormat="1" applyFont="1" applyFill="1" applyBorder="1" applyAlignment="1" applyProtection="1">
      <alignment horizontal="center"/>
    </xf>
    <xf numFmtId="2" fontId="28" fillId="12" borderId="57" xfId="0" applyNumberFormat="1" applyFont="1" applyFill="1" applyBorder="1" applyAlignment="1" applyProtection="1">
      <alignment horizontal="center"/>
    </xf>
    <xf numFmtId="2" fontId="28" fillId="12" borderId="58" xfId="0" applyNumberFormat="1" applyFont="1" applyFill="1" applyBorder="1" applyAlignment="1" applyProtection="1">
      <alignment horizontal="center"/>
    </xf>
    <xf numFmtId="2" fontId="28" fillId="12" borderId="40" xfId="0" applyNumberFormat="1" applyFont="1" applyFill="1" applyBorder="1" applyAlignment="1" applyProtection="1">
      <alignment horizontal="center"/>
    </xf>
    <xf numFmtId="0" fontId="0" fillId="10" borderId="0" xfId="0" applyFill="1" applyAlignment="1" applyProtection="1">
      <alignment horizontal="center"/>
      <protection locked="0"/>
    </xf>
    <xf numFmtId="0" fontId="9" fillId="10" borderId="0" xfId="0" applyFont="1" applyFill="1" applyAlignment="1" applyProtection="1">
      <alignment horizontal="center"/>
      <protection locked="0"/>
    </xf>
    <xf numFmtId="0" fontId="9" fillId="10" borderId="0" xfId="0" applyFont="1" applyFill="1" applyBorder="1"/>
    <xf numFmtId="0" fontId="0" fillId="0" borderId="0" xfId="0" applyFill="1" applyAlignment="1" applyProtection="1">
      <alignment horizontal="center"/>
      <protection locked="0"/>
    </xf>
    <xf numFmtId="0" fontId="9" fillId="0" borderId="0" xfId="0" applyFont="1" applyFill="1" applyAlignment="1" applyProtection="1">
      <alignment horizontal="center"/>
      <protection locked="0"/>
    </xf>
    <xf numFmtId="0" fontId="0" fillId="0" borderId="0" xfId="0" applyFill="1" applyProtection="1">
      <protection locked="0"/>
    </xf>
    <xf numFmtId="166" fontId="0" fillId="0" borderId="0" xfId="0" applyNumberFormat="1" applyFill="1" applyProtection="1">
      <protection locked="0"/>
    </xf>
    <xf numFmtId="0" fontId="0" fillId="0" borderId="0" xfId="0" applyFill="1"/>
    <xf numFmtId="0" fontId="9" fillId="0" borderId="59" xfId="0" applyFont="1" applyBorder="1" applyAlignment="1" applyProtection="1">
      <alignment horizontal="center"/>
      <protection locked="0"/>
    </xf>
    <xf numFmtId="2" fontId="16" fillId="7" borderId="10" xfId="0" applyNumberFormat="1" applyFont="1" applyFill="1" applyBorder="1" applyAlignment="1">
      <alignment horizontal="center"/>
    </xf>
    <xf numFmtId="2" fontId="23" fillId="13" borderId="39" xfId="0" applyNumberFormat="1" applyFont="1" applyFill="1" applyBorder="1" applyAlignment="1" applyProtection="1">
      <alignment horizontal="center"/>
      <protection locked="0"/>
    </xf>
    <xf numFmtId="0" fontId="0" fillId="0" borderId="60" xfId="0" applyBorder="1" applyAlignment="1">
      <alignment horizontal="center"/>
    </xf>
    <xf numFmtId="168" fontId="0" fillId="6" borderId="0" xfId="0" applyNumberFormat="1" applyFill="1" applyAlignment="1" applyProtection="1">
      <alignment horizontal="center"/>
      <protection locked="0"/>
    </xf>
    <xf numFmtId="166" fontId="16" fillId="7" borderId="0" xfId="0" applyNumberFormat="1" applyFont="1" applyFill="1" applyBorder="1" applyAlignment="1" applyProtection="1">
      <alignment horizontal="center"/>
      <protection locked="0"/>
    </xf>
    <xf numFmtId="168" fontId="16" fillId="7" borderId="22" xfId="0" applyNumberFormat="1" applyFont="1" applyFill="1" applyBorder="1" applyAlignment="1" applyProtection="1"/>
    <xf numFmtId="2" fontId="0" fillId="0" borderId="0" xfId="0" applyNumberFormat="1" applyFill="1"/>
    <xf numFmtId="2" fontId="0" fillId="0" borderId="0" xfId="0" applyNumberFormat="1" applyFont="1" applyFill="1"/>
    <xf numFmtId="1" fontId="5" fillId="2" borderId="2" xfId="0" applyNumberFormat="1" applyFont="1" applyFill="1" applyBorder="1" applyAlignment="1" applyProtection="1">
      <alignment horizontal="center"/>
    </xf>
    <xf numFmtId="0" fontId="4" fillId="2" borderId="61" xfId="0" applyFont="1" applyFill="1" applyBorder="1" applyAlignment="1" applyProtection="1">
      <alignment horizontal="center"/>
    </xf>
    <xf numFmtId="0" fontId="4" fillId="2" borderId="62" xfId="0" applyFont="1" applyFill="1" applyBorder="1" applyAlignment="1" applyProtection="1">
      <alignment horizontal="center"/>
    </xf>
    <xf numFmtId="0" fontId="0" fillId="8" borderId="0" xfId="0" applyFill="1"/>
    <xf numFmtId="0" fontId="4" fillId="16" borderId="18" xfId="0" applyFont="1" applyFill="1" applyBorder="1" applyAlignment="1" applyProtection="1">
      <alignment horizontal="right"/>
    </xf>
    <xf numFmtId="2" fontId="5" fillId="16" borderId="17" xfId="0" applyNumberFormat="1" applyFont="1" applyFill="1" applyBorder="1" applyAlignment="1" applyProtection="1">
      <alignment horizontal="center"/>
    </xf>
    <xf numFmtId="0" fontId="6" fillId="16" borderId="17" xfId="0" applyFont="1" applyFill="1" applyBorder="1" applyAlignment="1" applyProtection="1">
      <alignment horizontal="left"/>
    </xf>
    <xf numFmtId="0" fontId="3" fillId="16" borderId="0" xfId="0" applyFont="1" applyFill="1" applyProtection="1"/>
    <xf numFmtId="0" fontId="4" fillId="16" borderId="5" xfId="0" applyFont="1" applyFill="1" applyBorder="1" applyAlignment="1" applyProtection="1">
      <alignment horizontal="right"/>
    </xf>
    <xf numFmtId="0" fontId="5" fillId="16" borderId="5" xfId="0" applyFont="1" applyFill="1" applyBorder="1" applyAlignment="1" applyProtection="1">
      <alignment horizontal="center"/>
    </xf>
    <xf numFmtId="0" fontId="6" fillId="16" borderId="42" xfId="0" applyFont="1" applyFill="1" applyBorder="1" applyAlignment="1" applyProtection="1">
      <alignment horizontal="left"/>
    </xf>
    <xf numFmtId="0" fontId="26" fillId="8" borderId="94" xfId="0" applyNumberFormat="1" applyFont="1" applyFill="1" applyBorder="1" applyAlignment="1" applyProtection="1">
      <alignment vertical="center" wrapText="1"/>
    </xf>
    <xf numFmtId="1" fontId="23" fillId="8" borderId="0" xfId="0" applyNumberFormat="1" applyFont="1" applyFill="1" applyBorder="1" applyAlignment="1" applyProtection="1">
      <alignment vertical="center" wrapText="1"/>
    </xf>
    <xf numFmtId="1" fontId="33" fillId="8" borderId="0" xfId="0" applyNumberFormat="1" applyFont="1" applyFill="1" applyBorder="1" applyAlignment="1" applyProtection="1">
      <alignment vertical="center" wrapText="1"/>
    </xf>
    <xf numFmtId="0" fontId="5" fillId="2" borderId="87" xfId="0" applyFont="1" applyFill="1" applyBorder="1" applyAlignment="1" applyProtection="1">
      <alignment horizontal="center"/>
    </xf>
    <xf numFmtId="0" fontId="4" fillId="13" borderId="87" xfId="0" applyFont="1" applyFill="1" applyBorder="1" applyAlignment="1" applyProtection="1">
      <alignment horizontal="center"/>
      <protection locked="0"/>
    </xf>
    <xf numFmtId="0" fontId="5" fillId="13" borderId="87" xfId="0" applyFont="1" applyFill="1" applyBorder="1" applyAlignment="1" applyProtection="1">
      <alignment horizontal="center"/>
      <protection locked="0"/>
    </xf>
    <xf numFmtId="0" fontId="5" fillId="5" borderId="87" xfId="0" applyFont="1" applyFill="1" applyBorder="1" applyAlignment="1" applyProtection="1">
      <alignment horizontal="center"/>
    </xf>
    <xf numFmtId="0" fontId="5" fillId="2" borderId="95" xfId="0" applyFont="1" applyFill="1" applyBorder="1" applyAlignment="1" applyProtection="1">
      <alignment horizontal="center"/>
    </xf>
    <xf numFmtId="2" fontId="5" fillId="2" borderId="96" xfId="0" applyNumberFormat="1" applyFont="1" applyFill="1" applyBorder="1" applyAlignment="1" applyProtection="1">
      <alignment horizontal="center"/>
    </xf>
    <xf numFmtId="0" fontId="12" fillId="8" borderId="0" xfId="0" applyFont="1" applyFill="1" applyBorder="1" applyAlignment="1" applyProtection="1">
      <alignment vertical="top" wrapText="1"/>
    </xf>
    <xf numFmtId="164" fontId="16" fillId="7" borderId="45" xfId="0" applyNumberFormat="1" applyFont="1" applyFill="1" applyBorder="1" applyAlignment="1" applyProtection="1"/>
    <xf numFmtId="0" fontId="27" fillId="5" borderId="97" xfId="0" applyFont="1" applyFill="1" applyBorder="1" applyAlignment="1" applyProtection="1">
      <alignment horizontal="center" vertical="top" wrapText="1"/>
    </xf>
    <xf numFmtId="0" fontId="15" fillId="8" borderId="0"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Alignment="1" applyProtection="1"/>
    <xf numFmtId="0" fontId="20" fillId="8" borderId="38" xfId="0" applyFont="1" applyFill="1" applyBorder="1" applyAlignment="1" applyProtection="1">
      <alignment horizontal="center" vertical="center" wrapText="1"/>
      <protection locked="0"/>
    </xf>
    <xf numFmtId="0" fontId="16" fillId="8" borderId="13" xfId="0" applyFont="1" applyFill="1" applyBorder="1" applyAlignment="1" applyProtection="1">
      <alignment horizontal="center" vertical="center"/>
    </xf>
    <xf numFmtId="0" fontId="20" fillId="8" borderId="21" xfId="0" applyFont="1" applyFill="1" applyBorder="1" applyAlignment="1" applyProtection="1">
      <alignment horizontal="center" vertical="center" wrapText="1"/>
      <protection locked="0"/>
    </xf>
    <xf numFmtId="0" fontId="16" fillId="8" borderId="9" xfId="0" applyFont="1" applyFill="1" applyBorder="1" applyAlignment="1" applyProtection="1">
      <alignment horizontal="center" vertical="center"/>
    </xf>
    <xf numFmtId="0" fontId="12" fillId="8" borderId="93" xfId="0" applyNumberFormat="1" applyFont="1" applyFill="1" applyBorder="1" applyAlignment="1" applyProtection="1">
      <alignment vertical="top" wrapText="1"/>
    </xf>
    <xf numFmtId="0" fontId="23" fillId="8" borderId="0" xfId="0" applyFont="1" applyFill="1" applyAlignment="1" applyProtection="1">
      <alignment horizontal="center" vertical="center"/>
    </xf>
    <xf numFmtId="0" fontId="25" fillId="3" borderId="95" xfId="0" applyFont="1" applyFill="1" applyBorder="1" applyProtection="1"/>
    <xf numFmtId="0" fontId="25" fillId="3" borderId="83" xfId="0" applyFont="1" applyFill="1" applyBorder="1" applyProtection="1"/>
    <xf numFmtId="0" fontId="25" fillId="8" borderId="0" xfId="0" applyFont="1" applyFill="1" applyProtection="1"/>
    <xf numFmtId="2" fontId="23" fillId="12" borderId="0" xfId="0" applyNumberFormat="1" applyFont="1" applyFill="1" applyBorder="1" applyAlignment="1" applyProtection="1"/>
    <xf numFmtId="0" fontId="15" fillId="8" borderId="0" xfId="0" applyFont="1" applyFill="1" applyBorder="1" applyAlignment="1" applyProtection="1">
      <alignment vertical="center"/>
      <protection locked="0"/>
    </xf>
    <xf numFmtId="0" fontId="15" fillId="8" borderId="0" xfId="0" applyFont="1" applyFill="1" applyBorder="1" applyAlignment="1" applyProtection="1">
      <alignment vertical="center" textRotation="90"/>
      <protection locked="0"/>
    </xf>
    <xf numFmtId="0" fontId="4" fillId="8" borderId="0" xfId="0" applyFont="1" applyFill="1" applyBorder="1" applyAlignment="1" applyProtection="1">
      <alignment vertical="center"/>
      <protection locked="0"/>
    </xf>
    <xf numFmtId="0" fontId="5" fillId="8" borderId="0" xfId="0" applyFont="1" applyFill="1" applyBorder="1" applyAlignment="1" applyProtection="1">
      <alignment vertical="center"/>
      <protection locked="0"/>
    </xf>
    <xf numFmtId="164" fontId="16" fillId="7" borderId="22" xfId="0" applyNumberFormat="1" applyFont="1" applyFill="1" applyBorder="1" applyAlignment="1" applyProtection="1">
      <alignment horizontal="center"/>
    </xf>
    <xf numFmtId="0" fontId="27" fillId="5" borderId="93" xfId="0" applyFont="1" applyFill="1" applyBorder="1" applyAlignment="1" applyProtection="1">
      <alignment horizontal="center" vertical="top" wrapText="1"/>
    </xf>
    <xf numFmtId="0" fontId="27" fillId="5" borderId="88" xfId="0" applyFont="1" applyFill="1" applyBorder="1" applyAlignment="1" applyProtection="1">
      <alignment horizontal="center" vertical="top" wrapText="1"/>
    </xf>
    <xf numFmtId="2" fontId="23" fillId="13" borderId="31" xfId="0" applyNumberFormat="1" applyFont="1" applyFill="1" applyBorder="1" applyAlignment="1" applyProtection="1">
      <alignment horizontal="center"/>
      <protection locked="0"/>
    </xf>
    <xf numFmtId="2" fontId="16" fillId="12" borderId="0" xfId="0" applyNumberFormat="1" applyFont="1" applyFill="1" applyBorder="1" applyAlignment="1" applyProtection="1">
      <alignment horizontal="center"/>
    </xf>
    <xf numFmtId="1" fontId="16" fillId="12" borderId="0" xfId="0" applyNumberFormat="1" applyFont="1" applyFill="1" applyBorder="1" applyAlignment="1" applyProtection="1">
      <alignment horizontal="center"/>
    </xf>
    <xf numFmtId="1" fontId="16" fillId="7" borderId="31" xfId="0" applyNumberFormat="1" applyFont="1" applyFill="1" applyBorder="1" applyAlignment="1" applyProtection="1">
      <alignment horizontal="center"/>
    </xf>
    <xf numFmtId="1" fontId="16" fillId="7" borderId="63" xfId="0" applyNumberFormat="1" applyFont="1" applyFill="1" applyBorder="1" applyAlignment="1" applyProtection="1">
      <alignment horizontal="center"/>
    </xf>
    <xf numFmtId="1" fontId="16" fillId="7" borderId="39" xfId="0" applyNumberFormat="1" applyFont="1" applyFill="1" applyBorder="1" applyAlignment="1" applyProtection="1">
      <alignment horizontal="center"/>
    </xf>
    <xf numFmtId="1" fontId="16" fillId="7" borderId="64" xfId="0" applyNumberFormat="1" applyFont="1" applyFill="1" applyBorder="1" applyAlignment="1" applyProtection="1">
      <alignment horizontal="center"/>
    </xf>
    <xf numFmtId="1" fontId="16" fillId="7" borderId="41" xfId="0" applyNumberFormat="1" applyFont="1" applyFill="1" applyBorder="1" applyAlignment="1" applyProtection="1">
      <alignment horizontal="center"/>
    </xf>
    <xf numFmtId="1" fontId="16" fillId="7" borderId="65" xfId="0" applyNumberFormat="1" applyFont="1" applyFill="1" applyBorder="1" applyAlignment="1" applyProtection="1">
      <alignment horizontal="center"/>
    </xf>
    <xf numFmtId="49" fontId="0" fillId="0" borderId="0" xfId="0" applyNumberFormat="1" applyBorder="1" applyProtection="1"/>
    <xf numFmtId="2" fontId="23" fillId="13" borderId="31" xfId="0" applyNumberFormat="1" applyFont="1" applyFill="1" applyBorder="1" applyAlignment="1" applyProtection="1">
      <alignment horizontal="center"/>
    </xf>
    <xf numFmtId="1" fontId="23" fillId="13" borderId="16" xfId="0" applyNumberFormat="1" applyFont="1" applyFill="1" applyBorder="1" applyAlignment="1" applyProtection="1">
      <alignment horizontal="center"/>
    </xf>
    <xf numFmtId="2" fontId="23" fillId="13" borderId="37" xfId="0" applyNumberFormat="1" applyFont="1" applyFill="1" applyBorder="1" applyAlignment="1" applyProtection="1">
      <alignment horizontal="center"/>
    </xf>
    <xf numFmtId="1" fontId="23" fillId="13" borderId="26" xfId="0" applyNumberFormat="1" applyFont="1" applyFill="1" applyBorder="1" applyAlignment="1" applyProtection="1">
      <alignment horizontal="center"/>
    </xf>
    <xf numFmtId="2" fontId="23" fillId="13" borderId="27" xfId="0" applyNumberFormat="1" applyFont="1" applyFill="1" applyBorder="1" applyAlignment="1" applyProtection="1">
      <alignment horizontal="center"/>
    </xf>
    <xf numFmtId="2" fontId="28" fillId="12" borderId="0" xfId="0" applyNumberFormat="1" applyFont="1" applyFill="1" applyBorder="1" applyAlignment="1" applyProtection="1">
      <alignment horizontal="center"/>
      <protection locked="0"/>
    </xf>
    <xf numFmtId="1" fontId="27" fillId="7" borderId="0" xfId="0" applyNumberFormat="1" applyFont="1" applyFill="1" applyAlignment="1" applyProtection="1">
      <alignment horizontal="center" vertical="center"/>
    </xf>
    <xf numFmtId="1" fontId="27" fillId="7" borderId="0" xfId="0" applyNumberFormat="1" applyFont="1" applyFill="1" applyBorder="1" applyAlignment="1" applyProtection="1">
      <alignment horizontal="center" vertical="center"/>
    </xf>
    <xf numFmtId="0" fontId="3" fillId="8" borderId="0" xfId="0" applyFont="1" applyFill="1" applyBorder="1" applyAlignment="1" applyProtection="1"/>
    <xf numFmtId="0" fontId="11" fillId="8" borderId="0" xfId="0" applyFont="1" applyFill="1" applyBorder="1" applyAlignment="1" applyProtection="1"/>
    <xf numFmtId="0" fontId="15" fillId="8" borderId="0" xfId="0" applyFont="1" applyFill="1" applyBorder="1" applyAlignment="1" applyProtection="1">
      <alignment vertical="center"/>
    </xf>
    <xf numFmtId="0" fontId="6" fillId="8" borderId="0" xfId="0" applyFont="1" applyFill="1" applyBorder="1" applyAlignment="1" applyProtection="1"/>
    <xf numFmtId="0" fontId="15" fillId="8" borderId="0" xfId="0" applyFont="1" applyFill="1" applyBorder="1" applyAlignment="1" applyProtection="1">
      <alignment vertical="center" textRotation="90"/>
    </xf>
    <xf numFmtId="0" fontId="9" fillId="8" borderId="0" xfId="0" applyFont="1" applyFill="1" applyBorder="1" applyAlignment="1" applyProtection="1"/>
    <xf numFmtId="0" fontId="6" fillId="17" borderId="0" xfId="0" applyFont="1" applyFill="1" applyBorder="1" applyAlignment="1" applyProtection="1"/>
    <xf numFmtId="0" fontId="2" fillId="17" borderId="0" xfId="0" applyFont="1" applyFill="1" applyBorder="1" applyAlignment="1" applyProtection="1">
      <alignment vertical="center"/>
    </xf>
    <xf numFmtId="0" fontId="3" fillId="17" borderId="0" xfId="0" applyFont="1" applyFill="1" applyBorder="1" applyAlignment="1" applyProtection="1"/>
    <xf numFmtId="1" fontId="14" fillId="17" borderId="0" xfId="0" applyNumberFormat="1" applyFont="1" applyFill="1" applyBorder="1" applyAlignment="1" applyProtection="1">
      <alignment vertical="top"/>
    </xf>
    <xf numFmtId="0" fontId="13" fillId="17" borderId="0" xfId="0" applyFont="1" applyFill="1" applyBorder="1" applyAlignment="1" applyProtection="1">
      <alignment horizontal="center"/>
    </xf>
    <xf numFmtId="0" fontId="11" fillId="17" borderId="0" xfId="0" applyFont="1" applyFill="1" applyBorder="1" applyAlignment="1" applyProtection="1"/>
    <xf numFmtId="0" fontId="12" fillId="17" borderId="0" xfId="0" applyFont="1" applyFill="1" applyBorder="1" applyAlignment="1" applyProtection="1">
      <alignment vertical="center"/>
    </xf>
    <xf numFmtId="0" fontId="10" fillId="17" borderId="0" xfId="0" applyFont="1" applyFill="1" applyBorder="1" applyAlignment="1" applyProtection="1">
      <alignment horizontal="center" vertical="center"/>
    </xf>
    <xf numFmtId="0" fontId="12" fillId="17" borderId="0" xfId="0" applyFont="1" applyFill="1" applyBorder="1" applyAlignment="1" applyProtection="1">
      <alignment horizontal="right" vertical="center"/>
    </xf>
    <xf numFmtId="0" fontId="12" fillId="17" borderId="0" xfId="0" applyFont="1" applyFill="1" applyBorder="1" applyAlignment="1" applyProtection="1">
      <alignment horizontal="center" vertical="center"/>
    </xf>
    <xf numFmtId="0" fontId="12" fillId="17" borderId="0" xfId="0" quotePrefix="1" applyFont="1" applyFill="1" applyBorder="1" applyAlignment="1" applyProtection="1">
      <alignment vertical="center"/>
    </xf>
    <xf numFmtId="0" fontId="27" fillId="5" borderId="88" xfId="0" applyFont="1" applyFill="1" applyBorder="1" applyAlignment="1" applyProtection="1">
      <alignment horizontal="center" vertical="top" wrapText="1"/>
    </xf>
    <xf numFmtId="164" fontId="16" fillId="7" borderId="21" xfId="0" applyNumberFormat="1" applyFont="1" applyFill="1" applyBorder="1" applyAlignment="1" applyProtection="1">
      <alignment horizontal="center"/>
    </xf>
    <xf numFmtId="164" fontId="16" fillId="7" borderId="22" xfId="0" applyNumberFormat="1" applyFont="1" applyFill="1" applyBorder="1" applyAlignment="1" applyProtection="1">
      <alignment horizontal="center"/>
    </xf>
    <xf numFmtId="164" fontId="16" fillId="7" borderId="45" xfId="0" applyNumberFormat="1" applyFont="1" applyFill="1" applyBorder="1" applyAlignment="1" applyProtection="1">
      <alignment horizontal="center"/>
    </xf>
    <xf numFmtId="0" fontId="9" fillId="0" borderId="0" xfId="0" applyFont="1" applyAlignment="1" applyProtection="1">
      <alignment horizontal="center"/>
      <protection locked="0"/>
    </xf>
    <xf numFmtId="2" fontId="5" fillId="2" borderId="5" xfId="0" applyNumberFormat="1" applyFont="1" applyFill="1" applyBorder="1" applyAlignment="1" applyProtection="1">
      <alignment horizontal="center"/>
    </xf>
    <xf numFmtId="2" fontId="16" fillId="7" borderId="21" xfId="0" applyNumberFormat="1" applyFont="1" applyFill="1" applyBorder="1" applyAlignment="1" applyProtection="1">
      <alignment horizontal="center"/>
      <protection locked="0"/>
    </xf>
    <xf numFmtId="1" fontId="16" fillId="7" borderId="22" xfId="0" applyNumberFormat="1" applyFont="1" applyFill="1" applyBorder="1" applyAlignment="1" applyProtection="1">
      <alignment horizontal="center"/>
      <protection locked="0"/>
    </xf>
    <xf numFmtId="0" fontId="27" fillId="5" borderId="93" xfId="0" applyFont="1" applyFill="1" applyBorder="1" applyAlignment="1" applyProtection="1">
      <alignment horizontal="center" vertical="top" wrapText="1"/>
    </xf>
    <xf numFmtId="0" fontId="24" fillId="8" borderId="0" xfId="0" applyFont="1" applyFill="1" applyBorder="1" applyAlignment="1" applyProtection="1">
      <alignment vertical="center"/>
    </xf>
    <xf numFmtId="0" fontId="36" fillId="8" borderId="0" xfId="0" applyFont="1" applyFill="1" applyBorder="1" applyAlignment="1" applyProtection="1">
      <alignment horizontal="center" vertical="top" wrapText="1"/>
    </xf>
    <xf numFmtId="0" fontId="0" fillId="0" borderId="0" xfId="0" applyAlignment="1">
      <alignment horizontal="center"/>
    </xf>
    <xf numFmtId="0" fontId="25" fillId="8" borderId="0" xfId="0" applyFont="1" applyFill="1" applyAlignment="1" applyProtection="1">
      <alignment horizontal="center"/>
    </xf>
    <xf numFmtId="0" fontId="24" fillId="8" borderId="44" xfId="0" applyFont="1" applyFill="1" applyBorder="1" applyAlignment="1" applyProtection="1">
      <alignment vertical="center"/>
    </xf>
    <xf numFmtId="0" fontId="0" fillId="0" borderId="0" xfId="0" applyAlignment="1">
      <alignment horizontal="center"/>
    </xf>
    <xf numFmtId="1" fontId="16" fillId="7" borderId="53" xfId="0" applyNumberFormat="1" applyFont="1" applyFill="1" applyBorder="1" applyAlignment="1" applyProtection="1">
      <alignment horizontal="center"/>
      <protection locked="0"/>
    </xf>
    <xf numFmtId="1" fontId="16" fillId="7" borderId="54" xfId="0" applyNumberFormat="1" applyFont="1" applyFill="1" applyBorder="1" applyAlignment="1" applyProtection="1">
      <alignment horizontal="center"/>
      <protection locked="0"/>
    </xf>
    <xf numFmtId="166" fontId="35" fillId="0" borderId="0" xfId="0" applyNumberFormat="1" applyFont="1"/>
    <xf numFmtId="0" fontId="37" fillId="13" borderId="21" xfId="0" applyFont="1" applyFill="1" applyBorder="1" applyAlignment="1" applyProtection="1">
      <alignment horizontal="center" vertical="center" wrapText="1"/>
      <protection locked="0"/>
    </xf>
    <xf numFmtId="0" fontId="37" fillId="13" borderId="38" xfId="0" applyFont="1" applyFill="1" applyBorder="1" applyAlignment="1" applyProtection="1">
      <alignment horizontal="center" vertical="center" wrapText="1"/>
      <protection locked="0"/>
    </xf>
    <xf numFmtId="0" fontId="25" fillId="13" borderId="89" xfId="0" applyFont="1" applyFill="1" applyBorder="1" applyAlignment="1" applyProtection="1">
      <alignment horizontal="center" vertical="center" wrapText="1"/>
      <protection locked="0"/>
    </xf>
    <xf numFmtId="0" fontId="25" fillId="13" borderId="13" xfId="0" applyFont="1" applyFill="1" applyBorder="1" applyAlignment="1" applyProtection="1">
      <alignment horizontal="center" vertical="top" wrapText="1"/>
      <protection locked="0"/>
    </xf>
    <xf numFmtId="49" fontId="24" fillId="13" borderId="9" xfId="0" applyNumberFormat="1" applyFont="1" applyFill="1" applyBorder="1" applyAlignment="1" applyProtection="1">
      <alignment horizontal="center" vertical="center"/>
      <protection locked="0"/>
    </xf>
    <xf numFmtId="49" fontId="24" fillId="13" borderId="9" xfId="0" applyNumberFormat="1" applyFont="1" applyFill="1" applyBorder="1" applyProtection="1">
      <protection locked="0"/>
    </xf>
    <xf numFmtId="0" fontId="36" fillId="13" borderId="88" xfId="0" applyFont="1" applyFill="1" applyBorder="1" applyAlignment="1" applyProtection="1">
      <alignment horizontal="left" vertical="top" wrapText="1" indent="3"/>
      <protection locked="0"/>
    </xf>
    <xf numFmtId="0" fontId="16" fillId="8" borderId="0" xfId="0" applyFont="1" applyFill="1" applyProtection="1"/>
    <xf numFmtId="0" fontId="0" fillId="0" borderId="0" xfId="0" applyAlignment="1"/>
    <xf numFmtId="49" fontId="0" fillId="13" borderId="9" xfId="0" applyNumberFormat="1" applyFill="1" applyBorder="1" applyProtection="1">
      <protection locked="0"/>
    </xf>
    <xf numFmtId="0" fontId="27" fillId="3" borderId="7" xfId="0" applyFont="1" applyFill="1" applyBorder="1" applyAlignment="1" applyProtection="1">
      <alignment horizontal="center"/>
    </xf>
    <xf numFmtId="0" fontId="25" fillId="3" borderId="0" xfId="0" applyFont="1" applyFill="1" applyBorder="1" applyAlignment="1" applyProtection="1"/>
    <xf numFmtId="166" fontId="28" fillId="12" borderId="56" xfId="0" applyNumberFormat="1" applyFont="1" applyFill="1" applyBorder="1" applyAlignment="1" applyProtection="1">
      <alignment horizontal="center"/>
    </xf>
    <xf numFmtId="0" fontId="25" fillId="13" borderId="91" xfId="0" applyFont="1" applyFill="1" applyBorder="1" applyAlignment="1" applyProtection="1">
      <alignment horizontal="center" vertical="top" wrapText="1"/>
      <protection locked="0"/>
    </xf>
    <xf numFmtId="0" fontId="13" fillId="20" borderId="9" xfId="0" applyFont="1" applyFill="1" applyBorder="1" applyAlignment="1" applyProtection="1">
      <alignment horizontal="center"/>
      <protection locked="0"/>
    </xf>
    <xf numFmtId="0" fontId="6" fillId="2" borderId="0" xfId="0" applyFont="1" applyFill="1" applyBorder="1" applyAlignment="1" applyProtection="1"/>
    <xf numFmtId="0" fontId="6" fillId="19" borderId="0" xfId="0" applyFont="1" applyFill="1" applyBorder="1" applyAlignment="1" applyProtection="1"/>
    <xf numFmtId="0" fontId="3" fillId="19" borderId="0" xfId="0" applyFont="1" applyFill="1" applyBorder="1" applyAlignment="1" applyProtection="1"/>
    <xf numFmtId="0" fontId="3" fillId="2" borderId="0" xfId="0" applyFont="1" applyFill="1" applyBorder="1" applyAlignment="1" applyProtection="1"/>
    <xf numFmtId="0" fontId="11" fillId="19" borderId="0" xfId="0" applyFont="1" applyFill="1" applyBorder="1" applyAlignment="1" applyProtection="1"/>
    <xf numFmtId="0" fontId="11" fillId="2" borderId="0" xfId="0" applyFont="1" applyFill="1" applyBorder="1" applyAlignment="1" applyProtection="1"/>
    <xf numFmtId="0" fontId="11" fillId="7" borderId="0" xfId="0" applyFont="1" applyFill="1" applyBorder="1" applyAlignment="1" applyProtection="1"/>
    <xf numFmtId="0" fontId="3" fillId="7" borderId="0" xfId="0" applyFont="1" applyFill="1" applyBorder="1" applyAlignment="1" applyProtection="1"/>
    <xf numFmtId="0" fontId="9" fillId="8" borderId="0" xfId="0" applyFont="1" applyFill="1" applyBorder="1" applyAlignment="1" applyProtection="1">
      <protection locked="0"/>
    </xf>
    <xf numFmtId="0" fontId="2" fillId="8" borderId="0" xfId="0" applyFont="1" applyFill="1" applyBorder="1" applyAlignment="1" applyProtection="1"/>
    <xf numFmtId="0" fontId="25" fillId="8" borderId="0" xfId="0" applyFont="1" applyFill="1" applyBorder="1" applyAlignment="1" applyProtection="1"/>
    <xf numFmtId="0" fontId="8" fillId="8" borderId="0" xfId="0" applyFont="1" applyFill="1" applyBorder="1" applyAlignment="1" applyProtection="1"/>
    <xf numFmtId="0" fontId="3" fillId="8" borderId="0" xfId="0" applyNumberFormat="1" applyFont="1" applyFill="1" applyBorder="1" applyAlignment="1" applyProtection="1"/>
    <xf numFmtId="0" fontId="2" fillId="8" borderId="9" xfId="0" applyFont="1" applyFill="1" applyBorder="1" applyAlignment="1" applyProtection="1">
      <protection locked="0"/>
    </xf>
    <xf numFmtId="1" fontId="25" fillId="13" borderId="89" xfId="0" applyNumberFormat="1" applyFont="1" applyFill="1" applyBorder="1" applyAlignment="1" applyProtection="1">
      <alignment horizontal="center" vertical="center" wrapText="1"/>
      <protection locked="0"/>
    </xf>
    <xf numFmtId="2" fontId="16" fillId="12" borderId="0" xfId="0" applyNumberFormat="1" applyFont="1" applyFill="1" applyBorder="1" applyAlignment="1" applyProtection="1">
      <alignment horizontal="center"/>
    </xf>
    <xf numFmtId="164" fontId="16" fillId="5" borderId="0" xfId="0" applyNumberFormat="1" applyFont="1" applyFill="1" applyAlignment="1">
      <alignment horizontal="center"/>
    </xf>
    <xf numFmtId="164" fontId="16" fillId="5" borderId="10" xfId="0" applyNumberFormat="1" applyFont="1" applyFill="1" applyBorder="1" applyAlignment="1">
      <alignment horizontal="center"/>
    </xf>
    <xf numFmtId="0" fontId="9" fillId="0" borderId="0" xfId="0" applyFont="1" applyFill="1" applyProtection="1">
      <protection locked="0"/>
    </xf>
    <xf numFmtId="2" fontId="23" fillId="13" borderId="35" xfId="0" applyNumberFormat="1" applyFont="1" applyFill="1" applyBorder="1" applyAlignment="1" applyProtection="1">
      <alignment horizontal="center"/>
    </xf>
    <xf numFmtId="2" fontId="38" fillId="12" borderId="0" xfId="0" applyNumberFormat="1" applyFont="1" applyFill="1" applyBorder="1" applyAlignment="1" applyProtection="1">
      <alignment horizontal="center"/>
    </xf>
    <xf numFmtId="2" fontId="38" fillId="12" borderId="0" xfId="0" applyNumberFormat="1" applyFont="1" applyFill="1" applyBorder="1" applyAlignment="1" applyProtection="1"/>
    <xf numFmtId="1" fontId="26" fillId="12" borderId="0" xfId="0" applyNumberFormat="1" applyFont="1" applyFill="1" applyBorder="1" applyAlignment="1" applyProtection="1"/>
    <xf numFmtId="1" fontId="38" fillId="12" borderId="0" xfId="0" applyNumberFormat="1" applyFont="1" applyFill="1" applyBorder="1" applyAlignment="1" applyProtection="1"/>
    <xf numFmtId="49" fontId="24" fillId="8" borderId="0" xfId="0" applyNumberFormat="1" applyFont="1" applyFill="1" applyProtection="1"/>
    <xf numFmtId="0" fontId="27" fillId="3" borderId="80" xfId="0" applyFont="1" applyFill="1" applyBorder="1" applyAlignment="1" applyProtection="1">
      <alignment horizontal="center"/>
    </xf>
    <xf numFmtId="0" fontId="0" fillId="8" borderId="0" xfId="0" applyFill="1" applyAlignment="1">
      <alignment horizontal="center" vertical="center"/>
    </xf>
    <xf numFmtId="0" fontId="0" fillId="8" borderId="23" xfId="0" applyFill="1" applyBorder="1" applyAlignment="1">
      <alignment horizontal="center" vertical="center"/>
    </xf>
    <xf numFmtId="0" fontId="0" fillId="8" borderId="25" xfId="0" applyFill="1" applyBorder="1" applyAlignment="1">
      <alignment horizontal="center" vertical="center"/>
    </xf>
    <xf numFmtId="0" fontId="39" fillId="8" borderId="26" xfId="1" applyFill="1" applyBorder="1" applyAlignment="1">
      <alignment horizontal="center" vertical="center"/>
    </xf>
    <xf numFmtId="0" fontId="0" fillId="8" borderId="27" xfId="0" applyFill="1" applyBorder="1" applyAlignment="1">
      <alignment horizontal="center" vertical="center"/>
    </xf>
    <xf numFmtId="0" fontId="0" fillId="8" borderId="26" xfId="0" applyFill="1" applyBorder="1" applyAlignment="1">
      <alignment horizontal="center" vertical="center"/>
    </xf>
    <xf numFmtId="0" fontId="39" fillId="8" borderId="28" xfId="1" applyFill="1" applyBorder="1" applyAlignment="1">
      <alignment horizontal="center" vertical="center"/>
    </xf>
    <xf numFmtId="2" fontId="26" fillId="12" borderId="56" xfId="0" applyNumberFormat="1" applyFont="1" applyFill="1" applyBorder="1" applyAlignment="1" applyProtection="1">
      <alignment horizontal="center"/>
    </xf>
    <xf numFmtId="2" fontId="26" fillId="12" borderId="0" xfId="0" applyNumberFormat="1" applyFont="1" applyFill="1" applyBorder="1" applyAlignment="1" applyProtection="1">
      <alignment horizontal="center"/>
    </xf>
    <xf numFmtId="0" fontId="21" fillId="3" borderId="0" xfId="0" applyFont="1" applyFill="1" applyBorder="1" applyAlignment="1" applyProtection="1">
      <alignment horizontal="center"/>
    </xf>
    <xf numFmtId="0" fontId="9" fillId="0" borderId="0" xfId="0" applyFont="1" applyAlignment="1" applyProtection="1">
      <alignment horizontal="center"/>
      <protection locked="0"/>
    </xf>
    <xf numFmtId="0" fontId="6" fillId="16" borderId="87" xfId="0" applyFont="1" applyFill="1" applyBorder="1" applyAlignment="1" applyProtection="1">
      <alignment horizontal="left"/>
    </xf>
    <xf numFmtId="169" fontId="5" fillId="16" borderId="17" xfId="0" applyNumberFormat="1" applyFont="1" applyFill="1" applyBorder="1" applyAlignment="1" applyProtection="1">
      <alignment horizontal="center"/>
    </xf>
    <xf numFmtId="169" fontId="5" fillId="16" borderId="5" xfId="0" applyNumberFormat="1" applyFont="1" applyFill="1" applyBorder="1" applyAlignment="1" applyProtection="1">
      <alignment horizontal="center"/>
    </xf>
    <xf numFmtId="0" fontId="16" fillId="0" borderId="15" xfId="0" applyFont="1" applyBorder="1" applyAlignment="1">
      <alignment horizontal="center"/>
    </xf>
    <xf numFmtId="49" fontId="0" fillId="0" borderId="15" xfId="0" applyNumberFormat="1" applyBorder="1" applyAlignment="1">
      <alignment horizontal="center"/>
    </xf>
    <xf numFmtId="49" fontId="0" fillId="0" borderId="15" xfId="0" applyNumberFormat="1" applyBorder="1"/>
    <xf numFmtId="49" fontId="0" fillId="0" borderId="46" xfId="0" applyNumberFormat="1" applyBorder="1" applyAlignment="1">
      <alignment horizontal="center"/>
    </xf>
    <xf numFmtId="49" fontId="0" fillId="0" borderId="46" xfId="0" applyNumberFormat="1" applyBorder="1"/>
    <xf numFmtId="49" fontId="0" fillId="0" borderId="15" xfId="0" applyNumberFormat="1" applyBorder="1" applyProtection="1">
      <protection locked="0"/>
    </xf>
    <xf numFmtId="0" fontId="0" fillId="0" borderId="15" xfId="0" applyBorder="1" applyProtection="1">
      <protection locked="0"/>
    </xf>
    <xf numFmtId="0" fontId="40" fillId="2" borderId="87" xfId="0" applyFont="1" applyFill="1" applyBorder="1" applyAlignment="1" applyProtection="1">
      <alignment horizontal="center"/>
    </xf>
    <xf numFmtId="0" fontId="40" fillId="2" borderId="2" xfId="0" applyFont="1" applyFill="1" applyBorder="1" applyAlignment="1" applyProtection="1">
      <alignment horizontal="center"/>
    </xf>
    <xf numFmtId="0" fontId="24" fillId="8" borderId="0" xfId="0" applyFont="1" applyFill="1"/>
    <xf numFmtId="2" fontId="24" fillId="8" borderId="0" xfId="0" applyNumberFormat="1" applyFont="1" applyFill="1"/>
    <xf numFmtId="0" fontId="2" fillId="3" borderId="0" xfId="0" applyFont="1" applyFill="1" applyAlignment="1" applyProtection="1">
      <alignment horizontal="center"/>
    </xf>
    <xf numFmtId="0" fontId="16" fillId="8" borderId="0" xfId="0" applyFont="1" applyFill="1" applyBorder="1" applyAlignment="1" applyProtection="1">
      <alignment horizontal="center" vertical="center"/>
    </xf>
    <xf numFmtId="0" fontId="2" fillId="8" borderId="0" xfId="0" applyFont="1" applyFill="1" applyAlignment="1" applyProtection="1">
      <alignment horizontal="center"/>
    </xf>
    <xf numFmtId="0" fontId="16" fillId="8" borderId="0" xfId="0" applyFont="1" applyFill="1" applyAlignment="1" applyProtection="1">
      <alignment horizontal="center"/>
    </xf>
    <xf numFmtId="0" fontId="23" fillId="9" borderId="0" xfId="0" applyFont="1" applyFill="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9" fillId="0" borderId="0" xfId="0" applyFont="1" applyFill="1"/>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41" fillId="8" borderId="0" xfId="0" applyFont="1" applyFill="1" applyAlignment="1">
      <alignment horizontal="left" vertical="center"/>
    </xf>
    <xf numFmtId="0" fontId="16" fillId="8" borderId="0" xfId="0" applyFont="1" applyFill="1" applyAlignment="1">
      <alignment horizontal="center"/>
    </xf>
    <xf numFmtId="14" fontId="16" fillId="8" borderId="0" xfId="0" applyNumberFormat="1" applyFont="1" applyFill="1" applyAlignment="1">
      <alignment horizontal="center"/>
    </xf>
    <xf numFmtId="1" fontId="33" fillId="8" borderId="94" xfId="0" applyNumberFormat="1" applyFont="1" applyFill="1" applyBorder="1" applyAlignment="1" applyProtection="1">
      <alignment horizontal="center" vertical="center" wrapText="1"/>
    </xf>
    <xf numFmtId="0" fontId="24" fillId="8" borderId="0" xfId="0" applyFont="1" applyFill="1" applyAlignment="1">
      <alignment horizontal="left" vertical="center" wrapText="1"/>
    </xf>
    <xf numFmtId="0" fontId="24" fillId="8" borderId="0" xfId="0" applyFont="1" applyFill="1" applyAlignment="1">
      <alignment horizontal="center" vertical="center"/>
    </xf>
    <xf numFmtId="1" fontId="23" fillId="5" borderId="98" xfId="0" applyNumberFormat="1" applyFont="1" applyFill="1" applyBorder="1" applyAlignment="1" applyProtection="1">
      <alignment horizontal="center" vertical="center" wrapText="1"/>
    </xf>
    <xf numFmtId="1" fontId="23" fillId="5" borderId="99" xfId="0" applyNumberFormat="1" applyFont="1" applyFill="1" applyBorder="1" applyAlignment="1" applyProtection="1">
      <alignment horizontal="center" vertical="center" wrapText="1"/>
    </xf>
    <xf numFmtId="1" fontId="23" fillId="5" borderId="100" xfId="0" applyNumberFormat="1" applyFont="1" applyFill="1" applyBorder="1" applyAlignment="1" applyProtection="1">
      <alignment horizontal="center" vertical="center" wrapText="1"/>
    </xf>
    <xf numFmtId="0" fontId="23" fillId="5" borderId="44" xfId="0" applyFont="1" applyFill="1" applyBorder="1" applyAlignment="1">
      <alignment horizontal="center"/>
    </xf>
    <xf numFmtId="0" fontId="23" fillId="5" borderId="0" xfId="0" applyFont="1" applyFill="1" applyBorder="1" applyAlignment="1">
      <alignment horizontal="center"/>
    </xf>
    <xf numFmtId="1" fontId="23" fillId="13" borderId="39" xfId="0" applyNumberFormat="1" applyFont="1" applyFill="1" applyBorder="1" applyAlignment="1" applyProtection="1">
      <alignment horizontal="center"/>
    </xf>
    <xf numFmtId="1" fontId="23" fillId="13" borderId="64" xfId="0" applyNumberFormat="1" applyFont="1" applyFill="1" applyBorder="1" applyAlignment="1" applyProtection="1">
      <alignment horizontal="center"/>
    </xf>
    <xf numFmtId="1" fontId="23" fillId="13" borderId="39" xfId="0" applyNumberFormat="1" applyFont="1" applyFill="1" applyBorder="1" applyAlignment="1" applyProtection="1">
      <alignment horizontal="center"/>
      <protection locked="0"/>
    </xf>
    <xf numFmtId="1" fontId="23" fillId="13" borderId="64" xfId="0" applyNumberFormat="1" applyFont="1" applyFill="1" applyBorder="1" applyAlignment="1" applyProtection="1">
      <alignment horizontal="center"/>
      <protection locked="0"/>
    </xf>
    <xf numFmtId="1" fontId="23" fillId="13" borderId="31" xfId="0" applyNumberFormat="1" applyFont="1" applyFill="1" applyBorder="1" applyAlignment="1" applyProtection="1">
      <alignment horizontal="center"/>
      <protection locked="0"/>
    </xf>
    <xf numFmtId="1" fontId="23" fillId="13" borderId="63" xfId="0" applyNumberFormat="1" applyFont="1" applyFill="1" applyBorder="1" applyAlignment="1" applyProtection="1">
      <alignment horizontal="center"/>
      <protection locked="0"/>
    </xf>
    <xf numFmtId="1" fontId="23" fillId="13" borderId="31" xfId="0" applyNumberFormat="1" applyFont="1" applyFill="1" applyBorder="1" applyAlignment="1" applyProtection="1">
      <alignment horizontal="center"/>
    </xf>
    <xf numFmtId="1" fontId="23" fillId="13" borderId="63" xfId="0" applyNumberFormat="1" applyFont="1" applyFill="1" applyBorder="1" applyAlignment="1" applyProtection="1">
      <alignment horizontal="center"/>
    </xf>
    <xf numFmtId="2" fontId="23" fillId="13" borderId="31" xfId="0" applyNumberFormat="1" applyFont="1" applyFill="1" applyBorder="1" applyAlignment="1" applyProtection="1">
      <alignment horizontal="center"/>
      <protection locked="0"/>
    </xf>
    <xf numFmtId="2" fontId="23" fillId="13" borderId="63" xfId="0" applyNumberFormat="1" applyFont="1" applyFill="1" applyBorder="1" applyAlignment="1" applyProtection="1">
      <alignment horizontal="center"/>
      <protection locked="0"/>
    </xf>
    <xf numFmtId="2" fontId="23" fillId="13" borderId="31" xfId="0" applyNumberFormat="1" applyFont="1" applyFill="1" applyBorder="1" applyAlignment="1" applyProtection="1">
      <alignment horizontal="center"/>
    </xf>
    <xf numFmtId="2" fontId="23" fillId="13" borderId="63" xfId="0" applyNumberFormat="1" applyFont="1" applyFill="1" applyBorder="1" applyAlignment="1" applyProtection="1">
      <alignment horizontal="center"/>
    </xf>
    <xf numFmtId="1" fontId="23" fillId="13" borderId="47" xfId="0" applyNumberFormat="1" applyFont="1" applyFill="1" applyBorder="1" applyAlignment="1" applyProtection="1">
      <alignment horizontal="center"/>
      <protection locked="0"/>
    </xf>
    <xf numFmtId="2" fontId="23" fillId="13" borderId="70" xfId="0" applyNumberFormat="1" applyFont="1" applyFill="1" applyBorder="1" applyAlignment="1" applyProtection="1">
      <alignment horizontal="center"/>
      <protection locked="0"/>
    </xf>
    <xf numFmtId="2" fontId="23" fillId="13" borderId="71" xfId="0" applyNumberFormat="1" applyFont="1" applyFill="1" applyBorder="1" applyAlignment="1" applyProtection="1">
      <alignment horizontal="center"/>
      <protection locked="0"/>
    </xf>
    <xf numFmtId="2" fontId="23" fillId="13" borderId="41" xfId="0" applyNumberFormat="1" applyFont="1" applyFill="1" applyBorder="1" applyAlignment="1" applyProtection="1">
      <alignment horizontal="center"/>
    </xf>
    <xf numFmtId="2" fontId="23" fillId="13" borderId="65" xfId="0" applyNumberFormat="1" applyFont="1" applyFill="1" applyBorder="1" applyAlignment="1" applyProtection="1">
      <alignment horizontal="center"/>
    </xf>
    <xf numFmtId="164" fontId="16" fillId="7" borderId="21" xfId="0" applyNumberFormat="1" applyFont="1" applyFill="1" applyBorder="1" applyAlignment="1" applyProtection="1">
      <alignment horizontal="center"/>
    </xf>
    <xf numFmtId="164" fontId="16" fillId="7" borderId="22" xfId="0" applyNumberFormat="1" applyFont="1" applyFill="1" applyBorder="1" applyAlignment="1" applyProtection="1">
      <alignment horizontal="center"/>
    </xf>
    <xf numFmtId="164" fontId="16" fillId="7" borderId="45" xfId="0" applyNumberFormat="1" applyFont="1" applyFill="1" applyBorder="1" applyAlignment="1" applyProtection="1">
      <alignment horizontal="center"/>
    </xf>
    <xf numFmtId="2" fontId="23" fillId="13" borderId="41" xfId="0" applyNumberFormat="1" applyFont="1" applyFill="1" applyBorder="1" applyAlignment="1" applyProtection="1">
      <alignment horizontal="center"/>
      <protection locked="0"/>
    </xf>
    <xf numFmtId="2" fontId="23" fillId="13" borderId="65" xfId="0" applyNumberFormat="1" applyFont="1" applyFill="1" applyBorder="1" applyAlignment="1" applyProtection="1">
      <alignment horizontal="center"/>
      <protection locked="0"/>
    </xf>
    <xf numFmtId="1" fontId="23" fillId="5" borderId="51" xfId="0" applyNumberFormat="1" applyFont="1" applyFill="1" applyBorder="1" applyAlignment="1" applyProtection="1">
      <alignment horizontal="center" vertical="center" wrapText="1"/>
    </xf>
    <xf numFmtId="1" fontId="23" fillId="5" borderId="66" xfId="0" applyNumberFormat="1" applyFont="1" applyFill="1" applyBorder="1" applyAlignment="1" applyProtection="1">
      <alignment horizontal="center" vertical="center" wrapText="1"/>
    </xf>
    <xf numFmtId="0" fontId="23" fillId="12" borderId="44" xfId="0" applyFont="1" applyFill="1" applyBorder="1" applyAlignment="1" applyProtection="1">
      <alignment horizontal="center" vertical="center" wrapText="1"/>
    </xf>
    <xf numFmtId="0" fontId="23" fillId="12" borderId="0" xfId="0" applyFont="1" applyFill="1" applyBorder="1" applyAlignment="1" applyProtection="1">
      <alignment horizontal="center" vertical="center" wrapText="1"/>
    </xf>
    <xf numFmtId="164" fontId="23" fillId="5" borderId="19" xfId="0" applyNumberFormat="1" applyFont="1" applyFill="1" applyBorder="1" applyAlignment="1" applyProtection="1">
      <alignment horizontal="center"/>
    </xf>
    <xf numFmtId="164" fontId="23" fillId="5" borderId="20" xfId="0" applyNumberFormat="1" applyFont="1" applyFill="1" applyBorder="1" applyAlignment="1" applyProtection="1">
      <alignment horizontal="center"/>
    </xf>
    <xf numFmtId="2" fontId="23" fillId="5" borderId="66" xfId="0" applyNumberFormat="1" applyFont="1" applyFill="1" applyBorder="1" applyAlignment="1" applyProtection="1">
      <alignment horizontal="center" vertical="center" wrapText="1"/>
    </xf>
    <xf numFmtId="2" fontId="23" fillId="5" borderId="34" xfId="0" applyNumberFormat="1" applyFont="1" applyFill="1" applyBorder="1" applyAlignment="1" applyProtection="1">
      <alignment horizontal="center" vertical="center" wrapText="1"/>
    </xf>
    <xf numFmtId="2" fontId="23" fillId="5" borderId="67" xfId="0" applyNumberFormat="1" applyFont="1" applyFill="1" applyBorder="1" applyAlignment="1" applyProtection="1">
      <alignment horizontal="center" vertical="center" wrapText="1"/>
    </xf>
    <xf numFmtId="2" fontId="23" fillId="13" borderId="53" xfId="0" applyNumberFormat="1" applyFont="1" applyFill="1" applyBorder="1" applyAlignment="1" applyProtection="1">
      <alignment horizontal="center"/>
      <protection locked="0"/>
    </xf>
    <xf numFmtId="2" fontId="23" fillId="13" borderId="54" xfId="0" applyNumberFormat="1" applyFont="1" applyFill="1" applyBorder="1" applyAlignment="1" applyProtection="1">
      <alignment horizontal="center"/>
      <protection locked="0"/>
    </xf>
    <xf numFmtId="2" fontId="23" fillId="13" borderId="35" xfId="0" applyNumberFormat="1" applyFont="1" applyFill="1" applyBorder="1" applyAlignment="1" applyProtection="1">
      <alignment horizontal="center"/>
      <protection locked="0"/>
    </xf>
    <xf numFmtId="1" fontId="23" fillId="13" borderId="53" xfId="0" applyNumberFormat="1" applyFont="1" applyFill="1" applyBorder="1" applyAlignment="1" applyProtection="1">
      <alignment horizontal="center"/>
    </xf>
    <xf numFmtId="1" fontId="23" fillId="13" borderId="54" xfId="0" applyNumberFormat="1" applyFont="1" applyFill="1" applyBorder="1" applyAlignment="1" applyProtection="1">
      <alignment horizontal="center"/>
    </xf>
    <xf numFmtId="2" fontId="23" fillId="13" borderId="15" xfId="0" applyNumberFormat="1" applyFont="1" applyFill="1" applyBorder="1" applyAlignment="1" applyProtection="1">
      <alignment horizontal="center"/>
      <protection locked="0"/>
    </xf>
    <xf numFmtId="1" fontId="23" fillId="13" borderId="35" xfId="0" applyNumberFormat="1" applyFont="1" applyFill="1" applyBorder="1" applyAlignment="1" applyProtection="1">
      <alignment horizontal="center"/>
    </xf>
    <xf numFmtId="2" fontId="23" fillId="13" borderId="35" xfId="0" applyNumberFormat="1" applyFont="1" applyFill="1" applyBorder="1" applyAlignment="1" applyProtection="1">
      <alignment horizontal="center"/>
    </xf>
    <xf numFmtId="49" fontId="23" fillId="13" borderId="51" xfId="0" applyNumberFormat="1" applyFont="1" applyFill="1" applyBorder="1" applyAlignment="1" applyProtection="1">
      <alignment horizontal="center" vertical="center" wrapText="1"/>
    </xf>
    <xf numFmtId="49" fontId="23" fillId="13" borderId="66" xfId="0" applyNumberFormat="1" applyFont="1" applyFill="1" applyBorder="1" applyAlignment="1" applyProtection="1">
      <alignment horizontal="center" vertical="center" wrapText="1"/>
    </xf>
    <xf numFmtId="49" fontId="23" fillId="13" borderId="38" xfId="0" applyNumberFormat="1" applyFont="1" applyFill="1" applyBorder="1" applyAlignment="1" applyProtection="1">
      <alignment horizontal="center" vertical="center" wrapText="1"/>
    </xf>
    <xf numFmtId="49" fontId="23" fillId="13" borderId="67" xfId="0" applyNumberFormat="1" applyFont="1" applyFill="1" applyBorder="1" applyAlignment="1" applyProtection="1">
      <alignment horizontal="center" vertical="center" wrapText="1"/>
    </xf>
    <xf numFmtId="0" fontId="23" fillId="13" borderId="51" xfId="0" applyNumberFormat="1" applyFont="1" applyFill="1" applyBorder="1" applyAlignment="1" applyProtection="1">
      <alignment horizontal="center" vertical="center" wrapText="1"/>
      <protection locked="0"/>
    </xf>
    <xf numFmtId="0" fontId="23" fillId="13" borderId="66" xfId="0" applyNumberFormat="1" applyFont="1" applyFill="1" applyBorder="1" applyAlignment="1" applyProtection="1">
      <alignment horizontal="center" vertical="center" wrapText="1"/>
      <protection locked="0"/>
    </xf>
    <xf numFmtId="0" fontId="23" fillId="13" borderId="38" xfId="0" applyNumberFormat="1" applyFont="1" applyFill="1" applyBorder="1" applyAlignment="1" applyProtection="1">
      <alignment horizontal="center" vertical="center" wrapText="1"/>
      <protection locked="0"/>
    </xf>
    <xf numFmtId="0" fontId="23" fillId="13" borderId="67" xfId="0" applyNumberFormat="1" applyFont="1" applyFill="1" applyBorder="1" applyAlignment="1" applyProtection="1">
      <alignment horizontal="center" vertical="center" wrapText="1"/>
      <protection locked="0"/>
    </xf>
    <xf numFmtId="2" fontId="16" fillId="12" borderId="0" xfId="0" applyNumberFormat="1" applyFont="1" applyFill="1" applyBorder="1" applyAlignment="1" applyProtection="1">
      <alignment horizontal="center"/>
    </xf>
    <xf numFmtId="0" fontId="23" fillId="13" borderId="51" xfId="0" applyNumberFormat="1" applyFont="1" applyFill="1" applyBorder="1" applyAlignment="1" applyProtection="1">
      <alignment horizontal="center" vertical="center" wrapText="1"/>
    </xf>
    <xf numFmtId="0" fontId="23" fillId="13" borderId="66" xfId="0" applyNumberFormat="1" applyFont="1" applyFill="1" applyBorder="1" applyAlignment="1" applyProtection="1">
      <alignment horizontal="center" vertical="center" wrapText="1"/>
    </xf>
    <xf numFmtId="0" fontId="23" fillId="13" borderId="38" xfId="0" applyNumberFormat="1" applyFont="1" applyFill="1" applyBorder="1" applyAlignment="1" applyProtection="1">
      <alignment horizontal="center" vertical="center" wrapText="1"/>
    </xf>
    <xf numFmtId="0" fontId="23" fillId="13" borderId="67" xfId="0" applyNumberFormat="1" applyFont="1" applyFill="1" applyBorder="1" applyAlignment="1" applyProtection="1">
      <alignment horizontal="center" vertical="center" wrapText="1"/>
    </xf>
    <xf numFmtId="164" fontId="23" fillId="5" borderId="21" xfId="0" applyNumberFormat="1" applyFont="1" applyFill="1" applyBorder="1" applyAlignment="1" applyProtection="1">
      <alignment horizontal="center"/>
    </xf>
    <xf numFmtId="164" fontId="23" fillId="5" borderId="45" xfId="0" applyNumberFormat="1" applyFont="1" applyFill="1" applyBorder="1" applyAlignment="1" applyProtection="1">
      <alignment horizontal="center"/>
    </xf>
    <xf numFmtId="1" fontId="16" fillId="12" borderId="0" xfId="0" applyNumberFormat="1" applyFont="1" applyFill="1" applyBorder="1" applyAlignment="1" applyProtection="1">
      <alignment horizontal="center"/>
    </xf>
    <xf numFmtId="0" fontId="16" fillId="12" borderId="0" xfId="0" applyNumberFormat="1" applyFont="1" applyFill="1" applyBorder="1" applyAlignment="1" applyProtection="1">
      <alignment horizontal="center" vertical="center" wrapText="1"/>
    </xf>
    <xf numFmtId="2" fontId="23" fillId="5" borderId="69" xfId="0" applyNumberFormat="1" applyFont="1" applyFill="1" applyBorder="1" applyAlignment="1" applyProtection="1">
      <alignment horizontal="center" vertical="center" wrapText="1"/>
    </xf>
    <xf numFmtId="2" fontId="23" fillId="5" borderId="43" xfId="0" applyNumberFormat="1"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xf>
    <xf numFmtId="0" fontId="34" fillId="5" borderId="22" xfId="0" applyFont="1" applyFill="1" applyBorder="1" applyAlignment="1" applyProtection="1">
      <alignment horizontal="center" vertical="center"/>
    </xf>
    <xf numFmtId="1" fontId="34" fillId="13" borderId="22" xfId="0" applyNumberFormat="1" applyFont="1" applyFill="1" applyBorder="1" applyAlignment="1" applyProtection="1">
      <alignment horizontal="center"/>
      <protection locked="0"/>
    </xf>
    <xf numFmtId="1" fontId="34" fillId="13" borderId="45" xfId="0" applyNumberFormat="1" applyFont="1" applyFill="1" applyBorder="1" applyAlignment="1" applyProtection="1">
      <alignment horizontal="center"/>
      <protection locked="0"/>
    </xf>
    <xf numFmtId="0" fontId="23" fillId="5" borderId="51" xfId="0" applyFont="1" applyFill="1" applyBorder="1" applyAlignment="1" applyProtection="1">
      <alignment horizontal="center" vertical="center" wrapText="1"/>
    </xf>
    <xf numFmtId="0" fontId="23" fillId="5" borderId="44" xfId="0" applyFont="1" applyFill="1" applyBorder="1" applyAlignment="1" applyProtection="1">
      <alignment horizontal="center" vertical="center" wrapText="1"/>
    </xf>
    <xf numFmtId="0" fontId="23" fillId="5" borderId="38" xfId="0" applyFont="1" applyFill="1" applyBorder="1" applyAlignment="1" applyProtection="1">
      <alignment horizontal="center" vertical="center" wrapText="1"/>
    </xf>
    <xf numFmtId="1" fontId="23" fillId="13" borderId="40" xfId="0" applyNumberFormat="1" applyFont="1" applyFill="1" applyBorder="1" applyAlignment="1" applyProtection="1">
      <alignment horizontal="center"/>
    </xf>
    <xf numFmtId="1" fontId="23" fillId="13" borderId="108" xfId="0" applyNumberFormat="1" applyFont="1" applyFill="1" applyBorder="1" applyAlignment="1" applyProtection="1">
      <alignment horizontal="center"/>
      <protection locked="0"/>
    </xf>
    <xf numFmtId="1" fontId="23" fillId="13" borderId="72" xfId="0" applyNumberFormat="1" applyFont="1" applyFill="1" applyBorder="1" applyAlignment="1" applyProtection="1">
      <alignment horizontal="center"/>
      <protection locked="0"/>
    </xf>
    <xf numFmtId="1" fontId="23" fillId="13" borderId="50" xfId="0" applyNumberFormat="1" applyFont="1" applyFill="1" applyBorder="1" applyAlignment="1" applyProtection="1">
      <alignment horizontal="center"/>
      <protection locked="0"/>
    </xf>
    <xf numFmtId="1" fontId="23" fillId="13" borderId="107" xfId="0" applyNumberFormat="1" applyFont="1" applyFill="1" applyBorder="1" applyAlignment="1" applyProtection="1">
      <alignment horizontal="center"/>
      <protection locked="0"/>
    </xf>
    <xf numFmtId="1" fontId="23" fillId="13" borderId="15" xfId="0" applyNumberFormat="1" applyFont="1" applyFill="1" applyBorder="1" applyAlignment="1" applyProtection="1">
      <alignment horizontal="center"/>
      <protection locked="0"/>
    </xf>
    <xf numFmtId="2" fontId="23" fillId="13" borderId="70" xfId="0" applyNumberFormat="1" applyFont="1" applyFill="1" applyBorder="1" applyAlignment="1" applyProtection="1">
      <alignment horizontal="center"/>
    </xf>
    <xf numFmtId="2" fontId="23" fillId="13" borderId="71" xfId="0" applyNumberFormat="1" applyFont="1" applyFill="1" applyBorder="1" applyAlignment="1" applyProtection="1">
      <alignment horizontal="center"/>
    </xf>
    <xf numFmtId="1" fontId="16" fillId="6" borderId="31" xfId="0" applyNumberFormat="1" applyFont="1" applyFill="1" applyBorder="1" applyAlignment="1" applyProtection="1">
      <alignment horizontal="center"/>
    </xf>
    <xf numFmtId="1" fontId="16" fillId="6" borderId="63" xfId="0" applyNumberFormat="1" applyFont="1" applyFill="1" applyBorder="1" applyAlignment="1" applyProtection="1">
      <alignment horizontal="center"/>
    </xf>
    <xf numFmtId="1" fontId="16" fillId="7" borderId="31" xfId="0" applyNumberFormat="1" applyFont="1" applyFill="1" applyBorder="1" applyAlignment="1" applyProtection="1">
      <alignment horizontal="center"/>
    </xf>
    <xf numFmtId="1" fontId="16" fillId="7" borderId="63" xfId="0" applyNumberFormat="1" applyFont="1" applyFill="1" applyBorder="1" applyAlignment="1" applyProtection="1">
      <alignment horizontal="center"/>
    </xf>
    <xf numFmtId="1" fontId="16" fillId="6" borderId="41" xfId="0" applyNumberFormat="1" applyFont="1" applyFill="1" applyBorder="1" applyAlignment="1" applyProtection="1">
      <alignment horizontal="center"/>
    </xf>
    <xf numFmtId="1" fontId="16" fillId="6" borderId="65" xfId="0" applyNumberFormat="1" applyFont="1" applyFill="1" applyBorder="1" applyAlignment="1" applyProtection="1">
      <alignment horizontal="center"/>
    </xf>
    <xf numFmtId="1" fontId="16" fillId="7" borderId="41" xfId="0" applyNumberFormat="1" applyFont="1" applyFill="1" applyBorder="1" applyAlignment="1" applyProtection="1">
      <alignment horizontal="center"/>
    </xf>
    <xf numFmtId="1" fontId="16" fillId="7" borderId="65" xfId="0" applyNumberFormat="1" applyFont="1" applyFill="1" applyBorder="1" applyAlignment="1" applyProtection="1">
      <alignment horizontal="center"/>
    </xf>
    <xf numFmtId="1" fontId="16" fillId="6" borderId="39" xfId="0" applyNumberFormat="1" applyFont="1" applyFill="1" applyBorder="1" applyAlignment="1" applyProtection="1">
      <alignment horizontal="center"/>
    </xf>
    <xf numFmtId="1" fontId="16" fillId="6" borderId="64" xfId="0" applyNumberFormat="1" applyFont="1" applyFill="1" applyBorder="1" applyAlignment="1" applyProtection="1">
      <alignment horizontal="center"/>
    </xf>
    <xf numFmtId="1" fontId="16" fillId="7" borderId="39" xfId="0" applyNumberFormat="1" applyFont="1" applyFill="1" applyBorder="1" applyAlignment="1" applyProtection="1">
      <alignment horizontal="center"/>
    </xf>
    <xf numFmtId="1" fontId="16" fillId="7" borderId="64" xfId="0" applyNumberFormat="1" applyFont="1" applyFill="1" applyBorder="1" applyAlignment="1" applyProtection="1">
      <alignment horizontal="center"/>
    </xf>
    <xf numFmtId="1" fontId="16" fillId="7" borderId="53" xfId="0" applyNumberFormat="1" applyFont="1" applyFill="1" applyBorder="1" applyAlignment="1" applyProtection="1">
      <alignment horizontal="center"/>
    </xf>
    <xf numFmtId="1" fontId="16" fillId="7" borderId="54" xfId="0" applyNumberFormat="1" applyFont="1" applyFill="1" applyBorder="1" applyAlignment="1" applyProtection="1">
      <alignment horizontal="center"/>
    </xf>
    <xf numFmtId="1" fontId="23" fillId="13" borderId="38" xfId="0" applyNumberFormat="1" applyFont="1" applyFill="1" applyBorder="1" applyAlignment="1" applyProtection="1">
      <alignment horizontal="center"/>
      <protection locked="0"/>
    </xf>
    <xf numFmtId="1" fontId="23" fillId="13" borderId="67" xfId="0" applyNumberFormat="1" applyFont="1" applyFill="1" applyBorder="1" applyAlignment="1" applyProtection="1">
      <alignment horizontal="center"/>
      <protection locked="0"/>
    </xf>
    <xf numFmtId="1" fontId="23" fillId="13" borderId="53" xfId="0" applyNumberFormat="1" applyFont="1" applyFill="1" applyBorder="1" applyAlignment="1" applyProtection="1">
      <alignment horizontal="center"/>
      <protection locked="0"/>
    </xf>
    <xf numFmtId="1" fontId="23" fillId="13" borderId="54" xfId="0" applyNumberFormat="1" applyFont="1" applyFill="1" applyBorder="1" applyAlignment="1" applyProtection="1">
      <alignment horizontal="center"/>
      <protection locked="0"/>
    </xf>
    <xf numFmtId="0" fontId="2" fillId="19" borderId="0" xfId="0" applyFont="1" applyFill="1" applyBorder="1" applyAlignment="1" applyProtection="1">
      <alignment horizontal="center" vertical="center"/>
    </xf>
    <xf numFmtId="0" fontId="14" fillId="19" borderId="0" xfId="0" applyFont="1" applyFill="1" applyBorder="1" applyAlignment="1" applyProtection="1">
      <alignment horizontal="center" vertical="top"/>
    </xf>
    <xf numFmtId="0" fontId="15" fillId="7" borderId="109" xfId="0" applyNumberFormat="1" applyFont="1" applyFill="1" applyBorder="1" applyAlignment="1" applyProtection="1">
      <alignment horizontal="center" vertical="center"/>
    </xf>
    <xf numFmtId="0" fontId="27" fillId="5" borderId="97" xfId="0" applyFont="1" applyFill="1" applyBorder="1" applyAlignment="1" applyProtection="1">
      <alignment horizontal="center" vertical="top" wrapText="1"/>
    </xf>
    <xf numFmtId="0" fontId="27" fillId="5" borderId="92" xfId="0" applyFont="1" applyFill="1" applyBorder="1" applyAlignment="1" applyProtection="1">
      <alignment horizontal="center" vertical="top" wrapText="1"/>
    </xf>
    <xf numFmtId="0" fontId="27" fillId="5" borderId="91" xfId="0" applyFont="1" applyFill="1" applyBorder="1" applyAlignment="1" applyProtection="1">
      <alignment horizontal="center" vertical="top" wrapText="1"/>
    </xf>
    <xf numFmtId="0" fontId="23" fillId="5" borderId="21" xfId="0" applyFont="1" applyFill="1" applyBorder="1" applyAlignment="1" applyProtection="1">
      <alignment horizontal="center"/>
    </xf>
    <xf numFmtId="0" fontId="23" fillId="5" borderId="45" xfId="0" applyFont="1" applyFill="1" applyBorder="1" applyAlignment="1" applyProtection="1">
      <alignment horizontal="center"/>
    </xf>
    <xf numFmtId="0" fontId="25" fillId="13" borderId="97" xfId="0" applyFont="1" applyFill="1" applyBorder="1" applyAlignment="1" applyProtection="1">
      <alignment horizontal="center" vertical="top" wrapText="1"/>
      <protection locked="0"/>
    </xf>
    <xf numFmtId="0" fontId="25" fillId="13" borderId="92" xfId="0" applyFont="1" applyFill="1" applyBorder="1" applyAlignment="1" applyProtection="1">
      <alignment horizontal="center" vertical="top" wrapText="1"/>
      <protection locked="0"/>
    </xf>
    <xf numFmtId="0" fontId="25" fillId="13" borderId="89" xfId="0" applyFont="1" applyFill="1" applyBorder="1" applyAlignment="1" applyProtection="1">
      <alignment horizontal="center" vertical="top" wrapText="1"/>
      <protection locked="0"/>
    </xf>
    <xf numFmtId="0" fontId="36" fillId="13" borderId="21" xfId="0" applyFont="1" applyFill="1" applyBorder="1" applyAlignment="1" applyProtection="1">
      <alignment horizontal="center" vertical="top" wrapText="1"/>
      <protection locked="0"/>
    </xf>
    <xf numFmtId="0" fontId="36" fillId="13" borderId="22" xfId="0" applyFont="1" applyFill="1" applyBorder="1" applyAlignment="1" applyProtection="1">
      <alignment horizontal="center" vertical="top" wrapText="1"/>
      <protection locked="0"/>
    </xf>
    <xf numFmtId="0" fontId="36" fillId="13" borderId="45" xfId="0" applyFont="1" applyFill="1" applyBorder="1" applyAlignment="1" applyProtection="1">
      <alignment horizontal="center" vertical="top" wrapText="1"/>
      <protection locked="0"/>
    </xf>
    <xf numFmtId="0" fontId="25" fillId="13" borderId="38" xfId="0" applyFont="1" applyFill="1" applyBorder="1" applyAlignment="1" applyProtection="1">
      <alignment horizontal="center" vertical="top" wrapText="1"/>
      <protection locked="0"/>
    </xf>
    <xf numFmtId="0" fontId="25" fillId="13" borderId="67" xfId="0" applyFont="1" applyFill="1" applyBorder="1" applyAlignment="1" applyProtection="1">
      <alignment horizontal="center" vertical="top" wrapText="1"/>
      <protection locked="0"/>
    </xf>
    <xf numFmtId="0" fontId="12" fillId="13" borderId="93" xfId="0" applyFont="1" applyFill="1" applyBorder="1" applyAlignment="1" applyProtection="1">
      <alignment horizontal="center" vertical="top" wrapText="1"/>
      <protection locked="0"/>
    </xf>
    <xf numFmtId="0" fontId="12" fillId="13" borderId="89" xfId="0" applyFont="1" applyFill="1" applyBorder="1" applyAlignment="1" applyProtection="1">
      <alignment horizontal="center" vertical="top" wrapText="1"/>
      <protection locked="0"/>
    </xf>
    <xf numFmtId="0" fontId="25" fillId="13" borderId="101" xfId="0" applyFont="1" applyFill="1" applyBorder="1" applyAlignment="1" applyProtection="1">
      <alignment horizontal="center" vertical="top" wrapText="1"/>
      <protection locked="0"/>
    </xf>
    <xf numFmtId="0" fontId="25" fillId="13" borderId="91" xfId="0" applyFont="1" applyFill="1" applyBorder="1" applyAlignment="1" applyProtection="1">
      <alignment horizontal="center" vertical="top" wrapText="1"/>
      <protection locked="0"/>
    </xf>
    <xf numFmtId="49" fontId="25" fillId="13" borderId="93" xfId="0" applyNumberFormat="1" applyFont="1" applyFill="1" applyBorder="1" applyAlignment="1" applyProtection="1">
      <alignment horizontal="center" vertical="top" wrapText="1"/>
      <protection locked="0"/>
    </xf>
    <xf numFmtId="49" fontId="25" fillId="13" borderId="101" xfId="0" applyNumberFormat="1" applyFont="1" applyFill="1" applyBorder="1" applyAlignment="1" applyProtection="1">
      <alignment horizontal="center" vertical="top" wrapText="1"/>
      <protection locked="0"/>
    </xf>
    <xf numFmtId="49" fontId="25" fillId="13" borderId="89" xfId="0" applyNumberFormat="1" applyFont="1" applyFill="1" applyBorder="1" applyAlignment="1" applyProtection="1">
      <alignment horizontal="center" vertical="top" wrapText="1"/>
      <protection locked="0"/>
    </xf>
    <xf numFmtId="0" fontId="27" fillId="5" borderId="93" xfId="0" applyFont="1" applyFill="1" applyBorder="1" applyAlignment="1" applyProtection="1">
      <alignment horizontal="center" vertical="top" wrapText="1"/>
    </xf>
    <xf numFmtId="0" fontId="27" fillId="5" borderId="89" xfId="0" applyFont="1" applyFill="1" applyBorder="1" applyAlignment="1" applyProtection="1">
      <alignment horizontal="center" vertical="top" wrapText="1"/>
    </xf>
    <xf numFmtId="0" fontId="27" fillId="5" borderId="9" xfId="0" applyFont="1" applyFill="1" applyBorder="1" applyAlignment="1" applyProtection="1">
      <alignment horizontal="center" vertical="top" wrapText="1"/>
    </xf>
    <xf numFmtId="0" fontId="25" fillId="13" borderId="93" xfId="0" applyFont="1" applyFill="1" applyBorder="1" applyAlignment="1" applyProtection="1">
      <alignment horizontal="center" wrapText="1"/>
      <protection locked="0"/>
    </xf>
    <xf numFmtId="0" fontId="25" fillId="13" borderId="101" xfId="0" applyFont="1" applyFill="1" applyBorder="1" applyAlignment="1" applyProtection="1">
      <alignment horizontal="center" wrapText="1"/>
      <protection locked="0"/>
    </xf>
    <xf numFmtId="0" fontId="25" fillId="13" borderId="89" xfId="0" applyFont="1" applyFill="1" applyBorder="1" applyAlignment="1" applyProtection="1">
      <alignment horizontal="center" wrapText="1"/>
      <protection locked="0"/>
    </xf>
    <xf numFmtId="0" fontId="27" fillId="5" borderId="93" xfId="0" applyFont="1" applyFill="1" applyBorder="1" applyAlignment="1" applyProtection="1">
      <alignment horizontal="center" wrapText="1"/>
    </xf>
    <xf numFmtId="0" fontId="27" fillId="5" borderId="89" xfId="0" applyFont="1" applyFill="1" applyBorder="1" applyAlignment="1" applyProtection="1">
      <alignment horizontal="center" wrapText="1"/>
    </xf>
    <xf numFmtId="0" fontId="23" fillId="5" borderId="22" xfId="0" applyFont="1" applyFill="1" applyBorder="1" applyAlignment="1" applyProtection="1">
      <alignment horizontal="center"/>
    </xf>
    <xf numFmtId="0" fontId="9" fillId="8" borderId="9" xfId="0" applyFont="1" applyFill="1" applyBorder="1" applyAlignment="1" applyProtection="1">
      <alignment horizontal="center"/>
    </xf>
    <xf numFmtId="0" fontId="27" fillId="5" borderId="51" xfId="0" applyFont="1" applyFill="1" applyBorder="1" applyAlignment="1" applyProtection="1">
      <alignment horizontal="center" vertical="top" wrapText="1"/>
    </xf>
    <xf numFmtId="0" fontId="27" fillId="5" borderId="66" xfId="0" applyFont="1" applyFill="1" applyBorder="1" applyAlignment="1" applyProtection="1">
      <alignment horizontal="center" vertical="top" wrapText="1"/>
    </xf>
    <xf numFmtId="0" fontId="27" fillId="5" borderId="38" xfId="0" applyFont="1" applyFill="1" applyBorder="1" applyAlignment="1" applyProtection="1">
      <alignment horizontal="center" vertical="top" wrapText="1"/>
    </xf>
    <xf numFmtId="0" fontId="27" fillId="5" borderId="67" xfId="0" applyFont="1" applyFill="1" applyBorder="1" applyAlignment="1" applyProtection="1">
      <alignment horizontal="center" vertical="top" wrapText="1"/>
    </xf>
    <xf numFmtId="0" fontId="24" fillId="8" borderId="44" xfId="0" applyFont="1" applyFill="1" applyBorder="1" applyAlignment="1" applyProtection="1">
      <alignment horizontal="center" vertical="center"/>
    </xf>
    <xf numFmtId="0" fontId="12" fillId="8" borderId="88" xfId="0" applyFont="1" applyFill="1" applyBorder="1" applyAlignment="1" applyProtection="1">
      <alignment horizontal="center" vertical="top" wrapText="1"/>
    </xf>
    <xf numFmtId="0" fontId="36" fillId="13" borderId="93" xfId="0" applyFont="1" applyFill="1" applyBorder="1" applyAlignment="1" applyProtection="1">
      <alignment horizontal="center" vertical="top" wrapText="1"/>
      <protection locked="0"/>
    </xf>
    <xf numFmtId="0" fontId="36" fillId="13" borderId="89" xfId="0" applyFont="1" applyFill="1" applyBorder="1" applyAlignment="1" applyProtection="1">
      <alignment horizontal="center" vertical="top" wrapText="1"/>
      <protection locked="0"/>
    </xf>
    <xf numFmtId="0" fontId="25" fillId="13" borderId="21" xfId="0" applyFont="1" applyFill="1" applyBorder="1" applyAlignment="1" applyProtection="1">
      <alignment horizontal="center" wrapText="1"/>
      <protection locked="0"/>
    </xf>
    <xf numFmtId="0" fontId="25" fillId="13" borderId="22" xfId="0" applyFont="1" applyFill="1" applyBorder="1" applyAlignment="1" applyProtection="1">
      <alignment horizontal="center" wrapText="1"/>
      <protection locked="0"/>
    </xf>
    <xf numFmtId="0" fontId="25" fillId="13" borderId="45" xfId="0" applyFont="1" applyFill="1" applyBorder="1" applyAlignment="1" applyProtection="1">
      <alignment horizontal="center" wrapText="1"/>
      <protection locked="0"/>
    </xf>
    <xf numFmtId="0" fontId="25" fillId="13" borderId="21" xfId="0" applyFont="1" applyFill="1" applyBorder="1" applyAlignment="1" applyProtection="1">
      <alignment horizontal="center" vertical="top" wrapText="1"/>
      <protection locked="0"/>
    </xf>
    <xf numFmtId="0" fontId="25" fillId="13" borderId="45" xfId="0" applyFont="1" applyFill="1" applyBorder="1" applyAlignment="1" applyProtection="1">
      <alignment horizontal="center" vertical="top" wrapText="1"/>
      <protection locked="0"/>
    </xf>
    <xf numFmtId="0" fontId="25" fillId="13" borderId="97" xfId="0" applyFont="1" applyFill="1" applyBorder="1" applyAlignment="1" applyProtection="1">
      <alignment horizontal="center" wrapText="1"/>
      <protection locked="0"/>
    </xf>
    <xf numFmtId="0" fontId="25" fillId="13" borderId="92" xfId="0" applyFont="1" applyFill="1" applyBorder="1" applyAlignment="1" applyProtection="1">
      <alignment horizontal="center" wrapText="1"/>
      <protection locked="0"/>
    </xf>
    <xf numFmtId="0" fontId="25" fillId="13" borderId="91" xfId="0" applyFont="1" applyFill="1" applyBorder="1" applyAlignment="1" applyProtection="1">
      <alignment horizontal="center" wrapText="1"/>
      <protection locked="0"/>
    </xf>
    <xf numFmtId="0" fontId="25" fillId="13" borderId="93" xfId="0" applyFont="1" applyFill="1" applyBorder="1" applyAlignment="1" applyProtection="1">
      <alignment horizontal="center" vertical="top" wrapText="1"/>
      <protection locked="0"/>
    </xf>
    <xf numFmtId="0" fontId="27" fillId="5" borderId="88" xfId="0" applyFont="1" applyFill="1" applyBorder="1" applyAlignment="1" applyProtection="1">
      <alignment horizontal="center" vertical="top" wrapText="1"/>
    </xf>
    <xf numFmtId="0" fontId="25" fillId="13" borderId="102" xfId="0" applyFont="1" applyFill="1" applyBorder="1" applyAlignment="1" applyProtection="1">
      <alignment horizontal="center" wrapText="1"/>
      <protection locked="0"/>
    </xf>
    <xf numFmtId="0" fontId="25" fillId="13" borderId="103" xfId="0" applyFont="1" applyFill="1" applyBorder="1" applyAlignment="1" applyProtection="1">
      <alignment horizontal="center" wrapText="1"/>
      <protection locked="0"/>
    </xf>
    <xf numFmtId="0" fontId="25" fillId="13" borderId="104" xfId="0" applyFont="1" applyFill="1" applyBorder="1" applyAlignment="1" applyProtection="1">
      <alignment horizontal="center" wrapText="1"/>
      <protection locked="0"/>
    </xf>
    <xf numFmtId="0" fontId="27" fillId="5" borderId="103" xfId="0" applyFont="1" applyFill="1" applyBorder="1" applyAlignment="1" applyProtection="1">
      <alignment horizontal="center" vertical="top" wrapText="1"/>
    </xf>
    <xf numFmtId="0" fontId="27" fillId="5" borderId="105" xfId="0" applyFont="1" applyFill="1" applyBorder="1" applyAlignment="1" applyProtection="1">
      <alignment horizontal="center" vertical="top" wrapText="1"/>
    </xf>
    <xf numFmtId="0" fontId="25" fillId="13" borderId="22" xfId="0" applyFont="1" applyFill="1" applyBorder="1" applyAlignment="1" applyProtection="1">
      <alignment horizontal="center" vertical="top" wrapText="1"/>
      <protection locked="0"/>
    </xf>
    <xf numFmtId="0" fontId="25" fillId="13" borderId="102" xfId="0" applyFont="1" applyFill="1" applyBorder="1" applyAlignment="1" applyProtection="1">
      <alignment horizontal="center" vertical="top" wrapText="1"/>
      <protection locked="0"/>
    </xf>
    <xf numFmtId="0" fontId="25" fillId="13" borderId="105" xfId="0" applyFont="1" applyFill="1" applyBorder="1" applyAlignment="1" applyProtection="1">
      <alignment horizontal="center" vertical="top" wrapText="1"/>
      <protection locked="0"/>
    </xf>
    <xf numFmtId="0" fontId="25" fillId="13" borderId="68" xfId="0" applyFont="1" applyFill="1" applyBorder="1" applyAlignment="1" applyProtection="1">
      <alignment horizontal="center" vertical="top" wrapText="1"/>
      <protection locked="0"/>
    </xf>
    <xf numFmtId="0" fontId="9" fillId="0" borderId="0" xfId="0" applyFont="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45" xfId="0" applyBorder="1" applyAlignment="1">
      <alignment horizontal="center"/>
    </xf>
    <xf numFmtId="0" fontId="7" fillId="2" borderId="0" xfId="0" applyFont="1" applyFill="1" applyBorder="1" applyAlignment="1" applyProtection="1">
      <alignment horizontal="center"/>
    </xf>
    <xf numFmtId="0" fontId="4" fillId="16" borderId="0" xfId="0" applyFont="1" applyFill="1" applyBorder="1" applyAlignment="1" applyProtection="1">
      <alignment horizontal="center"/>
    </xf>
    <xf numFmtId="0" fontId="7" fillId="2" borderId="87" xfId="0" applyFont="1" applyFill="1" applyBorder="1" applyAlignment="1" applyProtection="1">
      <alignment horizontal="center"/>
    </xf>
    <xf numFmtId="0" fontId="4" fillId="2" borderId="73" xfId="0" applyFont="1" applyFill="1" applyBorder="1" applyAlignment="1" applyProtection="1">
      <alignment horizontal="center"/>
    </xf>
    <xf numFmtId="0" fontId="4" fillId="2" borderId="74" xfId="0" applyFont="1" applyFill="1" applyBorder="1" applyAlignment="1" applyProtection="1">
      <alignment horizontal="center"/>
    </xf>
    <xf numFmtId="0" fontId="4" fillId="18" borderId="87" xfId="0" applyFont="1" applyFill="1" applyBorder="1" applyAlignment="1" applyProtection="1">
      <alignment horizontal="center"/>
    </xf>
    <xf numFmtId="0" fontId="4" fillId="2" borderId="8"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29" fillId="7" borderId="83" xfId="0" applyFont="1" applyFill="1" applyBorder="1" applyAlignment="1" applyProtection="1">
      <alignment horizontal="center"/>
    </xf>
    <xf numFmtId="0" fontId="29" fillId="7" borderId="0" xfId="0" applyFont="1" applyFill="1" applyBorder="1" applyAlignment="1" applyProtection="1">
      <alignment horizontal="center"/>
    </xf>
    <xf numFmtId="0" fontId="4" fillId="2" borderId="81" xfId="0" applyFont="1" applyFill="1" applyBorder="1" applyAlignment="1" applyProtection="1">
      <alignment horizontal="right" vertical="center"/>
    </xf>
    <xf numFmtId="0" fontId="4" fillId="2" borderId="82" xfId="0" applyFont="1" applyFill="1" applyBorder="1" applyAlignment="1" applyProtection="1">
      <alignment horizontal="right" vertical="center"/>
    </xf>
    <xf numFmtId="0" fontId="4" fillId="2" borderId="86" xfId="0" applyFont="1" applyFill="1" applyBorder="1" applyAlignment="1" applyProtection="1">
      <alignment horizontal="center" vertical="center"/>
    </xf>
    <xf numFmtId="0" fontId="4" fillId="2" borderId="106" xfId="0" applyFont="1" applyFill="1" applyBorder="1" applyAlignment="1" applyProtection="1">
      <alignment horizontal="center" vertical="center"/>
    </xf>
    <xf numFmtId="0" fontId="4" fillId="2" borderId="81" xfId="0" applyFont="1" applyFill="1" applyBorder="1" applyAlignment="1" applyProtection="1">
      <alignment horizontal="center" vertical="center"/>
    </xf>
    <xf numFmtId="0" fontId="4" fillId="2" borderId="8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2" xfId="0" applyFont="1" applyFill="1" applyBorder="1" applyAlignment="1" applyProtection="1">
      <alignment horizontal="center" vertical="center"/>
    </xf>
    <xf numFmtId="0" fontId="21" fillId="3" borderId="0" xfId="0" applyFont="1" applyFill="1" applyBorder="1" applyAlignment="1" applyProtection="1">
      <alignment horizontal="center"/>
    </xf>
    <xf numFmtId="0" fontId="4" fillId="2" borderId="75" xfId="0" applyFont="1" applyFill="1" applyBorder="1" applyAlignment="1" applyProtection="1">
      <alignment horizontal="center" vertical="center"/>
    </xf>
    <xf numFmtId="0" fontId="4" fillId="2" borderId="76" xfId="0" applyFont="1" applyFill="1" applyBorder="1" applyAlignment="1" applyProtection="1">
      <alignment horizontal="center"/>
    </xf>
    <xf numFmtId="0" fontId="4" fillId="2" borderId="77" xfId="0" applyFont="1" applyFill="1" applyBorder="1" applyAlignment="1" applyProtection="1">
      <alignment horizontal="center"/>
    </xf>
    <xf numFmtId="0" fontId="5" fillId="2" borderId="110" xfId="0" applyFont="1" applyFill="1" applyBorder="1" applyAlignment="1" applyProtection="1">
      <alignment horizontal="center" vertical="center"/>
    </xf>
    <xf numFmtId="0" fontId="0" fillId="0" borderId="111" xfId="0" applyBorder="1"/>
    <xf numFmtId="0" fontId="9" fillId="0" borderId="0" xfId="0" applyFont="1" applyAlignment="1">
      <alignment horizontal="center"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17" fontId="0" fillId="0" borderId="0" xfId="0" applyNumberFormat="1" applyAlignment="1">
      <alignment horizontal="center" vertical="center"/>
    </xf>
    <xf numFmtId="0" fontId="0" fillId="0" borderId="0" xfId="0" applyAlignment="1">
      <alignment horizontal="center" vertical="center"/>
    </xf>
    <xf numFmtId="0" fontId="0" fillId="0" borderId="53" xfId="0" applyBorder="1" applyAlignment="1">
      <alignment horizontal="center"/>
    </xf>
    <xf numFmtId="0" fontId="0" fillId="0" borderId="72" xfId="0" applyBorder="1" applyAlignment="1">
      <alignment horizontal="center"/>
    </xf>
    <xf numFmtId="2" fontId="16" fillId="5" borderId="66" xfId="0" applyNumberFormat="1" applyFont="1" applyFill="1" applyBorder="1" applyAlignment="1" applyProtection="1">
      <alignment horizontal="center" vertical="center" wrapText="1"/>
    </xf>
    <xf numFmtId="2" fontId="16" fillId="5" borderId="34" xfId="0" applyNumberFormat="1" applyFont="1" applyFill="1" applyBorder="1" applyAlignment="1" applyProtection="1">
      <alignment horizontal="center" vertical="center" wrapText="1"/>
    </xf>
    <xf numFmtId="2" fontId="16" fillId="5" borderId="67" xfId="0" applyNumberFormat="1" applyFont="1" applyFill="1" applyBorder="1" applyAlignment="1" applyProtection="1">
      <alignment horizontal="center" vertical="center" wrapText="1"/>
    </xf>
    <xf numFmtId="0" fontId="23" fillId="5" borderId="52"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23" fillId="5" borderId="68" xfId="0" applyFont="1" applyFill="1" applyBorder="1" applyAlignment="1" applyProtection="1">
      <alignment horizontal="center" vertical="center" wrapText="1"/>
    </xf>
    <xf numFmtId="2" fontId="16" fillId="7" borderId="21" xfId="0" applyNumberFormat="1" applyFont="1" applyFill="1" applyBorder="1" applyAlignment="1" applyProtection="1">
      <alignment horizontal="center"/>
      <protection locked="0"/>
    </xf>
    <xf numFmtId="2" fontId="16" fillId="7" borderId="45" xfId="0" applyNumberFormat="1" applyFont="1" applyFill="1" applyBorder="1" applyAlignment="1" applyProtection="1">
      <alignment horizontal="center"/>
      <protection locked="0"/>
    </xf>
    <xf numFmtId="2" fontId="16" fillId="7" borderId="31" xfId="0" applyNumberFormat="1" applyFont="1" applyFill="1" applyBorder="1" applyAlignment="1" applyProtection="1">
      <alignment horizontal="center"/>
      <protection locked="0"/>
    </xf>
    <xf numFmtId="2" fontId="16" fillId="7" borderId="63" xfId="0" applyNumberFormat="1" applyFont="1" applyFill="1" applyBorder="1" applyAlignment="1" applyProtection="1">
      <alignment horizontal="center"/>
      <protection locked="0"/>
    </xf>
    <xf numFmtId="164" fontId="23" fillId="5" borderId="19" xfId="0" applyNumberFormat="1" applyFont="1" applyFill="1" applyBorder="1" applyAlignment="1">
      <alignment horizontal="center"/>
    </xf>
    <xf numFmtId="164" fontId="23" fillId="5" borderId="20" xfId="0" applyNumberFormat="1" applyFont="1" applyFill="1" applyBorder="1" applyAlignment="1">
      <alignment horizontal="center"/>
    </xf>
    <xf numFmtId="0" fontId="16" fillId="5" borderId="51" xfId="0" applyFont="1" applyFill="1" applyBorder="1" applyAlignment="1" applyProtection="1">
      <alignment horizontal="center" vertical="center" wrapText="1"/>
      <protection locked="0"/>
    </xf>
    <xf numFmtId="0" fontId="16" fillId="5" borderId="66" xfId="0" applyFont="1" applyFill="1" applyBorder="1" applyAlignment="1" applyProtection="1">
      <alignment horizontal="center" vertical="center" wrapText="1"/>
      <protection locked="0"/>
    </xf>
    <xf numFmtId="0" fontId="16" fillId="5" borderId="38" xfId="0" applyFont="1" applyFill="1" applyBorder="1" applyAlignment="1" applyProtection="1">
      <alignment horizontal="center" vertical="center" wrapText="1"/>
      <protection locked="0"/>
    </xf>
    <xf numFmtId="0" fontId="16" fillId="5" borderId="67" xfId="0" applyFont="1" applyFill="1" applyBorder="1" applyAlignment="1" applyProtection="1">
      <alignment horizontal="center" vertical="center" wrapText="1"/>
      <protection locked="0"/>
    </xf>
    <xf numFmtId="2" fontId="16" fillId="7" borderId="53" xfId="0" applyNumberFormat="1" applyFont="1" applyFill="1" applyBorder="1" applyAlignment="1" applyProtection="1">
      <alignment horizontal="center"/>
      <protection locked="0"/>
    </xf>
    <xf numFmtId="2" fontId="16" fillId="7" borderId="54" xfId="0" applyNumberFormat="1" applyFont="1" applyFill="1" applyBorder="1" applyAlignment="1" applyProtection="1">
      <alignment horizontal="center"/>
      <protection locked="0"/>
    </xf>
    <xf numFmtId="1" fontId="16" fillId="7" borderId="53" xfId="0" applyNumberFormat="1" applyFont="1" applyFill="1" applyBorder="1" applyAlignment="1" applyProtection="1">
      <alignment horizontal="center"/>
      <protection locked="0"/>
    </xf>
    <xf numFmtId="1" fontId="16" fillId="7" borderId="54" xfId="0" applyNumberFormat="1" applyFont="1" applyFill="1" applyBorder="1" applyAlignment="1" applyProtection="1">
      <alignment horizontal="center"/>
      <protection locked="0"/>
    </xf>
    <xf numFmtId="1" fontId="16" fillId="7" borderId="22" xfId="0" applyNumberFormat="1" applyFont="1" applyFill="1" applyBorder="1" applyAlignment="1" applyProtection="1">
      <alignment horizontal="center"/>
      <protection locked="0"/>
    </xf>
    <xf numFmtId="1" fontId="16" fillId="7" borderId="21" xfId="0" applyNumberFormat="1" applyFont="1" applyFill="1" applyBorder="1" applyAlignment="1" applyProtection="1">
      <alignment horizontal="center"/>
      <protection locked="0"/>
    </xf>
    <xf numFmtId="1" fontId="16" fillId="7" borderId="45" xfId="0" applyNumberFormat="1" applyFont="1" applyFill="1" applyBorder="1" applyAlignment="1" applyProtection="1">
      <alignment horizontal="center"/>
      <protection locked="0"/>
    </xf>
    <xf numFmtId="0" fontId="9" fillId="0" borderId="0" xfId="0" applyFont="1" applyAlignment="1" applyProtection="1">
      <alignment horizontal="center"/>
      <protection locked="0"/>
    </xf>
    <xf numFmtId="0" fontId="0" fillId="0" borderId="0" xfId="0" applyAlignment="1" applyProtection="1">
      <alignment horizontal="center"/>
      <protection locked="0"/>
    </xf>
    <xf numFmtId="2" fontId="16" fillId="5" borderId="51" xfId="0" applyNumberFormat="1" applyFont="1" applyFill="1" applyBorder="1" applyAlignment="1" applyProtection="1">
      <alignment horizontal="center" vertical="center" wrapText="1"/>
      <protection locked="0"/>
    </xf>
    <xf numFmtId="2" fontId="16" fillId="5" borderId="66" xfId="0" applyNumberFormat="1" applyFont="1" applyFill="1" applyBorder="1" applyAlignment="1" applyProtection="1">
      <alignment horizontal="center" vertical="center" wrapText="1"/>
      <protection locked="0"/>
    </xf>
    <xf numFmtId="2" fontId="16" fillId="5" borderId="38" xfId="0" applyNumberFormat="1" applyFont="1" applyFill="1" applyBorder="1" applyAlignment="1" applyProtection="1">
      <alignment horizontal="center" vertical="center" wrapText="1"/>
      <protection locked="0"/>
    </xf>
    <xf numFmtId="2" fontId="16" fillId="5" borderId="67" xfId="0" applyNumberFormat="1" applyFont="1" applyFill="1" applyBorder="1" applyAlignment="1" applyProtection="1">
      <alignment horizontal="center" vertical="center" wrapText="1"/>
      <protection locked="0"/>
    </xf>
    <xf numFmtId="2" fontId="23" fillId="5" borderId="19" xfId="0" applyNumberFormat="1" applyFont="1" applyFill="1" applyBorder="1" applyAlignment="1">
      <alignment horizontal="center"/>
    </xf>
    <xf numFmtId="2" fontId="23" fillId="5" borderId="20" xfId="0" applyNumberFormat="1" applyFont="1" applyFill="1" applyBorder="1" applyAlignment="1">
      <alignment horizontal="center"/>
    </xf>
    <xf numFmtId="2" fontId="23" fillId="5" borderId="21" xfId="0" applyNumberFormat="1" applyFont="1" applyFill="1" applyBorder="1" applyAlignment="1">
      <alignment horizontal="center"/>
    </xf>
    <xf numFmtId="2" fontId="23" fillId="5" borderId="45" xfId="0" applyNumberFormat="1" applyFont="1" applyFill="1" applyBorder="1" applyAlignment="1">
      <alignment horizontal="center"/>
    </xf>
    <xf numFmtId="164" fontId="23" fillId="5" borderId="21" xfId="0" applyNumberFormat="1" applyFont="1" applyFill="1" applyBorder="1" applyAlignment="1">
      <alignment horizontal="center"/>
    </xf>
    <xf numFmtId="164" fontId="23" fillId="5" borderId="45" xfId="0" applyNumberFormat="1" applyFont="1" applyFill="1" applyBorder="1" applyAlignment="1">
      <alignment horizontal="center"/>
    </xf>
    <xf numFmtId="2" fontId="16" fillId="5" borderId="69" xfId="0" applyNumberFormat="1" applyFont="1" applyFill="1" applyBorder="1" applyAlignment="1" applyProtection="1">
      <alignment horizontal="center" vertical="center" wrapText="1"/>
    </xf>
    <xf numFmtId="2" fontId="16" fillId="5" borderId="43" xfId="0" applyNumberFormat="1" applyFont="1" applyFill="1" applyBorder="1" applyAlignment="1" applyProtection="1">
      <alignment horizontal="center" vertical="center" wrapText="1"/>
    </xf>
    <xf numFmtId="2" fontId="16" fillId="5" borderId="13" xfId="0" applyNumberFormat="1" applyFont="1" applyFill="1" applyBorder="1" applyAlignment="1" applyProtection="1">
      <alignment horizontal="center" vertical="center" wrapText="1"/>
    </xf>
    <xf numFmtId="0" fontId="9" fillId="0" borderId="52" xfId="0" applyFont="1" applyBorder="1" applyAlignment="1" applyProtection="1">
      <alignment horizontal="center"/>
      <protection locked="0"/>
    </xf>
    <xf numFmtId="166" fontId="19" fillId="0" borderId="0" xfId="0" applyNumberFormat="1" applyFont="1" applyAlignment="1" applyProtection="1">
      <alignment horizontal="center" vertical="center" textRotation="90" wrapText="1"/>
      <protection locked="0"/>
    </xf>
    <xf numFmtId="1" fontId="16" fillId="7" borderId="31" xfId="0" applyNumberFormat="1" applyFont="1" applyFill="1" applyBorder="1" applyAlignment="1" applyProtection="1">
      <alignment horizontal="center"/>
      <protection locked="0"/>
    </xf>
    <xf numFmtId="1" fontId="16" fillId="7" borderId="63" xfId="0" applyNumberFormat="1" applyFont="1" applyFill="1" applyBorder="1" applyAlignment="1" applyProtection="1">
      <alignment horizontal="center"/>
      <protection locked="0"/>
    </xf>
    <xf numFmtId="0" fontId="23" fillId="5" borderId="34" xfId="0" applyFont="1" applyFill="1" applyBorder="1" applyAlignment="1" applyProtection="1">
      <alignment horizontal="center" vertical="center" wrapText="1"/>
    </xf>
    <xf numFmtId="0" fontId="22" fillId="0" borderId="0" xfId="0" applyFont="1" applyAlignment="1" applyProtection="1">
      <alignment horizontal="center"/>
      <protection locked="0"/>
    </xf>
    <xf numFmtId="0" fontId="0" fillId="0" borderId="44" xfId="0" applyBorder="1" applyAlignment="1" applyProtection="1">
      <alignment horizontal="center"/>
      <protection locked="0"/>
    </xf>
    <xf numFmtId="0" fontId="9" fillId="10" borderId="0" xfId="0" applyFont="1" applyFill="1" applyAlignment="1">
      <alignment vertical="center" wrapText="1"/>
    </xf>
  </cellXfs>
  <cellStyles count="2">
    <cellStyle name="Normal" xfId="0" builtinId="0"/>
    <cellStyle name="Normal 2" xfId="1" xr:uid="{00000000-0005-0000-0000-000001000000}"/>
  </cellStyles>
  <dxfs count="75">
    <dxf>
      <font>
        <b/>
        <i val="0"/>
        <condense val="0"/>
        <extend val="0"/>
      </font>
      <fill>
        <patternFill patternType="mediumGray">
          <fgColor indexed="9"/>
          <bgColor indexed="10"/>
        </patternFill>
      </fill>
    </dxf>
    <dxf>
      <font>
        <b/>
        <i val="0"/>
        <condense val="0"/>
        <extend val="0"/>
      </font>
      <fill>
        <patternFill patternType="mediumGray">
          <fgColor indexed="9"/>
          <bgColor indexed="10"/>
        </patternFill>
      </fill>
    </dxf>
    <dxf>
      <font>
        <color rgb="FFFFFF00"/>
      </font>
      <fill>
        <patternFill>
          <bgColor rgb="FFFFFF00"/>
        </patternFill>
      </fill>
    </dxf>
    <dxf>
      <font>
        <b/>
        <i val="0"/>
        <condense val="0"/>
        <extend val="0"/>
      </font>
      <fill>
        <patternFill patternType="solid">
          <fgColor indexed="10"/>
          <bgColor rgb="FFFF0000"/>
        </patternFill>
      </fill>
    </dxf>
    <dxf>
      <font>
        <b/>
        <i val="0"/>
        <condense val="0"/>
        <extend val="0"/>
      </font>
      <fill>
        <patternFill patternType="mediumGray">
          <fgColor indexed="10"/>
          <bgColor indexed="9"/>
        </patternFill>
      </fill>
    </dxf>
    <dxf>
      <font>
        <b/>
        <i val="0"/>
        <condense val="0"/>
        <extend val="0"/>
      </font>
      <fill>
        <patternFill patternType="mediumGray">
          <fgColor indexed="9"/>
          <bgColor indexed="10"/>
        </patternFill>
      </fill>
    </dxf>
    <dxf>
      <font>
        <b/>
        <i val="0"/>
        <condense val="0"/>
        <extend val="0"/>
        <color indexed="8"/>
      </font>
      <fill>
        <patternFill patternType="mediumGray">
          <fgColor indexed="9"/>
          <bgColor indexed="10"/>
        </patternFill>
      </fill>
    </dxf>
    <dxf>
      <font>
        <color theme="0"/>
      </font>
      <fill>
        <patternFill>
          <bgColor rgb="FFFF0000"/>
        </patternFill>
      </fill>
    </dxf>
    <dxf>
      <font>
        <strike val="0"/>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theme="0"/>
      </font>
      <fill>
        <patternFill>
          <fgColor theme="0"/>
          <bgColor theme="0"/>
        </patternFill>
      </fill>
      <border>
        <left/>
        <right/>
        <top/>
        <bottom/>
      </border>
    </dxf>
    <dxf>
      <fill>
        <patternFill>
          <bgColor rgb="FFFFFF00"/>
        </patternFill>
      </fill>
    </dxf>
    <dxf>
      <font>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3"/>
        </patternFill>
      </fill>
    </dxf>
    <dxf>
      <font>
        <color theme="0"/>
      </font>
      <fill>
        <patternFill>
          <bgColor theme="3"/>
        </patternFill>
      </fill>
    </dxf>
    <dxf>
      <font>
        <color theme="0"/>
      </font>
      <fill>
        <patternFill>
          <fgColor theme="0"/>
          <bgColor theme="0"/>
        </patternFill>
      </fill>
      <border>
        <left/>
        <right/>
        <top/>
        <bottom/>
        <vertical/>
        <horizontal/>
      </border>
    </dxf>
    <dxf>
      <font>
        <color theme="0"/>
      </font>
      <fill>
        <patternFill>
          <bgColor theme="0"/>
        </patternFill>
      </fill>
      <border>
        <left/>
        <right/>
        <top/>
        <bottom/>
      </border>
    </dxf>
    <dxf>
      <fill>
        <patternFill>
          <bgColor rgb="FFFFFF00"/>
        </patternFill>
      </fill>
    </dxf>
    <dxf>
      <font>
        <b/>
        <i val="0"/>
        <color theme="1"/>
      </font>
      <fill>
        <patternFill>
          <bgColor theme="9"/>
        </patternFill>
      </fill>
      <border>
        <left style="thin">
          <color auto="1"/>
        </left>
        <right style="thin">
          <color auto="1"/>
        </right>
        <top style="thin">
          <color auto="1"/>
        </top>
        <bottom style="thin">
          <color auto="1"/>
        </bottom>
        <vertical/>
        <horizontal/>
      </border>
    </dxf>
    <dxf>
      <font>
        <color theme="4" tint="0.39994506668294322"/>
      </font>
      <fill>
        <patternFill>
          <bgColor theme="4" tint="0.39994506668294322"/>
        </patternFill>
      </fill>
      <border>
        <left/>
        <right/>
        <top/>
        <bottom/>
        <vertical/>
        <horizontal/>
      </border>
    </dxf>
    <dxf>
      <font>
        <color theme="4" tint="0.39994506668294322"/>
      </font>
      <fill>
        <patternFill>
          <bgColor theme="4" tint="0.39994506668294322"/>
        </patternFill>
      </fill>
      <border>
        <left/>
        <right/>
        <top/>
        <bottom/>
        <vertical/>
        <horizontal/>
      </border>
    </dxf>
    <dxf>
      <font>
        <color theme="4" tint="0.39994506668294322"/>
      </font>
      <fill>
        <patternFill>
          <bgColor theme="4" tint="0.39994506668294322"/>
        </patternFill>
      </fill>
      <border>
        <left/>
        <right/>
        <top/>
        <bottom/>
        <vertical/>
        <horizontal/>
      </border>
    </dxf>
    <dxf>
      <font>
        <color theme="4" tint="0.39994506668294322"/>
      </font>
      <fill>
        <patternFill>
          <bgColor theme="4" tint="0.39994506668294322"/>
        </patternFill>
      </fill>
      <border>
        <left/>
        <right/>
        <top/>
        <bottom/>
        <vertical/>
        <horizontal/>
      </border>
    </dxf>
    <dxf>
      <font>
        <color theme="4" tint="0.39994506668294322"/>
      </font>
      <fill>
        <patternFill>
          <bgColor theme="4" tint="0.39994506668294322"/>
        </patternFill>
      </fill>
      <border>
        <left/>
        <right/>
        <top/>
        <bottom/>
        <vertical/>
        <horizontal/>
      </border>
    </dxf>
    <dxf>
      <font>
        <color theme="4" tint="0.39994506668294322"/>
      </font>
      <fill>
        <patternFill>
          <bgColor theme="4" tint="0.39994506668294322"/>
        </patternFill>
      </fill>
      <border>
        <left/>
        <right/>
        <top/>
        <bottom/>
        <vertical/>
        <horizontal/>
      </border>
    </dxf>
    <dxf>
      <font>
        <color theme="4" tint="0.39994506668294322"/>
      </font>
      <fill>
        <patternFill>
          <bgColor theme="4" tint="0.39994506668294322"/>
        </patternFill>
      </fill>
      <border>
        <left/>
        <right/>
        <top/>
        <bottom/>
        <vertical/>
        <horizontal/>
      </border>
    </dxf>
    <dxf>
      <font>
        <color theme="4" tint="0.39994506668294322"/>
      </font>
      <fill>
        <patternFill>
          <bgColor theme="4" tint="0.39994506668294322"/>
        </patternFill>
      </fill>
      <border>
        <left/>
        <right/>
        <top/>
        <bottom/>
        <vertical/>
        <horizontal/>
      </border>
    </dxf>
    <dxf>
      <font>
        <color theme="4" tint="0.39994506668294322"/>
      </font>
      <fill>
        <patternFill>
          <bgColor theme="4" tint="0.39994506668294322"/>
        </patternFill>
      </fill>
      <border>
        <left/>
        <right/>
        <top/>
        <bottom/>
        <vertical/>
        <horizontal/>
      </border>
    </dxf>
    <dxf>
      <font>
        <color theme="4" tint="0.39994506668294322"/>
      </font>
      <fill>
        <patternFill>
          <bgColor theme="4" tint="0.39994506668294322"/>
        </patternFill>
      </fill>
      <border>
        <left/>
        <right/>
        <top/>
        <bottom/>
        <vertical/>
        <horizontal/>
      </border>
    </dxf>
    <dxf>
      <font>
        <color theme="0"/>
      </font>
      <fill>
        <patternFill>
          <bgColor rgb="FFFF0000"/>
        </patternFill>
      </fill>
      <border>
        <left/>
        <right/>
        <top/>
        <bottom/>
      </border>
    </dxf>
    <dxf>
      <font>
        <color theme="0"/>
      </font>
      <fill>
        <patternFill>
          <bgColor theme="0"/>
        </patternFill>
      </fill>
      <border>
        <left/>
        <right/>
        <top/>
        <bottom/>
        <vertical/>
        <horizontal/>
      </border>
    </dxf>
    <dxf>
      <font>
        <b/>
        <i val="0"/>
        <color theme="1"/>
      </font>
      <fill>
        <patternFill>
          <bgColor rgb="FFFFFF00"/>
        </patternFill>
      </fill>
      <border>
        <left style="thin">
          <color theme="1"/>
        </left>
        <right style="thin">
          <color theme="1"/>
        </right>
        <top style="thin">
          <color theme="1"/>
        </top>
        <bottom style="thin">
          <color theme="1"/>
        </bottom>
      </border>
    </dxf>
  </dxfs>
  <tableStyles count="0" defaultTableStyle="TableStyleMedium9" defaultPivotStyle="PivotStyleLight16"/>
  <colors>
    <mruColors>
      <color rgb="FFFFFF19"/>
      <color rgb="FFFFFFA3"/>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4</xdr:col>
      <xdr:colOff>57156</xdr:colOff>
      <xdr:row>14</xdr:row>
      <xdr:rowOff>104775</xdr:rowOff>
    </xdr:from>
    <xdr:to>
      <xdr:col>14</xdr:col>
      <xdr:colOff>309568</xdr:colOff>
      <xdr:row>19</xdr:row>
      <xdr:rowOff>66675</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2486031" y="2438400"/>
          <a:ext cx="6324600" cy="795338"/>
        </a:xfrm>
        <a:prstGeom prst="rect">
          <a:avLst/>
        </a:prstGeom>
        <a:solidFill>
          <a:schemeClr val="accent2">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oneCellAnchor>
    <xdr:from>
      <xdr:col>4</xdr:col>
      <xdr:colOff>11795</xdr:colOff>
      <xdr:row>14</xdr:row>
      <xdr:rowOff>85724</xdr:rowOff>
    </xdr:from>
    <xdr:ext cx="6417586" cy="752537"/>
    <xdr:sp macro="" textlink="">
      <xdr:nvSpPr>
        <xdr:cNvPr id="2" name="Retângulo 1">
          <a:extLst>
            <a:ext uri="{FF2B5EF4-FFF2-40B4-BE49-F238E27FC236}">
              <a16:creationId xmlns:a16="http://schemas.microsoft.com/office/drawing/2014/main" id="{00000000-0008-0000-0000-000002000000}"/>
            </a:ext>
          </a:extLst>
        </xdr:cNvPr>
        <xdr:cNvSpPr/>
      </xdr:nvSpPr>
      <xdr:spPr>
        <a:xfrm>
          <a:off x="2440670" y="2419349"/>
          <a:ext cx="6417586" cy="752537"/>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pt-BR" sz="4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88900" dir="3600000" algn="tl">
                  <a:srgbClr val="000000">
                    <a:alpha val="23000"/>
                  </a:srgbClr>
                </a:outerShdw>
              </a:effectLst>
            </a:rPr>
            <a:t>Projeto Expresso Modular</a:t>
          </a:r>
        </a:p>
      </xdr:txBody>
    </xdr:sp>
    <xdr:clientData/>
  </xdr:oneCellAnchor>
  <xdr:twoCellAnchor editAs="oneCell">
    <xdr:from>
      <xdr:col>1</xdr:col>
      <xdr:colOff>359575</xdr:colOff>
      <xdr:row>14</xdr:row>
      <xdr:rowOff>114300</xdr:rowOff>
    </xdr:from>
    <xdr:to>
      <xdr:col>3</xdr:col>
      <xdr:colOff>473875</xdr:colOff>
      <xdr:row>20</xdr:row>
      <xdr:rowOff>47625</xdr:rowOff>
    </xdr:to>
    <xdr:pic>
      <xdr:nvPicPr>
        <xdr:cNvPr id="41094" name="Picture 2">
          <a:extLst>
            <a:ext uri="{FF2B5EF4-FFF2-40B4-BE49-F238E27FC236}">
              <a16:creationId xmlns:a16="http://schemas.microsoft.com/office/drawing/2014/main" id="{00000000-0008-0000-0000-000086A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66794" y="2447925"/>
          <a:ext cx="1328737" cy="933450"/>
        </a:xfrm>
        <a:prstGeom prst="rect">
          <a:avLst/>
        </a:prstGeom>
        <a:noFill/>
        <a:ln w="1">
          <a:noFill/>
          <a:miter lim="800000"/>
          <a:headEnd/>
          <a:tailEnd/>
        </a:ln>
      </xdr:spPr>
    </xdr:pic>
    <xdr:clientData/>
  </xdr:twoCellAnchor>
  <xdr:twoCellAnchor>
    <xdr:from>
      <xdr:col>3</xdr:col>
      <xdr:colOff>331000</xdr:colOff>
      <xdr:row>14</xdr:row>
      <xdr:rowOff>142875</xdr:rowOff>
    </xdr:from>
    <xdr:to>
      <xdr:col>4</xdr:col>
      <xdr:colOff>66683</xdr:colOff>
      <xdr:row>16</xdr:row>
      <xdr:rowOff>57150</xdr:rowOff>
    </xdr:to>
    <xdr:cxnSp macro="">
      <xdr:nvCxnSpPr>
        <xdr:cNvPr id="7" name="Conector reto 6">
          <a:extLst>
            <a:ext uri="{FF2B5EF4-FFF2-40B4-BE49-F238E27FC236}">
              <a16:creationId xmlns:a16="http://schemas.microsoft.com/office/drawing/2014/main" id="{00000000-0008-0000-0000-000007000000}"/>
            </a:ext>
          </a:extLst>
        </xdr:cNvPr>
        <xdr:cNvCxnSpPr/>
      </xdr:nvCxnSpPr>
      <xdr:spPr>
        <a:xfrm flipH="1">
          <a:off x="2152656" y="2476500"/>
          <a:ext cx="342902" cy="24765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304806</xdr:colOff>
      <xdr:row>17</xdr:row>
      <xdr:rowOff>85725</xdr:rowOff>
    </xdr:from>
    <xdr:to>
      <xdr:col>4</xdr:col>
      <xdr:colOff>28581</xdr:colOff>
      <xdr:row>19</xdr:row>
      <xdr:rowOff>38101</xdr:rowOff>
    </xdr:to>
    <xdr:cxnSp macro="">
      <xdr:nvCxnSpPr>
        <xdr:cNvPr id="8" name="Conector reto 7">
          <a:extLst>
            <a:ext uri="{FF2B5EF4-FFF2-40B4-BE49-F238E27FC236}">
              <a16:creationId xmlns:a16="http://schemas.microsoft.com/office/drawing/2014/main" id="{00000000-0008-0000-0000-000008000000}"/>
            </a:ext>
          </a:extLst>
        </xdr:cNvPr>
        <xdr:cNvCxnSpPr/>
      </xdr:nvCxnSpPr>
      <xdr:spPr>
        <a:xfrm flipH="1" flipV="1">
          <a:off x="2126462" y="2919413"/>
          <a:ext cx="330994" cy="285751"/>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380999</xdr:colOff>
      <xdr:row>33</xdr:row>
      <xdr:rowOff>47625</xdr:rowOff>
    </xdr:from>
    <xdr:to>
      <xdr:col>14</xdr:col>
      <xdr:colOff>171450</xdr:colOff>
      <xdr:row>38</xdr:row>
      <xdr:rowOff>142875</xdr:rowOff>
    </xdr:to>
    <xdr:sp macro="" textlink="">
      <xdr:nvSpPr>
        <xdr:cNvPr id="13" name="Retângulo 12">
          <a:extLst>
            <a:ext uri="{FF2B5EF4-FFF2-40B4-BE49-F238E27FC236}">
              <a16:creationId xmlns:a16="http://schemas.microsoft.com/office/drawing/2014/main" id="{00000000-0008-0000-0000-00000D000000}"/>
            </a:ext>
          </a:extLst>
        </xdr:cNvPr>
        <xdr:cNvSpPr/>
      </xdr:nvSpPr>
      <xdr:spPr>
        <a:xfrm>
          <a:off x="5867399" y="5943600"/>
          <a:ext cx="2838451" cy="952500"/>
        </a:xfrm>
        <a:prstGeom prst="rect">
          <a:avLst/>
        </a:prstGeom>
        <a:solidFill>
          <a:schemeClr val="bg1"/>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pt-BR" sz="1100" b="1">
              <a:solidFill>
                <a:sysClr val="windowText" lastClr="000000"/>
              </a:solidFill>
            </a:rPr>
            <a:t>Elaboração: Marcelo Barbosa de Morais</a:t>
          </a:r>
          <a:br>
            <a:rPr lang="pt-BR" sz="1100" b="1">
              <a:solidFill>
                <a:sysClr val="windowText" lastClr="000000"/>
              </a:solidFill>
            </a:rPr>
          </a:br>
          <a:r>
            <a:rPr lang="pt-BR" sz="1100" b="1">
              <a:solidFill>
                <a:sysClr val="windowText" lastClr="000000"/>
              </a:solidFill>
            </a:rPr>
            <a:t>DTEP</a:t>
          </a:r>
          <a:r>
            <a:rPr lang="pt-BR" sz="1100" b="1" baseline="0">
              <a:solidFill>
                <a:sysClr val="windowText" lastClr="000000"/>
              </a:solidFill>
            </a:rPr>
            <a:t> - Projetos MT/BT </a:t>
          </a:r>
        </a:p>
        <a:p>
          <a:pPr algn="ctr"/>
          <a:r>
            <a:rPr lang="pt-BR" sz="1100" b="1" baseline="0">
              <a:solidFill>
                <a:sysClr val="windowText" lastClr="000000"/>
              </a:solidFill>
            </a:rPr>
            <a:t> Gestor: Paulo J. Tavares de Lima</a:t>
          </a:r>
        </a:p>
        <a:p>
          <a:pPr algn="ctr"/>
          <a:r>
            <a:rPr lang="pt-BR" sz="1100" b="1" baseline="0">
              <a:solidFill>
                <a:sysClr val="windowText" lastClr="000000"/>
              </a:solidFill>
            </a:rPr>
            <a:t>Apoio: Equipe de Projetos e Normas</a:t>
          </a:r>
          <a:endParaRPr lang="pt-BR" sz="1100" b="1">
            <a:solidFill>
              <a:sysClr val="windowText" lastClr="000000"/>
            </a:solidFill>
          </a:endParaRPr>
        </a:p>
      </xdr:txBody>
    </xdr:sp>
    <xdr:clientData/>
  </xdr:twoCellAnchor>
  <xdr:twoCellAnchor>
    <xdr:from>
      <xdr:col>11</xdr:col>
      <xdr:colOff>416719</xdr:colOff>
      <xdr:row>45</xdr:row>
      <xdr:rowOff>95250</xdr:rowOff>
    </xdr:from>
    <xdr:to>
      <xdr:col>16</xdr:col>
      <xdr:colOff>128590</xdr:colOff>
      <xdr:row>48</xdr:row>
      <xdr:rowOff>105833</xdr:rowOff>
    </xdr:to>
    <xdr:sp macro="" textlink="">
      <xdr:nvSpPr>
        <xdr:cNvPr id="9" name="Retângulo 8">
          <a:extLst>
            <a:ext uri="{FF2B5EF4-FFF2-40B4-BE49-F238E27FC236}">
              <a16:creationId xmlns:a16="http://schemas.microsoft.com/office/drawing/2014/main" id="{00000000-0008-0000-0000-000009000000}"/>
            </a:ext>
          </a:extLst>
        </xdr:cNvPr>
        <xdr:cNvSpPr/>
      </xdr:nvSpPr>
      <xdr:spPr>
        <a:xfrm>
          <a:off x="7096125" y="7798594"/>
          <a:ext cx="2747965" cy="510645"/>
        </a:xfrm>
        <a:prstGeom prst="rect">
          <a:avLst/>
        </a:prstGeom>
        <a:solidFill>
          <a:schemeClr val="bg1"/>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pt-BR" sz="1100" b="1">
              <a:solidFill>
                <a:sysClr val="windowText" lastClr="000000"/>
              </a:solidFill>
            </a:rPr>
            <a:t>Revisão: Luana M. Gomes</a:t>
          </a:r>
          <a:br>
            <a:rPr lang="pt-BR" sz="1100" b="1">
              <a:solidFill>
                <a:sysClr val="windowText" lastClr="000000"/>
              </a:solidFill>
            </a:rPr>
          </a:br>
          <a:r>
            <a:rPr lang="pt-BR" sz="1100" b="1">
              <a:solidFill>
                <a:sysClr val="windowText" lastClr="000000"/>
              </a:solidFill>
            </a:rPr>
            <a:t>Engenharia e Desenvolvimento Tecnológico</a:t>
          </a:r>
          <a:endParaRPr lang="pt-BR" sz="1100" b="1" baseline="0">
            <a:solidFill>
              <a:sysClr val="windowText" lastClr="000000"/>
            </a:solidFill>
          </a:endParaRPr>
        </a:p>
      </xdr:txBody>
    </xdr:sp>
    <xdr:clientData/>
  </xdr:twoCellAnchor>
  <xdr:twoCellAnchor editAs="oneCell">
    <xdr:from>
      <xdr:col>0</xdr:col>
      <xdr:colOff>369096</xdr:colOff>
      <xdr:row>0</xdr:row>
      <xdr:rowOff>83344</xdr:rowOff>
    </xdr:from>
    <xdr:to>
      <xdr:col>2</xdr:col>
      <xdr:colOff>464344</xdr:colOff>
      <xdr:row>5</xdr:row>
      <xdr:rowOff>128556</xdr:rowOff>
    </xdr:to>
    <xdr:pic>
      <xdr:nvPicPr>
        <xdr:cNvPr id="10" name="Imagem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5136" t="16163" r="22973" b="31286"/>
        <a:stretch/>
      </xdr:blipFill>
      <xdr:spPr>
        <a:xfrm>
          <a:off x="369096" y="83344"/>
          <a:ext cx="1309686" cy="87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266700</xdr:colOff>
      <xdr:row>1</xdr:row>
      <xdr:rowOff>114300</xdr:rowOff>
    </xdr:from>
    <xdr:to>
      <xdr:col>18</xdr:col>
      <xdr:colOff>0</xdr:colOff>
      <xdr:row>3</xdr:row>
      <xdr:rowOff>104775</xdr:rowOff>
    </xdr:to>
    <xdr:sp macro="" textlink="">
      <xdr:nvSpPr>
        <xdr:cNvPr id="2" name="CaixaDeTexto 1">
          <a:extLst>
            <a:ext uri="{FF2B5EF4-FFF2-40B4-BE49-F238E27FC236}">
              <a16:creationId xmlns:a16="http://schemas.microsoft.com/office/drawing/2014/main" id="{00000000-0008-0000-0200-000002000000}"/>
            </a:ext>
          </a:extLst>
        </xdr:cNvPr>
        <xdr:cNvSpPr txBox="1"/>
      </xdr:nvSpPr>
      <xdr:spPr>
        <a:xfrm>
          <a:off x="3810000" y="285750"/>
          <a:ext cx="1504950" cy="523875"/>
        </a:xfrm>
        <a:prstGeom prst="rect">
          <a:avLst/>
        </a:prstGeom>
        <a:ln/>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vertOverflow="clip" wrap="square" rtlCol="0" anchor="t"/>
        <a:lstStyle/>
        <a:p>
          <a:r>
            <a:rPr lang="pt-BR" sz="1100"/>
            <a:t>Assinalar</a:t>
          </a:r>
          <a:r>
            <a:rPr lang="pt-BR" sz="1100" baseline="0"/>
            <a:t> a posição do centro de medição</a:t>
          </a:r>
          <a:endParaRPr lang="pt-BR" sz="1100"/>
        </a:p>
      </xdr:txBody>
    </xdr:sp>
    <xdr:clientData/>
  </xdr:twoCellAnchor>
  <xdr:twoCellAnchor>
    <xdr:from>
      <xdr:col>18</xdr:col>
      <xdr:colOff>28575</xdr:colOff>
      <xdr:row>1</xdr:row>
      <xdr:rowOff>247650</xdr:rowOff>
    </xdr:from>
    <xdr:to>
      <xdr:col>18</xdr:col>
      <xdr:colOff>247650</xdr:colOff>
      <xdr:row>2</xdr:row>
      <xdr:rowOff>219075</xdr:rowOff>
    </xdr:to>
    <xdr:sp macro="" textlink="">
      <xdr:nvSpPr>
        <xdr:cNvPr id="3" name="Seta para a direita 2">
          <a:extLst>
            <a:ext uri="{FF2B5EF4-FFF2-40B4-BE49-F238E27FC236}">
              <a16:creationId xmlns:a16="http://schemas.microsoft.com/office/drawing/2014/main" id="{00000000-0008-0000-0200-000003000000}"/>
            </a:ext>
          </a:extLst>
        </xdr:cNvPr>
        <xdr:cNvSpPr/>
      </xdr:nvSpPr>
      <xdr:spPr>
        <a:xfrm>
          <a:off x="5343525" y="419100"/>
          <a:ext cx="219075" cy="23812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endParaRPr lang="pt-BR" sz="105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638175</xdr:colOff>
      <xdr:row>5</xdr:row>
      <xdr:rowOff>76200</xdr:rowOff>
    </xdr:to>
    <xdr:pic>
      <xdr:nvPicPr>
        <xdr:cNvPr id="38117" name="Picture 10">
          <a:extLst>
            <a:ext uri="{FF2B5EF4-FFF2-40B4-BE49-F238E27FC236}">
              <a16:creationId xmlns:a16="http://schemas.microsoft.com/office/drawing/2014/main" id="{00000000-0008-0000-0300-0000E59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323850"/>
          <a:ext cx="2600325" cy="561975"/>
        </a:xfrm>
        <a:prstGeom prst="rect">
          <a:avLst/>
        </a:prstGeom>
        <a:noFill/>
        <a:ln w="9525">
          <a:noFill/>
          <a:miter lim="800000"/>
          <a:headEnd/>
          <a:tailEnd/>
        </a:ln>
      </xdr:spPr>
    </xdr:pic>
    <xdr:clientData/>
  </xdr:twoCellAnchor>
  <xdr:twoCellAnchor editAs="oneCell">
    <xdr:from>
      <xdr:col>0</xdr:col>
      <xdr:colOff>581025</xdr:colOff>
      <xdr:row>25</xdr:row>
      <xdr:rowOff>19050</xdr:rowOff>
    </xdr:from>
    <xdr:to>
      <xdr:col>2</xdr:col>
      <xdr:colOff>809625</xdr:colOff>
      <xdr:row>26</xdr:row>
      <xdr:rowOff>76200</xdr:rowOff>
    </xdr:to>
    <xdr:pic>
      <xdr:nvPicPr>
        <xdr:cNvPr id="38118" name="Picture 14">
          <a:extLst>
            <a:ext uri="{FF2B5EF4-FFF2-40B4-BE49-F238E27FC236}">
              <a16:creationId xmlns:a16="http://schemas.microsoft.com/office/drawing/2014/main" id="{00000000-0008-0000-0300-0000E69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025" y="5181600"/>
          <a:ext cx="1428750" cy="266700"/>
        </a:xfrm>
        <a:prstGeom prst="rect">
          <a:avLst/>
        </a:prstGeom>
        <a:noFill/>
        <a:ln w="9525">
          <a:noFill/>
          <a:miter lim="800000"/>
          <a:headEnd/>
          <a:tailEnd/>
        </a:ln>
      </xdr:spPr>
    </xdr:pic>
    <xdr:clientData/>
  </xdr:twoCellAnchor>
  <xdr:twoCellAnchor editAs="oneCell">
    <xdr:from>
      <xdr:col>1</xdr:col>
      <xdr:colOff>142875</xdr:colOff>
      <xdr:row>38</xdr:row>
      <xdr:rowOff>114300</xdr:rowOff>
    </xdr:from>
    <xdr:to>
      <xdr:col>3</xdr:col>
      <xdr:colOff>28575</xdr:colOff>
      <xdr:row>39</xdr:row>
      <xdr:rowOff>142875</xdr:rowOff>
    </xdr:to>
    <xdr:pic>
      <xdr:nvPicPr>
        <xdr:cNvPr id="38119" name="Picture 20">
          <a:extLst>
            <a:ext uri="{FF2B5EF4-FFF2-40B4-BE49-F238E27FC236}">
              <a16:creationId xmlns:a16="http://schemas.microsoft.com/office/drawing/2014/main" id="{00000000-0008-0000-0300-0000E79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52475" y="7772400"/>
          <a:ext cx="1847850" cy="200025"/>
        </a:xfrm>
        <a:prstGeom prst="rect">
          <a:avLst/>
        </a:prstGeom>
        <a:noFill/>
        <a:ln w="9525">
          <a:noFill/>
          <a:miter lim="800000"/>
          <a:headEnd/>
          <a:tailEnd/>
        </a:ln>
      </xdr:spPr>
    </xdr:pic>
    <xdr:clientData/>
  </xdr:twoCellAnchor>
  <xdr:twoCellAnchor editAs="oneCell">
    <xdr:from>
      <xdr:col>1</xdr:col>
      <xdr:colOff>95250</xdr:colOff>
      <xdr:row>45</xdr:row>
      <xdr:rowOff>19050</xdr:rowOff>
    </xdr:from>
    <xdr:to>
      <xdr:col>3</xdr:col>
      <xdr:colOff>447675</xdr:colOff>
      <xdr:row>46</xdr:row>
      <xdr:rowOff>28575</xdr:rowOff>
    </xdr:to>
    <xdr:pic>
      <xdr:nvPicPr>
        <xdr:cNvPr id="38120" name="Picture 25">
          <a:extLst>
            <a:ext uri="{FF2B5EF4-FFF2-40B4-BE49-F238E27FC236}">
              <a16:creationId xmlns:a16="http://schemas.microsoft.com/office/drawing/2014/main" id="{00000000-0008-0000-0300-0000E89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04850" y="8886825"/>
          <a:ext cx="2314575" cy="219075"/>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nae_sap" connectionId="1" xr16:uid="{00000000-0016-0000-0D00-000000000000}" autoFormatId="16" applyNumberFormats="0" applyBorderFormats="0" applyFontFormats="0" applyPatternFormats="0" applyAlignmentFormats="0" applyWidthHeightFormats="0"/>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sz="1050"/>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5"/>
  <dimension ref="A1:B4334"/>
  <sheetViews>
    <sheetView zoomScaleNormal="100" workbookViewId="0">
      <selection activeCell="B21" sqref="B21"/>
    </sheetView>
  </sheetViews>
  <sheetFormatPr defaultColWidth="0" defaultRowHeight="12.75" zeroHeight="1" x14ac:dyDescent="0.2"/>
  <cols>
    <col min="1" max="1" width="18.42578125" customWidth="1"/>
    <col min="2" max="2" width="121.7109375" bestFit="1" customWidth="1"/>
  </cols>
  <sheetData>
    <row r="1" spans="1:2" x14ac:dyDescent="0.2">
      <c r="A1" s="453" t="s">
        <v>162</v>
      </c>
      <c r="B1" s="453" t="s">
        <v>1850</v>
      </c>
    </row>
    <row r="2" spans="1:2" x14ac:dyDescent="0.2">
      <c r="A2" s="454" t="s">
        <v>218</v>
      </c>
      <c r="B2" s="455" t="s">
        <v>1851</v>
      </c>
    </row>
    <row r="3" spans="1:2" x14ac:dyDescent="0.2">
      <c r="A3" s="454" t="s">
        <v>219</v>
      </c>
      <c r="B3" s="455" t="s">
        <v>1852</v>
      </c>
    </row>
    <row r="4" spans="1:2" x14ac:dyDescent="0.2">
      <c r="A4" s="454" t="s">
        <v>220</v>
      </c>
      <c r="B4" s="455" t="s">
        <v>1853</v>
      </c>
    </row>
    <row r="5" spans="1:2" x14ac:dyDescent="0.2">
      <c r="A5" s="454" t="s">
        <v>221</v>
      </c>
      <c r="B5" s="455" t="s">
        <v>1854</v>
      </c>
    </row>
    <row r="6" spans="1:2" x14ac:dyDescent="0.2">
      <c r="A6" s="454" t="s">
        <v>222</v>
      </c>
      <c r="B6" s="455" t="s">
        <v>1855</v>
      </c>
    </row>
    <row r="7" spans="1:2" x14ac:dyDescent="0.2">
      <c r="A7" s="454" t="s">
        <v>223</v>
      </c>
      <c r="B7" s="455" t="s">
        <v>1856</v>
      </c>
    </row>
    <row r="8" spans="1:2" x14ac:dyDescent="0.2">
      <c r="A8" s="454" t="s">
        <v>224</v>
      </c>
      <c r="B8" s="455" t="s">
        <v>1857</v>
      </c>
    </row>
    <row r="9" spans="1:2" x14ac:dyDescent="0.2">
      <c r="A9" s="454" t="s">
        <v>225</v>
      </c>
      <c r="B9" s="455" t="s">
        <v>1858</v>
      </c>
    </row>
    <row r="10" spans="1:2" x14ac:dyDescent="0.2">
      <c r="A10" s="454" t="s">
        <v>226</v>
      </c>
      <c r="B10" s="455" t="s">
        <v>1859</v>
      </c>
    </row>
    <row r="11" spans="1:2" x14ac:dyDescent="0.2">
      <c r="A11" s="454" t="s">
        <v>227</v>
      </c>
      <c r="B11" s="455" t="s">
        <v>1860</v>
      </c>
    </row>
    <row r="12" spans="1:2" x14ac:dyDescent="0.2">
      <c r="A12" s="454" t="s">
        <v>228</v>
      </c>
      <c r="B12" s="455" t="s">
        <v>1861</v>
      </c>
    </row>
    <row r="13" spans="1:2" x14ac:dyDescent="0.2">
      <c r="A13" s="454" t="s">
        <v>229</v>
      </c>
      <c r="B13" s="455" t="s">
        <v>1862</v>
      </c>
    </row>
    <row r="14" spans="1:2" x14ac:dyDescent="0.2">
      <c r="A14" s="454" t="s">
        <v>230</v>
      </c>
      <c r="B14" s="455" t="s">
        <v>1863</v>
      </c>
    </row>
    <row r="15" spans="1:2" x14ac:dyDescent="0.2">
      <c r="A15" s="454" t="s">
        <v>231</v>
      </c>
      <c r="B15" s="455" t="s">
        <v>1864</v>
      </c>
    </row>
    <row r="16" spans="1:2" x14ac:dyDescent="0.2">
      <c r="A16" s="454" t="s">
        <v>232</v>
      </c>
      <c r="B16" s="455" t="s">
        <v>1865</v>
      </c>
    </row>
    <row r="17" spans="1:2" x14ac:dyDescent="0.2">
      <c r="A17" s="454" t="s">
        <v>233</v>
      </c>
      <c r="B17" s="455" t="s">
        <v>1866</v>
      </c>
    </row>
    <row r="18" spans="1:2" x14ac:dyDescent="0.2">
      <c r="A18" s="454" t="s">
        <v>234</v>
      </c>
      <c r="B18" s="455" t="s">
        <v>1867</v>
      </c>
    </row>
    <row r="19" spans="1:2" x14ac:dyDescent="0.2">
      <c r="A19" s="454" t="s">
        <v>235</v>
      </c>
      <c r="B19" s="455" t="s">
        <v>1868</v>
      </c>
    </row>
    <row r="20" spans="1:2" x14ac:dyDescent="0.2">
      <c r="A20" s="454" t="s">
        <v>236</v>
      </c>
      <c r="B20" s="455" t="s">
        <v>1869</v>
      </c>
    </row>
    <row r="21" spans="1:2" x14ac:dyDescent="0.2">
      <c r="A21" s="454" t="s">
        <v>237</v>
      </c>
      <c r="B21" s="455" t="s">
        <v>1870</v>
      </c>
    </row>
    <row r="22" spans="1:2" x14ac:dyDescent="0.2">
      <c r="A22" s="454" t="s">
        <v>238</v>
      </c>
      <c r="B22" s="455" t="s">
        <v>1871</v>
      </c>
    </row>
    <row r="23" spans="1:2" x14ac:dyDescent="0.2">
      <c r="A23" s="454" t="s">
        <v>239</v>
      </c>
      <c r="B23" s="455" t="s">
        <v>1872</v>
      </c>
    </row>
    <row r="24" spans="1:2" x14ac:dyDescent="0.2">
      <c r="A24" s="454" t="s">
        <v>240</v>
      </c>
      <c r="B24" s="455" t="s">
        <v>1873</v>
      </c>
    </row>
    <row r="25" spans="1:2" x14ac:dyDescent="0.2">
      <c r="A25" s="454" t="s">
        <v>241</v>
      </c>
      <c r="B25" s="455" t="s">
        <v>1874</v>
      </c>
    </row>
    <row r="26" spans="1:2" x14ac:dyDescent="0.2">
      <c r="A26" s="454" t="s">
        <v>242</v>
      </c>
      <c r="B26" s="455" t="s">
        <v>1875</v>
      </c>
    </row>
    <row r="27" spans="1:2" x14ac:dyDescent="0.2">
      <c r="A27" s="454" t="s">
        <v>243</v>
      </c>
      <c r="B27" s="455" t="s">
        <v>1876</v>
      </c>
    </row>
    <row r="28" spans="1:2" x14ac:dyDescent="0.2">
      <c r="A28" s="454" t="s">
        <v>244</v>
      </c>
      <c r="B28" s="455" t="s">
        <v>1877</v>
      </c>
    </row>
    <row r="29" spans="1:2" x14ac:dyDescent="0.2">
      <c r="A29" s="454" t="s">
        <v>245</v>
      </c>
      <c r="B29" s="455" t="s">
        <v>1878</v>
      </c>
    </row>
    <row r="30" spans="1:2" x14ac:dyDescent="0.2">
      <c r="A30" s="454" t="s">
        <v>246</v>
      </c>
      <c r="B30" s="455" t="s">
        <v>1879</v>
      </c>
    </row>
    <row r="31" spans="1:2" x14ac:dyDescent="0.2">
      <c r="A31" s="454" t="s">
        <v>247</v>
      </c>
      <c r="B31" s="455" t="s">
        <v>1880</v>
      </c>
    </row>
    <row r="32" spans="1:2" x14ac:dyDescent="0.2">
      <c r="A32" s="454" t="s">
        <v>248</v>
      </c>
      <c r="B32" s="455" t="s">
        <v>1881</v>
      </c>
    </row>
    <row r="33" spans="1:2" x14ac:dyDescent="0.2">
      <c r="A33" s="454" t="s">
        <v>249</v>
      </c>
      <c r="B33" s="455" t="s">
        <v>1882</v>
      </c>
    </row>
    <row r="34" spans="1:2" x14ac:dyDescent="0.2">
      <c r="A34" s="454" t="s">
        <v>250</v>
      </c>
      <c r="B34" s="455" t="s">
        <v>1883</v>
      </c>
    </row>
    <row r="35" spans="1:2" x14ac:dyDescent="0.2">
      <c r="A35" s="454" t="s">
        <v>251</v>
      </c>
      <c r="B35" s="455" t="s">
        <v>1884</v>
      </c>
    </row>
    <row r="36" spans="1:2" x14ac:dyDescent="0.2">
      <c r="A36" s="454" t="s">
        <v>252</v>
      </c>
      <c r="B36" s="455" t="s">
        <v>1885</v>
      </c>
    </row>
    <row r="37" spans="1:2" x14ac:dyDescent="0.2">
      <c r="A37" s="454" t="s">
        <v>253</v>
      </c>
      <c r="B37" s="455" t="s">
        <v>1886</v>
      </c>
    </row>
    <row r="38" spans="1:2" x14ac:dyDescent="0.2">
      <c r="A38" s="454" t="s">
        <v>254</v>
      </c>
      <c r="B38" s="455" t="s">
        <v>1887</v>
      </c>
    </row>
    <row r="39" spans="1:2" x14ac:dyDescent="0.2">
      <c r="A39" s="454" t="s">
        <v>255</v>
      </c>
      <c r="B39" s="455" t="s">
        <v>1888</v>
      </c>
    </row>
    <row r="40" spans="1:2" x14ac:dyDescent="0.2">
      <c r="A40" s="454" t="s">
        <v>256</v>
      </c>
      <c r="B40" s="455" t="s">
        <v>1889</v>
      </c>
    </row>
    <row r="41" spans="1:2" x14ac:dyDescent="0.2">
      <c r="A41" s="454" t="s">
        <v>257</v>
      </c>
      <c r="B41" s="455" t="s">
        <v>1890</v>
      </c>
    </row>
    <row r="42" spans="1:2" x14ac:dyDescent="0.2">
      <c r="A42" s="454" t="s">
        <v>258</v>
      </c>
      <c r="B42" s="455" t="s">
        <v>1891</v>
      </c>
    </row>
    <row r="43" spans="1:2" x14ac:dyDescent="0.2">
      <c r="A43" s="454" t="s">
        <v>259</v>
      </c>
      <c r="B43" s="455" t="s">
        <v>1892</v>
      </c>
    </row>
    <row r="44" spans="1:2" x14ac:dyDescent="0.2">
      <c r="A44" s="454" t="s">
        <v>260</v>
      </c>
      <c r="B44" s="455" t="s">
        <v>1893</v>
      </c>
    </row>
    <row r="45" spans="1:2" x14ac:dyDescent="0.2">
      <c r="A45" s="454" t="s">
        <v>261</v>
      </c>
      <c r="B45" s="455" t="s">
        <v>1894</v>
      </c>
    </row>
    <row r="46" spans="1:2" x14ac:dyDescent="0.2">
      <c r="A46" s="454" t="s">
        <v>262</v>
      </c>
      <c r="B46" s="455" t="s">
        <v>1895</v>
      </c>
    </row>
    <row r="47" spans="1:2" x14ac:dyDescent="0.2">
      <c r="A47" s="454" t="s">
        <v>263</v>
      </c>
      <c r="B47" s="455" t="s">
        <v>1896</v>
      </c>
    </row>
    <row r="48" spans="1:2" x14ac:dyDescent="0.2">
      <c r="A48" s="454" t="s">
        <v>264</v>
      </c>
      <c r="B48" s="455" t="s">
        <v>1897</v>
      </c>
    </row>
    <row r="49" spans="1:2" x14ac:dyDescent="0.2">
      <c r="A49" s="454" t="s">
        <v>265</v>
      </c>
      <c r="B49" s="455" t="s">
        <v>1898</v>
      </c>
    </row>
    <row r="50" spans="1:2" x14ac:dyDescent="0.2">
      <c r="A50" s="454" t="s">
        <v>266</v>
      </c>
      <c r="B50" s="455" t="s">
        <v>1899</v>
      </c>
    </row>
    <row r="51" spans="1:2" x14ac:dyDescent="0.2">
      <c r="A51" s="454" t="s">
        <v>267</v>
      </c>
      <c r="B51" s="455" t="s">
        <v>1900</v>
      </c>
    </row>
    <row r="52" spans="1:2" x14ac:dyDescent="0.2">
      <c r="A52" s="454" t="s">
        <v>268</v>
      </c>
      <c r="B52" s="455" t="s">
        <v>1901</v>
      </c>
    </row>
    <row r="53" spans="1:2" x14ac:dyDescent="0.2">
      <c r="A53" s="454" t="s">
        <v>269</v>
      </c>
      <c r="B53" s="455" t="s">
        <v>1902</v>
      </c>
    </row>
    <row r="54" spans="1:2" x14ac:dyDescent="0.2">
      <c r="A54" s="454" t="s">
        <v>270</v>
      </c>
      <c r="B54" s="455" t="s">
        <v>1903</v>
      </c>
    </row>
    <row r="55" spans="1:2" x14ac:dyDescent="0.2">
      <c r="A55" s="454" t="s">
        <v>271</v>
      </c>
      <c r="B55" s="455" t="s">
        <v>1904</v>
      </c>
    </row>
    <row r="56" spans="1:2" x14ac:dyDescent="0.2">
      <c r="A56" s="454" t="s">
        <v>272</v>
      </c>
      <c r="B56" s="455" t="s">
        <v>1905</v>
      </c>
    </row>
    <row r="57" spans="1:2" x14ac:dyDescent="0.2">
      <c r="A57" s="454" t="s">
        <v>273</v>
      </c>
      <c r="B57" s="455" t="s">
        <v>1906</v>
      </c>
    </row>
    <row r="58" spans="1:2" x14ac:dyDescent="0.2">
      <c r="A58" s="454" t="s">
        <v>274</v>
      </c>
      <c r="B58" s="455" t="s">
        <v>1907</v>
      </c>
    </row>
    <row r="59" spans="1:2" x14ac:dyDescent="0.2">
      <c r="A59" s="454" t="s">
        <v>275</v>
      </c>
      <c r="B59" s="455" t="s">
        <v>1908</v>
      </c>
    </row>
    <row r="60" spans="1:2" x14ac:dyDescent="0.2">
      <c r="A60" s="454" t="s">
        <v>276</v>
      </c>
      <c r="B60" s="455" t="s">
        <v>1909</v>
      </c>
    </row>
    <row r="61" spans="1:2" x14ac:dyDescent="0.2">
      <c r="A61" s="454" t="s">
        <v>277</v>
      </c>
      <c r="B61" s="455" t="s">
        <v>1910</v>
      </c>
    </row>
    <row r="62" spans="1:2" x14ac:dyDescent="0.2">
      <c r="A62" s="454" t="s">
        <v>278</v>
      </c>
      <c r="B62" s="455" t="s">
        <v>1911</v>
      </c>
    </row>
    <row r="63" spans="1:2" x14ac:dyDescent="0.2">
      <c r="A63" s="454" t="s">
        <v>279</v>
      </c>
      <c r="B63" s="455" t="s">
        <v>1912</v>
      </c>
    </row>
    <row r="64" spans="1:2" x14ac:dyDescent="0.2">
      <c r="A64" s="454" t="s">
        <v>280</v>
      </c>
      <c r="B64" s="455" t="s">
        <v>1913</v>
      </c>
    </row>
    <row r="65" spans="1:2" x14ac:dyDescent="0.2">
      <c r="A65" s="454" t="s">
        <v>281</v>
      </c>
      <c r="B65" s="455" t="s">
        <v>1914</v>
      </c>
    </row>
    <row r="66" spans="1:2" x14ac:dyDescent="0.2">
      <c r="A66" s="454" t="s">
        <v>282</v>
      </c>
      <c r="B66" s="455" t="s">
        <v>1915</v>
      </c>
    </row>
    <row r="67" spans="1:2" x14ac:dyDescent="0.2">
      <c r="A67" s="454" t="s">
        <v>283</v>
      </c>
      <c r="B67" s="455" t="s">
        <v>1916</v>
      </c>
    </row>
    <row r="68" spans="1:2" x14ac:dyDescent="0.2">
      <c r="A68" s="454" t="s">
        <v>284</v>
      </c>
      <c r="B68" s="455" t="s">
        <v>1917</v>
      </c>
    </row>
    <row r="69" spans="1:2" x14ac:dyDescent="0.2">
      <c r="A69" s="454" t="s">
        <v>285</v>
      </c>
      <c r="B69" s="455" t="s">
        <v>1918</v>
      </c>
    </row>
    <row r="70" spans="1:2" x14ac:dyDescent="0.2">
      <c r="A70" s="454" t="s">
        <v>286</v>
      </c>
      <c r="B70" s="455" t="s">
        <v>1919</v>
      </c>
    </row>
    <row r="71" spans="1:2" x14ac:dyDescent="0.2">
      <c r="A71" s="454" t="s">
        <v>287</v>
      </c>
      <c r="B71" s="455" t="s">
        <v>1920</v>
      </c>
    </row>
    <row r="72" spans="1:2" x14ac:dyDescent="0.2">
      <c r="A72" s="454" t="s">
        <v>288</v>
      </c>
      <c r="B72" s="455" t="s">
        <v>1921</v>
      </c>
    </row>
    <row r="73" spans="1:2" x14ac:dyDescent="0.2">
      <c r="A73" s="454" t="s">
        <v>289</v>
      </c>
      <c r="B73" s="455" t="s">
        <v>1922</v>
      </c>
    </row>
    <row r="74" spans="1:2" x14ac:dyDescent="0.2">
      <c r="A74" s="454" t="s">
        <v>290</v>
      </c>
      <c r="B74" s="455" t="s">
        <v>1923</v>
      </c>
    </row>
    <row r="75" spans="1:2" x14ac:dyDescent="0.2">
      <c r="A75" s="454" t="s">
        <v>291</v>
      </c>
      <c r="B75" s="455" t="s">
        <v>1924</v>
      </c>
    </row>
    <row r="76" spans="1:2" x14ac:dyDescent="0.2">
      <c r="A76" s="454" t="s">
        <v>292</v>
      </c>
      <c r="B76" s="455" t="s">
        <v>1925</v>
      </c>
    </row>
    <row r="77" spans="1:2" x14ac:dyDescent="0.2">
      <c r="A77" s="454" t="s">
        <v>293</v>
      </c>
      <c r="B77" s="455" t="s">
        <v>1926</v>
      </c>
    </row>
    <row r="78" spans="1:2" x14ac:dyDescent="0.2">
      <c r="A78" s="454" t="s">
        <v>294</v>
      </c>
      <c r="B78" s="455" t="s">
        <v>1927</v>
      </c>
    </row>
    <row r="79" spans="1:2" x14ac:dyDescent="0.2">
      <c r="A79" s="454" t="s">
        <v>295</v>
      </c>
      <c r="B79" s="455" t="s">
        <v>1928</v>
      </c>
    </row>
    <row r="80" spans="1:2" x14ac:dyDescent="0.2">
      <c r="A80" s="454" t="s">
        <v>296</v>
      </c>
      <c r="B80" s="455" t="s">
        <v>1929</v>
      </c>
    </row>
    <row r="81" spans="1:2" x14ac:dyDescent="0.2">
      <c r="A81" s="454" t="s">
        <v>297</v>
      </c>
      <c r="B81" s="455" t="s">
        <v>1930</v>
      </c>
    </row>
    <row r="82" spans="1:2" x14ac:dyDescent="0.2">
      <c r="A82" s="454" t="s">
        <v>298</v>
      </c>
      <c r="B82" s="455" t="s">
        <v>1931</v>
      </c>
    </row>
    <row r="83" spans="1:2" x14ac:dyDescent="0.2">
      <c r="A83" s="454" t="s">
        <v>299</v>
      </c>
      <c r="B83" s="455" t="s">
        <v>1932</v>
      </c>
    </row>
    <row r="84" spans="1:2" x14ac:dyDescent="0.2">
      <c r="A84" s="454" t="s">
        <v>300</v>
      </c>
      <c r="B84" s="455" t="s">
        <v>1933</v>
      </c>
    </row>
    <row r="85" spans="1:2" x14ac:dyDescent="0.2">
      <c r="A85" s="454" t="s">
        <v>301</v>
      </c>
      <c r="B85" s="455" t="s">
        <v>1934</v>
      </c>
    </row>
    <row r="86" spans="1:2" x14ac:dyDescent="0.2">
      <c r="A86" s="454" t="s">
        <v>302</v>
      </c>
      <c r="B86" s="455" t="s">
        <v>1935</v>
      </c>
    </row>
    <row r="87" spans="1:2" x14ac:dyDescent="0.2">
      <c r="A87" s="454" t="s">
        <v>303</v>
      </c>
      <c r="B87" s="455" t="s">
        <v>1936</v>
      </c>
    </row>
    <row r="88" spans="1:2" x14ac:dyDescent="0.2">
      <c r="A88" s="454" t="s">
        <v>304</v>
      </c>
      <c r="B88" s="455" t="s">
        <v>1937</v>
      </c>
    </row>
    <row r="89" spans="1:2" x14ac:dyDescent="0.2">
      <c r="A89" s="454" t="s">
        <v>305</v>
      </c>
      <c r="B89" s="455" t="s">
        <v>1938</v>
      </c>
    </row>
    <row r="90" spans="1:2" x14ac:dyDescent="0.2">
      <c r="A90" s="454" t="s">
        <v>306</v>
      </c>
      <c r="B90" s="455" t="s">
        <v>1939</v>
      </c>
    </row>
    <row r="91" spans="1:2" x14ac:dyDescent="0.2">
      <c r="A91" s="454" t="s">
        <v>307</v>
      </c>
      <c r="B91" s="455" t="s">
        <v>1940</v>
      </c>
    </row>
    <row r="92" spans="1:2" x14ac:dyDescent="0.2">
      <c r="A92" s="454" t="s">
        <v>308</v>
      </c>
      <c r="B92" s="455" t="s">
        <v>1941</v>
      </c>
    </row>
    <row r="93" spans="1:2" x14ac:dyDescent="0.2">
      <c r="A93" s="454" t="s">
        <v>309</v>
      </c>
      <c r="B93" s="455" t="s">
        <v>1942</v>
      </c>
    </row>
    <row r="94" spans="1:2" x14ac:dyDescent="0.2">
      <c r="A94" s="454" t="s">
        <v>310</v>
      </c>
      <c r="B94" s="455" t="s">
        <v>1943</v>
      </c>
    </row>
    <row r="95" spans="1:2" x14ac:dyDescent="0.2">
      <c r="A95" s="454" t="s">
        <v>311</v>
      </c>
      <c r="B95" s="455" t="s">
        <v>1944</v>
      </c>
    </row>
    <row r="96" spans="1:2" x14ac:dyDescent="0.2">
      <c r="A96" s="454" t="s">
        <v>312</v>
      </c>
      <c r="B96" s="455" t="s">
        <v>1945</v>
      </c>
    </row>
    <row r="97" spans="1:2" x14ac:dyDescent="0.2">
      <c r="A97" s="454" t="s">
        <v>313</v>
      </c>
      <c r="B97" s="455" t="s">
        <v>1946</v>
      </c>
    </row>
    <row r="98" spans="1:2" x14ac:dyDescent="0.2">
      <c r="A98" s="454" t="s">
        <v>314</v>
      </c>
      <c r="B98" s="455" t="s">
        <v>1947</v>
      </c>
    </row>
    <row r="99" spans="1:2" x14ac:dyDescent="0.2">
      <c r="A99" s="454" t="s">
        <v>315</v>
      </c>
      <c r="B99" s="455" t="s">
        <v>1948</v>
      </c>
    </row>
    <row r="100" spans="1:2" x14ac:dyDescent="0.2">
      <c r="A100" s="454" t="s">
        <v>316</v>
      </c>
      <c r="B100" s="455" t="s">
        <v>1949</v>
      </c>
    </row>
    <row r="101" spans="1:2" x14ac:dyDescent="0.2">
      <c r="A101" s="454" t="s">
        <v>317</v>
      </c>
      <c r="B101" s="455" t="s">
        <v>1950</v>
      </c>
    </row>
    <row r="102" spans="1:2" x14ac:dyDescent="0.2">
      <c r="A102" s="454" t="s">
        <v>318</v>
      </c>
      <c r="B102" s="455" t="s">
        <v>1951</v>
      </c>
    </row>
    <row r="103" spans="1:2" x14ac:dyDescent="0.2">
      <c r="A103" s="454" t="s">
        <v>319</v>
      </c>
      <c r="B103" s="455" t="s">
        <v>1952</v>
      </c>
    </row>
    <row r="104" spans="1:2" x14ac:dyDescent="0.2">
      <c r="A104" s="454" t="s">
        <v>320</v>
      </c>
      <c r="B104" s="455" t="s">
        <v>1953</v>
      </c>
    </row>
    <row r="105" spans="1:2" x14ac:dyDescent="0.2">
      <c r="A105" s="454" t="s">
        <v>321</v>
      </c>
      <c r="B105" s="455" t="s">
        <v>1954</v>
      </c>
    </row>
    <row r="106" spans="1:2" x14ac:dyDescent="0.2">
      <c r="A106" s="454" t="s">
        <v>322</v>
      </c>
      <c r="B106" s="455" t="s">
        <v>1955</v>
      </c>
    </row>
    <row r="107" spans="1:2" x14ac:dyDescent="0.2">
      <c r="A107" s="454" t="s">
        <v>323</v>
      </c>
      <c r="B107" s="455" t="s">
        <v>1956</v>
      </c>
    </row>
    <row r="108" spans="1:2" x14ac:dyDescent="0.2">
      <c r="A108" s="454" t="s">
        <v>324</v>
      </c>
      <c r="B108" s="455" t="s">
        <v>1957</v>
      </c>
    </row>
    <row r="109" spans="1:2" x14ac:dyDescent="0.2">
      <c r="A109" s="454" t="s">
        <v>325</v>
      </c>
      <c r="B109" s="455" t="s">
        <v>1958</v>
      </c>
    </row>
    <row r="110" spans="1:2" x14ac:dyDescent="0.2">
      <c r="A110" s="454" t="s">
        <v>326</v>
      </c>
      <c r="B110" s="455" t="s">
        <v>1959</v>
      </c>
    </row>
    <row r="111" spans="1:2" x14ac:dyDescent="0.2">
      <c r="A111" s="454" t="s">
        <v>327</v>
      </c>
      <c r="B111" s="455" t="s">
        <v>1960</v>
      </c>
    </row>
    <row r="112" spans="1:2" x14ac:dyDescent="0.2">
      <c r="A112" s="454" t="s">
        <v>328</v>
      </c>
      <c r="B112" s="455" t="s">
        <v>1961</v>
      </c>
    </row>
    <row r="113" spans="1:2" x14ac:dyDescent="0.2">
      <c r="A113" s="454" t="s">
        <v>329</v>
      </c>
      <c r="B113" s="455" t="s">
        <v>1962</v>
      </c>
    </row>
    <row r="114" spans="1:2" x14ac:dyDescent="0.2">
      <c r="A114" s="454" t="s">
        <v>330</v>
      </c>
      <c r="B114" s="455" t="s">
        <v>1963</v>
      </c>
    </row>
    <row r="115" spans="1:2" x14ac:dyDescent="0.2">
      <c r="A115" s="454" t="s">
        <v>331</v>
      </c>
      <c r="B115" s="455" t="s">
        <v>1964</v>
      </c>
    </row>
    <row r="116" spans="1:2" x14ac:dyDescent="0.2">
      <c r="A116" s="454" t="s">
        <v>332</v>
      </c>
      <c r="B116" s="455" t="s">
        <v>1965</v>
      </c>
    </row>
    <row r="117" spans="1:2" x14ac:dyDescent="0.2">
      <c r="A117" s="454" t="s">
        <v>333</v>
      </c>
      <c r="B117" s="455" t="s">
        <v>1966</v>
      </c>
    </row>
    <row r="118" spans="1:2" x14ac:dyDescent="0.2">
      <c r="A118" s="454" t="s">
        <v>334</v>
      </c>
      <c r="B118" s="455" t="s">
        <v>1967</v>
      </c>
    </row>
    <row r="119" spans="1:2" x14ac:dyDescent="0.2">
      <c r="A119" s="454" t="s">
        <v>335</v>
      </c>
      <c r="B119" s="455" t="s">
        <v>1968</v>
      </c>
    </row>
    <row r="120" spans="1:2" x14ac:dyDescent="0.2">
      <c r="A120" s="454" t="s">
        <v>336</v>
      </c>
      <c r="B120" s="455" t="s">
        <v>1969</v>
      </c>
    </row>
    <row r="121" spans="1:2" x14ac:dyDescent="0.2">
      <c r="A121" s="454" t="s">
        <v>337</v>
      </c>
      <c r="B121" s="455" t="s">
        <v>1970</v>
      </c>
    </row>
    <row r="122" spans="1:2" x14ac:dyDescent="0.2">
      <c r="A122" s="454" t="s">
        <v>338</v>
      </c>
      <c r="B122" s="455" t="s">
        <v>1971</v>
      </c>
    </row>
    <row r="123" spans="1:2" x14ac:dyDescent="0.2">
      <c r="A123" s="454" t="s">
        <v>339</v>
      </c>
      <c r="B123" s="455" t="s">
        <v>1972</v>
      </c>
    </row>
    <row r="124" spans="1:2" x14ac:dyDescent="0.2">
      <c r="A124" s="454" t="s">
        <v>340</v>
      </c>
      <c r="B124" s="455" t="s">
        <v>1973</v>
      </c>
    </row>
    <row r="125" spans="1:2" x14ac:dyDescent="0.2">
      <c r="A125" s="454" t="s">
        <v>341</v>
      </c>
      <c r="B125" s="455" t="s">
        <v>1974</v>
      </c>
    </row>
    <row r="126" spans="1:2" x14ac:dyDescent="0.2">
      <c r="A126" s="454" t="s">
        <v>342</v>
      </c>
      <c r="B126" s="455" t="s">
        <v>1975</v>
      </c>
    </row>
    <row r="127" spans="1:2" x14ac:dyDescent="0.2">
      <c r="A127" s="454" t="s">
        <v>343</v>
      </c>
      <c r="B127" s="455" t="s">
        <v>1976</v>
      </c>
    </row>
    <row r="128" spans="1:2" x14ac:dyDescent="0.2">
      <c r="A128" s="454" t="s">
        <v>344</v>
      </c>
      <c r="B128" s="455" t="s">
        <v>1977</v>
      </c>
    </row>
    <row r="129" spans="1:2" x14ac:dyDescent="0.2">
      <c r="A129" s="454" t="s">
        <v>345</v>
      </c>
      <c r="B129" s="455" t="s">
        <v>1978</v>
      </c>
    </row>
    <row r="130" spans="1:2" x14ac:dyDescent="0.2">
      <c r="A130" s="454" t="s">
        <v>346</v>
      </c>
      <c r="B130" s="455" t="s">
        <v>1979</v>
      </c>
    </row>
    <row r="131" spans="1:2" x14ac:dyDescent="0.2">
      <c r="A131" s="454" t="s">
        <v>347</v>
      </c>
      <c r="B131" s="455" t="s">
        <v>1980</v>
      </c>
    </row>
    <row r="132" spans="1:2" x14ac:dyDescent="0.2">
      <c r="A132" s="454" t="s">
        <v>348</v>
      </c>
      <c r="B132" s="455" t="s">
        <v>1981</v>
      </c>
    </row>
    <row r="133" spans="1:2" x14ac:dyDescent="0.2">
      <c r="A133" s="454" t="s">
        <v>349</v>
      </c>
      <c r="B133" s="455" t="s">
        <v>1982</v>
      </c>
    </row>
    <row r="134" spans="1:2" x14ac:dyDescent="0.2">
      <c r="A134" s="454" t="s">
        <v>350</v>
      </c>
      <c r="B134" s="455" t="s">
        <v>1983</v>
      </c>
    </row>
    <row r="135" spans="1:2" x14ac:dyDescent="0.2">
      <c r="A135" s="454" t="s">
        <v>351</v>
      </c>
      <c r="B135" s="455" t="s">
        <v>1984</v>
      </c>
    </row>
    <row r="136" spans="1:2" x14ac:dyDescent="0.2">
      <c r="A136" s="454" t="s">
        <v>352</v>
      </c>
      <c r="B136" s="455" t="s">
        <v>1985</v>
      </c>
    </row>
    <row r="137" spans="1:2" x14ac:dyDescent="0.2">
      <c r="A137" s="454" t="s">
        <v>353</v>
      </c>
      <c r="B137" s="455" t="s">
        <v>1986</v>
      </c>
    </row>
    <row r="138" spans="1:2" x14ac:dyDescent="0.2">
      <c r="A138" s="454" t="s">
        <v>354</v>
      </c>
      <c r="B138" s="455" t="s">
        <v>1987</v>
      </c>
    </row>
    <row r="139" spans="1:2" x14ac:dyDescent="0.2">
      <c r="A139" s="454" t="s">
        <v>355</v>
      </c>
      <c r="B139" s="455" t="s">
        <v>1988</v>
      </c>
    </row>
    <row r="140" spans="1:2" x14ac:dyDescent="0.2">
      <c r="A140" s="454" t="s">
        <v>356</v>
      </c>
      <c r="B140" s="455" t="s">
        <v>1989</v>
      </c>
    </row>
    <row r="141" spans="1:2" x14ac:dyDescent="0.2">
      <c r="A141" s="454" t="s">
        <v>357</v>
      </c>
      <c r="B141" s="455" t="s">
        <v>1990</v>
      </c>
    </row>
    <row r="142" spans="1:2" x14ac:dyDescent="0.2">
      <c r="A142" s="454" t="s">
        <v>358</v>
      </c>
      <c r="B142" s="455" t="s">
        <v>1991</v>
      </c>
    </row>
    <row r="143" spans="1:2" x14ac:dyDescent="0.2">
      <c r="A143" s="454" t="s">
        <v>359</v>
      </c>
      <c r="B143" s="455" t="s">
        <v>1992</v>
      </c>
    </row>
    <row r="144" spans="1:2" x14ac:dyDescent="0.2">
      <c r="A144" s="454" t="s">
        <v>360</v>
      </c>
      <c r="B144" s="455" t="s">
        <v>1993</v>
      </c>
    </row>
    <row r="145" spans="1:2" x14ac:dyDescent="0.2">
      <c r="A145" s="454" t="s">
        <v>361</v>
      </c>
      <c r="B145" s="455" t="s">
        <v>1994</v>
      </c>
    </row>
    <row r="146" spans="1:2" x14ac:dyDescent="0.2">
      <c r="A146" s="454" t="s">
        <v>362</v>
      </c>
      <c r="B146" s="455" t="s">
        <v>1995</v>
      </c>
    </row>
    <row r="147" spans="1:2" x14ac:dyDescent="0.2">
      <c r="A147" s="454" t="s">
        <v>363</v>
      </c>
      <c r="B147" s="455" t="s">
        <v>1996</v>
      </c>
    </row>
    <row r="148" spans="1:2" x14ac:dyDescent="0.2">
      <c r="A148" s="454" t="s">
        <v>364</v>
      </c>
      <c r="B148" s="455" t="s">
        <v>1997</v>
      </c>
    </row>
    <row r="149" spans="1:2" x14ac:dyDescent="0.2">
      <c r="A149" s="454" t="s">
        <v>365</v>
      </c>
      <c r="B149" s="455" t="s">
        <v>1998</v>
      </c>
    </row>
    <row r="150" spans="1:2" x14ac:dyDescent="0.2">
      <c r="A150" s="454" t="s">
        <v>366</v>
      </c>
      <c r="B150" s="455" t="s">
        <v>1999</v>
      </c>
    </row>
    <row r="151" spans="1:2" x14ac:dyDescent="0.2">
      <c r="A151" s="454" t="s">
        <v>367</v>
      </c>
      <c r="B151" s="455" t="s">
        <v>2000</v>
      </c>
    </row>
    <row r="152" spans="1:2" x14ac:dyDescent="0.2">
      <c r="A152" s="454" t="s">
        <v>368</v>
      </c>
      <c r="B152" s="455" t="s">
        <v>2001</v>
      </c>
    </row>
    <row r="153" spans="1:2" x14ac:dyDescent="0.2">
      <c r="A153" s="454" t="s">
        <v>369</v>
      </c>
      <c r="B153" s="455" t="s">
        <v>2002</v>
      </c>
    </row>
    <row r="154" spans="1:2" x14ac:dyDescent="0.2">
      <c r="A154" s="454" t="s">
        <v>370</v>
      </c>
      <c r="B154" s="455" t="s">
        <v>2003</v>
      </c>
    </row>
    <row r="155" spans="1:2" x14ac:dyDescent="0.2">
      <c r="A155" s="454" t="s">
        <v>371</v>
      </c>
      <c r="B155" s="455" t="s">
        <v>2004</v>
      </c>
    </row>
    <row r="156" spans="1:2" x14ac:dyDescent="0.2">
      <c r="A156" s="454" t="s">
        <v>372</v>
      </c>
      <c r="B156" s="455" t="s">
        <v>2005</v>
      </c>
    </row>
    <row r="157" spans="1:2" x14ac:dyDescent="0.2">
      <c r="A157" s="454" t="s">
        <v>373</v>
      </c>
      <c r="B157" s="455" t="s">
        <v>2006</v>
      </c>
    </row>
    <row r="158" spans="1:2" x14ac:dyDescent="0.2">
      <c r="A158" s="454" t="s">
        <v>374</v>
      </c>
      <c r="B158" s="455" t="s">
        <v>2007</v>
      </c>
    </row>
    <row r="159" spans="1:2" x14ac:dyDescent="0.2">
      <c r="A159" s="454" t="s">
        <v>375</v>
      </c>
      <c r="B159" s="455" t="s">
        <v>2008</v>
      </c>
    </row>
    <row r="160" spans="1:2" x14ac:dyDescent="0.2">
      <c r="A160" s="454" t="s">
        <v>376</v>
      </c>
      <c r="B160" s="455" t="s">
        <v>2009</v>
      </c>
    </row>
    <row r="161" spans="1:2" x14ac:dyDescent="0.2">
      <c r="A161" s="454" t="s">
        <v>377</v>
      </c>
      <c r="B161" s="455" t="s">
        <v>2010</v>
      </c>
    </row>
    <row r="162" spans="1:2" x14ac:dyDescent="0.2">
      <c r="A162" s="454" t="s">
        <v>378</v>
      </c>
      <c r="B162" s="455" t="s">
        <v>2011</v>
      </c>
    </row>
    <row r="163" spans="1:2" x14ac:dyDescent="0.2">
      <c r="A163" s="454" t="s">
        <v>379</v>
      </c>
      <c r="B163" s="455" t="s">
        <v>2012</v>
      </c>
    </row>
    <row r="164" spans="1:2" x14ac:dyDescent="0.2">
      <c r="A164" s="454" t="s">
        <v>380</v>
      </c>
      <c r="B164" s="455" t="s">
        <v>2013</v>
      </c>
    </row>
    <row r="165" spans="1:2" x14ac:dyDescent="0.2">
      <c r="A165" s="454" t="s">
        <v>381</v>
      </c>
      <c r="B165" s="455" t="s">
        <v>2014</v>
      </c>
    </row>
    <row r="166" spans="1:2" x14ac:dyDescent="0.2">
      <c r="A166" s="454" t="s">
        <v>382</v>
      </c>
      <c r="B166" s="455" t="s">
        <v>2015</v>
      </c>
    </row>
    <row r="167" spans="1:2" x14ac:dyDescent="0.2">
      <c r="A167" s="454" t="s">
        <v>383</v>
      </c>
      <c r="B167" s="455" t="s">
        <v>2016</v>
      </c>
    </row>
    <row r="168" spans="1:2" x14ac:dyDescent="0.2">
      <c r="A168" s="454" t="s">
        <v>384</v>
      </c>
      <c r="B168" s="455" t="s">
        <v>2017</v>
      </c>
    </row>
    <row r="169" spans="1:2" x14ac:dyDescent="0.2">
      <c r="A169" s="454" t="s">
        <v>385</v>
      </c>
      <c r="B169" s="455" t="s">
        <v>2018</v>
      </c>
    </row>
    <row r="170" spans="1:2" x14ac:dyDescent="0.2">
      <c r="A170" s="454" t="s">
        <v>386</v>
      </c>
      <c r="B170" s="455" t="s">
        <v>2019</v>
      </c>
    </row>
    <row r="171" spans="1:2" x14ac:dyDescent="0.2">
      <c r="A171" s="454" t="s">
        <v>387</v>
      </c>
      <c r="B171" s="455" t="s">
        <v>2020</v>
      </c>
    </row>
    <row r="172" spans="1:2" x14ac:dyDescent="0.2">
      <c r="A172" s="454" t="s">
        <v>388</v>
      </c>
      <c r="B172" s="455" t="s">
        <v>2021</v>
      </c>
    </row>
    <row r="173" spans="1:2" x14ac:dyDescent="0.2">
      <c r="A173" s="454" t="s">
        <v>389</v>
      </c>
      <c r="B173" s="455" t="s">
        <v>2022</v>
      </c>
    </row>
    <row r="174" spans="1:2" x14ac:dyDescent="0.2">
      <c r="A174" s="454" t="s">
        <v>390</v>
      </c>
      <c r="B174" s="455" t="s">
        <v>2023</v>
      </c>
    </row>
    <row r="175" spans="1:2" x14ac:dyDescent="0.2">
      <c r="A175" s="454" t="s">
        <v>391</v>
      </c>
      <c r="B175" s="455" t="s">
        <v>2024</v>
      </c>
    </row>
    <row r="176" spans="1:2" x14ac:dyDescent="0.2">
      <c r="A176" s="454" t="s">
        <v>392</v>
      </c>
      <c r="B176" s="455" t="s">
        <v>2025</v>
      </c>
    </row>
    <row r="177" spans="1:2" x14ac:dyDescent="0.2">
      <c r="A177" s="454" t="s">
        <v>393</v>
      </c>
      <c r="B177" s="455" t="s">
        <v>2026</v>
      </c>
    </row>
    <row r="178" spans="1:2" x14ac:dyDescent="0.2">
      <c r="A178" s="454" t="s">
        <v>394</v>
      </c>
      <c r="B178" s="455" t="s">
        <v>2027</v>
      </c>
    </row>
    <row r="179" spans="1:2" x14ac:dyDescent="0.2">
      <c r="A179" s="454" t="s">
        <v>395</v>
      </c>
      <c r="B179" s="455" t="s">
        <v>2028</v>
      </c>
    </row>
    <row r="180" spans="1:2" x14ac:dyDescent="0.2">
      <c r="A180" s="454" t="s">
        <v>396</v>
      </c>
      <c r="B180" s="455" t="s">
        <v>2029</v>
      </c>
    </row>
    <row r="181" spans="1:2" x14ac:dyDescent="0.2">
      <c r="A181" s="454" t="s">
        <v>397</v>
      </c>
      <c r="B181" s="455" t="s">
        <v>2030</v>
      </c>
    </row>
    <row r="182" spans="1:2" x14ac:dyDescent="0.2">
      <c r="A182" s="454" t="s">
        <v>398</v>
      </c>
      <c r="B182" s="455" t="s">
        <v>2031</v>
      </c>
    </row>
    <row r="183" spans="1:2" x14ac:dyDescent="0.2">
      <c r="A183" s="454" t="s">
        <v>399</v>
      </c>
      <c r="B183" s="455" t="s">
        <v>2032</v>
      </c>
    </row>
    <row r="184" spans="1:2" x14ac:dyDescent="0.2">
      <c r="A184" s="454" t="s">
        <v>400</v>
      </c>
      <c r="B184" s="455" t="s">
        <v>2033</v>
      </c>
    </row>
    <row r="185" spans="1:2" x14ac:dyDescent="0.2">
      <c r="A185" s="454" t="s">
        <v>401</v>
      </c>
      <c r="B185" s="455" t="s">
        <v>2034</v>
      </c>
    </row>
    <row r="186" spans="1:2" x14ac:dyDescent="0.2">
      <c r="A186" s="454" t="s">
        <v>402</v>
      </c>
      <c r="B186" s="455" t="s">
        <v>2035</v>
      </c>
    </row>
    <row r="187" spans="1:2" x14ac:dyDescent="0.2">
      <c r="A187" s="454" t="s">
        <v>403</v>
      </c>
      <c r="B187" s="455" t="s">
        <v>2036</v>
      </c>
    </row>
    <row r="188" spans="1:2" x14ac:dyDescent="0.2">
      <c r="A188" s="454" t="s">
        <v>404</v>
      </c>
      <c r="B188" s="455" t="s">
        <v>2037</v>
      </c>
    </row>
    <row r="189" spans="1:2" x14ac:dyDescent="0.2">
      <c r="A189" s="454" t="s">
        <v>405</v>
      </c>
      <c r="B189" s="455" t="s">
        <v>2038</v>
      </c>
    </row>
    <row r="190" spans="1:2" x14ac:dyDescent="0.2">
      <c r="A190" s="454" t="s">
        <v>406</v>
      </c>
      <c r="B190" s="455" t="s">
        <v>2039</v>
      </c>
    </row>
    <row r="191" spans="1:2" x14ac:dyDescent="0.2">
      <c r="A191" s="454" t="s">
        <v>407</v>
      </c>
      <c r="B191" s="455" t="s">
        <v>2040</v>
      </c>
    </row>
    <row r="192" spans="1:2" x14ac:dyDescent="0.2">
      <c r="A192" s="454" t="s">
        <v>408</v>
      </c>
      <c r="B192" s="455" t="s">
        <v>2041</v>
      </c>
    </row>
    <row r="193" spans="1:2" x14ac:dyDescent="0.2">
      <c r="A193" s="454" t="s">
        <v>409</v>
      </c>
      <c r="B193" s="455" t="s">
        <v>2042</v>
      </c>
    </row>
    <row r="194" spans="1:2" x14ac:dyDescent="0.2">
      <c r="A194" s="454" t="s">
        <v>410</v>
      </c>
      <c r="B194" s="455" t="s">
        <v>2043</v>
      </c>
    </row>
    <row r="195" spans="1:2" x14ac:dyDescent="0.2">
      <c r="A195" s="454" t="s">
        <v>411</v>
      </c>
      <c r="B195" s="455" t="s">
        <v>2044</v>
      </c>
    </row>
    <row r="196" spans="1:2" x14ac:dyDescent="0.2">
      <c r="A196" s="454" t="s">
        <v>412</v>
      </c>
      <c r="B196" s="455" t="s">
        <v>2045</v>
      </c>
    </row>
    <row r="197" spans="1:2" x14ac:dyDescent="0.2">
      <c r="A197" s="454" t="s">
        <v>413</v>
      </c>
      <c r="B197" s="455" t="s">
        <v>2046</v>
      </c>
    </row>
    <row r="198" spans="1:2" x14ac:dyDescent="0.2">
      <c r="A198" s="454" t="s">
        <v>414</v>
      </c>
      <c r="B198" s="455" t="s">
        <v>2047</v>
      </c>
    </row>
    <row r="199" spans="1:2" x14ac:dyDescent="0.2">
      <c r="A199" s="454" t="s">
        <v>415</v>
      </c>
      <c r="B199" s="455" t="s">
        <v>2048</v>
      </c>
    </row>
    <row r="200" spans="1:2" x14ac:dyDescent="0.2">
      <c r="A200" s="454" t="s">
        <v>416</v>
      </c>
      <c r="B200" s="455" t="s">
        <v>2049</v>
      </c>
    </row>
    <row r="201" spans="1:2" x14ac:dyDescent="0.2">
      <c r="A201" s="454" t="s">
        <v>417</v>
      </c>
      <c r="B201" s="455" t="s">
        <v>2050</v>
      </c>
    </row>
    <row r="202" spans="1:2" x14ac:dyDescent="0.2">
      <c r="A202" s="454" t="s">
        <v>418</v>
      </c>
      <c r="B202" s="455" t="s">
        <v>2051</v>
      </c>
    </row>
    <row r="203" spans="1:2" x14ac:dyDescent="0.2">
      <c r="A203" s="454" t="s">
        <v>419</v>
      </c>
      <c r="B203" s="455" t="s">
        <v>2052</v>
      </c>
    </row>
    <row r="204" spans="1:2" x14ac:dyDescent="0.2">
      <c r="A204" s="454" t="s">
        <v>420</v>
      </c>
      <c r="B204" s="455" t="s">
        <v>2053</v>
      </c>
    </row>
    <row r="205" spans="1:2" x14ac:dyDescent="0.2">
      <c r="A205" s="454" t="s">
        <v>421</v>
      </c>
      <c r="B205" s="455" t="s">
        <v>2054</v>
      </c>
    </row>
    <row r="206" spans="1:2" x14ac:dyDescent="0.2">
      <c r="A206" s="454" t="s">
        <v>422</v>
      </c>
      <c r="B206" s="455" t="s">
        <v>2055</v>
      </c>
    </row>
    <row r="207" spans="1:2" x14ac:dyDescent="0.2">
      <c r="A207" s="454" t="s">
        <v>423</v>
      </c>
      <c r="B207" s="455" t="s">
        <v>2056</v>
      </c>
    </row>
    <row r="208" spans="1:2" x14ac:dyDescent="0.2">
      <c r="A208" s="454" t="s">
        <v>424</v>
      </c>
      <c r="B208" s="455" t="s">
        <v>2057</v>
      </c>
    </row>
    <row r="209" spans="1:2" x14ac:dyDescent="0.2">
      <c r="A209" s="454" t="s">
        <v>425</v>
      </c>
      <c r="B209" s="455" t="s">
        <v>2058</v>
      </c>
    </row>
    <row r="210" spans="1:2" x14ac:dyDescent="0.2">
      <c r="A210" s="454" t="s">
        <v>426</v>
      </c>
      <c r="B210" s="455" t="s">
        <v>2059</v>
      </c>
    </row>
    <row r="211" spans="1:2" x14ac:dyDescent="0.2">
      <c r="A211" s="454" t="s">
        <v>427</v>
      </c>
      <c r="B211" s="455" t="s">
        <v>2060</v>
      </c>
    </row>
    <row r="212" spans="1:2" x14ac:dyDescent="0.2">
      <c r="A212" s="454" t="s">
        <v>428</v>
      </c>
      <c r="B212" s="455" t="s">
        <v>2061</v>
      </c>
    </row>
    <row r="213" spans="1:2" x14ac:dyDescent="0.2">
      <c r="A213" s="454" t="s">
        <v>429</v>
      </c>
      <c r="B213" s="455" t="s">
        <v>2062</v>
      </c>
    </row>
    <row r="214" spans="1:2" x14ac:dyDescent="0.2">
      <c r="A214" s="454" t="s">
        <v>430</v>
      </c>
      <c r="B214" s="455" t="s">
        <v>2063</v>
      </c>
    </row>
    <row r="215" spans="1:2" x14ac:dyDescent="0.2">
      <c r="A215" s="454" t="s">
        <v>431</v>
      </c>
      <c r="B215" s="455" t="s">
        <v>2064</v>
      </c>
    </row>
    <row r="216" spans="1:2" x14ac:dyDescent="0.2">
      <c r="A216" s="454" t="s">
        <v>432</v>
      </c>
      <c r="B216" s="455" t="s">
        <v>2065</v>
      </c>
    </row>
    <row r="217" spans="1:2" x14ac:dyDescent="0.2">
      <c r="A217" s="454" t="s">
        <v>433</v>
      </c>
      <c r="B217" s="455" t="s">
        <v>2066</v>
      </c>
    </row>
    <row r="218" spans="1:2" x14ac:dyDescent="0.2">
      <c r="A218" s="454" t="s">
        <v>434</v>
      </c>
      <c r="B218" s="455" t="s">
        <v>2067</v>
      </c>
    </row>
    <row r="219" spans="1:2" x14ac:dyDescent="0.2">
      <c r="A219" s="454" t="s">
        <v>435</v>
      </c>
      <c r="B219" s="455" t="s">
        <v>2068</v>
      </c>
    </row>
    <row r="220" spans="1:2" x14ac:dyDescent="0.2">
      <c r="A220" s="454" t="s">
        <v>436</v>
      </c>
      <c r="B220" s="455" t="s">
        <v>2069</v>
      </c>
    </row>
    <row r="221" spans="1:2" x14ac:dyDescent="0.2">
      <c r="A221" s="454" t="s">
        <v>437</v>
      </c>
      <c r="B221" s="455" t="s">
        <v>2070</v>
      </c>
    </row>
    <row r="222" spans="1:2" x14ac:dyDescent="0.2">
      <c r="A222" s="454" t="s">
        <v>438</v>
      </c>
      <c r="B222" s="455" t="s">
        <v>2071</v>
      </c>
    </row>
    <row r="223" spans="1:2" x14ac:dyDescent="0.2">
      <c r="A223" s="454" t="s">
        <v>439</v>
      </c>
      <c r="B223" s="455" t="s">
        <v>2072</v>
      </c>
    </row>
    <row r="224" spans="1:2" x14ac:dyDescent="0.2">
      <c r="A224" s="454" t="s">
        <v>440</v>
      </c>
      <c r="B224" s="455" t="s">
        <v>2073</v>
      </c>
    </row>
    <row r="225" spans="1:2" x14ac:dyDescent="0.2">
      <c r="A225" s="454" t="s">
        <v>441</v>
      </c>
      <c r="B225" s="455" t="s">
        <v>2074</v>
      </c>
    </row>
    <row r="226" spans="1:2" x14ac:dyDescent="0.2">
      <c r="A226" s="454" t="s">
        <v>442</v>
      </c>
      <c r="B226" s="455" t="s">
        <v>2075</v>
      </c>
    </row>
    <row r="227" spans="1:2" x14ac:dyDescent="0.2">
      <c r="A227" s="454" t="s">
        <v>443</v>
      </c>
      <c r="B227" s="455" t="s">
        <v>2076</v>
      </c>
    </row>
    <row r="228" spans="1:2" x14ac:dyDescent="0.2">
      <c r="A228" s="454" t="s">
        <v>444</v>
      </c>
      <c r="B228" s="455" t="s">
        <v>2077</v>
      </c>
    </row>
    <row r="229" spans="1:2" x14ac:dyDescent="0.2">
      <c r="A229" s="454" t="s">
        <v>445</v>
      </c>
      <c r="B229" s="455" t="s">
        <v>2078</v>
      </c>
    </row>
    <row r="230" spans="1:2" x14ac:dyDescent="0.2">
      <c r="A230" s="454" t="s">
        <v>446</v>
      </c>
      <c r="B230" s="455" t="s">
        <v>2079</v>
      </c>
    </row>
    <row r="231" spans="1:2" x14ac:dyDescent="0.2">
      <c r="A231" s="454" t="s">
        <v>447</v>
      </c>
      <c r="B231" s="455" t="s">
        <v>2080</v>
      </c>
    </row>
    <row r="232" spans="1:2" x14ac:dyDescent="0.2">
      <c r="A232" s="454" t="s">
        <v>448</v>
      </c>
      <c r="B232" s="455" t="s">
        <v>2081</v>
      </c>
    </row>
    <row r="233" spans="1:2" x14ac:dyDescent="0.2">
      <c r="A233" s="454" t="s">
        <v>449</v>
      </c>
      <c r="B233" s="455" t="s">
        <v>2082</v>
      </c>
    </row>
    <row r="234" spans="1:2" x14ac:dyDescent="0.2">
      <c r="A234" s="454" t="s">
        <v>450</v>
      </c>
      <c r="B234" s="455" t="s">
        <v>2083</v>
      </c>
    </row>
    <row r="235" spans="1:2" x14ac:dyDescent="0.2">
      <c r="A235" s="454" t="s">
        <v>451</v>
      </c>
      <c r="B235" s="455" t="s">
        <v>2084</v>
      </c>
    </row>
    <row r="236" spans="1:2" x14ac:dyDescent="0.2">
      <c r="A236" s="454" t="s">
        <v>452</v>
      </c>
      <c r="B236" s="455" t="s">
        <v>2085</v>
      </c>
    </row>
    <row r="237" spans="1:2" x14ac:dyDescent="0.2">
      <c r="A237" s="454" t="s">
        <v>453</v>
      </c>
      <c r="B237" s="455" t="s">
        <v>2086</v>
      </c>
    </row>
    <row r="238" spans="1:2" x14ac:dyDescent="0.2">
      <c r="A238" s="454" t="s">
        <v>454</v>
      </c>
      <c r="B238" s="455" t="s">
        <v>2087</v>
      </c>
    </row>
    <row r="239" spans="1:2" x14ac:dyDescent="0.2">
      <c r="A239" s="454" t="s">
        <v>455</v>
      </c>
      <c r="B239" s="455" t="s">
        <v>2088</v>
      </c>
    </row>
    <row r="240" spans="1:2" x14ac:dyDescent="0.2">
      <c r="A240" s="454" t="s">
        <v>456</v>
      </c>
      <c r="B240" s="455" t="s">
        <v>2089</v>
      </c>
    </row>
    <row r="241" spans="1:2" x14ac:dyDescent="0.2">
      <c r="A241" s="454" t="s">
        <v>457</v>
      </c>
      <c r="B241" s="455" t="s">
        <v>2090</v>
      </c>
    </row>
    <row r="242" spans="1:2" x14ac:dyDescent="0.2">
      <c r="A242" s="454" t="s">
        <v>458</v>
      </c>
      <c r="B242" s="455" t="s">
        <v>2091</v>
      </c>
    </row>
    <row r="243" spans="1:2" x14ac:dyDescent="0.2">
      <c r="A243" s="454" t="s">
        <v>459</v>
      </c>
      <c r="B243" s="455" t="s">
        <v>2092</v>
      </c>
    </row>
    <row r="244" spans="1:2" x14ac:dyDescent="0.2">
      <c r="A244" s="454" t="s">
        <v>460</v>
      </c>
      <c r="B244" s="455" t="s">
        <v>2093</v>
      </c>
    </row>
    <row r="245" spans="1:2" x14ac:dyDescent="0.2">
      <c r="A245" s="454" t="s">
        <v>461</v>
      </c>
      <c r="B245" s="455" t="s">
        <v>2094</v>
      </c>
    </row>
    <row r="246" spans="1:2" x14ac:dyDescent="0.2">
      <c r="A246" s="454" t="s">
        <v>462</v>
      </c>
      <c r="B246" s="455" t="s">
        <v>2095</v>
      </c>
    </row>
    <row r="247" spans="1:2" x14ac:dyDescent="0.2">
      <c r="A247" s="454" t="s">
        <v>463</v>
      </c>
      <c r="B247" s="455" t="s">
        <v>2096</v>
      </c>
    </row>
    <row r="248" spans="1:2" x14ac:dyDescent="0.2">
      <c r="A248" s="454" t="s">
        <v>464</v>
      </c>
      <c r="B248" s="455" t="s">
        <v>2097</v>
      </c>
    </row>
    <row r="249" spans="1:2" x14ac:dyDescent="0.2">
      <c r="A249" s="454" t="s">
        <v>465</v>
      </c>
      <c r="B249" s="455" t="s">
        <v>2098</v>
      </c>
    </row>
    <row r="250" spans="1:2" x14ac:dyDescent="0.2">
      <c r="A250" s="454" t="s">
        <v>466</v>
      </c>
      <c r="B250" s="455" t="s">
        <v>2099</v>
      </c>
    </row>
    <row r="251" spans="1:2" x14ac:dyDescent="0.2">
      <c r="A251" s="454" t="s">
        <v>467</v>
      </c>
      <c r="B251" s="455" t="s">
        <v>2100</v>
      </c>
    </row>
    <row r="252" spans="1:2" x14ac:dyDescent="0.2">
      <c r="A252" s="454" t="s">
        <v>468</v>
      </c>
      <c r="B252" s="455" t="s">
        <v>2101</v>
      </c>
    </row>
    <row r="253" spans="1:2" x14ac:dyDescent="0.2">
      <c r="A253" s="454" t="s">
        <v>469</v>
      </c>
      <c r="B253" s="455" t="s">
        <v>2102</v>
      </c>
    </row>
    <row r="254" spans="1:2" x14ac:dyDescent="0.2">
      <c r="A254" s="454" t="s">
        <v>470</v>
      </c>
      <c r="B254" s="455" t="s">
        <v>2103</v>
      </c>
    </row>
    <row r="255" spans="1:2" x14ac:dyDescent="0.2">
      <c r="A255" s="454" t="s">
        <v>471</v>
      </c>
      <c r="B255" s="455" t="s">
        <v>2104</v>
      </c>
    </row>
    <row r="256" spans="1:2" x14ac:dyDescent="0.2">
      <c r="A256" s="454" t="s">
        <v>472</v>
      </c>
      <c r="B256" s="455" t="s">
        <v>2105</v>
      </c>
    </row>
    <row r="257" spans="1:2" x14ac:dyDescent="0.2">
      <c r="A257" s="454" t="s">
        <v>473</v>
      </c>
      <c r="B257" s="455" t="s">
        <v>2106</v>
      </c>
    </row>
    <row r="258" spans="1:2" x14ac:dyDescent="0.2">
      <c r="A258" s="454" t="s">
        <v>474</v>
      </c>
      <c r="B258" s="455" t="s">
        <v>2107</v>
      </c>
    </row>
    <row r="259" spans="1:2" x14ac:dyDescent="0.2">
      <c r="A259" s="454" t="s">
        <v>475</v>
      </c>
      <c r="B259" s="455" t="s">
        <v>2108</v>
      </c>
    </row>
    <row r="260" spans="1:2" x14ac:dyDescent="0.2">
      <c r="A260" s="454" t="s">
        <v>476</v>
      </c>
      <c r="B260" s="455" t="s">
        <v>2109</v>
      </c>
    </row>
    <row r="261" spans="1:2" x14ac:dyDescent="0.2">
      <c r="A261" s="454" t="s">
        <v>477</v>
      </c>
      <c r="B261" s="455" t="s">
        <v>2110</v>
      </c>
    </row>
    <row r="262" spans="1:2" x14ac:dyDescent="0.2">
      <c r="A262" s="454" t="s">
        <v>478</v>
      </c>
      <c r="B262" s="455" t="s">
        <v>2111</v>
      </c>
    </row>
    <row r="263" spans="1:2" x14ac:dyDescent="0.2">
      <c r="A263" s="454" t="s">
        <v>479</v>
      </c>
      <c r="B263" s="455" t="s">
        <v>2112</v>
      </c>
    </row>
    <row r="264" spans="1:2" x14ac:dyDescent="0.2">
      <c r="A264" s="454" t="s">
        <v>480</v>
      </c>
      <c r="B264" s="455" t="s">
        <v>2113</v>
      </c>
    </row>
    <row r="265" spans="1:2" x14ac:dyDescent="0.2">
      <c r="A265" s="454" t="s">
        <v>481</v>
      </c>
      <c r="B265" s="455" t="s">
        <v>2114</v>
      </c>
    </row>
    <row r="266" spans="1:2" x14ac:dyDescent="0.2">
      <c r="A266" s="454" t="s">
        <v>482</v>
      </c>
      <c r="B266" s="455" t="s">
        <v>2115</v>
      </c>
    </row>
    <row r="267" spans="1:2" x14ac:dyDescent="0.2">
      <c r="A267" s="454" t="s">
        <v>483</v>
      </c>
      <c r="B267" s="455" t="s">
        <v>2116</v>
      </c>
    </row>
    <row r="268" spans="1:2" x14ac:dyDescent="0.2">
      <c r="A268" s="454" t="s">
        <v>484</v>
      </c>
      <c r="B268" s="455" t="s">
        <v>2117</v>
      </c>
    </row>
    <row r="269" spans="1:2" x14ac:dyDescent="0.2">
      <c r="A269" s="454" t="s">
        <v>485</v>
      </c>
      <c r="B269" s="455" t="s">
        <v>2118</v>
      </c>
    </row>
    <row r="270" spans="1:2" x14ac:dyDescent="0.2">
      <c r="A270" s="454" t="s">
        <v>486</v>
      </c>
      <c r="B270" s="455" t="s">
        <v>2119</v>
      </c>
    </row>
    <row r="271" spans="1:2" x14ac:dyDescent="0.2">
      <c r="A271" s="454" t="s">
        <v>487</v>
      </c>
      <c r="B271" s="455" t="s">
        <v>2120</v>
      </c>
    </row>
    <row r="272" spans="1:2" x14ac:dyDescent="0.2">
      <c r="A272" s="454" t="s">
        <v>488</v>
      </c>
      <c r="B272" s="455" t="s">
        <v>2121</v>
      </c>
    </row>
    <row r="273" spans="1:2" x14ac:dyDescent="0.2">
      <c r="A273" s="454" t="s">
        <v>489</v>
      </c>
      <c r="B273" s="455" t="s">
        <v>2122</v>
      </c>
    </row>
    <row r="274" spans="1:2" x14ac:dyDescent="0.2">
      <c r="A274" s="454" t="s">
        <v>490</v>
      </c>
      <c r="B274" s="455" t="s">
        <v>2123</v>
      </c>
    </row>
    <row r="275" spans="1:2" x14ac:dyDescent="0.2">
      <c r="A275" s="454" t="s">
        <v>491</v>
      </c>
      <c r="B275" s="455" t="s">
        <v>2124</v>
      </c>
    </row>
    <row r="276" spans="1:2" x14ac:dyDescent="0.2">
      <c r="A276" s="454" t="s">
        <v>492</v>
      </c>
      <c r="B276" s="455" t="s">
        <v>2125</v>
      </c>
    </row>
    <row r="277" spans="1:2" x14ac:dyDescent="0.2">
      <c r="A277" s="454" t="s">
        <v>493</v>
      </c>
      <c r="B277" s="455" t="s">
        <v>2126</v>
      </c>
    </row>
    <row r="278" spans="1:2" x14ac:dyDescent="0.2">
      <c r="A278" s="454" t="s">
        <v>494</v>
      </c>
      <c r="B278" s="455" t="s">
        <v>2127</v>
      </c>
    </row>
    <row r="279" spans="1:2" x14ac:dyDescent="0.2">
      <c r="A279" s="454" t="s">
        <v>495</v>
      </c>
      <c r="B279" s="455" t="s">
        <v>2128</v>
      </c>
    </row>
    <row r="280" spans="1:2" x14ac:dyDescent="0.2">
      <c r="A280" s="454" t="s">
        <v>496</v>
      </c>
      <c r="B280" s="455" t="s">
        <v>2129</v>
      </c>
    </row>
    <row r="281" spans="1:2" x14ac:dyDescent="0.2">
      <c r="A281" s="454" t="s">
        <v>497</v>
      </c>
      <c r="B281" s="455" t="s">
        <v>498</v>
      </c>
    </row>
    <row r="282" spans="1:2" x14ac:dyDescent="0.2">
      <c r="A282" s="454" t="s">
        <v>499</v>
      </c>
      <c r="B282" s="455" t="s">
        <v>2130</v>
      </c>
    </row>
    <row r="283" spans="1:2" x14ac:dyDescent="0.2">
      <c r="A283" s="454" t="s">
        <v>500</v>
      </c>
      <c r="B283" s="455" t="s">
        <v>2131</v>
      </c>
    </row>
    <row r="284" spans="1:2" x14ac:dyDescent="0.2">
      <c r="A284" s="454" t="s">
        <v>501</v>
      </c>
      <c r="B284" s="455" t="s">
        <v>2132</v>
      </c>
    </row>
    <row r="285" spans="1:2" x14ac:dyDescent="0.2">
      <c r="A285" s="454" t="s">
        <v>502</v>
      </c>
      <c r="B285" s="455" t="s">
        <v>2133</v>
      </c>
    </row>
    <row r="286" spans="1:2" x14ac:dyDescent="0.2">
      <c r="A286" s="454" t="s">
        <v>503</v>
      </c>
      <c r="B286" s="455" t="s">
        <v>2134</v>
      </c>
    </row>
    <row r="287" spans="1:2" x14ac:dyDescent="0.2">
      <c r="A287" s="454" t="s">
        <v>504</v>
      </c>
      <c r="B287" s="455" t="s">
        <v>2135</v>
      </c>
    </row>
    <row r="288" spans="1:2" x14ac:dyDescent="0.2">
      <c r="A288" s="454" t="s">
        <v>505</v>
      </c>
      <c r="B288" s="455" t="s">
        <v>2136</v>
      </c>
    </row>
    <row r="289" spans="1:2" x14ac:dyDescent="0.2">
      <c r="A289" s="454" t="s">
        <v>506</v>
      </c>
      <c r="B289" s="455" t="s">
        <v>2137</v>
      </c>
    </row>
    <row r="290" spans="1:2" x14ac:dyDescent="0.2">
      <c r="A290" s="454" t="s">
        <v>507</v>
      </c>
      <c r="B290" s="455" t="s">
        <v>2138</v>
      </c>
    </row>
    <row r="291" spans="1:2" x14ac:dyDescent="0.2">
      <c r="A291" s="454" t="s">
        <v>508</v>
      </c>
      <c r="B291" s="455" t="s">
        <v>2139</v>
      </c>
    </row>
    <row r="292" spans="1:2" x14ac:dyDescent="0.2">
      <c r="A292" s="454" t="s">
        <v>509</v>
      </c>
      <c r="B292" s="455" t="s">
        <v>2140</v>
      </c>
    </row>
    <row r="293" spans="1:2" x14ac:dyDescent="0.2">
      <c r="A293" s="454" t="s">
        <v>510</v>
      </c>
      <c r="B293" s="455" t="s">
        <v>2141</v>
      </c>
    </row>
    <row r="294" spans="1:2" x14ac:dyDescent="0.2">
      <c r="A294" s="454" t="s">
        <v>511</v>
      </c>
      <c r="B294" s="455" t="s">
        <v>2142</v>
      </c>
    </row>
    <row r="295" spans="1:2" x14ac:dyDescent="0.2">
      <c r="A295" s="454" t="s">
        <v>512</v>
      </c>
      <c r="B295" s="455" t="s">
        <v>2143</v>
      </c>
    </row>
    <row r="296" spans="1:2" x14ac:dyDescent="0.2">
      <c r="A296" s="454" t="s">
        <v>513</v>
      </c>
      <c r="B296" s="455" t="s">
        <v>2144</v>
      </c>
    </row>
    <row r="297" spans="1:2" x14ac:dyDescent="0.2">
      <c r="A297" s="454" t="s">
        <v>514</v>
      </c>
      <c r="B297" s="455" t="s">
        <v>515</v>
      </c>
    </row>
    <row r="298" spans="1:2" x14ac:dyDescent="0.2">
      <c r="A298" s="454" t="s">
        <v>516</v>
      </c>
      <c r="B298" s="455" t="s">
        <v>2145</v>
      </c>
    </row>
    <row r="299" spans="1:2" x14ac:dyDescent="0.2">
      <c r="A299" s="454" t="s">
        <v>517</v>
      </c>
      <c r="B299" s="455" t="s">
        <v>2146</v>
      </c>
    </row>
    <row r="300" spans="1:2" x14ac:dyDescent="0.2">
      <c r="A300" s="454" t="s">
        <v>518</v>
      </c>
      <c r="B300" s="455" t="s">
        <v>2147</v>
      </c>
    </row>
    <row r="301" spans="1:2" x14ac:dyDescent="0.2">
      <c r="A301" s="454" t="s">
        <v>519</v>
      </c>
      <c r="B301" s="455" t="s">
        <v>2148</v>
      </c>
    </row>
    <row r="302" spans="1:2" x14ac:dyDescent="0.2">
      <c r="A302" s="454" t="s">
        <v>520</v>
      </c>
      <c r="B302" s="455" t="s">
        <v>2149</v>
      </c>
    </row>
    <row r="303" spans="1:2" x14ac:dyDescent="0.2">
      <c r="A303" s="454" t="s">
        <v>521</v>
      </c>
      <c r="B303" s="455" t="s">
        <v>2150</v>
      </c>
    </row>
    <row r="304" spans="1:2" x14ac:dyDescent="0.2">
      <c r="A304" s="454" t="s">
        <v>522</v>
      </c>
      <c r="B304" s="455" t="s">
        <v>2151</v>
      </c>
    </row>
    <row r="305" spans="1:2" x14ac:dyDescent="0.2">
      <c r="A305" s="454" t="s">
        <v>523</v>
      </c>
      <c r="B305" s="455" t="s">
        <v>2152</v>
      </c>
    </row>
    <row r="306" spans="1:2" x14ac:dyDescent="0.2">
      <c r="A306" s="454" t="s">
        <v>524</v>
      </c>
      <c r="B306" s="455" t="s">
        <v>2153</v>
      </c>
    </row>
    <row r="307" spans="1:2" x14ac:dyDescent="0.2">
      <c r="A307" s="454" t="s">
        <v>525</v>
      </c>
      <c r="B307" s="455" t="s">
        <v>2154</v>
      </c>
    </row>
    <row r="308" spans="1:2" x14ac:dyDescent="0.2">
      <c r="A308" s="454" t="s">
        <v>526</v>
      </c>
      <c r="B308" s="455" t="s">
        <v>2155</v>
      </c>
    </row>
    <row r="309" spans="1:2" x14ac:dyDescent="0.2">
      <c r="A309" s="454" t="s">
        <v>527</v>
      </c>
      <c r="B309" s="455" t="s">
        <v>2156</v>
      </c>
    </row>
    <row r="310" spans="1:2" x14ac:dyDescent="0.2">
      <c r="A310" s="454" t="s">
        <v>528</v>
      </c>
      <c r="B310" s="455" t="s">
        <v>2157</v>
      </c>
    </row>
    <row r="311" spans="1:2" x14ac:dyDescent="0.2">
      <c r="A311" s="454" t="s">
        <v>529</v>
      </c>
      <c r="B311" s="455" t="s">
        <v>2158</v>
      </c>
    </row>
    <row r="312" spans="1:2" x14ac:dyDescent="0.2">
      <c r="A312" s="454" t="s">
        <v>530</v>
      </c>
      <c r="B312" s="455" t="s">
        <v>2159</v>
      </c>
    </row>
    <row r="313" spans="1:2" x14ac:dyDescent="0.2">
      <c r="A313" s="454" t="s">
        <v>531</v>
      </c>
      <c r="B313" s="455" t="s">
        <v>2160</v>
      </c>
    </row>
    <row r="314" spans="1:2" x14ac:dyDescent="0.2">
      <c r="A314" s="454" t="s">
        <v>532</v>
      </c>
      <c r="B314" s="455" t="s">
        <v>2161</v>
      </c>
    </row>
    <row r="315" spans="1:2" x14ac:dyDescent="0.2">
      <c r="A315" s="454" t="s">
        <v>533</v>
      </c>
      <c r="B315" s="455" t="s">
        <v>2162</v>
      </c>
    </row>
    <row r="316" spans="1:2" x14ac:dyDescent="0.2">
      <c r="A316" s="454" t="s">
        <v>534</v>
      </c>
      <c r="B316" s="455" t="s">
        <v>2163</v>
      </c>
    </row>
    <row r="317" spans="1:2" x14ac:dyDescent="0.2">
      <c r="A317" s="454" t="s">
        <v>535</v>
      </c>
      <c r="B317" s="455" t="s">
        <v>2164</v>
      </c>
    </row>
    <row r="318" spans="1:2" x14ac:dyDescent="0.2">
      <c r="A318" s="454" t="s">
        <v>536</v>
      </c>
      <c r="B318" s="455" t="s">
        <v>2165</v>
      </c>
    </row>
    <row r="319" spans="1:2" x14ac:dyDescent="0.2">
      <c r="A319" s="454" t="s">
        <v>537</v>
      </c>
      <c r="B319" s="455" t="s">
        <v>2166</v>
      </c>
    </row>
    <row r="320" spans="1:2" x14ac:dyDescent="0.2">
      <c r="A320" s="454" t="s">
        <v>538</v>
      </c>
      <c r="B320" s="455" t="s">
        <v>2167</v>
      </c>
    </row>
    <row r="321" spans="1:2" x14ac:dyDescent="0.2">
      <c r="A321" s="454" t="s">
        <v>539</v>
      </c>
      <c r="B321" s="455" t="s">
        <v>2168</v>
      </c>
    </row>
    <row r="322" spans="1:2" x14ac:dyDescent="0.2">
      <c r="A322" s="454" t="s">
        <v>540</v>
      </c>
      <c r="B322" s="455" t="s">
        <v>2169</v>
      </c>
    </row>
    <row r="323" spans="1:2" x14ac:dyDescent="0.2">
      <c r="A323" s="454" t="s">
        <v>541</v>
      </c>
      <c r="B323" s="455" t="s">
        <v>2170</v>
      </c>
    </row>
    <row r="324" spans="1:2" x14ac:dyDescent="0.2">
      <c r="A324" s="454" t="s">
        <v>542</v>
      </c>
      <c r="B324" s="455" t="s">
        <v>2171</v>
      </c>
    </row>
    <row r="325" spans="1:2" x14ac:dyDescent="0.2">
      <c r="A325" s="454" t="s">
        <v>543</v>
      </c>
      <c r="B325" s="455" t="s">
        <v>2172</v>
      </c>
    </row>
    <row r="326" spans="1:2" x14ac:dyDescent="0.2">
      <c r="A326" s="454" t="s">
        <v>544</v>
      </c>
      <c r="B326" s="455" t="s">
        <v>2173</v>
      </c>
    </row>
    <row r="327" spans="1:2" x14ac:dyDescent="0.2">
      <c r="A327" s="454" t="s">
        <v>545</v>
      </c>
      <c r="B327" s="455" t="s">
        <v>2174</v>
      </c>
    </row>
    <row r="328" spans="1:2" x14ac:dyDescent="0.2">
      <c r="A328" s="454" t="s">
        <v>546</v>
      </c>
      <c r="B328" s="455" t="s">
        <v>2175</v>
      </c>
    </row>
    <row r="329" spans="1:2" x14ac:dyDescent="0.2">
      <c r="A329" s="454" t="s">
        <v>547</v>
      </c>
      <c r="B329" s="455" t="s">
        <v>2176</v>
      </c>
    </row>
    <row r="330" spans="1:2" x14ac:dyDescent="0.2">
      <c r="A330" s="454" t="s">
        <v>548</v>
      </c>
      <c r="B330" s="455" t="s">
        <v>2177</v>
      </c>
    </row>
    <row r="331" spans="1:2" x14ac:dyDescent="0.2">
      <c r="A331" s="454" t="s">
        <v>549</v>
      </c>
      <c r="B331" s="455" t="s">
        <v>2178</v>
      </c>
    </row>
    <row r="332" spans="1:2" x14ac:dyDescent="0.2">
      <c r="A332" s="454" t="s">
        <v>550</v>
      </c>
      <c r="B332" s="455" t="s">
        <v>2179</v>
      </c>
    </row>
    <row r="333" spans="1:2" x14ac:dyDescent="0.2">
      <c r="A333" s="454" t="s">
        <v>551</v>
      </c>
      <c r="B333" s="455" t="s">
        <v>2180</v>
      </c>
    </row>
    <row r="334" spans="1:2" x14ac:dyDescent="0.2">
      <c r="A334" s="454" t="s">
        <v>552</v>
      </c>
      <c r="B334" s="455" t="s">
        <v>2181</v>
      </c>
    </row>
    <row r="335" spans="1:2" x14ac:dyDescent="0.2">
      <c r="A335" s="454" t="s">
        <v>553</v>
      </c>
      <c r="B335" s="455" t="s">
        <v>2182</v>
      </c>
    </row>
    <row r="336" spans="1:2" x14ac:dyDescent="0.2">
      <c r="A336" s="454" t="s">
        <v>554</v>
      </c>
      <c r="B336" s="455" t="s">
        <v>2183</v>
      </c>
    </row>
    <row r="337" spans="1:2" x14ac:dyDescent="0.2">
      <c r="A337" s="454" t="s">
        <v>555</v>
      </c>
      <c r="B337" s="455" t="s">
        <v>2184</v>
      </c>
    </row>
    <row r="338" spans="1:2" x14ac:dyDescent="0.2">
      <c r="A338" s="454" t="s">
        <v>556</v>
      </c>
      <c r="B338" s="455" t="s">
        <v>2185</v>
      </c>
    </row>
    <row r="339" spans="1:2" x14ac:dyDescent="0.2">
      <c r="A339" s="454" t="s">
        <v>557</v>
      </c>
      <c r="B339" s="455" t="s">
        <v>2186</v>
      </c>
    </row>
    <row r="340" spans="1:2" x14ac:dyDescent="0.2">
      <c r="A340" s="454" t="s">
        <v>558</v>
      </c>
      <c r="B340" s="455" t="s">
        <v>2187</v>
      </c>
    </row>
    <row r="341" spans="1:2" x14ac:dyDescent="0.2">
      <c r="A341" s="454" t="s">
        <v>559</v>
      </c>
      <c r="B341" s="455" t="s">
        <v>2188</v>
      </c>
    </row>
    <row r="342" spans="1:2" x14ac:dyDescent="0.2">
      <c r="A342" s="454" t="s">
        <v>560</v>
      </c>
      <c r="B342" s="455" t="s">
        <v>2189</v>
      </c>
    </row>
    <row r="343" spans="1:2" x14ac:dyDescent="0.2">
      <c r="A343" s="454" t="s">
        <v>561</v>
      </c>
      <c r="B343" s="455" t="s">
        <v>2190</v>
      </c>
    </row>
    <row r="344" spans="1:2" x14ac:dyDescent="0.2">
      <c r="A344" s="454" t="s">
        <v>562</v>
      </c>
      <c r="B344" s="455" t="s">
        <v>2191</v>
      </c>
    </row>
    <row r="345" spans="1:2" x14ac:dyDescent="0.2">
      <c r="A345" s="454" t="s">
        <v>563</v>
      </c>
      <c r="B345" s="455" t="s">
        <v>2192</v>
      </c>
    </row>
    <row r="346" spans="1:2" x14ac:dyDescent="0.2">
      <c r="A346" s="454" t="s">
        <v>564</v>
      </c>
      <c r="B346" s="455" t="s">
        <v>2193</v>
      </c>
    </row>
    <row r="347" spans="1:2" x14ac:dyDescent="0.2">
      <c r="A347" s="454" t="s">
        <v>565</v>
      </c>
      <c r="B347" s="455" t="s">
        <v>2194</v>
      </c>
    </row>
    <row r="348" spans="1:2" x14ac:dyDescent="0.2">
      <c r="A348" s="454" t="s">
        <v>566</v>
      </c>
      <c r="B348" s="455" t="s">
        <v>2195</v>
      </c>
    </row>
    <row r="349" spans="1:2" x14ac:dyDescent="0.2">
      <c r="A349" s="454" t="s">
        <v>567</v>
      </c>
      <c r="B349" s="455" t="s">
        <v>2196</v>
      </c>
    </row>
    <row r="350" spans="1:2" x14ac:dyDescent="0.2">
      <c r="A350" s="454" t="s">
        <v>568</v>
      </c>
      <c r="B350" s="455" t="s">
        <v>2197</v>
      </c>
    </row>
    <row r="351" spans="1:2" x14ac:dyDescent="0.2">
      <c r="A351" s="454" t="s">
        <v>569</v>
      </c>
      <c r="B351" s="455" t="s">
        <v>2198</v>
      </c>
    </row>
    <row r="352" spans="1:2" x14ac:dyDescent="0.2">
      <c r="A352" s="454" t="s">
        <v>570</v>
      </c>
      <c r="B352" s="455" t="s">
        <v>2199</v>
      </c>
    </row>
    <row r="353" spans="1:2" x14ac:dyDescent="0.2">
      <c r="A353" s="454" t="s">
        <v>571</v>
      </c>
      <c r="B353" s="455" t="s">
        <v>2200</v>
      </c>
    </row>
    <row r="354" spans="1:2" x14ac:dyDescent="0.2">
      <c r="A354" s="454" t="s">
        <v>572</v>
      </c>
      <c r="B354" s="455" t="s">
        <v>2201</v>
      </c>
    </row>
    <row r="355" spans="1:2" x14ac:dyDescent="0.2">
      <c r="A355" s="454" t="s">
        <v>573</v>
      </c>
      <c r="B355" s="455" t="s">
        <v>2202</v>
      </c>
    </row>
    <row r="356" spans="1:2" x14ac:dyDescent="0.2">
      <c r="A356" s="454" t="s">
        <v>574</v>
      </c>
      <c r="B356" s="455" t="s">
        <v>2203</v>
      </c>
    </row>
    <row r="357" spans="1:2" x14ac:dyDescent="0.2">
      <c r="A357" s="454" t="s">
        <v>575</v>
      </c>
      <c r="B357" s="455" t="s">
        <v>2204</v>
      </c>
    </row>
    <row r="358" spans="1:2" x14ac:dyDescent="0.2">
      <c r="A358" s="454" t="s">
        <v>576</v>
      </c>
      <c r="B358" s="455" t="s">
        <v>2205</v>
      </c>
    </row>
    <row r="359" spans="1:2" x14ac:dyDescent="0.2">
      <c r="A359" s="454" t="s">
        <v>577</v>
      </c>
      <c r="B359" s="455" t="s">
        <v>2206</v>
      </c>
    </row>
    <row r="360" spans="1:2" x14ac:dyDescent="0.2">
      <c r="A360" s="454" t="s">
        <v>578</v>
      </c>
      <c r="B360" s="455" t="s">
        <v>2207</v>
      </c>
    </row>
    <row r="361" spans="1:2" x14ac:dyDescent="0.2">
      <c r="A361" s="454" t="s">
        <v>579</v>
      </c>
      <c r="B361" s="455" t="s">
        <v>2208</v>
      </c>
    </row>
    <row r="362" spans="1:2" x14ac:dyDescent="0.2">
      <c r="A362" s="454" t="s">
        <v>580</v>
      </c>
      <c r="B362" s="455" t="s">
        <v>2209</v>
      </c>
    </row>
    <row r="363" spans="1:2" x14ac:dyDescent="0.2">
      <c r="A363" s="454" t="s">
        <v>581</v>
      </c>
      <c r="B363" s="455" t="s">
        <v>2210</v>
      </c>
    </row>
    <row r="364" spans="1:2" x14ac:dyDescent="0.2">
      <c r="A364" s="454" t="s">
        <v>582</v>
      </c>
      <c r="B364" s="455" t="s">
        <v>2211</v>
      </c>
    </row>
    <row r="365" spans="1:2" x14ac:dyDescent="0.2">
      <c r="A365" s="454" t="s">
        <v>583</v>
      </c>
      <c r="B365" s="455" t="s">
        <v>2212</v>
      </c>
    </row>
    <row r="366" spans="1:2" x14ac:dyDescent="0.2">
      <c r="A366" s="454" t="s">
        <v>584</v>
      </c>
      <c r="B366" s="455" t="s">
        <v>2213</v>
      </c>
    </row>
    <row r="367" spans="1:2" x14ac:dyDescent="0.2">
      <c r="A367" s="454" t="s">
        <v>585</v>
      </c>
      <c r="B367" s="455" t="s">
        <v>2214</v>
      </c>
    </row>
    <row r="368" spans="1:2" x14ac:dyDescent="0.2">
      <c r="A368" s="454" t="s">
        <v>586</v>
      </c>
      <c r="B368" s="455" t="s">
        <v>2215</v>
      </c>
    </row>
    <row r="369" spans="1:2" x14ac:dyDescent="0.2">
      <c r="A369" s="454" t="s">
        <v>587</v>
      </c>
      <c r="B369" s="455" t="s">
        <v>2216</v>
      </c>
    </row>
    <row r="370" spans="1:2" x14ac:dyDescent="0.2">
      <c r="A370" s="454" t="s">
        <v>588</v>
      </c>
      <c r="B370" s="455" t="s">
        <v>2217</v>
      </c>
    </row>
    <row r="371" spans="1:2" x14ac:dyDescent="0.2">
      <c r="A371" s="454" t="s">
        <v>589</v>
      </c>
      <c r="B371" s="455" t="s">
        <v>2218</v>
      </c>
    </row>
    <row r="372" spans="1:2" x14ac:dyDescent="0.2">
      <c r="A372" s="454" t="s">
        <v>590</v>
      </c>
      <c r="B372" s="455" t="s">
        <v>591</v>
      </c>
    </row>
    <row r="373" spans="1:2" x14ac:dyDescent="0.2">
      <c r="A373" s="454" t="s">
        <v>592</v>
      </c>
      <c r="B373" s="455" t="s">
        <v>2219</v>
      </c>
    </row>
    <row r="374" spans="1:2" x14ac:dyDescent="0.2">
      <c r="A374" s="454" t="s">
        <v>593</v>
      </c>
      <c r="B374" s="455" t="s">
        <v>2220</v>
      </c>
    </row>
    <row r="375" spans="1:2" x14ac:dyDescent="0.2">
      <c r="A375" s="454" t="s">
        <v>594</v>
      </c>
      <c r="B375" s="455" t="s">
        <v>2221</v>
      </c>
    </row>
    <row r="376" spans="1:2" x14ac:dyDescent="0.2">
      <c r="A376" s="454" t="s">
        <v>595</v>
      </c>
      <c r="B376" s="455" t="s">
        <v>2222</v>
      </c>
    </row>
    <row r="377" spans="1:2" x14ac:dyDescent="0.2">
      <c r="A377" s="454" t="s">
        <v>596</v>
      </c>
      <c r="B377" s="455" t="s">
        <v>2223</v>
      </c>
    </row>
    <row r="378" spans="1:2" x14ac:dyDescent="0.2">
      <c r="A378" s="454" t="s">
        <v>597</v>
      </c>
      <c r="B378" s="455" t="s">
        <v>2224</v>
      </c>
    </row>
    <row r="379" spans="1:2" x14ac:dyDescent="0.2">
      <c r="A379" s="454" t="s">
        <v>598</v>
      </c>
      <c r="B379" s="455" t="s">
        <v>599</v>
      </c>
    </row>
    <row r="380" spans="1:2" x14ac:dyDescent="0.2">
      <c r="A380" s="454" t="s">
        <v>600</v>
      </c>
      <c r="B380" s="455" t="s">
        <v>2225</v>
      </c>
    </row>
    <row r="381" spans="1:2" x14ac:dyDescent="0.2">
      <c r="A381" s="454" t="s">
        <v>601</v>
      </c>
      <c r="B381" s="455" t="s">
        <v>2226</v>
      </c>
    </row>
    <row r="382" spans="1:2" x14ac:dyDescent="0.2">
      <c r="A382" s="454" t="s">
        <v>602</v>
      </c>
      <c r="B382" s="455" t="s">
        <v>2227</v>
      </c>
    </row>
    <row r="383" spans="1:2" x14ac:dyDescent="0.2">
      <c r="A383" s="454" t="s">
        <v>603</v>
      </c>
      <c r="B383" s="455" t="s">
        <v>2228</v>
      </c>
    </row>
    <row r="384" spans="1:2" x14ac:dyDescent="0.2">
      <c r="A384" s="454" t="s">
        <v>604</v>
      </c>
      <c r="B384" s="455" t="s">
        <v>2229</v>
      </c>
    </row>
    <row r="385" spans="1:2" x14ac:dyDescent="0.2">
      <c r="A385" s="454" t="s">
        <v>605</v>
      </c>
      <c r="B385" s="455" t="s">
        <v>2230</v>
      </c>
    </row>
    <row r="386" spans="1:2" x14ac:dyDescent="0.2">
      <c r="A386" s="454" t="s">
        <v>606</v>
      </c>
      <c r="B386" s="455" t="s">
        <v>2231</v>
      </c>
    </row>
    <row r="387" spans="1:2" x14ac:dyDescent="0.2">
      <c r="A387" s="454" t="s">
        <v>607</v>
      </c>
      <c r="B387" s="455" t="s">
        <v>2232</v>
      </c>
    </row>
    <row r="388" spans="1:2" x14ac:dyDescent="0.2">
      <c r="A388" s="454" t="s">
        <v>608</v>
      </c>
      <c r="B388" s="455" t="s">
        <v>2233</v>
      </c>
    </row>
    <row r="389" spans="1:2" x14ac:dyDescent="0.2">
      <c r="A389" s="454" t="s">
        <v>609</v>
      </c>
      <c r="B389" s="455" t="s">
        <v>2234</v>
      </c>
    </row>
    <row r="390" spans="1:2" x14ac:dyDescent="0.2">
      <c r="A390" s="454" t="s">
        <v>610</v>
      </c>
      <c r="B390" s="455" t="s">
        <v>2235</v>
      </c>
    </row>
    <row r="391" spans="1:2" x14ac:dyDescent="0.2">
      <c r="A391" s="454" t="s">
        <v>611</v>
      </c>
      <c r="B391" s="455" t="s">
        <v>2236</v>
      </c>
    </row>
    <row r="392" spans="1:2" x14ac:dyDescent="0.2">
      <c r="A392" s="454" t="s">
        <v>612</v>
      </c>
      <c r="B392" s="455" t="s">
        <v>2237</v>
      </c>
    </row>
    <row r="393" spans="1:2" x14ac:dyDescent="0.2">
      <c r="A393" s="454" t="s">
        <v>613</v>
      </c>
      <c r="B393" s="455" t="s">
        <v>2238</v>
      </c>
    </row>
    <row r="394" spans="1:2" x14ac:dyDescent="0.2">
      <c r="A394" s="454" t="s">
        <v>614</v>
      </c>
      <c r="B394" s="455" t="s">
        <v>2239</v>
      </c>
    </row>
    <row r="395" spans="1:2" x14ac:dyDescent="0.2">
      <c r="A395" s="454" t="s">
        <v>615</v>
      </c>
      <c r="B395" s="455" t="s">
        <v>2240</v>
      </c>
    </row>
    <row r="396" spans="1:2" x14ac:dyDescent="0.2">
      <c r="A396" s="454" t="s">
        <v>616</v>
      </c>
      <c r="B396" s="455" t="s">
        <v>2241</v>
      </c>
    </row>
    <row r="397" spans="1:2" x14ac:dyDescent="0.2">
      <c r="A397" s="454" t="s">
        <v>617</v>
      </c>
      <c r="B397" s="455" t="s">
        <v>2242</v>
      </c>
    </row>
    <row r="398" spans="1:2" x14ac:dyDescent="0.2">
      <c r="A398" s="454" t="s">
        <v>618</v>
      </c>
      <c r="B398" s="455" t="s">
        <v>2243</v>
      </c>
    </row>
    <row r="399" spans="1:2" x14ac:dyDescent="0.2">
      <c r="A399" s="454" t="s">
        <v>619</v>
      </c>
      <c r="B399" s="455" t="s">
        <v>2244</v>
      </c>
    </row>
    <row r="400" spans="1:2" x14ac:dyDescent="0.2">
      <c r="A400" s="454" t="s">
        <v>620</v>
      </c>
      <c r="B400" s="455" t="s">
        <v>2245</v>
      </c>
    </row>
    <row r="401" spans="1:2" x14ac:dyDescent="0.2">
      <c r="A401" s="454" t="s">
        <v>621</v>
      </c>
      <c r="B401" s="455" t="s">
        <v>2246</v>
      </c>
    </row>
    <row r="402" spans="1:2" x14ac:dyDescent="0.2">
      <c r="A402" s="454" t="s">
        <v>622</v>
      </c>
      <c r="B402" s="455" t="s">
        <v>2247</v>
      </c>
    </row>
    <row r="403" spans="1:2" x14ac:dyDescent="0.2">
      <c r="A403" s="454" t="s">
        <v>623</v>
      </c>
      <c r="B403" s="455" t="s">
        <v>2248</v>
      </c>
    </row>
    <row r="404" spans="1:2" x14ac:dyDescent="0.2">
      <c r="A404" s="454" t="s">
        <v>624</v>
      </c>
      <c r="B404" s="455" t="s">
        <v>2249</v>
      </c>
    </row>
    <row r="405" spans="1:2" x14ac:dyDescent="0.2">
      <c r="A405" s="454" t="s">
        <v>625</v>
      </c>
      <c r="B405" s="455" t="s">
        <v>2250</v>
      </c>
    </row>
    <row r="406" spans="1:2" x14ac:dyDescent="0.2">
      <c r="A406" s="454" t="s">
        <v>626</v>
      </c>
      <c r="B406" s="455" t="s">
        <v>2251</v>
      </c>
    </row>
    <row r="407" spans="1:2" x14ac:dyDescent="0.2">
      <c r="A407" s="454" t="s">
        <v>627</v>
      </c>
      <c r="B407" s="455" t="s">
        <v>2252</v>
      </c>
    </row>
    <row r="408" spans="1:2" x14ac:dyDescent="0.2">
      <c r="A408" s="454" t="s">
        <v>628</v>
      </c>
      <c r="B408" s="455" t="s">
        <v>2253</v>
      </c>
    </row>
    <row r="409" spans="1:2" x14ac:dyDescent="0.2">
      <c r="A409" s="454" t="s">
        <v>629</v>
      </c>
      <c r="B409" s="455" t="s">
        <v>2254</v>
      </c>
    </row>
    <row r="410" spans="1:2" x14ac:dyDescent="0.2">
      <c r="A410" s="454" t="s">
        <v>630</v>
      </c>
      <c r="B410" s="455" t="s">
        <v>2255</v>
      </c>
    </row>
    <row r="411" spans="1:2" x14ac:dyDescent="0.2">
      <c r="A411" s="454" t="s">
        <v>631</v>
      </c>
      <c r="B411" s="455" t="s">
        <v>2256</v>
      </c>
    </row>
    <row r="412" spans="1:2" x14ac:dyDescent="0.2">
      <c r="A412" s="454" t="s">
        <v>632</v>
      </c>
      <c r="B412" s="455" t="s">
        <v>2257</v>
      </c>
    </row>
    <row r="413" spans="1:2" x14ac:dyDescent="0.2">
      <c r="A413" s="454" t="s">
        <v>633</v>
      </c>
      <c r="B413" s="455" t="s">
        <v>2258</v>
      </c>
    </row>
    <row r="414" spans="1:2" x14ac:dyDescent="0.2">
      <c r="A414" s="454" t="s">
        <v>634</v>
      </c>
      <c r="B414" s="455" t="s">
        <v>2259</v>
      </c>
    </row>
    <row r="415" spans="1:2" x14ac:dyDescent="0.2">
      <c r="A415" s="454" t="s">
        <v>635</v>
      </c>
      <c r="B415" s="455" t="s">
        <v>2260</v>
      </c>
    </row>
    <row r="416" spans="1:2" x14ac:dyDescent="0.2">
      <c r="A416" s="454" t="s">
        <v>636</v>
      </c>
      <c r="B416" s="455" t="s">
        <v>2261</v>
      </c>
    </row>
    <row r="417" spans="1:2" x14ac:dyDescent="0.2">
      <c r="A417" s="454" t="s">
        <v>637</v>
      </c>
      <c r="B417" s="455" t="s">
        <v>2262</v>
      </c>
    </row>
    <row r="418" spans="1:2" x14ac:dyDescent="0.2">
      <c r="A418" s="454" t="s">
        <v>638</v>
      </c>
      <c r="B418" s="455" t="s">
        <v>2263</v>
      </c>
    </row>
    <row r="419" spans="1:2" x14ac:dyDescent="0.2">
      <c r="A419" s="454" t="s">
        <v>639</v>
      </c>
      <c r="B419" s="455" t="s">
        <v>2264</v>
      </c>
    </row>
    <row r="420" spans="1:2" x14ac:dyDescent="0.2">
      <c r="A420" s="454" t="s">
        <v>640</v>
      </c>
      <c r="B420" s="455" t="s">
        <v>2265</v>
      </c>
    </row>
    <row r="421" spans="1:2" x14ac:dyDescent="0.2">
      <c r="A421" s="454" t="s">
        <v>641</v>
      </c>
      <c r="B421" s="455" t="s">
        <v>2266</v>
      </c>
    </row>
    <row r="422" spans="1:2" x14ac:dyDescent="0.2">
      <c r="A422" s="454" t="s">
        <v>642</v>
      </c>
      <c r="B422" s="455" t="s">
        <v>2267</v>
      </c>
    </row>
    <row r="423" spans="1:2" x14ac:dyDescent="0.2">
      <c r="A423" s="454" t="s">
        <v>643</v>
      </c>
      <c r="B423" s="455" t="s">
        <v>2268</v>
      </c>
    </row>
    <row r="424" spans="1:2" x14ac:dyDescent="0.2">
      <c r="A424" s="454" t="s">
        <v>644</v>
      </c>
      <c r="B424" s="455" t="s">
        <v>2269</v>
      </c>
    </row>
    <row r="425" spans="1:2" x14ac:dyDescent="0.2">
      <c r="A425" s="454" t="s">
        <v>645</v>
      </c>
      <c r="B425" s="455" t="s">
        <v>2270</v>
      </c>
    </row>
    <row r="426" spans="1:2" x14ac:dyDescent="0.2">
      <c r="A426" s="454" t="s">
        <v>646</v>
      </c>
      <c r="B426" s="455" t="s">
        <v>2271</v>
      </c>
    </row>
    <row r="427" spans="1:2" x14ac:dyDescent="0.2">
      <c r="A427" s="454" t="s">
        <v>647</v>
      </c>
      <c r="B427" s="455" t="s">
        <v>2272</v>
      </c>
    </row>
    <row r="428" spans="1:2" x14ac:dyDescent="0.2">
      <c r="A428" s="454" t="s">
        <v>648</v>
      </c>
      <c r="B428" s="455" t="s">
        <v>2273</v>
      </c>
    </row>
    <row r="429" spans="1:2" x14ac:dyDescent="0.2">
      <c r="A429" s="454" t="s">
        <v>649</v>
      </c>
      <c r="B429" s="455" t="s">
        <v>2274</v>
      </c>
    </row>
    <row r="430" spans="1:2" x14ac:dyDescent="0.2">
      <c r="A430" s="454" t="s">
        <v>650</v>
      </c>
      <c r="B430" s="455" t="s">
        <v>2275</v>
      </c>
    </row>
    <row r="431" spans="1:2" x14ac:dyDescent="0.2">
      <c r="A431" s="454" t="s">
        <v>651</v>
      </c>
      <c r="B431" s="455" t="s">
        <v>2276</v>
      </c>
    </row>
    <row r="432" spans="1:2" x14ac:dyDescent="0.2">
      <c r="A432" s="454" t="s">
        <v>652</v>
      </c>
      <c r="B432" s="455" t="s">
        <v>2277</v>
      </c>
    </row>
    <row r="433" spans="1:2" x14ac:dyDescent="0.2">
      <c r="A433" s="454" t="s">
        <v>653</v>
      </c>
      <c r="B433" s="455" t="s">
        <v>2278</v>
      </c>
    </row>
    <row r="434" spans="1:2" x14ac:dyDescent="0.2">
      <c r="A434" s="454" t="s">
        <v>654</v>
      </c>
      <c r="B434" s="455" t="s">
        <v>2279</v>
      </c>
    </row>
    <row r="435" spans="1:2" x14ac:dyDescent="0.2">
      <c r="A435" s="454" t="s">
        <v>655</v>
      </c>
      <c r="B435" s="455" t="s">
        <v>2280</v>
      </c>
    </row>
    <row r="436" spans="1:2" x14ac:dyDescent="0.2">
      <c r="A436" s="454" t="s">
        <v>656</v>
      </c>
      <c r="B436" s="455" t="s">
        <v>2281</v>
      </c>
    </row>
    <row r="437" spans="1:2" x14ac:dyDescent="0.2">
      <c r="A437" s="454" t="s">
        <v>657</v>
      </c>
      <c r="B437" s="455" t="s">
        <v>2282</v>
      </c>
    </row>
    <row r="438" spans="1:2" x14ac:dyDescent="0.2">
      <c r="A438" s="454" t="s">
        <v>658</v>
      </c>
      <c r="B438" s="455" t="s">
        <v>2283</v>
      </c>
    </row>
    <row r="439" spans="1:2" x14ac:dyDescent="0.2">
      <c r="A439" s="454" t="s">
        <v>659</v>
      </c>
      <c r="B439" s="455" t="s">
        <v>2284</v>
      </c>
    </row>
    <row r="440" spans="1:2" x14ac:dyDescent="0.2">
      <c r="A440" s="454" t="s">
        <v>660</v>
      </c>
      <c r="B440" s="455" t="s">
        <v>2285</v>
      </c>
    </row>
    <row r="441" spans="1:2" x14ac:dyDescent="0.2">
      <c r="A441" s="454" t="s">
        <v>661</v>
      </c>
      <c r="B441" s="455" t="s">
        <v>2286</v>
      </c>
    </row>
    <row r="442" spans="1:2" x14ac:dyDescent="0.2">
      <c r="A442" s="454" t="s">
        <v>662</v>
      </c>
      <c r="B442" s="455" t="s">
        <v>2287</v>
      </c>
    </row>
    <row r="443" spans="1:2" x14ac:dyDescent="0.2">
      <c r="A443" s="454" t="s">
        <v>663</v>
      </c>
      <c r="B443" s="455" t="s">
        <v>2288</v>
      </c>
    </row>
    <row r="444" spans="1:2" x14ac:dyDescent="0.2">
      <c r="A444" s="454" t="s">
        <v>664</v>
      </c>
      <c r="B444" s="455" t="s">
        <v>2289</v>
      </c>
    </row>
    <row r="445" spans="1:2" x14ac:dyDescent="0.2">
      <c r="A445" s="454" t="s">
        <v>665</v>
      </c>
      <c r="B445" s="455" t="s">
        <v>2290</v>
      </c>
    </row>
    <row r="446" spans="1:2" x14ac:dyDescent="0.2">
      <c r="A446" s="454" t="s">
        <v>666</v>
      </c>
      <c r="B446" s="455" t="s">
        <v>2291</v>
      </c>
    </row>
    <row r="447" spans="1:2" x14ac:dyDescent="0.2">
      <c r="A447" s="454" t="s">
        <v>667</v>
      </c>
      <c r="B447" s="455" t="s">
        <v>2292</v>
      </c>
    </row>
    <row r="448" spans="1:2" x14ac:dyDescent="0.2">
      <c r="A448" s="454" t="s">
        <v>668</v>
      </c>
      <c r="B448" s="455" t="s">
        <v>669</v>
      </c>
    </row>
    <row r="449" spans="1:2" x14ac:dyDescent="0.2">
      <c r="A449" s="454" t="s">
        <v>670</v>
      </c>
      <c r="B449" s="455" t="s">
        <v>2293</v>
      </c>
    </row>
    <row r="450" spans="1:2" x14ac:dyDescent="0.2">
      <c r="A450" s="454" t="s">
        <v>671</v>
      </c>
      <c r="B450" s="455" t="s">
        <v>2294</v>
      </c>
    </row>
    <row r="451" spans="1:2" x14ac:dyDescent="0.2">
      <c r="A451" s="454" t="s">
        <v>672</v>
      </c>
      <c r="B451" s="455" t="s">
        <v>2295</v>
      </c>
    </row>
    <row r="452" spans="1:2" x14ac:dyDescent="0.2">
      <c r="A452" s="454" t="s">
        <v>673</v>
      </c>
      <c r="B452" s="455" t="s">
        <v>2296</v>
      </c>
    </row>
    <row r="453" spans="1:2" x14ac:dyDescent="0.2">
      <c r="A453" s="454" t="s">
        <v>674</v>
      </c>
      <c r="B453" s="455" t="s">
        <v>2297</v>
      </c>
    </row>
    <row r="454" spans="1:2" x14ac:dyDescent="0.2">
      <c r="A454" s="454" t="s">
        <v>675</v>
      </c>
      <c r="B454" s="455" t="s">
        <v>2298</v>
      </c>
    </row>
    <row r="455" spans="1:2" x14ac:dyDescent="0.2">
      <c r="A455" s="454" t="s">
        <v>676</v>
      </c>
      <c r="B455" s="455" t="s">
        <v>2299</v>
      </c>
    </row>
    <row r="456" spans="1:2" x14ac:dyDescent="0.2">
      <c r="A456" s="454" t="s">
        <v>677</v>
      </c>
      <c r="B456" s="455" t="s">
        <v>2300</v>
      </c>
    </row>
    <row r="457" spans="1:2" x14ac:dyDescent="0.2">
      <c r="A457" s="454" t="s">
        <v>678</v>
      </c>
      <c r="B457" s="455" t="s">
        <v>2301</v>
      </c>
    </row>
    <row r="458" spans="1:2" x14ac:dyDescent="0.2">
      <c r="A458" s="454" t="s">
        <v>679</v>
      </c>
      <c r="B458" s="455" t="s">
        <v>2302</v>
      </c>
    </row>
    <row r="459" spans="1:2" x14ac:dyDescent="0.2">
      <c r="A459" s="454" t="s">
        <v>680</v>
      </c>
      <c r="B459" s="455" t="s">
        <v>681</v>
      </c>
    </row>
    <row r="460" spans="1:2" x14ac:dyDescent="0.2">
      <c r="A460" s="454" t="s">
        <v>682</v>
      </c>
      <c r="B460" s="455" t="s">
        <v>2303</v>
      </c>
    </row>
    <row r="461" spans="1:2" x14ac:dyDescent="0.2">
      <c r="A461" s="454" t="s">
        <v>683</v>
      </c>
      <c r="B461" s="455" t="s">
        <v>2304</v>
      </c>
    </row>
    <row r="462" spans="1:2" x14ac:dyDescent="0.2">
      <c r="A462" s="454" t="s">
        <v>684</v>
      </c>
      <c r="B462" s="455" t="s">
        <v>2305</v>
      </c>
    </row>
    <row r="463" spans="1:2" x14ac:dyDescent="0.2">
      <c r="A463" s="454" t="s">
        <v>685</v>
      </c>
      <c r="B463" s="455" t="s">
        <v>2306</v>
      </c>
    </row>
    <row r="464" spans="1:2" x14ac:dyDescent="0.2">
      <c r="A464" s="454" t="s">
        <v>686</v>
      </c>
      <c r="B464" s="455" t="s">
        <v>2307</v>
      </c>
    </row>
    <row r="465" spans="1:2" x14ac:dyDescent="0.2">
      <c r="A465" s="454" t="s">
        <v>687</v>
      </c>
      <c r="B465" s="455" t="s">
        <v>2308</v>
      </c>
    </row>
    <row r="466" spans="1:2" x14ac:dyDescent="0.2">
      <c r="A466" s="454" t="s">
        <v>688</v>
      </c>
      <c r="B466" s="455" t="s">
        <v>2309</v>
      </c>
    </row>
    <row r="467" spans="1:2" x14ac:dyDescent="0.2">
      <c r="A467" s="454" t="s">
        <v>689</v>
      </c>
      <c r="B467" s="455" t="s">
        <v>690</v>
      </c>
    </row>
    <row r="468" spans="1:2" x14ac:dyDescent="0.2">
      <c r="A468" s="454" t="s">
        <v>691</v>
      </c>
      <c r="B468" s="455" t="s">
        <v>2310</v>
      </c>
    </row>
    <row r="469" spans="1:2" x14ac:dyDescent="0.2">
      <c r="A469" s="454" t="s">
        <v>692</v>
      </c>
      <c r="B469" s="455" t="s">
        <v>2311</v>
      </c>
    </row>
    <row r="470" spans="1:2" x14ac:dyDescent="0.2">
      <c r="A470" s="454" t="s">
        <v>693</v>
      </c>
      <c r="B470" s="455" t="s">
        <v>2312</v>
      </c>
    </row>
    <row r="471" spans="1:2" x14ac:dyDescent="0.2">
      <c r="A471" s="454" t="s">
        <v>694</v>
      </c>
      <c r="B471" s="455" t="s">
        <v>2313</v>
      </c>
    </row>
    <row r="472" spans="1:2" x14ac:dyDescent="0.2">
      <c r="A472" s="454" t="s">
        <v>695</v>
      </c>
      <c r="B472" s="455" t="s">
        <v>2314</v>
      </c>
    </row>
    <row r="473" spans="1:2" x14ac:dyDescent="0.2">
      <c r="A473" s="454" t="s">
        <v>696</v>
      </c>
      <c r="B473" s="455" t="s">
        <v>697</v>
      </c>
    </row>
    <row r="474" spans="1:2" x14ac:dyDescent="0.2">
      <c r="A474" s="454" t="s">
        <v>698</v>
      </c>
      <c r="B474" s="455" t="s">
        <v>2315</v>
      </c>
    </row>
    <row r="475" spans="1:2" x14ac:dyDescent="0.2">
      <c r="A475" s="454" t="s">
        <v>699</v>
      </c>
      <c r="B475" s="455" t="s">
        <v>2316</v>
      </c>
    </row>
    <row r="476" spans="1:2" x14ac:dyDescent="0.2">
      <c r="A476" s="454" t="s">
        <v>700</v>
      </c>
      <c r="B476" s="455" t="s">
        <v>2317</v>
      </c>
    </row>
    <row r="477" spans="1:2" x14ac:dyDescent="0.2">
      <c r="A477" s="454" t="s">
        <v>701</v>
      </c>
      <c r="B477" s="455" t="s">
        <v>702</v>
      </c>
    </row>
    <row r="478" spans="1:2" x14ac:dyDescent="0.2">
      <c r="A478" s="454" t="s">
        <v>703</v>
      </c>
      <c r="B478" s="455" t="s">
        <v>2318</v>
      </c>
    </row>
    <row r="479" spans="1:2" x14ac:dyDescent="0.2">
      <c r="A479" s="454" t="s">
        <v>704</v>
      </c>
      <c r="B479" s="455" t="s">
        <v>2319</v>
      </c>
    </row>
    <row r="480" spans="1:2" x14ac:dyDescent="0.2">
      <c r="A480" s="454" t="s">
        <v>705</v>
      </c>
      <c r="B480" s="455" t="s">
        <v>2320</v>
      </c>
    </row>
    <row r="481" spans="1:2" x14ac:dyDescent="0.2">
      <c r="A481" s="454" t="s">
        <v>706</v>
      </c>
      <c r="B481" s="455" t="s">
        <v>2321</v>
      </c>
    </row>
    <row r="482" spans="1:2" x14ac:dyDescent="0.2">
      <c r="A482" s="454" t="s">
        <v>707</v>
      </c>
      <c r="B482" s="455" t="s">
        <v>2322</v>
      </c>
    </row>
    <row r="483" spans="1:2" x14ac:dyDescent="0.2">
      <c r="A483" s="454" t="s">
        <v>708</v>
      </c>
      <c r="B483" s="455" t="s">
        <v>2323</v>
      </c>
    </row>
    <row r="484" spans="1:2" x14ac:dyDescent="0.2">
      <c r="A484" s="454" t="s">
        <v>709</v>
      </c>
      <c r="B484" s="455" t="s">
        <v>2324</v>
      </c>
    </row>
    <row r="485" spans="1:2" x14ac:dyDescent="0.2">
      <c r="A485" s="454" t="s">
        <v>710</v>
      </c>
      <c r="B485" s="455" t="s">
        <v>2325</v>
      </c>
    </row>
    <row r="486" spans="1:2" x14ac:dyDescent="0.2">
      <c r="A486" s="454" t="s">
        <v>711</v>
      </c>
      <c r="B486" s="455" t="s">
        <v>2326</v>
      </c>
    </row>
    <row r="487" spans="1:2" x14ac:dyDescent="0.2">
      <c r="A487" s="454" t="s">
        <v>712</v>
      </c>
      <c r="B487" s="455" t="s">
        <v>2327</v>
      </c>
    </row>
    <row r="488" spans="1:2" x14ac:dyDescent="0.2">
      <c r="A488" s="454" t="s">
        <v>713</v>
      </c>
      <c r="B488" s="455" t="s">
        <v>2328</v>
      </c>
    </row>
    <row r="489" spans="1:2" x14ac:dyDescent="0.2">
      <c r="A489" s="454" t="s">
        <v>714</v>
      </c>
      <c r="B489" s="455" t="s">
        <v>2329</v>
      </c>
    </row>
    <row r="490" spans="1:2" x14ac:dyDescent="0.2">
      <c r="A490" s="454" t="s">
        <v>715</v>
      </c>
      <c r="B490" s="455" t="s">
        <v>2330</v>
      </c>
    </row>
    <row r="491" spans="1:2" x14ac:dyDescent="0.2">
      <c r="A491" s="454" t="s">
        <v>716</v>
      </c>
      <c r="B491" s="455" t="s">
        <v>2331</v>
      </c>
    </row>
    <row r="492" spans="1:2" x14ac:dyDescent="0.2">
      <c r="A492" s="454" t="s">
        <v>717</v>
      </c>
      <c r="B492" s="455" t="s">
        <v>2332</v>
      </c>
    </row>
    <row r="493" spans="1:2" x14ac:dyDescent="0.2">
      <c r="A493" s="454" t="s">
        <v>718</v>
      </c>
      <c r="B493" s="455" t="s">
        <v>2333</v>
      </c>
    </row>
    <row r="494" spans="1:2" x14ac:dyDescent="0.2">
      <c r="A494" s="454" t="s">
        <v>719</v>
      </c>
      <c r="B494" s="455" t="s">
        <v>2334</v>
      </c>
    </row>
    <row r="495" spans="1:2" x14ac:dyDescent="0.2">
      <c r="A495" s="454" t="s">
        <v>720</v>
      </c>
      <c r="B495" s="455" t="s">
        <v>2335</v>
      </c>
    </row>
    <row r="496" spans="1:2" x14ac:dyDescent="0.2">
      <c r="A496" s="454" t="s">
        <v>721</v>
      </c>
      <c r="B496" s="455" t="s">
        <v>2336</v>
      </c>
    </row>
    <row r="497" spans="1:2" x14ac:dyDescent="0.2">
      <c r="A497" s="454" t="s">
        <v>722</v>
      </c>
      <c r="B497" s="455" t="s">
        <v>2337</v>
      </c>
    </row>
    <row r="498" spans="1:2" x14ac:dyDescent="0.2">
      <c r="A498" s="454" t="s">
        <v>723</v>
      </c>
      <c r="B498" s="455" t="s">
        <v>2338</v>
      </c>
    </row>
    <row r="499" spans="1:2" x14ac:dyDescent="0.2">
      <c r="A499" s="454" t="s">
        <v>724</v>
      </c>
      <c r="B499" s="455" t="s">
        <v>2339</v>
      </c>
    </row>
    <row r="500" spans="1:2" x14ac:dyDescent="0.2">
      <c r="A500" s="454" t="s">
        <v>725</v>
      </c>
      <c r="B500" s="455" t="s">
        <v>2340</v>
      </c>
    </row>
    <row r="501" spans="1:2" x14ac:dyDescent="0.2">
      <c r="A501" s="454" t="s">
        <v>726</v>
      </c>
      <c r="B501" s="455" t="s">
        <v>2341</v>
      </c>
    </row>
    <row r="502" spans="1:2" x14ac:dyDescent="0.2">
      <c r="A502" s="454" t="s">
        <v>727</v>
      </c>
      <c r="B502" s="455" t="s">
        <v>2342</v>
      </c>
    </row>
    <row r="503" spans="1:2" x14ac:dyDescent="0.2">
      <c r="A503" s="454" t="s">
        <v>728</v>
      </c>
      <c r="B503" s="455" t="s">
        <v>2343</v>
      </c>
    </row>
    <row r="504" spans="1:2" x14ac:dyDescent="0.2">
      <c r="A504" s="454" t="s">
        <v>729</v>
      </c>
      <c r="B504" s="455" t="s">
        <v>2344</v>
      </c>
    </row>
    <row r="505" spans="1:2" x14ac:dyDescent="0.2">
      <c r="A505" s="454" t="s">
        <v>730</v>
      </c>
      <c r="B505" s="455" t="s">
        <v>2345</v>
      </c>
    </row>
    <row r="506" spans="1:2" x14ac:dyDescent="0.2">
      <c r="A506" s="454" t="s">
        <v>731</v>
      </c>
      <c r="B506" s="455" t="s">
        <v>2346</v>
      </c>
    </row>
    <row r="507" spans="1:2" x14ac:dyDescent="0.2">
      <c r="A507" s="454" t="s">
        <v>732</v>
      </c>
      <c r="B507" s="455" t="s">
        <v>2347</v>
      </c>
    </row>
    <row r="508" spans="1:2" x14ac:dyDescent="0.2">
      <c r="A508" s="454" t="s">
        <v>733</v>
      </c>
      <c r="B508" s="455" t="s">
        <v>2348</v>
      </c>
    </row>
    <row r="509" spans="1:2" x14ac:dyDescent="0.2">
      <c r="A509" s="454" t="s">
        <v>734</v>
      </c>
      <c r="B509" s="455" t="s">
        <v>2349</v>
      </c>
    </row>
    <row r="510" spans="1:2" x14ac:dyDescent="0.2">
      <c r="A510" s="454" t="s">
        <v>735</v>
      </c>
      <c r="B510" s="455" t="s">
        <v>2350</v>
      </c>
    </row>
    <row r="511" spans="1:2" x14ac:dyDescent="0.2">
      <c r="A511" s="454" t="s">
        <v>736</v>
      </c>
      <c r="B511" s="455" t="s">
        <v>2351</v>
      </c>
    </row>
    <row r="512" spans="1:2" x14ac:dyDescent="0.2">
      <c r="A512" s="454" t="s">
        <v>737</v>
      </c>
      <c r="B512" s="455" t="s">
        <v>2352</v>
      </c>
    </row>
    <row r="513" spans="1:2" x14ac:dyDescent="0.2">
      <c r="A513" s="454" t="s">
        <v>738</v>
      </c>
      <c r="B513" s="455" t="s">
        <v>2353</v>
      </c>
    </row>
    <row r="514" spans="1:2" x14ac:dyDescent="0.2">
      <c r="A514" s="454" t="s">
        <v>739</v>
      </c>
      <c r="B514" s="455" t="s">
        <v>2354</v>
      </c>
    </row>
    <row r="515" spans="1:2" x14ac:dyDescent="0.2">
      <c r="A515" s="454" t="s">
        <v>740</v>
      </c>
      <c r="B515" s="455" t="s">
        <v>2355</v>
      </c>
    </row>
    <row r="516" spans="1:2" x14ac:dyDescent="0.2">
      <c r="A516" s="454" t="s">
        <v>741</v>
      </c>
      <c r="B516" s="455" t="s">
        <v>2356</v>
      </c>
    </row>
    <row r="517" spans="1:2" x14ac:dyDescent="0.2">
      <c r="A517" s="454" t="s">
        <v>742</v>
      </c>
      <c r="B517" s="455" t="s">
        <v>2357</v>
      </c>
    </row>
    <row r="518" spans="1:2" x14ac:dyDescent="0.2">
      <c r="A518" s="454" t="s">
        <v>743</v>
      </c>
      <c r="B518" s="455" t="s">
        <v>2358</v>
      </c>
    </row>
    <row r="519" spans="1:2" x14ac:dyDescent="0.2">
      <c r="A519" s="454" t="s">
        <v>744</v>
      </c>
      <c r="B519" s="455" t="s">
        <v>2359</v>
      </c>
    </row>
    <row r="520" spans="1:2" x14ac:dyDescent="0.2">
      <c r="A520" s="454" t="s">
        <v>745</v>
      </c>
      <c r="B520" s="455" t="s">
        <v>2360</v>
      </c>
    </row>
    <row r="521" spans="1:2" x14ac:dyDescent="0.2">
      <c r="A521" s="454" t="s">
        <v>746</v>
      </c>
      <c r="B521" s="455" t="s">
        <v>2361</v>
      </c>
    </row>
    <row r="522" spans="1:2" x14ac:dyDescent="0.2">
      <c r="A522" s="454" t="s">
        <v>747</v>
      </c>
      <c r="B522" s="455" t="s">
        <v>2362</v>
      </c>
    </row>
    <row r="523" spans="1:2" x14ac:dyDescent="0.2">
      <c r="A523" s="454" t="s">
        <v>748</v>
      </c>
      <c r="B523" s="455" t="s">
        <v>2363</v>
      </c>
    </row>
    <row r="524" spans="1:2" x14ac:dyDescent="0.2">
      <c r="A524" s="454" t="s">
        <v>749</v>
      </c>
      <c r="B524" s="455" t="s">
        <v>2364</v>
      </c>
    </row>
    <row r="525" spans="1:2" x14ac:dyDescent="0.2">
      <c r="A525" s="454" t="s">
        <v>750</v>
      </c>
      <c r="B525" s="455" t="s">
        <v>2365</v>
      </c>
    </row>
    <row r="526" spans="1:2" x14ac:dyDescent="0.2">
      <c r="A526" s="454" t="s">
        <v>751</v>
      </c>
      <c r="B526" s="455" t="s">
        <v>2366</v>
      </c>
    </row>
    <row r="527" spans="1:2" x14ac:dyDescent="0.2">
      <c r="A527" s="454" t="s">
        <v>752</v>
      </c>
      <c r="B527" s="455" t="s">
        <v>2367</v>
      </c>
    </row>
    <row r="528" spans="1:2" x14ac:dyDescent="0.2">
      <c r="A528" s="454" t="s">
        <v>753</v>
      </c>
      <c r="B528" s="455" t="s">
        <v>2368</v>
      </c>
    </row>
    <row r="529" spans="1:2" x14ac:dyDescent="0.2">
      <c r="A529" s="454" t="s">
        <v>754</v>
      </c>
      <c r="B529" s="455" t="s">
        <v>2369</v>
      </c>
    </row>
    <row r="530" spans="1:2" x14ac:dyDescent="0.2">
      <c r="A530" s="454" t="s">
        <v>755</v>
      </c>
      <c r="B530" s="455" t="s">
        <v>2369</v>
      </c>
    </row>
    <row r="531" spans="1:2" x14ac:dyDescent="0.2">
      <c r="A531" s="454" t="s">
        <v>756</v>
      </c>
      <c r="B531" s="455" t="s">
        <v>2370</v>
      </c>
    </row>
    <row r="532" spans="1:2" x14ac:dyDescent="0.2">
      <c r="A532" s="454" t="s">
        <v>757</v>
      </c>
      <c r="B532" s="455" t="s">
        <v>2371</v>
      </c>
    </row>
    <row r="533" spans="1:2" x14ac:dyDescent="0.2">
      <c r="A533" s="454" t="s">
        <v>758</v>
      </c>
      <c r="B533" s="455" t="s">
        <v>2372</v>
      </c>
    </row>
    <row r="534" spans="1:2" x14ac:dyDescent="0.2">
      <c r="A534" s="454" t="s">
        <v>759</v>
      </c>
      <c r="B534" s="455" t="s">
        <v>2373</v>
      </c>
    </row>
    <row r="535" spans="1:2" x14ac:dyDescent="0.2">
      <c r="A535" s="454" t="s">
        <v>760</v>
      </c>
      <c r="B535" s="455" t="s">
        <v>2374</v>
      </c>
    </row>
    <row r="536" spans="1:2" x14ac:dyDescent="0.2">
      <c r="A536" s="454" t="s">
        <v>761</v>
      </c>
      <c r="B536" s="455" t="s">
        <v>2375</v>
      </c>
    </row>
    <row r="537" spans="1:2" x14ac:dyDescent="0.2">
      <c r="A537" s="454" t="s">
        <v>762</v>
      </c>
      <c r="B537" s="455" t="s">
        <v>2376</v>
      </c>
    </row>
    <row r="538" spans="1:2" x14ac:dyDescent="0.2">
      <c r="A538" s="454" t="s">
        <v>763</v>
      </c>
      <c r="B538" s="455" t="s">
        <v>2377</v>
      </c>
    </row>
    <row r="539" spans="1:2" x14ac:dyDescent="0.2">
      <c r="A539" s="454" t="s">
        <v>764</v>
      </c>
      <c r="B539" s="455" t="s">
        <v>2378</v>
      </c>
    </row>
    <row r="540" spans="1:2" x14ac:dyDescent="0.2">
      <c r="A540" s="454" t="s">
        <v>765</v>
      </c>
      <c r="B540" s="455" t="s">
        <v>2379</v>
      </c>
    </row>
    <row r="541" spans="1:2" x14ac:dyDescent="0.2">
      <c r="A541" s="454" t="s">
        <v>766</v>
      </c>
      <c r="B541" s="455" t="s">
        <v>2380</v>
      </c>
    </row>
    <row r="542" spans="1:2" x14ac:dyDescent="0.2">
      <c r="A542" s="454" t="s">
        <v>767</v>
      </c>
      <c r="B542" s="455" t="s">
        <v>2381</v>
      </c>
    </row>
    <row r="543" spans="1:2" x14ac:dyDescent="0.2">
      <c r="A543" s="454" t="s">
        <v>768</v>
      </c>
      <c r="B543" s="455" t="s">
        <v>2382</v>
      </c>
    </row>
    <row r="544" spans="1:2" x14ac:dyDescent="0.2">
      <c r="A544" s="454" t="s">
        <v>769</v>
      </c>
      <c r="B544" s="455" t="s">
        <v>2383</v>
      </c>
    </row>
    <row r="545" spans="1:2" x14ac:dyDescent="0.2">
      <c r="A545" s="454" t="s">
        <v>770</v>
      </c>
      <c r="B545" s="455" t="s">
        <v>2384</v>
      </c>
    </row>
    <row r="546" spans="1:2" x14ac:dyDescent="0.2">
      <c r="A546" s="454" t="s">
        <v>771</v>
      </c>
      <c r="B546" s="455" t="s">
        <v>2385</v>
      </c>
    </row>
    <row r="547" spans="1:2" x14ac:dyDescent="0.2">
      <c r="A547" s="454" t="s">
        <v>772</v>
      </c>
      <c r="B547" s="455" t="s">
        <v>773</v>
      </c>
    </row>
    <row r="548" spans="1:2" x14ac:dyDescent="0.2">
      <c r="A548" s="454" t="s">
        <v>774</v>
      </c>
      <c r="B548" s="455" t="s">
        <v>2386</v>
      </c>
    </row>
    <row r="549" spans="1:2" x14ac:dyDescent="0.2">
      <c r="A549" s="454" t="s">
        <v>775</v>
      </c>
      <c r="B549" s="455" t="s">
        <v>2387</v>
      </c>
    </row>
    <row r="550" spans="1:2" x14ac:dyDescent="0.2">
      <c r="A550" s="454" t="s">
        <v>776</v>
      </c>
      <c r="B550" s="455" t="s">
        <v>2388</v>
      </c>
    </row>
    <row r="551" spans="1:2" x14ac:dyDescent="0.2">
      <c r="A551" s="454" t="s">
        <v>777</v>
      </c>
      <c r="B551" s="455" t="s">
        <v>778</v>
      </c>
    </row>
    <row r="552" spans="1:2" x14ac:dyDescent="0.2">
      <c r="A552" s="454" t="s">
        <v>779</v>
      </c>
      <c r="B552" s="455" t="s">
        <v>2389</v>
      </c>
    </row>
    <row r="553" spans="1:2" x14ac:dyDescent="0.2">
      <c r="A553" s="454" t="s">
        <v>780</v>
      </c>
      <c r="B553" s="455" t="s">
        <v>2390</v>
      </c>
    </row>
    <row r="554" spans="1:2" x14ac:dyDescent="0.2">
      <c r="A554" s="454" t="s">
        <v>781</v>
      </c>
      <c r="B554" s="455" t="s">
        <v>2391</v>
      </c>
    </row>
    <row r="555" spans="1:2" x14ac:dyDescent="0.2">
      <c r="A555" s="454" t="s">
        <v>782</v>
      </c>
      <c r="B555" s="455" t="s">
        <v>2392</v>
      </c>
    </row>
    <row r="556" spans="1:2" x14ac:dyDescent="0.2">
      <c r="A556" s="454" t="s">
        <v>783</v>
      </c>
      <c r="B556" s="455" t="s">
        <v>2393</v>
      </c>
    </row>
    <row r="557" spans="1:2" x14ac:dyDescent="0.2">
      <c r="A557" s="454" t="s">
        <v>784</v>
      </c>
      <c r="B557" s="455" t="s">
        <v>2394</v>
      </c>
    </row>
    <row r="558" spans="1:2" x14ac:dyDescent="0.2">
      <c r="A558" s="454" t="s">
        <v>785</v>
      </c>
      <c r="B558" s="455" t="s">
        <v>2395</v>
      </c>
    </row>
    <row r="559" spans="1:2" x14ac:dyDescent="0.2">
      <c r="A559" s="454" t="s">
        <v>786</v>
      </c>
      <c r="B559" s="455" t="s">
        <v>2396</v>
      </c>
    </row>
    <row r="560" spans="1:2" x14ac:dyDescent="0.2">
      <c r="A560" s="454" t="s">
        <v>787</v>
      </c>
      <c r="B560" s="455" t="s">
        <v>2397</v>
      </c>
    </row>
    <row r="561" spans="1:2" x14ac:dyDescent="0.2">
      <c r="A561" s="454" t="s">
        <v>788</v>
      </c>
      <c r="B561" s="455" t="s">
        <v>2398</v>
      </c>
    </row>
    <row r="562" spans="1:2" x14ac:dyDescent="0.2">
      <c r="A562" s="454" t="s">
        <v>789</v>
      </c>
      <c r="B562" s="455" t="s">
        <v>2399</v>
      </c>
    </row>
    <row r="563" spans="1:2" x14ac:dyDescent="0.2">
      <c r="A563" s="454" t="s">
        <v>790</v>
      </c>
      <c r="B563" s="455" t="s">
        <v>2400</v>
      </c>
    </row>
    <row r="564" spans="1:2" x14ac:dyDescent="0.2">
      <c r="A564" s="454" t="s">
        <v>791</v>
      </c>
      <c r="B564" s="455" t="s">
        <v>2401</v>
      </c>
    </row>
    <row r="565" spans="1:2" x14ac:dyDescent="0.2">
      <c r="A565" s="454" t="s">
        <v>792</v>
      </c>
      <c r="B565" s="455" t="s">
        <v>2402</v>
      </c>
    </row>
    <row r="566" spans="1:2" x14ac:dyDescent="0.2">
      <c r="A566" s="454" t="s">
        <v>793</v>
      </c>
      <c r="B566" s="455" t="s">
        <v>2403</v>
      </c>
    </row>
    <row r="567" spans="1:2" x14ac:dyDescent="0.2">
      <c r="A567" s="454" t="s">
        <v>794</v>
      </c>
      <c r="B567" s="455" t="s">
        <v>2404</v>
      </c>
    </row>
    <row r="568" spans="1:2" x14ac:dyDescent="0.2">
      <c r="A568" s="454" t="s">
        <v>795</v>
      </c>
      <c r="B568" s="455" t="s">
        <v>2405</v>
      </c>
    </row>
    <row r="569" spans="1:2" x14ac:dyDescent="0.2">
      <c r="A569" s="454" t="s">
        <v>796</v>
      </c>
      <c r="B569" s="455" t="s">
        <v>2406</v>
      </c>
    </row>
    <row r="570" spans="1:2" x14ac:dyDescent="0.2">
      <c r="A570" s="454" t="s">
        <v>797</v>
      </c>
      <c r="B570" s="455" t="s">
        <v>2407</v>
      </c>
    </row>
    <row r="571" spans="1:2" x14ac:dyDescent="0.2">
      <c r="A571" s="454" t="s">
        <v>798</v>
      </c>
      <c r="B571" s="455" t="s">
        <v>799</v>
      </c>
    </row>
    <row r="572" spans="1:2" x14ac:dyDescent="0.2">
      <c r="A572" s="454" t="s">
        <v>800</v>
      </c>
      <c r="B572" s="455" t="s">
        <v>2408</v>
      </c>
    </row>
    <row r="573" spans="1:2" x14ac:dyDescent="0.2">
      <c r="A573" s="454" t="s">
        <v>801</v>
      </c>
      <c r="B573" s="455" t="s">
        <v>2409</v>
      </c>
    </row>
    <row r="574" spans="1:2" x14ac:dyDescent="0.2">
      <c r="A574" s="454" t="s">
        <v>802</v>
      </c>
      <c r="B574" s="455" t="s">
        <v>2410</v>
      </c>
    </row>
    <row r="575" spans="1:2" x14ac:dyDescent="0.2">
      <c r="A575" s="454" t="s">
        <v>803</v>
      </c>
      <c r="B575" s="455" t="s">
        <v>2411</v>
      </c>
    </row>
    <row r="576" spans="1:2" x14ac:dyDescent="0.2">
      <c r="A576" s="454" t="s">
        <v>804</v>
      </c>
      <c r="B576" s="455" t="s">
        <v>2412</v>
      </c>
    </row>
    <row r="577" spans="1:2" x14ac:dyDescent="0.2">
      <c r="A577" s="454" t="s">
        <v>805</v>
      </c>
      <c r="B577" s="455" t="s">
        <v>2413</v>
      </c>
    </row>
    <row r="578" spans="1:2" x14ac:dyDescent="0.2">
      <c r="A578" s="454" t="s">
        <v>806</v>
      </c>
      <c r="B578" s="455" t="s">
        <v>2414</v>
      </c>
    </row>
    <row r="579" spans="1:2" x14ac:dyDescent="0.2">
      <c r="A579" s="454" t="s">
        <v>807</v>
      </c>
      <c r="B579" s="455" t="s">
        <v>2415</v>
      </c>
    </row>
    <row r="580" spans="1:2" x14ac:dyDescent="0.2">
      <c r="A580" s="454" t="s">
        <v>808</v>
      </c>
      <c r="B580" s="455" t="s">
        <v>2416</v>
      </c>
    </row>
    <row r="581" spans="1:2" x14ac:dyDescent="0.2">
      <c r="A581" s="454" t="s">
        <v>809</v>
      </c>
      <c r="B581" s="455" t="s">
        <v>2417</v>
      </c>
    </row>
    <row r="582" spans="1:2" x14ac:dyDescent="0.2">
      <c r="A582" s="454" t="s">
        <v>810</v>
      </c>
      <c r="B582" s="455" t="s">
        <v>2418</v>
      </c>
    </row>
    <row r="583" spans="1:2" x14ac:dyDescent="0.2">
      <c r="A583" s="454" t="s">
        <v>811</v>
      </c>
      <c r="B583" s="455" t="s">
        <v>2419</v>
      </c>
    </row>
    <row r="584" spans="1:2" x14ac:dyDescent="0.2">
      <c r="A584" s="454" t="s">
        <v>812</v>
      </c>
      <c r="B584" s="455" t="s">
        <v>2420</v>
      </c>
    </row>
    <row r="585" spans="1:2" x14ac:dyDescent="0.2">
      <c r="A585" s="454" t="s">
        <v>813</v>
      </c>
      <c r="B585" s="455" t="s">
        <v>2421</v>
      </c>
    </row>
    <row r="586" spans="1:2" x14ac:dyDescent="0.2">
      <c r="A586" s="454" t="s">
        <v>814</v>
      </c>
      <c r="B586" s="455" t="s">
        <v>2422</v>
      </c>
    </row>
    <row r="587" spans="1:2" x14ac:dyDescent="0.2">
      <c r="A587" s="454" t="s">
        <v>815</v>
      </c>
      <c r="B587" s="455" t="s">
        <v>2423</v>
      </c>
    </row>
    <row r="588" spans="1:2" x14ac:dyDescent="0.2">
      <c r="A588" s="454" t="s">
        <v>816</v>
      </c>
      <c r="B588" s="455" t="s">
        <v>2424</v>
      </c>
    </row>
    <row r="589" spans="1:2" x14ac:dyDescent="0.2">
      <c r="A589" s="454" t="s">
        <v>817</v>
      </c>
      <c r="B589" s="455" t="s">
        <v>2425</v>
      </c>
    </row>
    <row r="590" spans="1:2" x14ac:dyDescent="0.2">
      <c r="A590" s="454" t="s">
        <v>818</v>
      </c>
      <c r="B590" s="455" t="s">
        <v>2426</v>
      </c>
    </row>
    <row r="591" spans="1:2" x14ac:dyDescent="0.2">
      <c r="A591" s="454" t="s">
        <v>819</v>
      </c>
      <c r="B591" s="455" t="s">
        <v>2427</v>
      </c>
    </row>
    <row r="592" spans="1:2" x14ac:dyDescent="0.2">
      <c r="A592" s="454" t="s">
        <v>820</v>
      </c>
      <c r="B592" s="455" t="s">
        <v>2428</v>
      </c>
    </row>
    <row r="593" spans="1:2" x14ac:dyDescent="0.2">
      <c r="A593" s="454" t="s">
        <v>821</v>
      </c>
      <c r="B593" s="455" t="s">
        <v>2429</v>
      </c>
    </row>
    <row r="594" spans="1:2" x14ac:dyDescent="0.2">
      <c r="A594" s="454" t="s">
        <v>822</v>
      </c>
      <c r="B594" s="455" t="s">
        <v>2430</v>
      </c>
    </row>
    <row r="595" spans="1:2" x14ac:dyDescent="0.2">
      <c r="A595" s="454" t="s">
        <v>823</v>
      </c>
      <c r="B595" s="455" t="s">
        <v>2431</v>
      </c>
    </row>
    <row r="596" spans="1:2" x14ac:dyDescent="0.2">
      <c r="A596" s="454" t="s">
        <v>824</v>
      </c>
      <c r="B596" s="455" t="s">
        <v>2432</v>
      </c>
    </row>
    <row r="597" spans="1:2" x14ac:dyDescent="0.2">
      <c r="A597" s="454" t="s">
        <v>825</v>
      </c>
      <c r="B597" s="455" t="s">
        <v>2433</v>
      </c>
    </row>
    <row r="598" spans="1:2" x14ac:dyDescent="0.2">
      <c r="A598" s="454" t="s">
        <v>826</v>
      </c>
      <c r="B598" s="455" t="s">
        <v>2434</v>
      </c>
    </row>
    <row r="599" spans="1:2" x14ac:dyDescent="0.2">
      <c r="A599" s="454" t="s">
        <v>827</v>
      </c>
      <c r="B599" s="455" t="s">
        <v>2435</v>
      </c>
    </row>
    <row r="600" spans="1:2" x14ac:dyDescent="0.2">
      <c r="A600" s="454" t="s">
        <v>828</v>
      </c>
      <c r="B600" s="455" t="s">
        <v>2436</v>
      </c>
    </row>
    <row r="601" spans="1:2" x14ac:dyDescent="0.2">
      <c r="A601" s="454" t="s">
        <v>829</v>
      </c>
      <c r="B601" s="455" t="s">
        <v>2437</v>
      </c>
    </row>
    <row r="602" spans="1:2" x14ac:dyDescent="0.2">
      <c r="A602" s="454" t="s">
        <v>830</v>
      </c>
      <c r="B602" s="455" t="s">
        <v>2438</v>
      </c>
    </row>
    <row r="603" spans="1:2" x14ac:dyDescent="0.2">
      <c r="A603" s="454" t="s">
        <v>831</v>
      </c>
      <c r="B603" s="455" t="s">
        <v>2439</v>
      </c>
    </row>
    <row r="604" spans="1:2" x14ac:dyDescent="0.2">
      <c r="A604" s="454" t="s">
        <v>832</v>
      </c>
      <c r="B604" s="455" t="s">
        <v>2440</v>
      </c>
    </row>
    <row r="605" spans="1:2" x14ac:dyDescent="0.2">
      <c r="A605" s="454" t="s">
        <v>833</v>
      </c>
      <c r="B605" s="455" t="s">
        <v>2441</v>
      </c>
    </row>
    <row r="606" spans="1:2" x14ac:dyDescent="0.2">
      <c r="A606" s="454" t="s">
        <v>834</v>
      </c>
      <c r="B606" s="455" t="s">
        <v>2442</v>
      </c>
    </row>
    <row r="607" spans="1:2" x14ac:dyDescent="0.2">
      <c r="A607" s="454" t="s">
        <v>835</v>
      </c>
      <c r="B607" s="455" t="s">
        <v>2443</v>
      </c>
    </row>
    <row r="608" spans="1:2" x14ac:dyDescent="0.2">
      <c r="A608" s="454" t="s">
        <v>836</v>
      </c>
      <c r="B608" s="455" t="s">
        <v>2444</v>
      </c>
    </row>
    <row r="609" spans="1:2" x14ac:dyDescent="0.2">
      <c r="A609" s="454" t="s">
        <v>837</v>
      </c>
      <c r="B609" s="455" t="s">
        <v>2445</v>
      </c>
    </row>
    <row r="610" spans="1:2" x14ac:dyDescent="0.2">
      <c r="A610" s="454" t="s">
        <v>838</v>
      </c>
      <c r="B610" s="455" t="s">
        <v>2446</v>
      </c>
    </row>
    <row r="611" spans="1:2" x14ac:dyDescent="0.2">
      <c r="A611" s="454" t="s">
        <v>839</v>
      </c>
      <c r="B611" s="455" t="s">
        <v>2447</v>
      </c>
    </row>
    <row r="612" spans="1:2" x14ac:dyDescent="0.2">
      <c r="A612" s="454" t="s">
        <v>840</v>
      </c>
      <c r="B612" s="455" t="s">
        <v>2448</v>
      </c>
    </row>
    <row r="613" spans="1:2" x14ac:dyDescent="0.2">
      <c r="A613" s="454" t="s">
        <v>841</v>
      </c>
      <c r="B613" s="455" t="s">
        <v>2449</v>
      </c>
    </row>
    <row r="614" spans="1:2" x14ac:dyDescent="0.2">
      <c r="A614" s="454" t="s">
        <v>842</v>
      </c>
      <c r="B614" s="455" t="s">
        <v>2450</v>
      </c>
    </row>
    <row r="615" spans="1:2" x14ac:dyDescent="0.2">
      <c r="A615" s="454" t="s">
        <v>843</v>
      </c>
      <c r="B615" s="455" t="s">
        <v>2451</v>
      </c>
    </row>
    <row r="616" spans="1:2" x14ac:dyDescent="0.2">
      <c r="A616" s="454" t="s">
        <v>844</v>
      </c>
      <c r="B616" s="455" t="s">
        <v>2452</v>
      </c>
    </row>
    <row r="617" spans="1:2" x14ac:dyDescent="0.2">
      <c r="A617" s="454" t="s">
        <v>845</v>
      </c>
      <c r="B617" s="455" t="s">
        <v>2453</v>
      </c>
    </row>
    <row r="618" spans="1:2" x14ac:dyDescent="0.2">
      <c r="A618" s="454" t="s">
        <v>846</v>
      </c>
      <c r="B618" s="455" t="s">
        <v>2454</v>
      </c>
    </row>
    <row r="619" spans="1:2" x14ac:dyDescent="0.2">
      <c r="A619" s="454" t="s">
        <v>847</v>
      </c>
      <c r="B619" s="455" t="s">
        <v>2455</v>
      </c>
    </row>
    <row r="620" spans="1:2" x14ac:dyDescent="0.2">
      <c r="A620" s="454" t="s">
        <v>848</v>
      </c>
      <c r="B620" s="455" t="s">
        <v>2456</v>
      </c>
    </row>
    <row r="621" spans="1:2" x14ac:dyDescent="0.2">
      <c r="A621" s="454" t="s">
        <v>849</v>
      </c>
      <c r="B621" s="455" t="s">
        <v>2457</v>
      </c>
    </row>
    <row r="622" spans="1:2" x14ac:dyDescent="0.2">
      <c r="A622" s="454" t="s">
        <v>850</v>
      </c>
      <c r="B622" s="455" t="s">
        <v>2458</v>
      </c>
    </row>
    <row r="623" spans="1:2" x14ac:dyDescent="0.2">
      <c r="A623" s="454" t="s">
        <v>851</v>
      </c>
      <c r="B623" s="455" t="s">
        <v>2459</v>
      </c>
    </row>
    <row r="624" spans="1:2" x14ac:dyDescent="0.2">
      <c r="A624" s="454" t="s">
        <v>852</v>
      </c>
      <c r="B624" s="455" t="s">
        <v>2460</v>
      </c>
    </row>
    <row r="625" spans="1:2" x14ac:dyDescent="0.2">
      <c r="A625" s="454" t="s">
        <v>853</v>
      </c>
      <c r="B625" s="455" t="s">
        <v>2461</v>
      </c>
    </row>
    <row r="626" spans="1:2" x14ac:dyDescent="0.2">
      <c r="A626" s="454" t="s">
        <v>854</v>
      </c>
      <c r="B626" s="455" t="s">
        <v>2462</v>
      </c>
    </row>
    <row r="627" spans="1:2" x14ac:dyDescent="0.2">
      <c r="A627" s="454" t="s">
        <v>855</v>
      </c>
      <c r="B627" s="455" t="s">
        <v>2463</v>
      </c>
    </row>
    <row r="628" spans="1:2" x14ac:dyDescent="0.2">
      <c r="A628" s="454" t="s">
        <v>856</v>
      </c>
      <c r="B628" s="455" t="s">
        <v>2464</v>
      </c>
    </row>
    <row r="629" spans="1:2" x14ac:dyDescent="0.2">
      <c r="A629" s="454" t="s">
        <v>857</v>
      </c>
      <c r="B629" s="455" t="s">
        <v>2465</v>
      </c>
    </row>
    <row r="630" spans="1:2" x14ac:dyDescent="0.2">
      <c r="A630" s="454" t="s">
        <v>858</v>
      </c>
      <c r="B630" s="455" t="s">
        <v>2466</v>
      </c>
    </row>
    <row r="631" spans="1:2" x14ac:dyDescent="0.2">
      <c r="A631" s="454" t="s">
        <v>859</v>
      </c>
      <c r="B631" s="455" t="s">
        <v>2467</v>
      </c>
    </row>
    <row r="632" spans="1:2" x14ac:dyDescent="0.2">
      <c r="A632" s="454" t="s">
        <v>860</v>
      </c>
      <c r="B632" s="455" t="s">
        <v>2468</v>
      </c>
    </row>
    <row r="633" spans="1:2" x14ac:dyDescent="0.2">
      <c r="A633" s="454" t="s">
        <v>861</v>
      </c>
      <c r="B633" s="455" t="s">
        <v>862</v>
      </c>
    </row>
    <row r="634" spans="1:2" x14ac:dyDescent="0.2">
      <c r="A634" s="454" t="s">
        <v>863</v>
      </c>
      <c r="B634" s="455" t="s">
        <v>2469</v>
      </c>
    </row>
    <row r="635" spans="1:2" x14ac:dyDescent="0.2">
      <c r="A635" s="454" t="s">
        <v>864</v>
      </c>
      <c r="B635" s="455" t="s">
        <v>2470</v>
      </c>
    </row>
    <row r="636" spans="1:2" x14ac:dyDescent="0.2">
      <c r="A636" s="454" t="s">
        <v>865</v>
      </c>
      <c r="B636" s="455" t="s">
        <v>2471</v>
      </c>
    </row>
    <row r="637" spans="1:2" x14ac:dyDescent="0.2">
      <c r="A637" s="454" t="s">
        <v>866</v>
      </c>
      <c r="B637" s="455" t="s">
        <v>2472</v>
      </c>
    </row>
    <row r="638" spans="1:2" x14ac:dyDescent="0.2">
      <c r="A638" s="454" t="s">
        <v>867</v>
      </c>
      <c r="B638" s="455" t="s">
        <v>2473</v>
      </c>
    </row>
    <row r="639" spans="1:2" x14ac:dyDescent="0.2">
      <c r="A639" s="454" t="s">
        <v>868</v>
      </c>
      <c r="B639" s="455" t="s">
        <v>2474</v>
      </c>
    </row>
    <row r="640" spans="1:2" x14ac:dyDescent="0.2">
      <c r="A640" s="454" t="s">
        <v>869</v>
      </c>
      <c r="B640" s="455" t="s">
        <v>2475</v>
      </c>
    </row>
    <row r="641" spans="1:2" x14ac:dyDescent="0.2">
      <c r="A641" s="454" t="s">
        <v>870</v>
      </c>
      <c r="B641" s="455" t="s">
        <v>2476</v>
      </c>
    </row>
    <row r="642" spans="1:2" x14ac:dyDescent="0.2">
      <c r="A642" s="454" t="s">
        <v>871</v>
      </c>
      <c r="B642" s="455" t="s">
        <v>2477</v>
      </c>
    </row>
    <row r="643" spans="1:2" x14ac:dyDescent="0.2">
      <c r="A643" s="454" t="s">
        <v>872</v>
      </c>
      <c r="B643" s="455" t="s">
        <v>2478</v>
      </c>
    </row>
    <row r="644" spans="1:2" x14ac:dyDescent="0.2">
      <c r="A644" s="454" t="s">
        <v>873</v>
      </c>
      <c r="B644" s="455" t="s">
        <v>2479</v>
      </c>
    </row>
    <row r="645" spans="1:2" x14ac:dyDescent="0.2">
      <c r="A645" s="454" t="s">
        <v>874</v>
      </c>
      <c r="B645" s="455" t="s">
        <v>2480</v>
      </c>
    </row>
    <row r="646" spans="1:2" x14ac:dyDescent="0.2">
      <c r="A646" s="454" t="s">
        <v>875</v>
      </c>
      <c r="B646" s="455" t="s">
        <v>2481</v>
      </c>
    </row>
    <row r="647" spans="1:2" x14ac:dyDescent="0.2">
      <c r="A647" s="454" t="s">
        <v>876</v>
      </c>
      <c r="B647" s="455" t="s">
        <v>2482</v>
      </c>
    </row>
    <row r="648" spans="1:2" x14ac:dyDescent="0.2">
      <c r="A648" s="454" t="s">
        <v>877</v>
      </c>
      <c r="B648" s="455" t="s">
        <v>2483</v>
      </c>
    </row>
    <row r="649" spans="1:2" x14ac:dyDescent="0.2">
      <c r="A649" s="454" t="s">
        <v>878</v>
      </c>
      <c r="B649" s="455" t="s">
        <v>2484</v>
      </c>
    </row>
    <row r="650" spans="1:2" x14ac:dyDescent="0.2">
      <c r="A650" s="454" t="s">
        <v>879</v>
      </c>
      <c r="B650" s="455" t="s">
        <v>2485</v>
      </c>
    </row>
    <row r="651" spans="1:2" x14ac:dyDescent="0.2">
      <c r="A651" s="454" t="s">
        <v>880</v>
      </c>
      <c r="B651" s="455" t="s">
        <v>2486</v>
      </c>
    </row>
    <row r="652" spans="1:2" x14ac:dyDescent="0.2">
      <c r="A652" s="454" t="s">
        <v>881</v>
      </c>
      <c r="B652" s="455" t="s">
        <v>2487</v>
      </c>
    </row>
    <row r="653" spans="1:2" x14ac:dyDescent="0.2">
      <c r="A653" s="454" t="s">
        <v>882</v>
      </c>
      <c r="B653" s="455" t="s">
        <v>2488</v>
      </c>
    </row>
    <row r="654" spans="1:2" x14ac:dyDescent="0.2">
      <c r="A654" s="454" t="s">
        <v>883</v>
      </c>
      <c r="B654" s="455" t="s">
        <v>2489</v>
      </c>
    </row>
    <row r="655" spans="1:2" x14ac:dyDescent="0.2">
      <c r="A655" s="454" t="s">
        <v>884</v>
      </c>
      <c r="B655" s="455" t="s">
        <v>2490</v>
      </c>
    </row>
    <row r="656" spans="1:2" x14ac:dyDescent="0.2">
      <c r="A656" s="454" t="s">
        <v>885</v>
      </c>
      <c r="B656" s="455" t="s">
        <v>2491</v>
      </c>
    </row>
    <row r="657" spans="1:2" x14ac:dyDescent="0.2">
      <c r="A657" s="454" t="s">
        <v>886</v>
      </c>
      <c r="B657" s="455" t="s">
        <v>2492</v>
      </c>
    </row>
    <row r="658" spans="1:2" x14ac:dyDescent="0.2">
      <c r="A658" s="454" t="s">
        <v>887</v>
      </c>
      <c r="B658" s="455" t="s">
        <v>2493</v>
      </c>
    </row>
    <row r="659" spans="1:2" x14ac:dyDescent="0.2">
      <c r="A659" s="454" t="s">
        <v>888</v>
      </c>
      <c r="B659" s="455" t="s">
        <v>2494</v>
      </c>
    </row>
    <row r="660" spans="1:2" x14ac:dyDescent="0.2">
      <c r="A660" s="454" t="s">
        <v>889</v>
      </c>
      <c r="B660" s="455" t="s">
        <v>2495</v>
      </c>
    </row>
    <row r="661" spans="1:2" x14ac:dyDescent="0.2">
      <c r="A661" s="454" t="s">
        <v>890</v>
      </c>
      <c r="B661" s="455" t="s">
        <v>2496</v>
      </c>
    </row>
    <row r="662" spans="1:2" x14ac:dyDescent="0.2">
      <c r="A662" s="454" t="s">
        <v>891</v>
      </c>
      <c r="B662" s="455" t="s">
        <v>2497</v>
      </c>
    </row>
    <row r="663" spans="1:2" x14ac:dyDescent="0.2">
      <c r="A663" s="454" t="s">
        <v>892</v>
      </c>
      <c r="B663" s="455" t="s">
        <v>2498</v>
      </c>
    </row>
    <row r="664" spans="1:2" x14ac:dyDescent="0.2">
      <c r="A664" s="454" t="s">
        <v>893</v>
      </c>
      <c r="B664" s="455" t="s">
        <v>2499</v>
      </c>
    </row>
    <row r="665" spans="1:2" x14ac:dyDescent="0.2">
      <c r="A665" s="454" t="s">
        <v>894</v>
      </c>
      <c r="B665" s="455" t="s">
        <v>2500</v>
      </c>
    </row>
    <row r="666" spans="1:2" x14ac:dyDescent="0.2">
      <c r="A666" s="454" t="s">
        <v>895</v>
      </c>
      <c r="B666" s="455" t="s">
        <v>2501</v>
      </c>
    </row>
    <row r="667" spans="1:2" x14ac:dyDescent="0.2">
      <c r="A667" s="454" t="s">
        <v>896</v>
      </c>
      <c r="B667" s="455" t="s">
        <v>2502</v>
      </c>
    </row>
    <row r="668" spans="1:2" x14ac:dyDescent="0.2">
      <c r="A668" s="454" t="s">
        <v>897</v>
      </c>
      <c r="B668" s="455" t="s">
        <v>2503</v>
      </c>
    </row>
    <row r="669" spans="1:2" x14ac:dyDescent="0.2">
      <c r="A669" s="454" t="s">
        <v>898</v>
      </c>
      <c r="B669" s="455" t="s">
        <v>2504</v>
      </c>
    </row>
    <row r="670" spans="1:2" x14ac:dyDescent="0.2">
      <c r="A670" s="454" t="s">
        <v>899</v>
      </c>
      <c r="B670" s="455" t="s">
        <v>2505</v>
      </c>
    </row>
    <row r="671" spans="1:2" x14ac:dyDescent="0.2">
      <c r="A671" s="454" t="s">
        <v>900</v>
      </c>
      <c r="B671" s="455" t="s">
        <v>2506</v>
      </c>
    </row>
    <row r="672" spans="1:2" x14ac:dyDescent="0.2">
      <c r="A672" s="454" t="s">
        <v>901</v>
      </c>
      <c r="B672" s="455" t="s">
        <v>2507</v>
      </c>
    </row>
    <row r="673" spans="1:2" x14ac:dyDescent="0.2">
      <c r="A673" s="454" t="s">
        <v>902</v>
      </c>
      <c r="B673" s="455" t="s">
        <v>2508</v>
      </c>
    </row>
    <row r="674" spans="1:2" x14ac:dyDescent="0.2">
      <c r="A674" s="454" t="s">
        <v>903</v>
      </c>
      <c r="B674" s="455" t="s">
        <v>2509</v>
      </c>
    </row>
    <row r="675" spans="1:2" x14ac:dyDescent="0.2">
      <c r="A675" s="454" t="s">
        <v>904</v>
      </c>
      <c r="B675" s="455" t="s">
        <v>2510</v>
      </c>
    </row>
    <row r="676" spans="1:2" x14ac:dyDescent="0.2">
      <c r="A676" s="454" t="s">
        <v>905</v>
      </c>
      <c r="B676" s="455" t="s">
        <v>2511</v>
      </c>
    </row>
    <row r="677" spans="1:2" x14ac:dyDescent="0.2">
      <c r="A677" s="454" t="s">
        <v>906</v>
      </c>
      <c r="B677" s="455" t="s">
        <v>2512</v>
      </c>
    </row>
    <row r="678" spans="1:2" x14ac:dyDescent="0.2">
      <c r="A678" s="454" t="s">
        <v>907</v>
      </c>
      <c r="B678" s="455" t="s">
        <v>2513</v>
      </c>
    </row>
    <row r="679" spans="1:2" x14ac:dyDescent="0.2">
      <c r="A679" s="454" t="s">
        <v>908</v>
      </c>
      <c r="B679" s="455" t="s">
        <v>2514</v>
      </c>
    </row>
    <row r="680" spans="1:2" x14ac:dyDescent="0.2">
      <c r="A680" s="454" t="s">
        <v>909</v>
      </c>
      <c r="B680" s="455" t="s">
        <v>2515</v>
      </c>
    </row>
    <row r="681" spans="1:2" x14ac:dyDescent="0.2">
      <c r="A681" s="454" t="s">
        <v>910</v>
      </c>
      <c r="B681" s="455" t="s">
        <v>2516</v>
      </c>
    </row>
    <row r="682" spans="1:2" x14ac:dyDescent="0.2">
      <c r="A682" s="454" t="s">
        <v>911</v>
      </c>
      <c r="B682" s="455" t="s">
        <v>912</v>
      </c>
    </row>
    <row r="683" spans="1:2" x14ac:dyDescent="0.2">
      <c r="A683" s="454" t="s">
        <v>913</v>
      </c>
      <c r="B683" s="455" t="s">
        <v>2517</v>
      </c>
    </row>
    <row r="684" spans="1:2" x14ac:dyDescent="0.2">
      <c r="A684" s="454" t="s">
        <v>914</v>
      </c>
      <c r="B684" s="455" t="s">
        <v>915</v>
      </c>
    </row>
    <row r="685" spans="1:2" x14ac:dyDescent="0.2">
      <c r="A685" s="454" t="s">
        <v>916</v>
      </c>
      <c r="B685" s="455" t="s">
        <v>2518</v>
      </c>
    </row>
    <row r="686" spans="1:2" x14ac:dyDescent="0.2">
      <c r="A686" s="454" t="s">
        <v>917</v>
      </c>
      <c r="B686" s="455" t="s">
        <v>2519</v>
      </c>
    </row>
    <row r="687" spans="1:2" x14ac:dyDescent="0.2">
      <c r="A687" s="454" t="s">
        <v>918</v>
      </c>
      <c r="B687" s="455" t="s">
        <v>2520</v>
      </c>
    </row>
    <row r="688" spans="1:2" x14ac:dyDescent="0.2">
      <c r="A688" s="454" t="s">
        <v>919</v>
      </c>
      <c r="B688" s="455" t="s">
        <v>2521</v>
      </c>
    </row>
    <row r="689" spans="1:2" x14ac:dyDescent="0.2">
      <c r="A689" s="454" t="s">
        <v>920</v>
      </c>
      <c r="B689" s="455" t="s">
        <v>2522</v>
      </c>
    </row>
    <row r="690" spans="1:2" x14ac:dyDescent="0.2">
      <c r="A690" s="454" t="s">
        <v>921</v>
      </c>
      <c r="B690" s="455" t="s">
        <v>2523</v>
      </c>
    </row>
    <row r="691" spans="1:2" x14ac:dyDescent="0.2">
      <c r="A691" s="454" t="s">
        <v>922</v>
      </c>
      <c r="B691" s="455" t="s">
        <v>2524</v>
      </c>
    </row>
    <row r="692" spans="1:2" x14ac:dyDescent="0.2">
      <c r="A692" s="454" t="s">
        <v>923</v>
      </c>
      <c r="B692" s="455" t="s">
        <v>2525</v>
      </c>
    </row>
    <row r="693" spans="1:2" x14ac:dyDescent="0.2">
      <c r="A693" s="454" t="s">
        <v>924</v>
      </c>
      <c r="B693" s="455" t="s">
        <v>2526</v>
      </c>
    </row>
    <row r="694" spans="1:2" x14ac:dyDescent="0.2">
      <c r="A694" s="454" t="s">
        <v>925</v>
      </c>
      <c r="B694" s="455" t="s">
        <v>2527</v>
      </c>
    </row>
    <row r="695" spans="1:2" x14ac:dyDescent="0.2">
      <c r="A695" s="454" t="s">
        <v>926</v>
      </c>
      <c r="B695" s="455" t="s">
        <v>2528</v>
      </c>
    </row>
    <row r="696" spans="1:2" x14ac:dyDescent="0.2">
      <c r="A696" s="454" t="s">
        <v>927</v>
      </c>
      <c r="B696" s="455" t="s">
        <v>2529</v>
      </c>
    </row>
    <row r="697" spans="1:2" x14ac:dyDescent="0.2">
      <c r="A697" s="454" t="s">
        <v>928</v>
      </c>
      <c r="B697" s="455" t="s">
        <v>2530</v>
      </c>
    </row>
    <row r="698" spans="1:2" x14ac:dyDescent="0.2">
      <c r="A698" s="454" t="s">
        <v>929</v>
      </c>
      <c r="B698" s="455" t="s">
        <v>2531</v>
      </c>
    </row>
    <row r="699" spans="1:2" x14ac:dyDescent="0.2">
      <c r="A699" s="454" t="s">
        <v>930</v>
      </c>
      <c r="B699" s="455" t="s">
        <v>2532</v>
      </c>
    </row>
    <row r="700" spans="1:2" x14ac:dyDescent="0.2">
      <c r="A700" s="454" t="s">
        <v>931</v>
      </c>
      <c r="B700" s="455" t="s">
        <v>2533</v>
      </c>
    </row>
    <row r="701" spans="1:2" x14ac:dyDescent="0.2">
      <c r="A701" s="454" t="s">
        <v>932</v>
      </c>
      <c r="B701" s="455" t="s">
        <v>2534</v>
      </c>
    </row>
    <row r="702" spans="1:2" x14ac:dyDescent="0.2">
      <c r="A702" s="454" t="s">
        <v>933</v>
      </c>
      <c r="B702" s="455" t="s">
        <v>2535</v>
      </c>
    </row>
    <row r="703" spans="1:2" x14ac:dyDescent="0.2">
      <c r="A703" s="454" t="s">
        <v>934</v>
      </c>
      <c r="B703" s="455" t="s">
        <v>2536</v>
      </c>
    </row>
    <row r="704" spans="1:2" x14ac:dyDescent="0.2">
      <c r="A704" s="454" t="s">
        <v>935</v>
      </c>
      <c r="B704" s="455" t="s">
        <v>2537</v>
      </c>
    </row>
    <row r="705" spans="1:2" x14ac:dyDescent="0.2">
      <c r="A705" s="454" t="s">
        <v>936</v>
      </c>
      <c r="B705" s="455" t="s">
        <v>2538</v>
      </c>
    </row>
    <row r="706" spans="1:2" x14ac:dyDescent="0.2">
      <c r="A706" s="454" t="s">
        <v>937</v>
      </c>
      <c r="B706" s="455" t="s">
        <v>2539</v>
      </c>
    </row>
    <row r="707" spans="1:2" x14ac:dyDescent="0.2">
      <c r="A707" s="454" t="s">
        <v>938</v>
      </c>
      <c r="B707" s="455" t="s">
        <v>2540</v>
      </c>
    </row>
    <row r="708" spans="1:2" x14ac:dyDescent="0.2">
      <c r="A708" s="454" t="s">
        <v>939</v>
      </c>
      <c r="B708" s="455" t="s">
        <v>2541</v>
      </c>
    </row>
    <row r="709" spans="1:2" x14ac:dyDescent="0.2">
      <c r="A709" s="454" t="s">
        <v>940</v>
      </c>
      <c r="B709" s="455" t="s">
        <v>2542</v>
      </c>
    </row>
    <row r="710" spans="1:2" x14ac:dyDescent="0.2">
      <c r="A710" s="454" t="s">
        <v>941</v>
      </c>
      <c r="B710" s="455" t="s">
        <v>2543</v>
      </c>
    </row>
    <row r="711" spans="1:2" x14ac:dyDescent="0.2">
      <c r="A711" s="454" t="s">
        <v>942</v>
      </c>
      <c r="B711" s="455" t="s">
        <v>2544</v>
      </c>
    </row>
    <row r="712" spans="1:2" x14ac:dyDescent="0.2">
      <c r="A712" s="454" t="s">
        <v>943</v>
      </c>
      <c r="B712" s="455" t="s">
        <v>2545</v>
      </c>
    </row>
    <row r="713" spans="1:2" x14ac:dyDescent="0.2">
      <c r="A713" s="454" t="s">
        <v>944</v>
      </c>
      <c r="B713" s="455" t="s">
        <v>2546</v>
      </c>
    </row>
    <row r="714" spans="1:2" x14ac:dyDescent="0.2">
      <c r="A714" s="454" t="s">
        <v>945</v>
      </c>
      <c r="B714" s="455" t="s">
        <v>2547</v>
      </c>
    </row>
    <row r="715" spans="1:2" x14ac:dyDescent="0.2">
      <c r="A715" s="454" t="s">
        <v>946</v>
      </c>
      <c r="B715" s="455" t="s">
        <v>2548</v>
      </c>
    </row>
    <row r="716" spans="1:2" x14ac:dyDescent="0.2">
      <c r="A716" s="454" t="s">
        <v>947</v>
      </c>
      <c r="B716" s="455" t="s">
        <v>2549</v>
      </c>
    </row>
    <row r="717" spans="1:2" x14ac:dyDescent="0.2">
      <c r="A717" s="454" t="s">
        <v>948</v>
      </c>
      <c r="B717" s="455" t="s">
        <v>2550</v>
      </c>
    </row>
    <row r="718" spans="1:2" x14ac:dyDescent="0.2">
      <c r="A718" s="454" t="s">
        <v>949</v>
      </c>
      <c r="B718" s="455" t="s">
        <v>2551</v>
      </c>
    </row>
    <row r="719" spans="1:2" x14ac:dyDescent="0.2">
      <c r="A719" s="454" t="s">
        <v>950</v>
      </c>
      <c r="B719" s="455" t="s">
        <v>2552</v>
      </c>
    </row>
    <row r="720" spans="1:2" x14ac:dyDescent="0.2">
      <c r="A720" s="454" t="s">
        <v>951</v>
      </c>
      <c r="B720" s="455" t="s">
        <v>2553</v>
      </c>
    </row>
    <row r="721" spans="1:2" x14ac:dyDescent="0.2">
      <c r="A721" s="454" t="s">
        <v>952</v>
      </c>
      <c r="B721" s="455" t="s">
        <v>2554</v>
      </c>
    </row>
    <row r="722" spans="1:2" x14ac:dyDescent="0.2">
      <c r="A722" s="454" t="s">
        <v>953</v>
      </c>
      <c r="B722" s="455" t="s">
        <v>2555</v>
      </c>
    </row>
    <row r="723" spans="1:2" x14ac:dyDescent="0.2">
      <c r="A723" s="454" t="s">
        <v>954</v>
      </c>
      <c r="B723" s="455" t="s">
        <v>2556</v>
      </c>
    </row>
    <row r="724" spans="1:2" x14ac:dyDescent="0.2">
      <c r="A724" s="454" t="s">
        <v>955</v>
      </c>
      <c r="B724" s="455" t="s">
        <v>2557</v>
      </c>
    </row>
    <row r="725" spans="1:2" x14ac:dyDescent="0.2">
      <c r="A725" s="454" t="s">
        <v>956</v>
      </c>
      <c r="B725" s="455" t="s">
        <v>2558</v>
      </c>
    </row>
    <row r="726" spans="1:2" x14ac:dyDescent="0.2">
      <c r="A726" s="454" t="s">
        <v>957</v>
      </c>
      <c r="B726" s="455" t="s">
        <v>2559</v>
      </c>
    </row>
    <row r="727" spans="1:2" x14ac:dyDescent="0.2">
      <c r="A727" s="454" t="s">
        <v>958</v>
      </c>
      <c r="B727" s="455" t="s">
        <v>2560</v>
      </c>
    </row>
    <row r="728" spans="1:2" x14ac:dyDescent="0.2">
      <c r="A728" s="454" t="s">
        <v>959</v>
      </c>
      <c r="B728" s="455" t="s">
        <v>2561</v>
      </c>
    </row>
    <row r="729" spans="1:2" x14ac:dyDescent="0.2">
      <c r="A729" s="454" t="s">
        <v>960</v>
      </c>
      <c r="B729" s="455" t="s">
        <v>2562</v>
      </c>
    </row>
    <row r="730" spans="1:2" x14ac:dyDescent="0.2">
      <c r="A730" s="454" t="s">
        <v>961</v>
      </c>
      <c r="B730" s="455" t="s">
        <v>2563</v>
      </c>
    </row>
    <row r="731" spans="1:2" x14ac:dyDescent="0.2">
      <c r="A731" s="454" t="s">
        <v>962</v>
      </c>
      <c r="B731" s="455" t="s">
        <v>2564</v>
      </c>
    </row>
    <row r="732" spans="1:2" x14ac:dyDescent="0.2">
      <c r="A732" s="454" t="s">
        <v>963</v>
      </c>
      <c r="B732" s="455" t="s">
        <v>2565</v>
      </c>
    </row>
    <row r="733" spans="1:2" x14ac:dyDescent="0.2">
      <c r="A733" s="454" t="s">
        <v>964</v>
      </c>
      <c r="B733" s="455" t="s">
        <v>2566</v>
      </c>
    </row>
    <row r="734" spans="1:2" x14ac:dyDescent="0.2">
      <c r="A734" s="454" t="s">
        <v>965</v>
      </c>
      <c r="B734" s="455" t="s">
        <v>2567</v>
      </c>
    </row>
    <row r="735" spans="1:2" x14ac:dyDescent="0.2">
      <c r="A735" s="454" t="s">
        <v>966</v>
      </c>
      <c r="B735" s="455" t="s">
        <v>2568</v>
      </c>
    </row>
    <row r="736" spans="1:2" x14ac:dyDescent="0.2">
      <c r="A736" s="454" t="s">
        <v>967</v>
      </c>
      <c r="B736" s="455" t="s">
        <v>2569</v>
      </c>
    </row>
    <row r="737" spans="1:2" x14ac:dyDescent="0.2">
      <c r="A737" s="454" t="s">
        <v>968</v>
      </c>
      <c r="B737" s="455" t="s">
        <v>2570</v>
      </c>
    </row>
    <row r="738" spans="1:2" x14ac:dyDescent="0.2">
      <c r="A738" s="454" t="s">
        <v>969</v>
      </c>
      <c r="B738" s="455" t="s">
        <v>2571</v>
      </c>
    </row>
    <row r="739" spans="1:2" x14ac:dyDescent="0.2">
      <c r="A739" s="454" t="s">
        <v>970</v>
      </c>
      <c r="B739" s="455" t="s">
        <v>2572</v>
      </c>
    </row>
    <row r="740" spans="1:2" x14ac:dyDescent="0.2">
      <c r="A740" s="454" t="s">
        <v>971</v>
      </c>
      <c r="B740" s="455" t="s">
        <v>2573</v>
      </c>
    </row>
    <row r="741" spans="1:2" x14ac:dyDescent="0.2">
      <c r="A741" s="454" t="s">
        <v>972</v>
      </c>
      <c r="B741" s="455" t="s">
        <v>2574</v>
      </c>
    </row>
    <row r="742" spans="1:2" x14ac:dyDescent="0.2">
      <c r="A742" s="454" t="s">
        <v>973</v>
      </c>
      <c r="B742" s="455" t="s">
        <v>2575</v>
      </c>
    </row>
    <row r="743" spans="1:2" x14ac:dyDescent="0.2">
      <c r="A743" s="454" t="s">
        <v>974</v>
      </c>
      <c r="B743" s="455" t="s">
        <v>2576</v>
      </c>
    </row>
    <row r="744" spans="1:2" x14ac:dyDescent="0.2">
      <c r="A744" s="454" t="s">
        <v>975</v>
      </c>
      <c r="B744" s="455" t="s">
        <v>2577</v>
      </c>
    </row>
    <row r="745" spans="1:2" x14ac:dyDescent="0.2">
      <c r="A745" s="454" t="s">
        <v>976</v>
      </c>
      <c r="B745" s="455" t="s">
        <v>2578</v>
      </c>
    </row>
    <row r="746" spans="1:2" x14ac:dyDescent="0.2">
      <c r="A746" s="454" t="s">
        <v>977</v>
      </c>
      <c r="B746" s="455" t="s">
        <v>2579</v>
      </c>
    </row>
    <row r="747" spans="1:2" x14ac:dyDescent="0.2">
      <c r="A747" s="454" t="s">
        <v>978</v>
      </c>
      <c r="B747" s="455" t="s">
        <v>2580</v>
      </c>
    </row>
    <row r="748" spans="1:2" x14ac:dyDescent="0.2">
      <c r="A748" s="454" t="s">
        <v>979</v>
      </c>
      <c r="B748" s="455" t="s">
        <v>2581</v>
      </c>
    </row>
    <row r="749" spans="1:2" x14ac:dyDescent="0.2">
      <c r="A749" s="454" t="s">
        <v>980</v>
      </c>
      <c r="B749" s="455" t="s">
        <v>2582</v>
      </c>
    </row>
    <row r="750" spans="1:2" x14ac:dyDescent="0.2">
      <c r="A750" s="454" t="s">
        <v>981</v>
      </c>
      <c r="B750" s="455" t="s">
        <v>2583</v>
      </c>
    </row>
    <row r="751" spans="1:2" x14ac:dyDescent="0.2">
      <c r="A751" s="454" t="s">
        <v>982</v>
      </c>
      <c r="B751" s="455" t="s">
        <v>2584</v>
      </c>
    </row>
    <row r="752" spans="1:2" x14ac:dyDescent="0.2">
      <c r="A752" s="454" t="s">
        <v>983</v>
      </c>
      <c r="B752" s="455" t="s">
        <v>2585</v>
      </c>
    </row>
    <row r="753" spans="1:2" x14ac:dyDescent="0.2">
      <c r="A753" s="454" t="s">
        <v>984</v>
      </c>
      <c r="B753" s="455" t="s">
        <v>2586</v>
      </c>
    </row>
    <row r="754" spans="1:2" x14ac:dyDescent="0.2">
      <c r="A754" s="454" t="s">
        <v>985</v>
      </c>
      <c r="B754" s="455" t="s">
        <v>2587</v>
      </c>
    </row>
    <row r="755" spans="1:2" x14ac:dyDescent="0.2">
      <c r="A755" s="454" t="s">
        <v>986</v>
      </c>
      <c r="B755" s="455" t="s">
        <v>2588</v>
      </c>
    </row>
    <row r="756" spans="1:2" x14ac:dyDescent="0.2">
      <c r="A756" s="454" t="s">
        <v>217</v>
      </c>
      <c r="B756" s="455" t="s">
        <v>2589</v>
      </c>
    </row>
    <row r="757" spans="1:2" x14ac:dyDescent="0.2">
      <c r="A757" s="454" t="s">
        <v>987</v>
      </c>
      <c r="B757" s="455" t="s">
        <v>2590</v>
      </c>
    </row>
    <row r="758" spans="1:2" x14ac:dyDescent="0.2">
      <c r="A758" s="454" t="s">
        <v>988</v>
      </c>
      <c r="B758" s="455" t="s">
        <v>2591</v>
      </c>
    </row>
    <row r="759" spans="1:2" x14ac:dyDescent="0.2">
      <c r="A759" s="454" t="s">
        <v>989</v>
      </c>
      <c r="B759" s="455" t="s">
        <v>2592</v>
      </c>
    </row>
    <row r="760" spans="1:2" x14ac:dyDescent="0.2">
      <c r="A760" s="454" t="s">
        <v>990</v>
      </c>
      <c r="B760" s="455" t="s">
        <v>2593</v>
      </c>
    </row>
    <row r="761" spans="1:2" x14ac:dyDescent="0.2">
      <c r="A761" s="454" t="s">
        <v>991</v>
      </c>
      <c r="B761" s="455" t="s">
        <v>2594</v>
      </c>
    </row>
    <row r="762" spans="1:2" x14ac:dyDescent="0.2">
      <c r="A762" s="454" t="s">
        <v>992</v>
      </c>
      <c r="B762" s="455" t="s">
        <v>2595</v>
      </c>
    </row>
    <row r="763" spans="1:2" x14ac:dyDescent="0.2">
      <c r="A763" s="454" t="s">
        <v>993</v>
      </c>
      <c r="B763" s="455" t="s">
        <v>2596</v>
      </c>
    </row>
    <row r="764" spans="1:2" x14ac:dyDescent="0.2">
      <c r="A764" s="454" t="s">
        <v>994</v>
      </c>
      <c r="B764" s="455" t="s">
        <v>2597</v>
      </c>
    </row>
    <row r="765" spans="1:2" x14ac:dyDescent="0.2">
      <c r="A765" s="454" t="s">
        <v>995</v>
      </c>
      <c r="B765" s="455" t="s">
        <v>2598</v>
      </c>
    </row>
    <row r="766" spans="1:2" x14ac:dyDescent="0.2">
      <c r="A766" s="454" t="s">
        <v>996</v>
      </c>
      <c r="B766" s="455" t="s">
        <v>2599</v>
      </c>
    </row>
    <row r="767" spans="1:2" x14ac:dyDescent="0.2">
      <c r="A767" s="454" t="s">
        <v>997</v>
      </c>
      <c r="B767" s="455" t="s">
        <v>2600</v>
      </c>
    </row>
    <row r="768" spans="1:2" x14ac:dyDescent="0.2">
      <c r="A768" s="454" t="s">
        <v>998</v>
      </c>
      <c r="B768" s="455" t="s">
        <v>2601</v>
      </c>
    </row>
    <row r="769" spans="1:2" x14ac:dyDescent="0.2">
      <c r="A769" s="454" t="s">
        <v>999</v>
      </c>
      <c r="B769" s="455" t="s">
        <v>2602</v>
      </c>
    </row>
    <row r="770" spans="1:2" x14ac:dyDescent="0.2">
      <c r="A770" s="454" t="s">
        <v>1000</v>
      </c>
      <c r="B770" s="455" t="s">
        <v>2603</v>
      </c>
    </row>
    <row r="771" spans="1:2" x14ac:dyDescent="0.2">
      <c r="A771" s="454" t="s">
        <v>1001</v>
      </c>
      <c r="B771" s="455" t="s">
        <v>2604</v>
      </c>
    </row>
    <row r="772" spans="1:2" x14ac:dyDescent="0.2">
      <c r="A772" s="454" t="s">
        <v>1002</v>
      </c>
      <c r="B772" s="455" t="s">
        <v>2605</v>
      </c>
    </row>
    <row r="773" spans="1:2" x14ac:dyDescent="0.2">
      <c r="A773" s="454" t="s">
        <v>1003</v>
      </c>
      <c r="B773" s="455" t="s">
        <v>2606</v>
      </c>
    </row>
    <row r="774" spans="1:2" x14ac:dyDescent="0.2">
      <c r="A774" s="454" t="s">
        <v>1004</v>
      </c>
      <c r="B774" s="455" t="s">
        <v>2607</v>
      </c>
    </row>
    <row r="775" spans="1:2" x14ac:dyDescent="0.2">
      <c r="A775" s="454" t="s">
        <v>1005</v>
      </c>
      <c r="B775" s="455" t="s">
        <v>2608</v>
      </c>
    </row>
    <row r="776" spans="1:2" x14ac:dyDescent="0.2">
      <c r="A776" s="454" t="s">
        <v>1006</v>
      </c>
      <c r="B776" s="455" t="s">
        <v>2609</v>
      </c>
    </row>
    <row r="777" spans="1:2" x14ac:dyDescent="0.2">
      <c r="A777" s="454" t="s">
        <v>1007</v>
      </c>
      <c r="B777" s="455" t="s">
        <v>2610</v>
      </c>
    </row>
    <row r="778" spans="1:2" x14ac:dyDescent="0.2">
      <c r="A778" s="454" t="s">
        <v>1008</v>
      </c>
      <c r="B778" s="455" t="s">
        <v>2611</v>
      </c>
    </row>
    <row r="779" spans="1:2" x14ac:dyDescent="0.2">
      <c r="A779" s="454" t="s">
        <v>1009</v>
      </c>
      <c r="B779" s="455" t="s">
        <v>2612</v>
      </c>
    </row>
    <row r="780" spans="1:2" x14ac:dyDescent="0.2">
      <c r="A780" s="454" t="s">
        <v>1010</v>
      </c>
      <c r="B780" s="455" t="s">
        <v>2613</v>
      </c>
    </row>
    <row r="781" spans="1:2" x14ac:dyDescent="0.2">
      <c r="A781" s="454" t="s">
        <v>1011</v>
      </c>
      <c r="B781" s="455" t="s">
        <v>2614</v>
      </c>
    </row>
    <row r="782" spans="1:2" x14ac:dyDescent="0.2">
      <c r="A782" s="454" t="s">
        <v>1012</v>
      </c>
      <c r="B782" s="455" t="s">
        <v>2615</v>
      </c>
    </row>
    <row r="783" spans="1:2" x14ac:dyDescent="0.2">
      <c r="A783" s="454" t="s">
        <v>1013</v>
      </c>
      <c r="B783" s="455" t="s">
        <v>2616</v>
      </c>
    </row>
    <row r="784" spans="1:2" x14ac:dyDescent="0.2">
      <c r="A784" s="454" t="s">
        <v>1014</v>
      </c>
      <c r="B784" s="455" t="s">
        <v>2617</v>
      </c>
    </row>
    <row r="785" spans="1:2" x14ac:dyDescent="0.2">
      <c r="A785" s="454" t="s">
        <v>1015</v>
      </c>
      <c r="B785" s="455" t="s">
        <v>2618</v>
      </c>
    </row>
    <row r="786" spans="1:2" x14ac:dyDescent="0.2">
      <c r="A786" s="454" t="s">
        <v>1016</v>
      </c>
      <c r="B786" s="455" t="s">
        <v>2619</v>
      </c>
    </row>
    <row r="787" spans="1:2" x14ac:dyDescent="0.2">
      <c r="A787" s="454" t="s">
        <v>1017</v>
      </c>
      <c r="B787" s="455" t="s">
        <v>2620</v>
      </c>
    </row>
    <row r="788" spans="1:2" x14ac:dyDescent="0.2">
      <c r="A788" s="454" t="s">
        <v>1018</v>
      </c>
      <c r="B788" s="455" t="s">
        <v>2621</v>
      </c>
    </row>
    <row r="789" spans="1:2" x14ac:dyDescent="0.2">
      <c r="A789" s="454" t="s">
        <v>1019</v>
      </c>
      <c r="B789" s="455" t="s">
        <v>2622</v>
      </c>
    </row>
    <row r="790" spans="1:2" x14ac:dyDescent="0.2">
      <c r="A790" s="454" t="s">
        <v>1020</v>
      </c>
      <c r="B790" s="455" t="s">
        <v>2623</v>
      </c>
    </row>
    <row r="791" spans="1:2" x14ac:dyDescent="0.2">
      <c r="A791" s="454" t="s">
        <v>1021</v>
      </c>
      <c r="B791" s="455" t="s">
        <v>2624</v>
      </c>
    </row>
    <row r="792" spans="1:2" x14ac:dyDescent="0.2">
      <c r="A792" s="454" t="s">
        <v>1022</v>
      </c>
      <c r="B792" s="455" t="s">
        <v>2625</v>
      </c>
    </row>
    <row r="793" spans="1:2" x14ac:dyDescent="0.2">
      <c r="A793" s="454" t="s">
        <v>1023</v>
      </c>
      <c r="B793" s="455" t="s">
        <v>2626</v>
      </c>
    </row>
    <row r="794" spans="1:2" x14ac:dyDescent="0.2">
      <c r="A794" s="454" t="s">
        <v>1024</v>
      </c>
      <c r="B794" s="455" t="s">
        <v>2627</v>
      </c>
    </row>
    <row r="795" spans="1:2" x14ac:dyDescent="0.2">
      <c r="A795" s="454" t="s">
        <v>1025</v>
      </c>
      <c r="B795" s="455" t="s">
        <v>2628</v>
      </c>
    </row>
    <row r="796" spans="1:2" x14ac:dyDescent="0.2">
      <c r="A796" s="454" t="s">
        <v>1026</v>
      </c>
      <c r="B796" s="455" t="s">
        <v>2629</v>
      </c>
    </row>
    <row r="797" spans="1:2" x14ac:dyDescent="0.2">
      <c r="A797" s="454" t="s">
        <v>1027</v>
      </c>
      <c r="B797" s="455" t="s">
        <v>2630</v>
      </c>
    </row>
    <row r="798" spans="1:2" x14ac:dyDescent="0.2">
      <c r="A798" s="454" t="s">
        <v>1028</v>
      </c>
      <c r="B798" s="455" t="s">
        <v>2631</v>
      </c>
    </row>
    <row r="799" spans="1:2" x14ac:dyDescent="0.2">
      <c r="A799" s="454" t="s">
        <v>1029</v>
      </c>
      <c r="B799" s="455" t="s">
        <v>2632</v>
      </c>
    </row>
    <row r="800" spans="1:2" x14ac:dyDescent="0.2">
      <c r="A800" s="454" t="s">
        <v>1030</v>
      </c>
      <c r="B800" s="455" t="s">
        <v>2633</v>
      </c>
    </row>
    <row r="801" spans="1:2" x14ac:dyDescent="0.2">
      <c r="A801" s="454" t="s">
        <v>1031</v>
      </c>
      <c r="B801" s="455" t="s">
        <v>2634</v>
      </c>
    </row>
    <row r="802" spans="1:2" x14ac:dyDescent="0.2">
      <c r="A802" s="454" t="s">
        <v>1032</v>
      </c>
      <c r="B802" s="455" t="s">
        <v>2635</v>
      </c>
    </row>
    <row r="803" spans="1:2" x14ac:dyDescent="0.2">
      <c r="A803" s="454" t="s">
        <v>1033</v>
      </c>
      <c r="B803" s="455" t="s">
        <v>2636</v>
      </c>
    </row>
    <row r="804" spans="1:2" x14ac:dyDescent="0.2">
      <c r="A804" s="454" t="s">
        <v>1034</v>
      </c>
      <c r="B804" s="455" t="s">
        <v>2637</v>
      </c>
    </row>
    <row r="805" spans="1:2" x14ac:dyDescent="0.2">
      <c r="A805" s="454" t="s">
        <v>1035</v>
      </c>
      <c r="B805" s="455" t="s">
        <v>2638</v>
      </c>
    </row>
    <row r="806" spans="1:2" x14ac:dyDescent="0.2">
      <c r="A806" s="454" t="s">
        <v>1036</v>
      </c>
      <c r="B806" s="455" t="s">
        <v>2639</v>
      </c>
    </row>
    <row r="807" spans="1:2" x14ac:dyDescent="0.2">
      <c r="A807" s="454" t="s">
        <v>1037</v>
      </c>
      <c r="B807" s="455" t="s">
        <v>2640</v>
      </c>
    </row>
    <row r="808" spans="1:2" x14ac:dyDescent="0.2">
      <c r="A808" s="454" t="s">
        <v>1038</v>
      </c>
      <c r="B808" s="455" t="s">
        <v>2641</v>
      </c>
    </row>
    <row r="809" spans="1:2" x14ac:dyDescent="0.2">
      <c r="A809" s="454" t="s">
        <v>1039</v>
      </c>
      <c r="B809" s="455" t="s">
        <v>2642</v>
      </c>
    </row>
    <row r="810" spans="1:2" x14ac:dyDescent="0.2">
      <c r="A810" s="454" t="s">
        <v>1040</v>
      </c>
      <c r="B810" s="455" t="s">
        <v>2643</v>
      </c>
    </row>
    <row r="811" spans="1:2" x14ac:dyDescent="0.2">
      <c r="A811" s="454" t="s">
        <v>1041</v>
      </c>
      <c r="B811" s="455" t="s">
        <v>2644</v>
      </c>
    </row>
    <row r="812" spans="1:2" x14ac:dyDescent="0.2">
      <c r="A812" s="454" t="s">
        <v>1042</v>
      </c>
      <c r="B812" s="455" t="s">
        <v>2645</v>
      </c>
    </row>
    <row r="813" spans="1:2" x14ac:dyDescent="0.2">
      <c r="A813" s="454" t="s">
        <v>1043</v>
      </c>
      <c r="B813" s="455" t="s">
        <v>2646</v>
      </c>
    </row>
    <row r="814" spans="1:2" x14ac:dyDescent="0.2">
      <c r="A814" s="454" t="s">
        <v>1044</v>
      </c>
      <c r="B814" s="455" t="s">
        <v>2647</v>
      </c>
    </row>
    <row r="815" spans="1:2" x14ac:dyDescent="0.2">
      <c r="A815" s="454" t="s">
        <v>1045</v>
      </c>
      <c r="B815" s="455" t="s">
        <v>2648</v>
      </c>
    </row>
    <row r="816" spans="1:2" x14ac:dyDescent="0.2">
      <c r="A816" s="454" t="s">
        <v>1046</v>
      </c>
      <c r="B816" s="455" t="s">
        <v>2649</v>
      </c>
    </row>
    <row r="817" spans="1:2" x14ac:dyDescent="0.2">
      <c r="A817" s="454" t="s">
        <v>1047</v>
      </c>
      <c r="B817" s="455" t="s">
        <v>2650</v>
      </c>
    </row>
    <row r="818" spans="1:2" x14ac:dyDescent="0.2">
      <c r="A818" s="454" t="s">
        <v>1048</v>
      </c>
      <c r="B818" s="455" t="s">
        <v>2651</v>
      </c>
    </row>
    <row r="819" spans="1:2" x14ac:dyDescent="0.2">
      <c r="A819" s="454" t="s">
        <v>1049</v>
      </c>
      <c r="B819" s="455" t="s">
        <v>2652</v>
      </c>
    </row>
    <row r="820" spans="1:2" x14ac:dyDescent="0.2">
      <c r="A820" s="454" t="s">
        <v>1050</v>
      </c>
      <c r="B820" s="455" t="s">
        <v>2653</v>
      </c>
    </row>
    <row r="821" spans="1:2" x14ac:dyDescent="0.2">
      <c r="A821" s="454" t="s">
        <v>1051</v>
      </c>
      <c r="B821" s="455" t="s">
        <v>2654</v>
      </c>
    </row>
    <row r="822" spans="1:2" x14ac:dyDescent="0.2">
      <c r="A822" s="454" t="s">
        <v>1052</v>
      </c>
      <c r="B822" s="455" t="s">
        <v>2655</v>
      </c>
    </row>
    <row r="823" spans="1:2" x14ac:dyDescent="0.2">
      <c r="A823" s="454" t="s">
        <v>1053</v>
      </c>
      <c r="B823" s="455" t="s">
        <v>2656</v>
      </c>
    </row>
    <row r="824" spans="1:2" x14ac:dyDescent="0.2">
      <c r="A824" s="454" t="s">
        <v>1054</v>
      </c>
      <c r="B824" s="455" t="s">
        <v>2657</v>
      </c>
    </row>
    <row r="825" spans="1:2" x14ac:dyDescent="0.2">
      <c r="A825" s="454" t="s">
        <v>1055</v>
      </c>
      <c r="B825" s="455" t="s">
        <v>2658</v>
      </c>
    </row>
    <row r="826" spans="1:2" x14ac:dyDescent="0.2">
      <c r="A826" s="454" t="s">
        <v>1056</v>
      </c>
      <c r="B826" s="455" t="s">
        <v>2659</v>
      </c>
    </row>
    <row r="827" spans="1:2" x14ac:dyDescent="0.2">
      <c r="A827" s="454" t="s">
        <v>1057</v>
      </c>
      <c r="B827" s="455" t="s">
        <v>2660</v>
      </c>
    </row>
    <row r="828" spans="1:2" x14ac:dyDescent="0.2">
      <c r="A828" s="454" t="s">
        <v>1058</v>
      </c>
      <c r="B828" s="455" t="s">
        <v>2661</v>
      </c>
    </row>
    <row r="829" spans="1:2" x14ac:dyDescent="0.2">
      <c r="A829" s="454" t="s">
        <v>1059</v>
      </c>
      <c r="B829" s="455" t="s">
        <v>2662</v>
      </c>
    </row>
    <row r="830" spans="1:2" x14ac:dyDescent="0.2">
      <c r="A830" s="454" t="s">
        <v>1060</v>
      </c>
      <c r="B830" s="455" t="s">
        <v>2663</v>
      </c>
    </row>
    <row r="831" spans="1:2" x14ac:dyDescent="0.2">
      <c r="A831" s="454" t="s">
        <v>1061</v>
      </c>
      <c r="B831" s="455" t="s">
        <v>2664</v>
      </c>
    </row>
    <row r="832" spans="1:2" x14ac:dyDescent="0.2">
      <c r="A832" s="454" t="s">
        <v>1062</v>
      </c>
      <c r="B832" s="455" t="s">
        <v>2665</v>
      </c>
    </row>
    <row r="833" spans="1:2" x14ac:dyDescent="0.2">
      <c r="A833" s="454" t="s">
        <v>1063</v>
      </c>
      <c r="B833" s="455" t="s">
        <v>2666</v>
      </c>
    </row>
    <row r="834" spans="1:2" x14ac:dyDescent="0.2">
      <c r="A834" s="454" t="s">
        <v>1064</v>
      </c>
      <c r="B834" s="455" t="s">
        <v>2667</v>
      </c>
    </row>
    <row r="835" spans="1:2" x14ac:dyDescent="0.2">
      <c r="A835" s="454" t="s">
        <v>1065</v>
      </c>
      <c r="B835" s="455" t="s">
        <v>2668</v>
      </c>
    </row>
    <row r="836" spans="1:2" x14ac:dyDescent="0.2">
      <c r="A836" s="454" t="s">
        <v>1066</v>
      </c>
      <c r="B836" s="455" t="s">
        <v>2669</v>
      </c>
    </row>
    <row r="837" spans="1:2" x14ac:dyDescent="0.2">
      <c r="A837" s="454" t="s">
        <v>1067</v>
      </c>
      <c r="B837" s="455" t="s">
        <v>2670</v>
      </c>
    </row>
    <row r="838" spans="1:2" x14ac:dyDescent="0.2">
      <c r="A838" s="454" t="s">
        <v>1068</v>
      </c>
      <c r="B838" s="455" t="s">
        <v>2671</v>
      </c>
    </row>
    <row r="839" spans="1:2" x14ac:dyDescent="0.2">
      <c r="A839" s="454" t="s">
        <v>1069</v>
      </c>
      <c r="B839" s="455" t="s">
        <v>2672</v>
      </c>
    </row>
    <row r="840" spans="1:2" x14ac:dyDescent="0.2">
      <c r="A840" s="454" t="s">
        <v>1070</v>
      </c>
      <c r="B840" s="455" t="s">
        <v>2673</v>
      </c>
    </row>
    <row r="841" spans="1:2" x14ac:dyDescent="0.2">
      <c r="A841" s="454" t="s">
        <v>1071</v>
      </c>
      <c r="B841" s="455" t="s">
        <v>2674</v>
      </c>
    </row>
    <row r="842" spans="1:2" x14ac:dyDescent="0.2">
      <c r="A842" s="454" t="s">
        <v>1072</v>
      </c>
      <c r="B842" s="455" t="s">
        <v>2675</v>
      </c>
    </row>
    <row r="843" spans="1:2" x14ac:dyDescent="0.2">
      <c r="A843" s="454" t="s">
        <v>1073</v>
      </c>
      <c r="B843" s="455" t="s">
        <v>2676</v>
      </c>
    </row>
    <row r="844" spans="1:2" x14ac:dyDescent="0.2">
      <c r="A844" s="454" t="s">
        <v>1074</v>
      </c>
      <c r="B844" s="455" t="s">
        <v>2677</v>
      </c>
    </row>
    <row r="845" spans="1:2" x14ac:dyDescent="0.2">
      <c r="A845" s="454" t="s">
        <v>1075</v>
      </c>
      <c r="B845" s="455" t="s">
        <v>2678</v>
      </c>
    </row>
    <row r="846" spans="1:2" x14ac:dyDescent="0.2">
      <c r="A846" s="454" t="s">
        <v>1076</v>
      </c>
      <c r="B846" s="455" t="s">
        <v>2679</v>
      </c>
    </row>
    <row r="847" spans="1:2" x14ac:dyDescent="0.2">
      <c r="A847" s="454" t="s">
        <v>1077</v>
      </c>
      <c r="B847" s="455" t="s">
        <v>2680</v>
      </c>
    </row>
    <row r="848" spans="1:2" x14ac:dyDescent="0.2">
      <c r="A848" s="454" t="s">
        <v>1078</v>
      </c>
      <c r="B848" s="455" t="s">
        <v>2681</v>
      </c>
    </row>
    <row r="849" spans="1:2" x14ac:dyDescent="0.2">
      <c r="A849" s="454" t="s">
        <v>1079</v>
      </c>
      <c r="B849" s="455" t="s">
        <v>2682</v>
      </c>
    </row>
    <row r="850" spans="1:2" x14ac:dyDescent="0.2">
      <c r="A850" s="454" t="s">
        <v>1080</v>
      </c>
      <c r="B850" s="455" t="s">
        <v>2683</v>
      </c>
    </row>
    <row r="851" spans="1:2" x14ac:dyDescent="0.2">
      <c r="A851" s="454" t="s">
        <v>1081</v>
      </c>
      <c r="B851" s="455" t="s">
        <v>2684</v>
      </c>
    </row>
    <row r="852" spans="1:2" x14ac:dyDescent="0.2">
      <c r="A852" s="454" t="s">
        <v>1082</v>
      </c>
      <c r="B852" s="455" t="s">
        <v>2685</v>
      </c>
    </row>
    <row r="853" spans="1:2" x14ac:dyDescent="0.2">
      <c r="A853" s="454" t="s">
        <v>1083</v>
      </c>
      <c r="B853" s="455" t="s">
        <v>2686</v>
      </c>
    </row>
    <row r="854" spans="1:2" x14ac:dyDescent="0.2">
      <c r="A854" s="454" t="s">
        <v>1084</v>
      </c>
      <c r="B854" s="455" t="s">
        <v>2687</v>
      </c>
    </row>
    <row r="855" spans="1:2" x14ac:dyDescent="0.2">
      <c r="A855" s="454" t="s">
        <v>1085</v>
      </c>
      <c r="B855" s="455" t="s">
        <v>2688</v>
      </c>
    </row>
    <row r="856" spans="1:2" x14ac:dyDescent="0.2">
      <c r="A856" s="454" t="s">
        <v>1086</v>
      </c>
      <c r="B856" s="455" t="s">
        <v>2689</v>
      </c>
    </row>
    <row r="857" spans="1:2" x14ac:dyDescent="0.2">
      <c r="A857" s="454" t="s">
        <v>1087</v>
      </c>
      <c r="B857" s="455" t="s">
        <v>2690</v>
      </c>
    </row>
    <row r="858" spans="1:2" x14ac:dyDescent="0.2">
      <c r="A858" s="454" t="s">
        <v>1088</v>
      </c>
      <c r="B858" s="455" t="s">
        <v>2691</v>
      </c>
    </row>
    <row r="859" spans="1:2" x14ac:dyDescent="0.2">
      <c r="A859" s="454" t="s">
        <v>1089</v>
      </c>
      <c r="B859" s="455" t="s">
        <v>2692</v>
      </c>
    </row>
    <row r="860" spans="1:2" x14ac:dyDescent="0.2">
      <c r="A860" s="454" t="s">
        <v>1090</v>
      </c>
      <c r="B860" s="455" t="s">
        <v>2693</v>
      </c>
    </row>
    <row r="861" spans="1:2" x14ac:dyDescent="0.2">
      <c r="A861" s="454" t="s">
        <v>1091</v>
      </c>
      <c r="B861" s="455" t="s">
        <v>2694</v>
      </c>
    </row>
    <row r="862" spans="1:2" x14ac:dyDescent="0.2">
      <c r="A862" s="454" t="s">
        <v>1092</v>
      </c>
      <c r="B862" s="455" t="s">
        <v>2695</v>
      </c>
    </row>
    <row r="863" spans="1:2" x14ac:dyDescent="0.2">
      <c r="A863" s="454" t="s">
        <v>1093</v>
      </c>
      <c r="B863" s="455" t="s">
        <v>2696</v>
      </c>
    </row>
    <row r="864" spans="1:2" x14ac:dyDescent="0.2">
      <c r="A864" s="454" t="s">
        <v>1094</v>
      </c>
      <c r="B864" s="455" t="s">
        <v>2697</v>
      </c>
    </row>
    <row r="865" spans="1:2" x14ac:dyDescent="0.2">
      <c r="A865" s="454" t="s">
        <v>1095</v>
      </c>
      <c r="B865" s="455" t="s">
        <v>2698</v>
      </c>
    </row>
    <row r="866" spans="1:2" x14ac:dyDescent="0.2">
      <c r="A866" s="454" t="s">
        <v>1096</v>
      </c>
      <c r="B866" s="455" t="s">
        <v>2699</v>
      </c>
    </row>
    <row r="867" spans="1:2" x14ac:dyDescent="0.2">
      <c r="A867" s="454" t="s">
        <v>1097</v>
      </c>
      <c r="B867" s="455" t="s">
        <v>2700</v>
      </c>
    </row>
    <row r="868" spans="1:2" x14ac:dyDescent="0.2">
      <c r="A868" s="454" t="s">
        <v>1098</v>
      </c>
      <c r="B868" s="455" t="s">
        <v>2701</v>
      </c>
    </row>
    <row r="869" spans="1:2" x14ac:dyDescent="0.2">
      <c r="A869" s="454" t="s">
        <v>1099</v>
      </c>
      <c r="B869" s="455" t="s">
        <v>2702</v>
      </c>
    </row>
    <row r="870" spans="1:2" x14ac:dyDescent="0.2">
      <c r="A870" s="454" t="s">
        <v>1100</v>
      </c>
      <c r="B870" s="455" t="s">
        <v>2703</v>
      </c>
    </row>
    <row r="871" spans="1:2" x14ac:dyDescent="0.2">
      <c r="A871" s="454" t="s">
        <v>1101</v>
      </c>
      <c r="B871" s="455" t="s">
        <v>2704</v>
      </c>
    </row>
    <row r="872" spans="1:2" x14ac:dyDescent="0.2">
      <c r="A872" s="454" t="s">
        <v>1102</v>
      </c>
      <c r="B872" s="455" t="s">
        <v>2705</v>
      </c>
    </row>
    <row r="873" spans="1:2" x14ac:dyDescent="0.2">
      <c r="A873" s="454" t="s">
        <v>1103</v>
      </c>
      <c r="B873" s="455" t="s">
        <v>2706</v>
      </c>
    </row>
    <row r="874" spans="1:2" x14ac:dyDescent="0.2">
      <c r="A874" s="454" t="s">
        <v>1104</v>
      </c>
      <c r="B874" s="455" t="s">
        <v>2707</v>
      </c>
    </row>
    <row r="875" spans="1:2" x14ac:dyDescent="0.2">
      <c r="A875" s="454" t="s">
        <v>1105</v>
      </c>
      <c r="B875" s="455" t="s">
        <v>2708</v>
      </c>
    </row>
    <row r="876" spans="1:2" x14ac:dyDescent="0.2">
      <c r="A876" s="454" t="s">
        <v>1106</v>
      </c>
      <c r="B876" s="455" t="s">
        <v>2709</v>
      </c>
    </row>
    <row r="877" spans="1:2" x14ac:dyDescent="0.2">
      <c r="A877" s="454" t="s">
        <v>1107</v>
      </c>
      <c r="B877" s="455" t="s">
        <v>2710</v>
      </c>
    </row>
    <row r="878" spans="1:2" x14ac:dyDescent="0.2">
      <c r="A878" s="454" t="s">
        <v>1108</v>
      </c>
      <c r="B878" s="455" t="s">
        <v>2711</v>
      </c>
    </row>
    <row r="879" spans="1:2" x14ac:dyDescent="0.2">
      <c r="A879" s="454" t="s">
        <v>1109</v>
      </c>
      <c r="B879" s="455" t="s">
        <v>2712</v>
      </c>
    </row>
    <row r="880" spans="1:2" x14ac:dyDescent="0.2">
      <c r="A880" s="454" t="s">
        <v>1110</v>
      </c>
      <c r="B880" s="455" t="s">
        <v>2713</v>
      </c>
    </row>
    <row r="881" spans="1:2" x14ac:dyDescent="0.2">
      <c r="A881" s="454" t="s">
        <v>1111</v>
      </c>
      <c r="B881" s="455" t="s">
        <v>2714</v>
      </c>
    </row>
    <row r="882" spans="1:2" x14ac:dyDescent="0.2">
      <c r="A882" s="454" t="s">
        <v>1112</v>
      </c>
      <c r="B882" s="455" t="s">
        <v>2715</v>
      </c>
    </row>
    <row r="883" spans="1:2" x14ac:dyDescent="0.2">
      <c r="A883" s="454" t="s">
        <v>1113</v>
      </c>
      <c r="B883" s="455" t="s">
        <v>2716</v>
      </c>
    </row>
    <row r="884" spans="1:2" x14ac:dyDescent="0.2">
      <c r="A884" s="454" t="s">
        <v>1114</v>
      </c>
      <c r="B884" s="455" t="s">
        <v>2717</v>
      </c>
    </row>
    <row r="885" spans="1:2" x14ac:dyDescent="0.2">
      <c r="A885" s="454" t="s">
        <v>1115</v>
      </c>
      <c r="B885" s="455" t="s">
        <v>2718</v>
      </c>
    </row>
    <row r="886" spans="1:2" x14ac:dyDescent="0.2">
      <c r="A886" s="454" t="s">
        <v>1116</v>
      </c>
      <c r="B886" s="455" t="s">
        <v>2719</v>
      </c>
    </row>
    <row r="887" spans="1:2" x14ac:dyDescent="0.2">
      <c r="A887" s="454" t="s">
        <v>1117</v>
      </c>
      <c r="B887" s="455" t="s">
        <v>2720</v>
      </c>
    </row>
    <row r="888" spans="1:2" x14ac:dyDescent="0.2">
      <c r="A888" s="454" t="s">
        <v>1118</v>
      </c>
      <c r="B888" s="455" t="s">
        <v>2721</v>
      </c>
    </row>
    <row r="889" spans="1:2" x14ac:dyDescent="0.2">
      <c r="A889" s="454" t="s">
        <v>1119</v>
      </c>
      <c r="B889" s="455" t="s">
        <v>2722</v>
      </c>
    </row>
    <row r="890" spans="1:2" x14ac:dyDescent="0.2">
      <c r="A890" s="454" t="s">
        <v>1120</v>
      </c>
      <c r="B890" s="455" t="s">
        <v>1121</v>
      </c>
    </row>
    <row r="891" spans="1:2" x14ac:dyDescent="0.2">
      <c r="A891" s="454" t="s">
        <v>1122</v>
      </c>
      <c r="B891" s="455" t="s">
        <v>2723</v>
      </c>
    </row>
    <row r="892" spans="1:2" x14ac:dyDescent="0.2">
      <c r="A892" s="454" t="s">
        <v>1123</v>
      </c>
      <c r="B892" s="455" t="s">
        <v>2724</v>
      </c>
    </row>
    <row r="893" spans="1:2" x14ac:dyDescent="0.2">
      <c r="A893" s="454" t="s">
        <v>1124</v>
      </c>
      <c r="B893" s="455" t="s">
        <v>2725</v>
      </c>
    </row>
    <row r="894" spans="1:2" x14ac:dyDescent="0.2">
      <c r="A894" s="454" t="s">
        <v>1125</v>
      </c>
      <c r="B894" s="455" t="s">
        <v>2726</v>
      </c>
    </row>
    <row r="895" spans="1:2" x14ac:dyDescent="0.2">
      <c r="A895" s="454" t="s">
        <v>1126</v>
      </c>
      <c r="B895" s="455" t="s">
        <v>2727</v>
      </c>
    </row>
    <row r="896" spans="1:2" x14ac:dyDescent="0.2">
      <c r="A896" s="454" t="s">
        <v>1127</v>
      </c>
      <c r="B896" s="455" t="s">
        <v>2728</v>
      </c>
    </row>
    <row r="897" spans="1:2" x14ac:dyDescent="0.2">
      <c r="A897" s="454" t="s">
        <v>1128</v>
      </c>
      <c r="B897" s="455" t="s">
        <v>2729</v>
      </c>
    </row>
    <row r="898" spans="1:2" x14ac:dyDescent="0.2">
      <c r="A898" s="454" t="s">
        <v>1129</v>
      </c>
      <c r="B898" s="455" t="s">
        <v>2730</v>
      </c>
    </row>
    <row r="899" spans="1:2" x14ac:dyDescent="0.2">
      <c r="A899" s="454" t="s">
        <v>1130</v>
      </c>
      <c r="B899" s="455" t="s">
        <v>2731</v>
      </c>
    </row>
    <row r="900" spans="1:2" x14ac:dyDescent="0.2">
      <c r="A900" s="454" t="s">
        <v>1131</v>
      </c>
      <c r="B900" s="455" t="s">
        <v>2732</v>
      </c>
    </row>
    <row r="901" spans="1:2" x14ac:dyDescent="0.2">
      <c r="A901" s="454" t="s">
        <v>1132</v>
      </c>
      <c r="B901" s="455" t="s">
        <v>2733</v>
      </c>
    </row>
    <row r="902" spans="1:2" x14ac:dyDescent="0.2">
      <c r="A902" s="454" t="s">
        <v>1133</v>
      </c>
      <c r="B902" s="455" t="s">
        <v>1134</v>
      </c>
    </row>
    <row r="903" spans="1:2" x14ac:dyDescent="0.2">
      <c r="A903" s="454" t="s">
        <v>1135</v>
      </c>
      <c r="B903" s="455" t="s">
        <v>2734</v>
      </c>
    </row>
    <row r="904" spans="1:2" x14ac:dyDescent="0.2">
      <c r="A904" s="454" t="s">
        <v>1136</v>
      </c>
      <c r="B904" s="455" t="s">
        <v>2735</v>
      </c>
    </row>
    <row r="905" spans="1:2" x14ac:dyDescent="0.2">
      <c r="A905" s="454" t="s">
        <v>1137</v>
      </c>
      <c r="B905" s="455" t="s">
        <v>2736</v>
      </c>
    </row>
    <row r="906" spans="1:2" x14ac:dyDescent="0.2">
      <c r="A906" s="454" t="s">
        <v>1138</v>
      </c>
      <c r="B906" s="455" t="s">
        <v>2737</v>
      </c>
    </row>
    <row r="907" spans="1:2" x14ac:dyDescent="0.2">
      <c r="A907" s="454" t="s">
        <v>1139</v>
      </c>
      <c r="B907" s="455" t="s">
        <v>2738</v>
      </c>
    </row>
    <row r="908" spans="1:2" x14ac:dyDescent="0.2">
      <c r="A908" s="454" t="s">
        <v>1140</v>
      </c>
      <c r="B908" s="455" t="s">
        <v>2739</v>
      </c>
    </row>
    <row r="909" spans="1:2" x14ac:dyDescent="0.2">
      <c r="A909" s="454" t="s">
        <v>1141</v>
      </c>
      <c r="B909" s="455" t="s">
        <v>2740</v>
      </c>
    </row>
    <row r="910" spans="1:2" x14ac:dyDescent="0.2">
      <c r="A910" s="454" t="s">
        <v>1142</v>
      </c>
      <c r="B910" s="455" t="s">
        <v>2741</v>
      </c>
    </row>
    <row r="911" spans="1:2" x14ac:dyDescent="0.2">
      <c r="A911" s="454" t="s">
        <v>1143</v>
      </c>
      <c r="B911" s="455" t="s">
        <v>2742</v>
      </c>
    </row>
    <row r="912" spans="1:2" x14ac:dyDescent="0.2">
      <c r="A912" s="454" t="s">
        <v>1144</v>
      </c>
      <c r="B912" s="455" t="s">
        <v>2743</v>
      </c>
    </row>
    <row r="913" spans="1:2" x14ac:dyDescent="0.2">
      <c r="A913" s="454" t="s">
        <v>1145</v>
      </c>
      <c r="B913" s="455" t="s">
        <v>2744</v>
      </c>
    </row>
    <row r="914" spans="1:2" x14ac:dyDescent="0.2">
      <c r="A914" s="454" t="s">
        <v>1146</v>
      </c>
      <c r="B914" s="455" t="s">
        <v>2745</v>
      </c>
    </row>
    <row r="915" spans="1:2" x14ac:dyDescent="0.2">
      <c r="A915" s="454" t="s">
        <v>1147</v>
      </c>
      <c r="B915" s="455" t="s">
        <v>2746</v>
      </c>
    </row>
    <row r="916" spans="1:2" x14ac:dyDescent="0.2">
      <c r="A916" s="454" t="s">
        <v>1148</v>
      </c>
      <c r="B916" s="455" t="s">
        <v>2747</v>
      </c>
    </row>
    <row r="917" spans="1:2" x14ac:dyDescent="0.2">
      <c r="A917" s="454" t="s">
        <v>1149</v>
      </c>
      <c r="B917" s="455" t="s">
        <v>2748</v>
      </c>
    </row>
    <row r="918" spans="1:2" x14ac:dyDescent="0.2">
      <c r="A918" s="454" t="s">
        <v>1150</v>
      </c>
      <c r="B918" s="455" t="s">
        <v>2749</v>
      </c>
    </row>
    <row r="919" spans="1:2" x14ac:dyDescent="0.2">
      <c r="A919" s="454" t="s">
        <v>1151</v>
      </c>
      <c r="B919" s="455" t="s">
        <v>2750</v>
      </c>
    </row>
    <row r="920" spans="1:2" x14ac:dyDescent="0.2">
      <c r="A920" s="454" t="s">
        <v>1152</v>
      </c>
      <c r="B920" s="455" t="s">
        <v>2751</v>
      </c>
    </row>
    <row r="921" spans="1:2" x14ac:dyDescent="0.2">
      <c r="A921" s="454" t="s">
        <v>1153</v>
      </c>
      <c r="B921" s="455" t="s">
        <v>2752</v>
      </c>
    </row>
    <row r="922" spans="1:2" x14ac:dyDescent="0.2">
      <c r="A922" s="454" t="s">
        <v>1154</v>
      </c>
      <c r="B922" s="455" t="s">
        <v>2753</v>
      </c>
    </row>
    <row r="923" spans="1:2" x14ac:dyDescent="0.2">
      <c r="A923" s="454" t="s">
        <v>1155</v>
      </c>
      <c r="B923" s="455" t="s">
        <v>2754</v>
      </c>
    </row>
    <row r="924" spans="1:2" x14ac:dyDescent="0.2">
      <c r="A924" s="454" t="s">
        <v>1156</v>
      </c>
      <c r="B924" s="455" t="s">
        <v>2755</v>
      </c>
    </row>
    <row r="925" spans="1:2" x14ac:dyDescent="0.2">
      <c r="A925" s="454" t="s">
        <v>1157</v>
      </c>
      <c r="B925" s="455" t="s">
        <v>2756</v>
      </c>
    </row>
    <row r="926" spans="1:2" x14ac:dyDescent="0.2">
      <c r="A926" s="454" t="s">
        <v>1158</v>
      </c>
      <c r="B926" s="455" t="s">
        <v>2757</v>
      </c>
    </row>
    <row r="927" spans="1:2" x14ac:dyDescent="0.2">
      <c r="A927" s="454" t="s">
        <v>1159</v>
      </c>
      <c r="B927" s="455" t="s">
        <v>2758</v>
      </c>
    </row>
    <row r="928" spans="1:2" x14ac:dyDescent="0.2">
      <c r="A928" s="454" t="s">
        <v>1160</v>
      </c>
      <c r="B928" s="455" t="s">
        <v>2759</v>
      </c>
    </row>
    <row r="929" spans="1:2" x14ac:dyDescent="0.2">
      <c r="A929" s="454" t="s">
        <v>1161</v>
      </c>
      <c r="B929" s="455" t="s">
        <v>2760</v>
      </c>
    </row>
    <row r="930" spans="1:2" x14ac:dyDescent="0.2">
      <c r="A930" s="454" t="s">
        <v>1162</v>
      </c>
      <c r="B930" s="455" t="s">
        <v>2761</v>
      </c>
    </row>
    <row r="931" spans="1:2" x14ac:dyDescent="0.2">
      <c r="A931" s="454" t="s">
        <v>1163</v>
      </c>
      <c r="B931" s="455" t="s">
        <v>2762</v>
      </c>
    </row>
    <row r="932" spans="1:2" x14ac:dyDescent="0.2">
      <c r="A932" s="454" t="s">
        <v>1164</v>
      </c>
      <c r="B932" s="455" t="s">
        <v>2763</v>
      </c>
    </row>
    <row r="933" spans="1:2" x14ac:dyDescent="0.2">
      <c r="A933" s="454" t="s">
        <v>1165</v>
      </c>
      <c r="B933" s="455" t="s">
        <v>2764</v>
      </c>
    </row>
    <row r="934" spans="1:2" x14ac:dyDescent="0.2">
      <c r="A934" s="454" t="s">
        <v>1166</v>
      </c>
      <c r="B934" s="455" t="s">
        <v>2765</v>
      </c>
    </row>
    <row r="935" spans="1:2" x14ac:dyDescent="0.2">
      <c r="A935" s="454" t="s">
        <v>1167</v>
      </c>
      <c r="B935" s="455" t="s">
        <v>2766</v>
      </c>
    </row>
    <row r="936" spans="1:2" x14ac:dyDescent="0.2">
      <c r="A936" s="454" t="s">
        <v>1168</v>
      </c>
      <c r="B936" s="455" t="s">
        <v>2767</v>
      </c>
    </row>
    <row r="937" spans="1:2" x14ac:dyDescent="0.2">
      <c r="A937" s="454" t="s">
        <v>1169</v>
      </c>
      <c r="B937" s="455" t="s">
        <v>2768</v>
      </c>
    </row>
    <row r="938" spans="1:2" x14ac:dyDescent="0.2">
      <c r="A938" s="454" t="s">
        <v>1170</v>
      </c>
      <c r="B938" s="455" t="s">
        <v>2769</v>
      </c>
    </row>
    <row r="939" spans="1:2" x14ac:dyDescent="0.2">
      <c r="A939" s="454" t="s">
        <v>1171</v>
      </c>
      <c r="B939" s="455" t="s">
        <v>2770</v>
      </c>
    </row>
    <row r="940" spans="1:2" x14ac:dyDescent="0.2">
      <c r="A940" s="454" t="s">
        <v>1172</v>
      </c>
      <c r="B940" s="455" t="s">
        <v>2771</v>
      </c>
    </row>
    <row r="941" spans="1:2" x14ac:dyDescent="0.2">
      <c r="A941" s="454" t="s">
        <v>1173</v>
      </c>
      <c r="B941" s="455" t="s">
        <v>2772</v>
      </c>
    </row>
    <row r="942" spans="1:2" x14ac:dyDescent="0.2">
      <c r="A942" s="454" t="s">
        <v>1174</v>
      </c>
      <c r="B942" s="455" t="s">
        <v>2773</v>
      </c>
    </row>
    <row r="943" spans="1:2" x14ac:dyDescent="0.2">
      <c r="A943" s="454" t="s">
        <v>1175</v>
      </c>
      <c r="B943" s="455" t="s">
        <v>2774</v>
      </c>
    </row>
    <row r="944" spans="1:2" x14ac:dyDescent="0.2">
      <c r="A944" s="454" t="s">
        <v>1176</v>
      </c>
      <c r="B944" s="455" t="s">
        <v>2775</v>
      </c>
    </row>
    <row r="945" spans="1:2" x14ac:dyDescent="0.2">
      <c r="A945" s="454" t="s">
        <v>1177</v>
      </c>
      <c r="B945" s="455" t="s">
        <v>2776</v>
      </c>
    </row>
    <row r="946" spans="1:2" x14ac:dyDescent="0.2">
      <c r="A946" s="454" t="s">
        <v>1178</v>
      </c>
      <c r="B946" s="455" t="s">
        <v>2777</v>
      </c>
    </row>
    <row r="947" spans="1:2" x14ac:dyDescent="0.2">
      <c r="A947" s="454" t="s">
        <v>1179</v>
      </c>
      <c r="B947" s="455" t="s">
        <v>2778</v>
      </c>
    </row>
    <row r="948" spans="1:2" x14ac:dyDescent="0.2">
      <c r="A948" s="454" t="s">
        <v>1180</v>
      </c>
      <c r="B948" s="455" t="s">
        <v>2779</v>
      </c>
    </row>
    <row r="949" spans="1:2" x14ac:dyDescent="0.2">
      <c r="A949" s="454" t="s">
        <v>1181</v>
      </c>
      <c r="B949" s="455" t="s">
        <v>2780</v>
      </c>
    </row>
    <row r="950" spans="1:2" x14ac:dyDescent="0.2">
      <c r="A950" s="454" t="s">
        <v>1182</v>
      </c>
      <c r="B950" s="455" t="s">
        <v>2781</v>
      </c>
    </row>
    <row r="951" spans="1:2" x14ac:dyDescent="0.2">
      <c r="A951" s="454" t="s">
        <v>1183</v>
      </c>
      <c r="B951" s="455" t="s">
        <v>2782</v>
      </c>
    </row>
    <row r="952" spans="1:2" x14ac:dyDescent="0.2">
      <c r="A952" s="454" t="s">
        <v>1184</v>
      </c>
      <c r="B952" s="455" t="s">
        <v>2783</v>
      </c>
    </row>
    <row r="953" spans="1:2" x14ac:dyDescent="0.2">
      <c r="A953" s="454" t="s">
        <v>1185</v>
      </c>
      <c r="B953" s="455" t="s">
        <v>2784</v>
      </c>
    </row>
    <row r="954" spans="1:2" x14ac:dyDescent="0.2">
      <c r="A954" s="454" t="s">
        <v>1186</v>
      </c>
      <c r="B954" s="455" t="s">
        <v>2785</v>
      </c>
    </row>
    <row r="955" spans="1:2" x14ac:dyDescent="0.2">
      <c r="A955" s="454" t="s">
        <v>1187</v>
      </c>
      <c r="B955" s="455" t="s">
        <v>2786</v>
      </c>
    </row>
    <row r="956" spans="1:2" x14ac:dyDescent="0.2">
      <c r="A956" s="454" t="s">
        <v>1188</v>
      </c>
      <c r="B956" s="455" t="s">
        <v>2787</v>
      </c>
    </row>
    <row r="957" spans="1:2" x14ac:dyDescent="0.2">
      <c r="A957" s="454" t="s">
        <v>1189</v>
      </c>
      <c r="B957" s="455" t="s">
        <v>2788</v>
      </c>
    </row>
    <row r="958" spans="1:2" x14ac:dyDescent="0.2">
      <c r="A958" s="454" t="s">
        <v>1190</v>
      </c>
      <c r="B958" s="455" t="s">
        <v>2789</v>
      </c>
    </row>
    <row r="959" spans="1:2" x14ac:dyDescent="0.2">
      <c r="A959" s="454" t="s">
        <v>1191</v>
      </c>
      <c r="B959" s="455" t="s">
        <v>2790</v>
      </c>
    </row>
    <row r="960" spans="1:2" x14ac:dyDescent="0.2">
      <c r="A960" s="454" t="s">
        <v>1192</v>
      </c>
      <c r="B960" s="455" t="s">
        <v>2791</v>
      </c>
    </row>
    <row r="961" spans="1:2" x14ac:dyDescent="0.2">
      <c r="A961" s="454" t="s">
        <v>1193</v>
      </c>
      <c r="B961" s="455" t="s">
        <v>2792</v>
      </c>
    </row>
    <row r="962" spans="1:2" x14ac:dyDescent="0.2">
      <c r="A962" s="454" t="s">
        <v>1194</v>
      </c>
      <c r="B962" s="455" t="s">
        <v>2793</v>
      </c>
    </row>
    <row r="963" spans="1:2" x14ac:dyDescent="0.2">
      <c r="A963" s="454" t="s">
        <v>1195</v>
      </c>
      <c r="B963" s="455" t="s">
        <v>2794</v>
      </c>
    </row>
    <row r="964" spans="1:2" x14ac:dyDescent="0.2">
      <c r="A964" s="454" t="s">
        <v>1196</v>
      </c>
      <c r="B964" s="455" t="s">
        <v>2795</v>
      </c>
    </row>
    <row r="965" spans="1:2" x14ac:dyDescent="0.2">
      <c r="A965" s="454" t="s">
        <v>1197</v>
      </c>
      <c r="B965" s="455" t="s">
        <v>2796</v>
      </c>
    </row>
    <row r="966" spans="1:2" x14ac:dyDescent="0.2">
      <c r="A966" s="454" t="s">
        <v>1198</v>
      </c>
      <c r="B966" s="455" t="s">
        <v>2797</v>
      </c>
    </row>
    <row r="967" spans="1:2" x14ac:dyDescent="0.2">
      <c r="A967" s="454" t="s">
        <v>1199</v>
      </c>
      <c r="B967" s="455" t="s">
        <v>1200</v>
      </c>
    </row>
    <row r="968" spans="1:2" x14ac:dyDescent="0.2">
      <c r="A968" s="454" t="s">
        <v>1201</v>
      </c>
      <c r="B968" s="455" t="s">
        <v>2798</v>
      </c>
    </row>
    <row r="969" spans="1:2" x14ac:dyDescent="0.2">
      <c r="A969" s="454" t="s">
        <v>1202</v>
      </c>
      <c r="B969" s="455" t="s">
        <v>2799</v>
      </c>
    </row>
    <row r="970" spans="1:2" x14ac:dyDescent="0.2">
      <c r="A970" s="454" t="s">
        <v>1203</v>
      </c>
      <c r="B970" s="455" t="s">
        <v>2800</v>
      </c>
    </row>
    <row r="971" spans="1:2" x14ac:dyDescent="0.2">
      <c r="A971" s="454" t="s">
        <v>1204</v>
      </c>
      <c r="B971" s="455" t="s">
        <v>2801</v>
      </c>
    </row>
    <row r="972" spans="1:2" x14ac:dyDescent="0.2">
      <c r="A972" s="454" t="s">
        <v>1205</v>
      </c>
      <c r="B972" s="455" t="s">
        <v>2802</v>
      </c>
    </row>
    <row r="973" spans="1:2" x14ac:dyDescent="0.2">
      <c r="A973" s="454" t="s">
        <v>1206</v>
      </c>
      <c r="B973" s="455" t="s">
        <v>2803</v>
      </c>
    </row>
    <row r="974" spans="1:2" x14ac:dyDescent="0.2">
      <c r="A974" s="454" t="s">
        <v>1207</v>
      </c>
      <c r="B974" s="455" t="s">
        <v>2804</v>
      </c>
    </row>
    <row r="975" spans="1:2" x14ac:dyDescent="0.2">
      <c r="A975" s="454" t="s">
        <v>1208</v>
      </c>
      <c r="B975" s="455" t="s">
        <v>2805</v>
      </c>
    </row>
    <row r="976" spans="1:2" x14ac:dyDescent="0.2">
      <c r="A976" s="454" t="s">
        <v>1209</v>
      </c>
      <c r="B976" s="455" t="s">
        <v>2806</v>
      </c>
    </row>
    <row r="977" spans="1:2" x14ac:dyDescent="0.2">
      <c r="A977" s="454" t="s">
        <v>1210</v>
      </c>
      <c r="B977" s="455" t="s">
        <v>2807</v>
      </c>
    </row>
    <row r="978" spans="1:2" x14ac:dyDescent="0.2">
      <c r="A978" s="454" t="s">
        <v>1211</v>
      </c>
      <c r="B978" s="455" t="s">
        <v>2808</v>
      </c>
    </row>
    <row r="979" spans="1:2" x14ac:dyDescent="0.2">
      <c r="A979" s="454" t="s">
        <v>1212</v>
      </c>
      <c r="B979" s="455" t="s">
        <v>2809</v>
      </c>
    </row>
    <row r="980" spans="1:2" x14ac:dyDescent="0.2">
      <c r="A980" s="454" t="s">
        <v>1213</v>
      </c>
      <c r="B980" s="455" t="s">
        <v>2810</v>
      </c>
    </row>
    <row r="981" spans="1:2" x14ac:dyDescent="0.2">
      <c r="A981" s="454" t="s">
        <v>1214</v>
      </c>
      <c r="B981" s="455" t="s">
        <v>2811</v>
      </c>
    </row>
    <row r="982" spans="1:2" x14ac:dyDescent="0.2">
      <c r="A982" s="454" t="s">
        <v>1215</v>
      </c>
      <c r="B982" s="455" t="s">
        <v>2812</v>
      </c>
    </row>
    <row r="983" spans="1:2" x14ac:dyDescent="0.2">
      <c r="A983" s="454" t="s">
        <v>1216</v>
      </c>
      <c r="B983" s="455" t="s">
        <v>2813</v>
      </c>
    </row>
    <row r="984" spans="1:2" x14ac:dyDescent="0.2">
      <c r="A984" s="454" t="s">
        <v>1217</v>
      </c>
      <c r="B984" s="455" t="s">
        <v>2814</v>
      </c>
    </row>
    <row r="985" spans="1:2" x14ac:dyDescent="0.2">
      <c r="A985" s="454" t="s">
        <v>1218</v>
      </c>
      <c r="B985" s="455" t="s">
        <v>2815</v>
      </c>
    </row>
    <row r="986" spans="1:2" x14ac:dyDescent="0.2">
      <c r="A986" s="454" t="s">
        <v>1219</v>
      </c>
      <c r="B986" s="455" t="s">
        <v>2816</v>
      </c>
    </row>
    <row r="987" spans="1:2" x14ac:dyDescent="0.2">
      <c r="A987" s="454" t="s">
        <v>1220</v>
      </c>
      <c r="B987" s="455" t="s">
        <v>2817</v>
      </c>
    </row>
    <row r="988" spans="1:2" x14ac:dyDescent="0.2">
      <c r="A988" s="454" t="s">
        <v>1221</v>
      </c>
      <c r="B988" s="455" t="s">
        <v>2818</v>
      </c>
    </row>
    <row r="989" spans="1:2" x14ac:dyDescent="0.2">
      <c r="A989" s="454" t="s">
        <v>1222</v>
      </c>
      <c r="B989" s="455" t="s">
        <v>2819</v>
      </c>
    </row>
    <row r="990" spans="1:2" x14ac:dyDescent="0.2">
      <c r="A990" s="454" t="s">
        <v>1223</v>
      </c>
      <c r="B990" s="455" t="s">
        <v>2820</v>
      </c>
    </row>
    <row r="991" spans="1:2" x14ac:dyDescent="0.2">
      <c r="A991" s="454" t="s">
        <v>1224</v>
      </c>
      <c r="B991" s="455" t="s">
        <v>2821</v>
      </c>
    </row>
    <row r="992" spans="1:2" x14ac:dyDescent="0.2">
      <c r="A992" s="454" t="s">
        <v>1225</v>
      </c>
      <c r="B992" s="455" t="s">
        <v>2822</v>
      </c>
    </row>
    <row r="993" spans="1:2" x14ac:dyDescent="0.2">
      <c r="A993" s="454" t="s">
        <v>1226</v>
      </c>
      <c r="B993" s="455" t="s">
        <v>2823</v>
      </c>
    </row>
    <row r="994" spans="1:2" x14ac:dyDescent="0.2">
      <c r="A994" s="454" t="s">
        <v>1227</v>
      </c>
      <c r="B994" s="455" t="s">
        <v>2824</v>
      </c>
    </row>
    <row r="995" spans="1:2" x14ac:dyDescent="0.2">
      <c r="A995" s="454" t="s">
        <v>1228</v>
      </c>
      <c r="B995" s="455" t="s">
        <v>2825</v>
      </c>
    </row>
    <row r="996" spans="1:2" x14ac:dyDescent="0.2">
      <c r="A996" s="454" t="s">
        <v>1229</v>
      </c>
      <c r="B996" s="455" t="s">
        <v>2826</v>
      </c>
    </row>
    <row r="997" spans="1:2" x14ac:dyDescent="0.2">
      <c r="A997" s="454" t="s">
        <v>1230</v>
      </c>
      <c r="B997" s="455" t="s">
        <v>2827</v>
      </c>
    </row>
    <row r="998" spans="1:2" x14ac:dyDescent="0.2">
      <c r="A998" s="454" t="s">
        <v>1231</v>
      </c>
      <c r="B998" s="455" t="s">
        <v>2828</v>
      </c>
    </row>
    <row r="999" spans="1:2" x14ac:dyDescent="0.2">
      <c r="A999" s="454" t="s">
        <v>1232</v>
      </c>
      <c r="B999" s="455" t="s">
        <v>2829</v>
      </c>
    </row>
    <row r="1000" spans="1:2" x14ac:dyDescent="0.2">
      <c r="A1000" s="454" t="s">
        <v>1233</v>
      </c>
      <c r="B1000" s="455" t="s">
        <v>2830</v>
      </c>
    </row>
    <row r="1001" spans="1:2" x14ac:dyDescent="0.2">
      <c r="A1001" s="454" t="s">
        <v>1234</v>
      </c>
      <c r="B1001" s="455" t="s">
        <v>2831</v>
      </c>
    </row>
    <row r="1002" spans="1:2" x14ac:dyDescent="0.2">
      <c r="A1002" s="454" t="s">
        <v>1235</v>
      </c>
      <c r="B1002" s="455" t="s">
        <v>2832</v>
      </c>
    </row>
    <row r="1003" spans="1:2" x14ac:dyDescent="0.2">
      <c r="A1003" s="454" t="s">
        <v>1236</v>
      </c>
      <c r="B1003" s="455" t="s">
        <v>2833</v>
      </c>
    </row>
    <row r="1004" spans="1:2" x14ac:dyDescent="0.2">
      <c r="A1004" s="454" t="s">
        <v>1237</v>
      </c>
      <c r="B1004" s="455" t="s">
        <v>2834</v>
      </c>
    </row>
    <row r="1005" spans="1:2" x14ac:dyDescent="0.2">
      <c r="A1005" s="454" t="s">
        <v>1238</v>
      </c>
      <c r="B1005" s="455" t="s">
        <v>2835</v>
      </c>
    </row>
    <row r="1006" spans="1:2" x14ac:dyDescent="0.2">
      <c r="A1006" s="454" t="s">
        <v>1239</v>
      </c>
      <c r="B1006" s="455" t="s">
        <v>2836</v>
      </c>
    </row>
    <row r="1007" spans="1:2" x14ac:dyDescent="0.2">
      <c r="A1007" s="454" t="s">
        <v>1240</v>
      </c>
      <c r="B1007" s="455" t="s">
        <v>2837</v>
      </c>
    </row>
    <row r="1008" spans="1:2" x14ac:dyDescent="0.2">
      <c r="A1008" s="454" t="s">
        <v>1241</v>
      </c>
      <c r="B1008" s="455" t="s">
        <v>2838</v>
      </c>
    </row>
    <row r="1009" spans="1:2" x14ac:dyDescent="0.2">
      <c r="A1009" s="454" t="s">
        <v>1242</v>
      </c>
      <c r="B1009" s="455" t="s">
        <v>2839</v>
      </c>
    </row>
    <row r="1010" spans="1:2" x14ac:dyDescent="0.2">
      <c r="A1010" s="454" t="s">
        <v>1243</v>
      </c>
      <c r="B1010" s="455" t="s">
        <v>2840</v>
      </c>
    </row>
    <row r="1011" spans="1:2" x14ac:dyDescent="0.2">
      <c r="A1011" s="454" t="s">
        <v>1244</v>
      </c>
      <c r="B1011" s="455" t="s">
        <v>2841</v>
      </c>
    </row>
    <row r="1012" spans="1:2" x14ac:dyDescent="0.2">
      <c r="A1012" s="454" t="s">
        <v>1245</v>
      </c>
      <c r="B1012" s="455" t="s">
        <v>2842</v>
      </c>
    </row>
    <row r="1013" spans="1:2" x14ac:dyDescent="0.2">
      <c r="A1013" s="454" t="s">
        <v>1246</v>
      </c>
      <c r="B1013" s="455" t="s">
        <v>2843</v>
      </c>
    </row>
    <row r="1014" spans="1:2" x14ac:dyDescent="0.2">
      <c r="A1014" s="454" t="s">
        <v>1247</v>
      </c>
      <c r="B1014" s="455" t="s">
        <v>2844</v>
      </c>
    </row>
    <row r="1015" spans="1:2" x14ac:dyDescent="0.2">
      <c r="A1015" s="454" t="s">
        <v>1248</v>
      </c>
      <c r="B1015" s="455" t="s">
        <v>2845</v>
      </c>
    </row>
    <row r="1016" spans="1:2" x14ac:dyDescent="0.2">
      <c r="A1016" s="454" t="s">
        <v>1249</v>
      </c>
      <c r="B1016" s="455" t="s">
        <v>2846</v>
      </c>
    </row>
    <row r="1017" spans="1:2" x14ac:dyDescent="0.2">
      <c r="A1017" s="454" t="s">
        <v>1250</v>
      </c>
      <c r="B1017" s="455" t="s">
        <v>2847</v>
      </c>
    </row>
    <row r="1018" spans="1:2" x14ac:dyDescent="0.2">
      <c r="A1018" s="454" t="s">
        <v>1251</v>
      </c>
      <c r="B1018" s="455" t="s">
        <v>2848</v>
      </c>
    </row>
    <row r="1019" spans="1:2" x14ac:dyDescent="0.2">
      <c r="A1019" s="454" t="s">
        <v>1252</v>
      </c>
      <c r="B1019" s="455" t="s">
        <v>2849</v>
      </c>
    </row>
    <row r="1020" spans="1:2" x14ac:dyDescent="0.2">
      <c r="A1020" s="454" t="s">
        <v>1253</v>
      </c>
      <c r="B1020" s="455" t="s">
        <v>2850</v>
      </c>
    </row>
    <row r="1021" spans="1:2" x14ac:dyDescent="0.2">
      <c r="A1021" s="454" t="s">
        <v>1254</v>
      </c>
      <c r="B1021" s="455" t="s">
        <v>2851</v>
      </c>
    </row>
    <row r="1022" spans="1:2" x14ac:dyDescent="0.2">
      <c r="A1022" s="454" t="s">
        <v>1255</v>
      </c>
      <c r="B1022" s="455" t="s">
        <v>2852</v>
      </c>
    </row>
    <row r="1023" spans="1:2" x14ac:dyDescent="0.2">
      <c r="A1023" s="454" t="s">
        <v>1256</v>
      </c>
      <c r="B1023" s="455" t="s">
        <v>2853</v>
      </c>
    </row>
    <row r="1024" spans="1:2" x14ac:dyDescent="0.2">
      <c r="A1024" s="454" t="s">
        <v>1257</v>
      </c>
      <c r="B1024" s="455" t="s">
        <v>2854</v>
      </c>
    </row>
    <row r="1025" spans="1:2" x14ac:dyDescent="0.2">
      <c r="A1025" s="454" t="s">
        <v>1258</v>
      </c>
      <c r="B1025" s="455" t="s">
        <v>2855</v>
      </c>
    </row>
    <row r="1026" spans="1:2" x14ac:dyDescent="0.2">
      <c r="A1026" s="454" t="s">
        <v>1259</v>
      </c>
      <c r="B1026" s="455" t="s">
        <v>2856</v>
      </c>
    </row>
    <row r="1027" spans="1:2" x14ac:dyDescent="0.2">
      <c r="A1027" s="454" t="s">
        <v>1260</v>
      </c>
      <c r="B1027" s="455" t="s">
        <v>2857</v>
      </c>
    </row>
    <row r="1028" spans="1:2" x14ac:dyDescent="0.2">
      <c r="A1028" s="454" t="s">
        <v>1261</v>
      </c>
      <c r="B1028" s="455" t="s">
        <v>2858</v>
      </c>
    </row>
    <row r="1029" spans="1:2" x14ac:dyDescent="0.2">
      <c r="A1029" s="454" t="s">
        <v>1262</v>
      </c>
      <c r="B1029" s="455" t="s">
        <v>2859</v>
      </c>
    </row>
    <row r="1030" spans="1:2" x14ac:dyDescent="0.2">
      <c r="A1030" s="454" t="s">
        <v>1263</v>
      </c>
      <c r="B1030" s="455" t="s">
        <v>2860</v>
      </c>
    </row>
    <row r="1031" spans="1:2" x14ac:dyDescent="0.2">
      <c r="A1031" s="454" t="s">
        <v>1264</v>
      </c>
      <c r="B1031" s="455" t="s">
        <v>2861</v>
      </c>
    </row>
    <row r="1032" spans="1:2" x14ac:dyDescent="0.2">
      <c r="A1032" s="454" t="s">
        <v>1265</v>
      </c>
      <c r="B1032" s="455" t="s">
        <v>2862</v>
      </c>
    </row>
    <row r="1033" spans="1:2" x14ac:dyDescent="0.2">
      <c r="A1033" s="454" t="s">
        <v>1266</v>
      </c>
      <c r="B1033" s="455" t="s">
        <v>2863</v>
      </c>
    </row>
    <row r="1034" spans="1:2" x14ac:dyDescent="0.2">
      <c r="A1034" s="454" t="s">
        <v>1267</v>
      </c>
      <c r="B1034" s="455" t="s">
        <v>2864</v>
      </c>
    </row>
    <row r="1035" spans="1:2" x14ac:dyDescent="0.2">
      <c r="A1035" s="454" t="s">
        <v>1268</v>
      </c>
      <c r="B1035" s="455" t="s">
        <v>2865</v>
      </c>
    </row>
    <row r="1036" spans="1:2" x14ac:dyDescent="0.2">
      <c r="A1036" s="454" t="s">
        <v>1269</v>
      </c>
      <c r="B1036" s="455" t="s">
        <v>2866</v>
      </c>
    </row>
    <row r="1037" spans="1:2" x14ac:dyDescent="0.2">
      <c r="A1037" s="454" t="s">
        <v>1270</v>
      </c>
      <c r="B1037" s="455" t="s">
        <v>2867</v>
      </c>
    </row>
    <row r="1038" spans="1:2" x14ac:dyDescent="0.2">
      <c r="A1038" s="454" t="s">
        <v>1271</v>
      </c>
      <c r="B1038" s="455" t="s">
        <v>2868</v>
      </c>
    </row>
    <row r="1039" spans="1:2" x14ac:dyDescent="0.2">
      <c r="A1039" s="454" t="s">
        <v>1272</v>
      </c>
      <c r="B1039" s="455" t="s">
        <v>2869</v>
      </c>
    </row>
    <row r="1040" spans="1:2" x14ac:dyDescent="0.2">
      <c r="A1040" s="454" t="s">
        <v>1273</v>
      </c>
      <c r="B1040" s="455" t="s">
        <v>2870</v>
      </c>
    </row>
    <row r="1041" spans="1:2" x14ac:dyDescent="0.2">
      <c r="A1041" s="454" t="s">
        <v>1274</v>
      </c>
      <c r="B1041" s="455" t="s">
        <v>2871</v>
      </c>
    </row>
    <row r="1042" spans="1:2" x14ac:dyDescent="0.2">
      <c r="A1042" s="454" t="s">
        <v>1275</v>
      </c>
      <c r="B1042" s="455" t="s">
        <v>2872</v>
      </c>
    </row>
    <row r="1043" spans="1:2" x14ac:dyDescent="0.2">
      <c r="A1043" s="454" t="s">
        <v>1276</v>
      </c>
      <c r="B1043" s="455" t="s">
        <v>2873</v>
      </c>
    </row>
    <row r="1044" spans="1:2" x14ac:dyDescent="0.2">
      <c r="A1044" s="454" t="s">
        <v>1277</v>
      </c>
      <c r="B1044" s="455" t="s">
        <v>2874</v>
      </c>
    </row>
    <row r="1045" spans="1:2" x14ac:dyDescent="0.2">
      <c r="A1045" s="454" t="s">
        <v>1278</v>
      </c>
      <c r="B1045" s="455" t="s">
        <v>2875</v>
      </c>
    </row>
    <row r="1046" spans="1:2" x14ac:dyDescent="0.2">
      <c r="A1046" s="454" t="s">
        <v>1279</v>
      </c>
      <c r="B1046" s="455" t="s">
        <v>2876</v>
      </c>
    </row>
    <row r="1047" spans="1:2" x14ac:dyDescent="0.2">
      <c r="A1047" s="454" t="s">
        <v>1280</v>
      </c>
      <c r="B1047" s="455" t="s">
        <v>2877</v>
      </c>
    </row>
    <row r="1048" spans="1:2" x14ac:dyDescent="0.2">
      <c r="A1048" s="454" t="s">
        <v>1281</v>
      </c>
      <c r="B1048" s="455" t="s">
        <v>2878</v>
      </c>
    </row>
    <row r="1049" spans="1:2" x14ac:dyDescent="0.2">
      <c r="A1049" s="454" t="s">
        <v>1282</v>
      </c>
      <c r="B1049" s="455" t="s">
        <v>2879</v>
      </c>
    </row>
    <row r="1050" spans="1:2" x14ac:dyDescent="0.2">
      <c r="A1050" s="454" t="s">
        <v>1283</v>
      </c>
      <c r="B1050" s="455" t="s">
        <v>2880</v>
      </c>
    </row>
    <row r="1051" spans="1:2" x14ac:dyDescent="0.2">
      <c r="A1051" s="454" t="s">
        <v>1284</v>
      </c>
      <c r="B1051" s="455" t="s">
        <v>2881</v>
      </c>
    </row>
    <row r="1052" spans="1:2" x14ac:dyDescent="0.2">
      <c r="A1052" s="454" t="s">
        <v>1285</v>
      </c>
      <c r="B1052" s="455" t="s">
        <v>2882</v>
      </c>
    </row>
    <row r="1053" spans="1:2" x14ac:dyDescent="0.2">
      <c r="A1053" s="454" t="s">
        <v>1286</v>
      </c>
      <c r="B1053" s="455" t="s">
        <v>2883</v>
      </c>
    </row>
    <row r="1054" spans="1:2" x14ac:dyDescent="0.2">
      <c r="A1054" s="454" t="s">
        <v>1287</v>
      </c>
      <c r="B1054" s="455" t="s">
        <v>2884</v>
      </c>
    </row>
    <row r="1055" spans="1:2" x14ac:dyDescent="0.2">
      <c r="A1055" s="454" t="s">
        <v>1288</v>
      </c>
      <c r="B1055" s="455" t="s">
        <v>2885</v>
      </c>
    </row>
    <row r="1056" spans="1:2" x14ac:dyDescent="0.2">
      <c r="A1056" s="454" t="s">
        <v>1289</v>
      </c>
      <c r="B1056" s="455" t="s">
        <v>2886</v>
      </c>
    </row>
    <row r="1057" spans="1:2" x14ac:dyDescent="0.2">
      <c r="A1057" s="454" t="s">
        <v>1290</v>
      </c>
      <c r="B1057" s="455" t="s">
        <v>2887</v>
      </c>
    </row>
    <row r="1058" spans="1:2" x14ac:dyDescent="0.2">
      <c r="A1058" s="454" t="s">
        <v>1291</v>
      </c>
      <c r="B1058" s="455" t="s">
        <v>2888</v>
      </c>
    </row>
    <row r="1059" spans="1:2" x14ac:dyDescent="0.2">
      <c r="A1059" s="454" t="s">
        <v>1292</v>
      </c>
      <c r="B1059" s="455" t="s">
        <v>2889</v>
      </c>
    </row>
    <row r="1060" spans="1:2" x14ac:dyDescent="0.2">
      <c r="A1060" s="454" t="s">
        <v>1293</v>
      </c>
      <c r="B1060" s="455" t="s">
        <v>2890</v>
      </c>
    </row>
    <row r="1061" spans="1:2" x14ac:dyDescent="0.2">
      <c r="A1061" s="454" t="s">
        <v>1294</v>
      </c>
      <c r="B1061" s="455" t="s">
        <v>2891</v>
      </c>
    </row>
    <row r="1062" spans="1:2" x14ac:dyDescent="0.2">
      <c r="A1062" s="454" t="s">
        <v>1295</v>
      </c>
      <c r="B1062" s="455" t="s">
        <v>2892</v>
      </c>
    </row>
    <row r="1063" spans="1:2" x14ac:dyDescent="0.2">
      <c r="A1063" s="454" t="s">
        <v>1296</v>
      </c>
      <c r="B1063" s="455" t="s">
        <v>2893</v>
      </c>
    </row>
    <row r="1064" spans="1:2" x14ac:dyDescent="0.2">
      <c r="A1064" s="454" t="s">
        <v>1297</v>
      </c>
      <c r="B1064" s="455" t="s">
        <v>2894</v>
      </c>
    </row>
    <row r="1065" spans="1:2" x14ac:dyDescent="0.2">
      <c r="A1065" s="454" t="s">
        <v>1298</v>
      </c>
      <c r="B1065" s="455" t="s">
        <v>2895</v>
      </c>
    </row>
    <row r="1066" spans="1:2" x14ac:dyDescent="0.2">
      <c r="A1066" s="454" t="s">
        <v>1299</v>
      </c>
      <c r="B1066" s="455" t="s">
        <v>2896</v>
      </c>
    </row>
    <row r="1067" spans="1:2" x14ac:dyDescent="0.2">
      <c r="A1067" s="454" t="s">
        <v>1300</v>
      </c>
      <c r="B1067" s="455" t="s">
        <v>2897</v>
      </c>
    </row>
    <row r="1068" spans="1:2" x14ac:dyDescent="0.2">
      <c r="A1068" s="454" t="s">
        <v>1301</v>
      </c>
      <c r="B1068" s="455" t="s">
        <v>2898</v>
      </c>
    </row>
    <row r="1069" spans="1:2" x14ac:dyDescent="0.2">
      <c r="A1069" s="454" t="s">
        <v>1302</v>
      </c>
      <c r="B1069" s="455" t="s">
        <v>2899</v>
      </c>
    </row>
    <row r="1070" spans="1:2" x14ac:dyDescent="0.2">
      <c r="A1070" s="454" t="s">
        <v>1303</v>
      </c>
      <c r="B1070" s="455" t="s">
        <v>2900</v>
      </c>
    </row>
    <row r="1071" spans="1:2" x14ac:dyDescent="0.2">
      <c r="A1071" s="454" t="s">
        <v>1304</v>
      </c>
      <c r="B1071" s="455" t="s">
        <v>2901</v>
      </c>
    </row>
    <row r="1072" spans="1:2" x14ac:dyDescent="0.2">
      <c r="A1072" s="454" t="s">
        <v>1305</v>
      </c>
      <c r="B1072" s="455" t="s">
        <v>2902</v>
      </c>
    </row>
    <row r="1073" spans="1:2" x14ac:dyDescent="0.2">
      <c r="A1073" s="454" t="s">
        <v>1306</v>
      </c>
      <c r="B1073" s="455" t="s">
        <v>2903</v>
      </c>
    </row>
    <row r="1074" spans="1:2" x14ac:dyDescent="0.2">
      <c r="A1074" s="454" t="s">
        <v>1307</v>
      </c>
      <c r="B1074" s="455" t="s">
        <v>2904</v>
      </c>
    </row>
    <row r="1075" spans="1:2" x14ac:dyDescent="0.2">
      <c r="A1075" s="454" t="s">
        <v>1308</v>
      </c>
      <c r="B1075" s="455" t="s">
        <v>2905</v>
      </c>
    </row>
    <row r="1076" spans="1:2" x14ac:dyDescent="0.2">
      <c r="A1076" s="454" t="s">
        <v>1309</v>
      </c>
      <c r="B1076" s="455" t="s">
        <v>2906</v>
      </c>
    </row>
    <row r="1077" spans="1:2" x14ac:dyDescent="0.2">
      <c r="A1077" s="454" t="s">
        <v>1310</v>
      </c>
      <c r="B1077" s="455" t="s">
        <v>2907</v>
      </c>
    </row>
    <row r="1078" spans="1:2" x14ac:dyDescent="0.2">
      <c r="A1078" s="454" t="s">
        <v>1311</v>
      </c>
      <c r="B1078" s="455" t="s">
        <v>2908</v>
      </c>
    </row>
    <row r="1079" spans="1:2" x14ac:dyDescent="0.2">
      <c r="A1079" s="454" t="s">
        <v>1312</v>
      </c>
      <c r="B1079" s="455" t="s">
        <v>2909</v>
      </c>
    </row>
    <row r="1080" spans="1:2" x14ac:dyDescent="0.2">
      <c r="A1080" s="454" t="s">
        <v>1313</v>
      </c>
      <c r="B1080" s="455" t="s">
        <v>2910</v>
      </c>
    </row>
    <row r="1081" spans="1:2" x14ac:dyDescent="0.2">
      <c r="A1081" s="454" t="s">
        <v>1314</v>
      </c>
      <c r="B1081" s="455" t="s">
        <v>2911</v>
      </c>
    </row>
    <row r="1082" spans="1:2" x14ac:dyDescent="0.2">
      <c r="A1082" s="454" t="s">
        <v>1315</v>
      </c>
      <c r="B1082" s="455" t="s">
        <v>2912</v>
      </c>
    </row>
    <row r="1083" spans="1:2" x14ac:dyDescent="0.2">
      <c r="A1083" s="454" t="s">
        <v>1316</v>
      </c>
      <c r="B1083" s="455" t="s">
        <v>2913</v>
      </c>
    </row>
    <row r="1084" spans="1:2" x14ac:dyDescent="0.2">
      <c r="A1084" s="454" t="s">
        <v>1317</v>
      </c>
      <c r="B1084" s="455" t="s">
        <v>2914</v>
      </c>
    </row>
    <row r="1085" spans="1:2" x14ac:dyDescent="0.2">
      <c r="A1085" s="454" t="s">
        <v>1318</v>
      </c>
      <c r="B1085" s="455" t="s">
        <v>2915</v>
      </c>
    </row>
    <row r="1086" spans="1:2" x14ac:dyDescent="0.2">
      <c r="A1086" s="454" t="s">
        <v>1319</v>
      </c>
      <c r="B1086" s="455" t="s">
        <v>2916</v>
      </c>
    </row>
    <row r="1087" spans="1:2" x14ac:dyDescent="0.2">
      <c r="A1087" s="454" t="s">
        <v>1320</v>
      </c>
      <c r="B1087" s="455" t="s">
        <v>2917</v>
      </c>
    </row>
    <row r="1088" spans="1:2" x14ac:dyDescent="0.2">
      <c r="A1088" s="454" t="s">
        <v>1321</v>
      </c>
      <c r="B1088" s="455" t="s">
        <v>2918</v>
      </c>
    </row>
    <row r="1089" spans="1:2" x14ac:dyDescent="0.2">
      <c r="A1089" s="454" t="s">
        <v>1322</v>
      </c>
      <c r="B1089" s="455" t="s">
        <v>2919</v>
      </c>
    </row>
    <row r="1090" spans="1:2" x14ac:dyDescent="0.2">
      <c r="A1090" s="454" t="s">
        <v>1323</v>
      </c>
      <c r="B1090" s="455" t="s">
        <v>2920</v>
      </c>
    </row>
    <row r="1091" spans="1:2" x14ac:dyDescent="0.2">
      <c r="A1091" s="454" t="s">
        <v>1324</v>
      </c>
      <c r="B1091" s="455" t="s">
        <v>2921</v>
      </c>
    </row>
    <row r="1092" spans="1:2" x14ac:dyDescent="0.2">
      <c r="A1092" s="454" t="s">
        <v>1325</v>
      </c>
      <c r="B1092" s="455" t="s">
        <v>2922</v>
      </c>
    </row>
    <row r="1093" spans="1:2" x14ac:dyDescent="0.2">
      <c r="A1093" s="454" t="s">
        <v>1326</v>
      </c>
      <c r="B1093" s="455" t="s">
        <v>2923</v>
      </c>
    </row>
    <row r="1094" spans="1:2" x14ac:dyDescent="0.2">
      <c r="A1094" s="454" t="s">
        <v>1327</v>
      </c>
      <c r="B1094" s="455" t="s">
        <v>2924</v>
      </c>
    </row>
    <row r="1095" spans="1:2" x14ac:dyDescent="0.2">
      <c r="A1095" s="454" t="s">
        <v>1328</v>
      </c>
      <c r="B1095" s="455" t="s">
        <v>2925</v>
      </c>
    </row>
    <row r="1096" spans="1:2" x14ac:dyDescent="0.2">
      <c r="A1096" s="454" t="s">
        <v>1329</v>
      </c>
      <c r="B1096" s="455" t="s">
        <v>2926</v>
      </c>
    </row>
    <row r="1097" spans="1:2" x14ac:dyDescent="0.2">
      <c r="A1097" s="454" t="s">
        <v>1330</v>
      </c>
      <c r="B1097" s="455" t="s">
        <v>2927</v>
      </c>
    </row>
    <row r="1098" spans="1:2" x14ac:dyDescent="0.2">
      <c r="A1098" s="454" t="s">
        <v>1331</v>
      </c>
      <c r="B1098" s="455" t="s">
        <v>2928</v>
      </c>
    </row>
    <row r="1099" spans="1:2" x14ac:dyDescent="0.2">
      <c r="A1099" s="454" t="s">
        <v>1332</v>
      </c>
      <c r="B1099" s="455" t="s">
        <v>2929</v>
      </c>
    </row>
    <row r="1100" spans="1:2" x14ac:dyDescent="0.2">
      <c r="A1100" s="454" t="s">
        <v>1333</v>
      </c>
      <c r="B1100" s="455" t="s">
        <v>2930</v>
      </c>
    </row>
    <row r="1101" spans="1:2" x14ac:dyDescent="0.2">
      <c r="A1101" s="454" t="s">
        <v>1334</v>
      </c>
      <c r="B1101" s="455" t="s">
        <v>2931</v>
      </c>
    </row>
    <row r="1102" spans="1:2" x14ac:dyDescent="0.2">
      <c r="A1102" s="454" t="s">
        <v>1335</v>
      </c>
      <c r="B1102" s="455" t="s">
        <v>2932</v>
      </c>
    </row>
    <row r="1103" spans="1:2" x14ac:dyDescent="0.2">
      <c r="A1103" s="454" t="s">
        <v>1336</v>
      </c>
      <c r="B1103" s="455" t="s">
        <v>2933</v>
      </c>
    </row>
    <row r="1104" spans="1:2" x14ac:dyDescent="0.2">
      <c r="A1104" s="454" t="s">
        <v>1337</v>
      </c>
      <c r="B1104" s="455" t="s">
        <v>2934</v>
      </c>
    </row>
    <row r="1105" spans="1:2" x14ac:dyDescent="0.2">
      <c r="A1105" s="454" t="s">
        <v>1338</v>
      </c>
      <c r="B1105" s="455" t="s">
        <v>2935</v>
      </c>
    </row>
    <row r="1106" spans="1:2" x14ac:dyDescent="0.2">
      <c r="A1106" s="454" t="s">
        <v>1339</v>
      </c>
      <c r="B1106" s="455" t="s">
        <v>2936</v>
      </c>
    </row>
    <row r="1107" spans="1:2" x14ac:dyDescent="0.2">
      <c r="A1107" s="454" t="s">
        <v>1340</v>
      </c>
      <c r="B1107" s="455" t="s">
        <v>2937</v>
      </c>
    </row>
    <row r="1108" spans="1:2" x14ac:dyDescent="0.2">
      <c r="A1108" s="454" t="s">
        <v>1341</v>
      </c>
      <c r="B1108" s="455" t="s">
        <v>2938</v>
      </c>
    </row>
    <row r="1109" spans="1:2" x14ac:dyDescent="0.2">
      <c r="A1109" s="454" t="s">
        <v>1342</v>
      </c>
      <c r="B1109" s="455" t="s">
        <v>2939</v>
      </c>
    </row>
    <row r="1110" spans="1:2" x14ac:dyDescent="0.2">
      <c r="A1110" s="454" t="s">
        <v>1343</v>
      </c>
      <c r="B1110" s="455" t="s">
        <v>2940</v>
      </c>
    </row>
    <row r="1111" spans="1:2" x14ac:dyDescent="0.2">
      <c r="A1111" s="454" t="s">
        <v>1344</v>
      </c>
      <c r="B1111" s="455" t="s">
        <v>2941</v>
      </c>
    </row>
    <row r="1112" spans="1:2" x14ac:dyDescent="0.2">
      <c r="A1112" s="454" t="s">
        <v>1345</v>
      </c>
      <c r="B1112" s="455" t="s">
        <v>2942</v>
      </c>
    </row>
    <row r="1113" spans="1:2" x14ac:dyDescent="0.2">
      <c r="A1113" s="454" t="s">
        <v>1346</v>
      </c>
      <c r="B1113" s="455" t="s">
        <v>2943</v>
      </c>
    </row>
    <row r="1114" spans="1:2" x14ac:dyDescent="0.2">
      <c r="A1114" s="454" t="s">
        <v>1347</v>
      </c>
      <c r="B1114" s="455" t="s">
        <v>2944</v>
      </c>
    </row>
    <row r="1115" spans="1:2" x14ac:dyDescent="0.2">
      <c r="A1115" s="454" t="s">
        <v>1348</v>
      </c>
      <c r="B1115" s="455" t="s">
        <v>2945</v>
      </c>
    </row>
    <row r="1116" spans="1:2" x14ac:dyDescent="0.2">
      <c r="A1116" s="454" t="s">
        <v>1349</v>
      </c>
      <c r="B1116" s="455" t="s">
        <v>2946</v>
      </c>
    </row>
    <row r="1117" spans="1:2" x14ac:dyDescent="0.2">
      <c r="A1117" s="454" t="s">
        <v>1350</v>
      </c>
      <c r="B1117" s="455" t="s">
        <v>2947</v>
      </c>
    </row>
    <row r="1118" spans="1:2" x14ac:dyDescent="0.2">
      <c r="A1118" s="454" t="s">
        <v>1351</v>
      </c>
      <c r="B1118" s="455" t="s">
        <v>2948</v>
      </c>
    </row>
    <row r="1119" spans="1:2" x14ac:dyDescent="0.2">
      <c r="A1119" s="454" t="s">
        <v>1352</v>
      </c>
      <c r="B1119" s="455" t="s">
        <v>2949</v>
      </c>
    </row>
    <row r="1120" spans="1:2" x14ac:dyDescent="0.2">
      <c r="A1120" s="454" t="s">
        <v>1353</v>
      </c>
      <c r="B1120" s="455" t="s">
        <v>2950</v>
      </c>
    </row>
    <row r="1121" spans="1:2" x14ac:dyDescent="0.2">
      <c r="A1121" s="454" t="s">
        <v>1354</v>
      </c>
      <c r="B1121" s="455" t="s">
        <v>2951</v>
      </c>
    </row>
    <row r="1122" spans="1:2" x14ac:dyDescent="0.2">
      <c r="A1122" s="454" t="s">
        <v>1355</v>
      </c>
      <c r="B1122" s="455" t="s">
        <v>2952</v>
      </c>
    </row>
    <row r="1123" spans="1:2" x14ac:dyDescent="0.2">
      <c r="A1123" s="454" t="s">
        <v>1356</v>
      </c>
      <c r="B1123" s="455" t="s">
        <v>1357</v>
      </c>
    </row>
    <row r="1124" spans="1:2" x14ac:dyDescent="0.2">
      <c r="A1124" s="454" t="s">
        <v>1358</v>
      </c>
      <c r="B1124" s="455" t="s">
        <v>2953</v>
      </c>
    </row>
    <row r="1125" spans="1:2" x14ac:dyDescent="0.2">
      <c r="A1125" s="454" t="s">
        <v>1359</v>
      </c>
      <c r="B1125" s="455" t="s">
        <v>2954</v>
      </c>
    </row>
    <row r="1126" spans="1:2" x14ac:dyDescent="0.2">
      <c r="A1126" s="454" t="s">
        <v>1360</v>
      </c>
      <c r="B1126" s="455" t="s">
        <v>2955</v>
      </c>
    </row>
    <row r="1127" spans="1:2" x14ac:dyDescent="0.2">
      <c r="A1127" s="454" t="s">
        <v>1361</v>
      </c>
      <c r="B1127" s="455" t="s">
        <v>2956</v>
      </c>
    </row>
    <row r="1128" spans="1:2" x14ac:dyDescent="0.2">
      <c r="A1128" s="454" t="s">
        <v>1362</v>
      </c>
      <c r="B1128" s="455" t="s">
        <v>2957</v>
      </c>
    </row>
    <row r="1129" spans="1:2" x14ac:dyDescent="0.2">
      <c r="A1129" s="454" t="s">
        <v>1363</v>
      </c>
      <c r="B1129" s="455" t="s">
        <v>2958</v>
      </c>
    </row>
    <row r="1130" spans="1:2" x14ac:dyDescent="0.2">
      <c r="A1130" s="454" t="s">
        <v>1364</v>
      </c>
      <c r="B1130" s="455" t="s">
        <v>2959</v>
      </c>
    </row>
    <row r="1131" spans="1:2" x14ac:dyDescent="0.2">
      <c r="A1131" s="454" t="s">
        <v>1365</v>
      </c>
      <c r="B1131" s="455" t="s">
        <v>2960</v>
      </c>
    </row>
    <row r="1132" spans="1:2" x14ac:dyDescent="0.2">
      <c r="A1132" s="454" t="s">
        <v>1366</v>
      </c>
      <c r="B1132" s="455" t="s">
        <v>2961</v>
      </c>
    </row>
    <row r="1133" spans="1:2" x14ac:dyDescent="0.2">
      <c r="A1133" s="454" t="s">
        <v>1367</v>
      </c>
      <c r="B1133" s="455" t="s">
        <v>2962</v>
      </c>
    </row>
    <row r="1134" spans="1:2" x14ac:dyDescent="0.2">
      <c r="A1134" s="454" t="s">
        <v>1368</v>
      </c>
      <c r="B1134" s="455" t="s">
        <v>2963</v>
      </c>
    </row>
    <row r="1135" spans="1:2" x14ac:dyDescent="0.2">
      <c r="A1135" s="454" t="s">
        <v>1369</v>
      </c>
      <c r="B1135" s="455" t="s">
        <v>2964</v>
      </c>
    </row>
    <row r="1136" spans="1:2" x14ac:dyDescent="0.2">
      <c r="A1136" s="454" t="s">
        <v>1370</v>
      </c>
      <c r="B1136" s="455" t="s">
        <v>2965</v>
      </c>
    </row>
    <row r="1137" spans="1:2" x14ac:dyDescent="0.2">
      <c r="A1137" s="454" t="s">
        <v>1371</v>
      </c>
      <c r="B1137" s="455" t="s">
        <v>2966</v>
      </c>
    </row>
    <row r="1138" spans="1:2" x14ac:dyDescent="0.2">
      <c r="A1138" s="454" t="s">
        <v>1372</v>
      </c>
      <c r="B1138" s="455" t="s">
        <v>2967</v>
      </c>
    </row>
    <row r="1139" spans="1:2" x14ac:dyDescent="0.2">
      <c r="A1139" s="454" t="s">
        <v>1373</v>
      </c>
      <c r="B1139" s="455" t="s">
        <v>2968</v>
      </c>
    </row>
    <row r="1140" spans="1:2" x14ac:dyDescent="0.2">
      <c r="A1140" s="454" t="s">
        <v>1374</v>
      </c>
      <c r="B1140" s="455" t="s">
        <v>2969</v>
      </c>
    </row>
    <row r="1141" spans="1:2" x14ac:dyDescent="0.2">
      <c r="A1141" s="454" t="s">
        <v>1375</v>
      </c>
      <c r="B1141" s="455" t="s">
        <v>2970</v>
      </c>
    </row>
    <row r="1142" spans="1:2" x14ac:dyDescent="0.2">
      <c r="A1142" s="454" t="s">
        <v>1376</v>
      </c>
      <c r="B1142" s="455" t="s">
        <v>2971</v>
      </c>
    </row>
    <row r="1143" spans="1:2" x14ac:dyDescent="0.2">
      <c r="A1143" s="454" t="s">
        <v>1377</v>
      </c>
      <c r="B1143" s="455" t="s">
        <v>2972</v>
      </c>
    </row>
    <row r="1144" spans="1:2" x14ac:dyDescent="0.2">
      <c r="A1144" s="454" t="s">
        <v>1378</v>
      </c>
      <c r="B1144" s="455" t="s">
        <v>2973</v>
      </c>
    </row>
    <row r="1145" spans="1:2" x14ac:dyDescent="0.2">
      <c r="A1145" s="454" t="s">
        <v>1379</v>
      </c>
      <c r="B1145" s="455" t="s">
        <v>2974</v>
      </c>
    </row>
    <row r="1146" spans="1:2" x14ac:dyDescent="0.2">
      <c r="A1146" s="454" t="s">
        <v>1380</v>
      </c>
      <c r="B1146" s="455" t="s">
        <v>2975</v>
      </c>
    </row>
    <row r="1147" spans="1:2" x14ac:dyDescent="0.2">
      <c r="A1147" s="454" t="s">
        <v>1381</v>
      </c>
      <c r="B1147" s="455" t="s">
        <v>2976</v>
      </c>
    </row>
    <row r="1148" spans="1:2" x14ac:dyDescent="0.2">
      <c r="A1148" s="454" t="s">
        <v>1382</v>
      </c>
      <c r="B1148" s="455" t="s">
        <v>2977</v>
      </c>
    </row>
    <row r="1149" spans="1:2" x14ac:dyDescent="0.2">
      <c r="A1149" s="454" t="s">
        <v>1383</v>
      </c>
      <c r="B1149" s="455" t="s">
        <v>2978</v>
      </c>
    </row>
    <row r="1150" spans="1:2" x14ac:dyDescent="0.2">
      <c r="A1150" s="454" t="s">
        <v>1384</v>
      </c>
      <c r="B1150" s="455" t="s">
        <v>2979</v>
      </c>
    </row>
    <row r="1151" spans="1:2" x14ac:dyDescent="0.2">
      <c r="A1151" s="454" t="s">
        <v>1385</v>
      </c>
      <c r="B1151" s="455" t="s">
        <v>2980</v>
      </c>
    </row>
    <row r="1152" spans="1:2" x14ac:dyDescent="0.2">
      <c r="A1152" s="454" t="s">
        <v>1386</v>
      </c>
      <c r="B1152" s="455" t="s">
        <v>2981</v>
      </c>
    </row>
    <row r="1153" spans="1:2" x14ac:dyDescent="0.2">
      <c r="A1153" s="454" t="s">
        <v>1387</v>
      </c>
      <c r="B1153" s="455" t="s">
        <v>2982</v>
      </c>
    </row>
    <row r="1154" spans="1:2" x14ac:dyDescent="0.2">
      <c r="A1154" s="454" t="s">
        <v>1388</v>
      </c>
      <c r="B1154" s="455" t="s">
        <v>2983</v>
      </c>
    </row>
    <row r="1155" spans="1:2" x14ac:dyDescent="0.2">
      <c r="A1155" s="454" t="s">
        <v>1389</v>
      </c>
      <c r="B1155" s="455" t="s">
        <v>2984</v>
      </c>
    </row>
    <row r="1156" spans="1:2" x14ac:dyDescent="0.2">
      <c r="A1156" s="454" t="s">
        <v>1390</v>
      </c>
      <c r="B1156" s="455" t="s">
        <v>2985</v>
      </c>
    </row>
    <row r="1157" spans="1:2" x14ac:dyDescent="0.2">
      <c r="A1157" s="454" t="s">
        <v>1391</v>
      </c>
      <c r="B1157" s="455" t="s">
        <v>1392</v>
      </c>
    </row>
    <row r="1158" spans="1:2" x14ac:dyDescent="0.2">
      <c r="A1158" s="454" t="s">
        <v>1393</v>
      </c>
      <c r="B1158" s="455" t="s">
        <v>2986</v>
      </c>
    </row>
    <row r="1159" spans="1:2" x14ac:dyDescent="0.2">
      <c r="A1159" s="454" t="s">
        <v>1394</v>
      </c>
      <c r="B1159" s="455" t="s">
        <v>2987</v>
      </c>
    </row>
    <row r="1160" spans="1:2" x14ac:dyDescent="0.2">
      <c r="A1160" s="454" t="s">
        <v>1395</v>
      </c>
      <c r="B1160" s="455" t="s">
        <v>2988</v>
      </c>
    </row>
    <row r="1161" spans="1:2" x14ac:dyDescent="0.2">
      <c r="A1161" s="454" t="s">
        <v>1396</v>
      </c>
      <c r="B1161" s="455" t="s">
        <v>2989</v>
      </c>
    </row>
    <row r="1162" spans="1:2" x14ac:dyDescent="0.2">
      <c r="A1162" s="454" t="s">
        <v>1397</v>
      </c>
      <c r="B1162" s="455" t="s">
        <v>2990</v>
      </c>
    </row>
    <row r="1163" spans="1:2" x14ac:dyDescent="0.2">
      <c r="A1163" s="454" t="s">
        <v>1398</v>
      </c>
      <c r="B1163" s="455" t="s">
        <v>2991</v>
      </c>
    </row>
    <row r="1164" spans="1:2" x14ac:dyDescent="0.2">
      <c r="A1164" s="454" t="s">
        <v>1399</v>
      </c>
      <c r="B1164" s="455" t="s">
        <v>2992</v>
      </c>
    </row>
    <row r="1165" spans="1:2" x14ac:dyDescent="0.2">
      <c r="A1165" s="454" t="s">
        <v>1400</v>
      </c>
      <c r="B1165" s="455" t="s">
        <v>2993</v>
      </c>
    </row>
    <row r="1166" spans="1:2" x14ac:dyDescent="0.2">
      <c r="A1166" s="454" t="s">
        <v>1401</v>
      </c>
      <c r="B1166" s="455" t="s">
        <v>2994</v>
      </c>
    </row>
    <row r="1167" spans="1:2" x14ac:dyDescent="0.2">
      <c r="A1167" s="454" t="s">
        <v>1402</v>
      </c>
      <c r="B1167" s="455" t="s">
        <v>2995</v>
      </c>
    </row>
    <row r="1168" spans="1:2" x14ac:dyDescent="0.2">
      <c r="A1168" s="454" t="s">
        <v>1403</v>
      </c>
      <c r="B1168" s="455" t="s">
        <v>2996</v>
      </c>
    </row>
    <row r="1169" spans="1:2" x14ac:dyDescent="0.2">
      <c r="A1169" s="454" t="s">
        <v>1404</v>
      </c>
      <c r="B1169" s="455" t="s">
        <v>2997</v>
      </c>
    </row>
    <row r="1170" spans="1:2" x14ac:dyDescent="0.2">
      <c r="A1170" s="454" t="s">
        <v>1405</v>
      </c>
      <c r="B1170" s="455" t="s">
        <v>2998</v>
      </c>
    </row>
    <row r="1171" spans="1:2" x14ac:dyDescent="0.2">
      <c r="A1171" s="454" t="s">
        <v>1406</v>
      </c>
      <c r="B1171" s="455" t="s">
        <v>2999</v>
      </c>
    </row>
    <row r="1172" spans="1:2" x14ac:dyDescent="0.2">
      <c r="A1172" s="454" t="s">
        <v>1407</v>
      </c>
      <c r="B1172" s="455" t="s">
        <v>3000</v>
      </c>
    </row>
    <row r="1173" spans="1:2" x14ac:dyDescent="0.2">
      <c r="A1173" s="454" t="s">
        <v>1408</v>
      </c>
      <c r="B1173" s="455" t="s">
        <v>3001</v>
      </c>
    </row>
    <row r="1174" spans="1:2" x14ac:dyDescent="0.2">
      <c r="A1174" s="454" t="s">
        <v>1409</v>
      </c>
      <c r="B1174" s="455" t="s">
        <v>3002</v>
      </c>
    </row>
    <row r="1175" spans="1:2" x14ac:dyDescent="0.2">
      <c r="A1175" s="454" t="s">
        <v>1410</v>
      </c>
      <c r="B1175" s="455" t="s">
        <v>3003</v>
      </c>
    </row>
    <row r="1176" spans="1:2" x14ac:dyDescent="0.2">
      <c r="A1176" s="454" t="s">
        <v>1411</v>
      </c>
      <c r="B1176" s="455" t="s">
        <v>3004</v>
      </c>
    </row>
    <row r="1177" spans="1:2" x14ac:dyDescent="0.2">
      <c r="A1177" s="454" t="s">
        <v>1412</v>
      </c>
      <c r="B1177" s="455" t="s">
        <v>3005</v>
      </c>
    </row>
    <row r="1178" spans="1:2" x14ac:dyDescent="0.2">
      <c r="A1178" s="454" t="s">
        <v>1413</v>
      </c>
      <c r="B1178" s="455" t="s">
        <v>3006</v>
      </c>
    </row>
    <row r="1179" spans="1:2" x14ac:dyDescent="0.2">
      <c r="A1179" s="454" t="s">
        <v>1414</v>
      </c>
      <c r="B1179" s="455" t="s">
        <v>3007</v>
      </c>
    </row>
    <row r="1180" spans="1:2" x14ac:dyDescent="0.2">
      <c r="A1180" s="454" t="s">
        <v>1415</v>
      </c>
      <c r="B1180" s="455" t="s">
        <v>3008</v>
      </c>
    </row>
    <row r="1181" spans="1:2" x14ac:dyDescent="0.2">
      <c r="A1181" s="454" t="s">
        <v>1416</v>
      </c>
      <c r="B1181" s="455" t="s">
        <v>3009</v>
      </c>
    </row>
    <row r="1182" spans="1:2" x14ac:dyDescent="0.2">
      <c r="A1182" s="454" t="s">
        <v>1417</v>
      </c>
      <c r="B1182" s="455" t="s">
        <v>3010</v>
      </c>
    </row>
    <row r="1183" spans="1:2" x14ac:dyDescent="0.2">
      <c r="A1183" s="454" t="s">
        <v>1418</v>
      </c>
      <c r="B1183" s="455" t="s">
        <v>3011</v>
      </c>
    </row>
    <row r="1184" spans="1:2" x14ac:dyDescent="0.2">
      <c r="A1184" s="454" t="s">
        <v>1419</v>
      </c>
      <c r="B1184" s="455" t="s">
        <v>3012</v>
      </c>
    </row>
    <row r="1185" spans="1:2" x14ac:dyDescent="0.2">
      <c r="A1185" s="454" t="s">
        <v>1420</v>
      </c>
      <c r="B1185" s="455" t="s">
        <v>3013</v>
      </c>
    </row>
    <row r="1186" spans="1:2" x14ac:dyDescent="0.2">
      <c r="A1186" s="454" t="s">
        <v>1421</v>
      </c>
      <c r="B1186" s="455" t="s">
        <v>3014</v>
      </c>
    </row>
    <row r="1187" spans="1:2" x14ac:dyDescent="0.2">
      <c r="A1187" s="454" t="s">
        <v>1422</v>
      </c>
      <c r="B1187" s="455" t="s">
        <v>3015</v>
      </c>
    </row>
    <row r="1188" spans="1:2" x14ac:dyDescent="0.2">
      <c r="A1188" s="454" t="s">
        <v>1423</v>
      </c>
      <c r="B1188" s="455" t="s">
        <v>3016</v>
      </c>
    </row>
    <row r="1189" spans="1:2" x14ac:dyDescent="0.2">
      <c r="A1189" s="454" t="s">
        <v>1424</v>
      </c>
      <c r="B1189" s="455" t="s">
        <v>3017</v>
      </c>
    </row>
    <row r="1190" spans="1:2" x14ac:dyDescent="0.2">
      <c r="A1190" s="454" t="s">
        <v>1425</v>
      </c>
      <c r="B1190" s="455" t="s">
        <v>3018</v>
      </c>
    </row>
    <row r="1191" spans="1:2" x14ac:dyDescent="0.2">
      <c r="A1191" s="454" t="s">
        <v>1426</v>
      </c>
      <c r="B1191" s="455" t="s">
        <v>1427</v>
      </c>
    </row>
    <row r="1192" spans="1:2" x14ac:dyDescent="0.2">
      <c r="A1192" s="454" t="s">
        <v>1428</v>
      </c>
      <c r="B1192" s="455" t="s">
        <v>3019</v>
      </c>
    </row>
    <row r="1193" spans="1:2" x14ac:dyDescent="0.2">
      <c r="A1193" s="454" t="s">
        <v>1429</v>
      </c>
      <c r="B1193" s="455" t="s">
        <v>3020</v>
      </c>
    </row>
    <row r="1194" spans="1:2" x14ac:dyDescent="0.2">
      <c r="A1194" s="454" t="s">
        <v>1430</v>
      </c>
      <c r="B1194" s="455" t="s">
        <v>3021</v>
      </c>
    </row>
    <row r="1195" spans="1:2" x14ac:dyDescent="0.2">
      <c r="A1195" s="454" t="s">
        <v>1431</v>
      </c>
      <c r="B1195" s="455" t="s">
        <v>3022</v>
      </c>
    </row>
    <row r="1196" spans="1:2" x14ac:dyDescent="0.2">
      <c r="A1196" s="454" t="s">
        <v>1432</v>
      </c>
      <c r="B1196" s="455" t="s">
        <v>3023</v>
      </c>
    </row>
    <row r="1197" spans="1:2" x14ac:dyDescent="0.2">
      <c r="A1197" s="454" t="s">
        <v>1433</v>
      </c>
      <c r="B1197" s="455" t="s">
        <v>3024</v>
      </c>
    </row>
    <row r="1198" spans="1:2" x14ac:dyDescent="0.2">
      <c r="A1198" s="454" t="s">
        <v>1434</v>
      </c>
      <c r="B1198" s="455" t="s">
        <v>3025</v>
      </c>
    </row>
    <row r="1199" spans="1:2" x14ac:dyDescent="0.2">
      <c r="A1199" s="454" t="s">
        <v>1435</v>
      </c>
      <c r="B1199" s="455" t="s">
        <v>3026</v>
      </c>
    </row>
    <row r="1200" spans="1:2" x14ac:dyDescent="0.2">
      <c r="A1200" s="454" t="s">
        <v>1436</v>
      </c>
      <c r="B1200" s="455" t="s">
        <v>3027</v>
      </c>
    </row>
    <row r="1201" spans="1:2" x14ac:dyDescent="0.2">
      <c r="A1201" s="454" t="s">
        <v>1437</v>
      </c>
      <c r="B1201" s="455" t="s">
        <v>3028</v>
      </c>
    </row>
    <row r="1202" spans="1:2" x14ac:dyDescent="0.2">
      <c r="A1202" s="454" t="s">
        <v>1438</v>
      </c>
      <c r="B1202" s="455" t="s">
        <v>3029</v>
      </c>
    </row>
    <row r="1203" spans="1:2" x14ac:dyDescent="0.2">
      <c r="A1203" s="454" t="s">
        <v>1439</v>
      </c>
      <c r="B1203" s="455" t="s">
        <v>3030</v>
      </c>
    </row>
    <row r="1204" spans="1:2" x14ac:dyDescent="0.2">
      <c r="A1204" s="454" t="s">
        <v>1440</v>
      </c>
      <c r="B1204" s="455" t="s">
        <v>3031</v>
      </c>
    </row>
    <row r="1205" spans="1:2" x14ac:dyDescent="0.2">
      <c r="A1205" s="454" t="s">
        <v>1441</v>
      </c>
      <c r="B1205" s="455" t="s">
        <v>3032</v>
      </c>
    </row>
    <row r="1206" spans="1:2" x14ac:dyDescent="0.2">
      <c r="A1206" s="454" t="s">
        <v>1442</v>
      </c>
      <c r="B1206" s="455" t="s">
        <v>3033</v>
      </c>
    </row>
    <row r="1207" spans="1:2" x14ac:dyDescent="0.2">
      <c r="A1207" s="454" t="s">
        <v>1443</v>
      </c>
      <c r="B1207" s="455" t="s">
        <v>3034</v>
      </c>
    </row>
    <row r="1208" spans="1:2" x14ac:dyDescent="0.2">
      <c r="A1208" s="454" t="s">
        <v>1444</v>
      </c>
      <c r="B1208" s="455" t="s">
        <v>3035</v>
      </c>
    </row>
    <row r="1209" spans="1:2" x14ac:dyDescent="0.2">
      <c r="A1209" s="454" t="s">
        <v>1445</v>
      </c>
      <c r="B1209" s="455" t="s">
        <v>3036</v>
      </c>
    </row>
    <row r="1210" spans="1:2" x14ac:dyDescent="0.2">
      <c r="A1210" s="454" t="s">
        <v>1446</v>
      </c>
      <c r="B1210" s="455" t="s">
        <v>3037</v>
      </c>
    </row>
    <row r="1211" spans="1:2" x14ac:dyDescent="0.2">
      <c r="A1211" s="454" t="s">
        <v>1447</v>
      </c>
      <c r="B1211" s="455" t="s">
        <v>3038</v>
      </c>
    </row>
    <row r="1212" spans="1:2" x14ac:dyDescent="0.2">
      <c r="A1212" s="454" t="s">
        <v>1448</v>
      </c>
      <c r="B1212" s="455" t="s">
        <v>3039</v>
      </c>
    </row>
    <row r="1213" spans="1:2" x14ac:dyDescent="0.2">
      <c r="A1213" s="454" t="s">
        <v>1449</v>
      </c>
      <c r="B1213" s="455" t="s">
        <v>3040</v>
      </c>
    </row>
    <row r="1214" spans="1:2" x14ac:dyDescent="0.2">
      <c r="A1214" s="454" t="s">
        <v>1450</v>
      </c>
      <c r="B1214" s="455" t="s">
        <v>3041</v>
      </c>
    </row>
    <row r="1215" spans="1:2" x14ac:dyDescent="0.2">
      <c r="A1215" s="454" t="s">
        <v>1451</v>
      </c>
      <c r="B1215" s="455" t="s">
        <v>3042</v>
      </c>
    </row>
    <row r="1216" spans="1:2" x14ac:dyDescent="0.2">
      <c r="A1216" s="454" t="s">
        <v>1452</v>
      </c>
      <c r="B1216" s="455" t="s">
        <v>3043</v>
      </c>
    </row>
    <row r="1217" spans="1:2" x14ac:dyDescent="0.2">
      <c r="A1217" s="454" t="s">
        <v>1453</v>
      </c>
      <c r="B1217" s="455" t="s">
        <v>3044</v>
      </c>
    </row>
    <row r="1218" spans="1:2" x14ac:dyDescent="0.2">
      <c r="A1218" s="454" t="s">
        <v>1454</v>
      </c>
      <c r="B1218" s="455" t="s">
        <v>1455</v>
      </c>
    </row>
    <row r="1219" spans="1:2" x14ac:dyDescent="0.2">
      <c r="A1219" s="454" t="s">
        <v>1456</v>
      </c>
      <c r="B1219" s="455" t="s">
        <v>3045</v>
      </c>
    </row>
    <row r="1220" spans="1:2" x14ac:dyDescent="0.2">
      <c r="A1220" s="454" t="s">
        <v>1457</v>
      </c>
      <c r="B1220" s="455" t="s">
        <v>3046</v>
      </c>
    </row>
    <row r="1221" spans="1:2" x14ac:dyDescent="0.2">
      <c r="A1221" s="454" t="s">
        <v>1458</v>
      </c>
      <c r="B1221" s="455" t="s">
        <v>3047</v>
      </c>
    </row>
    <row r="1222" spans="1:2" x14ac:dyDescent="0.2">
      <c r="A1222" s="454" t="s">
        <v>1459</v>
      </c>
      <c r="B1222" s="455" t="s">
        <v>3048</v>
      </c>
    </row>
    <row r="1223" spans="1:2" x14ac:dyDescent="0.2">
      <c r="A1223" s="454" t="s">
        <v>1460</v>
      </c>
      <c r="B1223" s="455" t="s">
        <v>3049</v>
      </c>
    </row>
    <row r="1224" spans="1:2" x14ac:dyDescent="0.2">
      <c r="A1224" s="454" t="s">
        <v>1461</v>
      </c>
      <c r="B1224" s="455" t="s">
        <v>3050</v>
      </c>
    </row>
    <row r="1225" spans="1:2" x14ac:dyDescent="0.2">
      <c r="A1225" s="454" t="s">
        <v>1462</v>
      </c>
      <c r="B1225" s="455" t="s">
        <v>3051</v>
      </c>
    </row>
    <row r="1226" spans="1:2" x14ac:dyDescent="0.2">
      <c r="A1226" s="454" t="s">
        <v>1463</v>
      </c>
      <c r="B1226" s="455" t="s">
        <v>3052</v>
      </c>
    </row>
    <row r="1227" spans="1:2" x14ac:dyDescent="0.2">
      <c r="A1227" s="454" t="s">
        <v>1464</v>
      </c>
      <c r="B1227" s="455" t="s">
        <v>3053</v>
      </c>
    </row>
    <row r="1228" spans="1:2" x14ac:dyDescent="0.2">
      <c r="A1228" s="454" t="s">
        <v>1465</v>
      </c>
      <c r="B1228" s="455" t="s">
        <v>3054</v>
      </c>
    </row>
    <row r="1229" spans="1:2" x14ac:dyDescent="0.2">
      <c r="A1229" s="454" t="s">
        <v>1466</v>
      </c>
      <c r="B1229" s="455" t="s">
        <v>3055</v>
      </c>
    </row>
    <row r="1230" spans="1:2" x14ac:dyDescent="0.2">
      <c r="A1230" s="454" t="s">
        <v>1467</v>
      </c>
      <c r="B1230" s="455" t="s">
        <v>3056</v>
      </c>
    </row>
    <row r="1231" spans="1:2" x14ac:dyDescent="0.2">
      <c r="A1231" s="454" t="s">
        <v>1468</v>
      </c>
      <c r="B1231" s="455" t="s">
        <v>3057</v>
      </c>
    </row>
    <row r="1232" spans="1:2" x14ac:dyDescent="0.2">
      <c r="A1232" s="454" t="s">
        <v>1469</v>
      </c>
      <c r="B1232" s="455" t="s">
        <v>3058</v>
      </c>
    </row>
    <row r="1233" spans="1:2" x14ac:dyDescent="0.2">
      <c r="A1233" s="454" t="s">
        <v>1470</v>
      </c>
      <c r="B1233" s="455" t="s">
        <v>3059</v>
      </c>
    </row>
    <row r="1234" spans="1:2" x14ac:dyDescent="0.2">
      <c r="A1234" s="454" t="s">
        <v>1471</v>
      </c>
      <c r="B1234" s="455" t="s">
        <v>3060</v>
      </c>
    </row>
    <row r="1235" spans="1:2" x14ac:dyDescent="0.2">
      <c r="A1235" s="454" t="s">
        <v>1472</v>
      </c>
      <c r="B1235" s="455" t="s">
        <v>3061</v>
      </c>
    </row>
    <row r="1236" spans="1:2" x14ac:dyDescent="0.2">
      <c r="A1236" s="454" t="s">
        <v>1473</v>
      </c>
      <c r="B1236" s="455" t="s">
        <v>3058</v>
      </c>
    </row>
    <row r="1237" spans="1:2" x14ac:dyDescent="0.2">
      <c r="A1237" s="454" t="s">
        <v>1474</v>
      </c>
      <c r="B1237" s="455" t="s">
        <v>3062</v>
      </c>
    </row>
    <row r="1238" spans="1:2" x14ac:dyDescent="0.2">
      <c r="A1238" s="454" t="s">
        <v>1475</v>
      </c>
      <c r="B1238" s="455" t="s">
        <v>3063</v>
      </c>
    </row>
    <row r="1239" spans="1:2" x14ac:dyDescent="0.2">
      <c r="A1239" s="454" t="s">
        <v>1476</v>
      </c>
      <c r="B1239" s="455" t="s">
        <v>3064</v>
      </c>
    </row>
    <row r="1240" spans="1:2" x14ac:dyDescent="0.2">
      <c r="A1240" s="454" t="s">
        <v>1477</v>
      </c>
      <c r="B1240" s="455" t="s">
        <v>3065</v>
      </c>
    </row>
    <row r="1241" spans="1:2" x14ac:dyDescent="0.2">
      <c r="A1241" s="454" t="s">
        <v>1478</v>
      </c>
      <c r="B1241" s="455" t="s">
        <v>3066</v>
      </c>
    </row>
    <row r="1242" spans="1:2" x14ac:dyDescent="0.2">
      <c r="A1242" s="454" t="s">
        <v>1479</v>
      </c>
      <c r="B1242" s="455" t="s">
        <v>3067</v>
      </c>
    </row>
    <row r="1243" spans="1:2" x14ac:dyDescent="0.2">
      <c r="A1243" s="454" t="s">
        <v>1480</v>
      </c>
      <c r="B1243" s="455" t="s">
        <v>3068</v>
      </c>
    </row>
    <row r="1244" spans="1:2" x14ac:dyDescent="0.2">
      <c r="A1244" s="454" t="s">
        <v>1481</v>
      </c>
      <c r="B1244" s="455" t="s">
        <v>3069</v>
      </c>
    </row>
    <row r="1245" spans="1:2" x14ac:dyDescent="0.2">
      <c r="A1245" s="454" t="s">
        <v>1482</v>
      </c>
      <c r="B1245" s="455" t="s">
        <v>3070</v>
      </c>
    </row>
    <row r="1246" spans="1:2" x14ac:dyDescent="0.2">
      <c r="A1246" s="454" t="s">
        <v>1483</v>
      </c>
      <c r="B1246" s="455" t="s">
        <v>3071</v>
      </c>
    </row>
    <row r="1247" spans="1:2" x14ac:dyDescent="0.2">
      <c r="A1247" s="454" t="s">
        <v>1484</v>
      </c>
      <c r="B1247" s="455" t="s">
        <v>3072</v>
      </c>
    </row>
    <row r="1248" spans="1:2" x14ac:dyDescent="0.2">
      <c r="A1248" s="454" t="s">
        <v>1485</v>
      </c>
      <c r="B1248" s="455" t="s">
        <v>3073</v>
      </c>
    </row>
    <row r="1249" spans="1:2" x14ac:dyDescent="0.2">
      <c r="A1249" s="454" t="s">
        <v>1486</v>
      </c>
      <c r="B1249" s="455" t="s">
        <v>3074</v>
      </c>
    </row>
    <row r="1250" spans="1:2" x14ac:dyDescent="0.2">
      <c r="A1250" s="454" t="s">
        <v>1487</v>
      </c>
      <c r="B1250" s="455" t="s">
        <v>3075</v>
      </c>
    </row>
    <row r="1251" spans="1:2" x14ac:dyDescent="0.2">
      <c r="A1251" s="454" t="s">
        <v>1488</v>
      </c>
      <c r="B1251" s="455" t="s">
        <v>3076</v>
      </c>
    </row>
    <row r="1252" spans="1:2" x14ac:dyDescent="0.2">
      <c r="A1252" s="454" t="s">
        <v>1489</v>
      </c>
      <c r="B1252" s="455" t="s">
        <v>3077</v>
      </c>
    </row>
    <row r="1253" spans="1:2" x14ac:dyDescent="0.2">
      <c r="A1253" s="454" t="s">
        <v>1490</v>
      </c>
      <c r="B1253" s="455" t="s">
        <v>3078</v>
      </c>
    </row>
    <row r="1254" spans="1:2" x14ac:dyDescent="0.2">
      <c r="A1254" s="454" t="s">
        <v>1491</v>
      </c>
      <c r="B1254" s="455" t="s">
        <v>3079</v>
      </c>
    </row>
    <row r="1255" spans="1:2" x14ac:dyDescent="0.2">
      <c r="A1255" s="454" t="s">
        <v>1492</v>
      </c>
      <c r="B1255" s="455" t="s">
        <v>3080</v>
      </c>
    </row>
    <row r="1256" spans="1:2" x14ac:dyDescent="0.2">
      <c r="A1256" s="454" t="s">
        <v>1493</v>
      </c>
      <c r="B1256" s="455" t="s">
        <v>3081</v>
      </c>
    </row>
    <row r="1257" spans="1:2" x14ac:dyDescent="0.2">
      <c r="A1257" s="454" t="s">
        <v>1494</v>
      </c>
      <c r="B1257" s="455" t="s">
        <v>3082</v>
      </c>
    </row>
    <row r="1258" spans="1:2" x14ac:dyDescent="0.2">
      <c r="A1258" s="454" t="s">
        <v>1495</v>
      </c>
      <c r="B1258" s="455" t="s">
        <v>3083</v>
      </c>
    </row>
    <row r="1259" spans="1:2" x14ac:dyDescent="0.2">
      <c r="A1259" s="454" t="s">
        <v>1496</v>
      </c>
      <c r="B1259" s="455" t="s">
        <v>3084</v>
      </c>
    </row>
    <row r="1260" spans="1:2" x14ac:dyDescent="0.2">
      <c r="A1260" s="454" t="s">
        <v>1497</v>
      </c>
      <c r="B1260" s="455" t="s">
        <v>3085</v>
      </c>
    </row>
    <row r="1261" spans="1:2" x14ac:dyDescent="0.2">
      <c r="A1261" s="454" t="s">
        <v>1498</v>
      </c>
      <c r="B1261" s="455" t="s">
        <v>3086</v>
      </c>
    </row>
    <row r="1262" spans="1:2" x14ac:dyDescent="0.2">
      <c r="A1262" s="454" t="s">
        <v>1499</v>
      </c>
      <c r="B1262" s="455" t="s">
        <v>3087</v>
      </c>
    </row>
    <row r="1263" spans="1:2" x14ac:dyDescent="0.2">
      <c r="A1263" s="454" t="s">
        <v>1500</v>
      </c>
      <c r="B1263" s="455" t="s">
        <v>3088</v>
      </c>
    </row>
    <row r="1264" spans="1:2" x14ac:dyDescent="0.2">
      <c r="A1264" s="454" t="s">
        <v>1501</v>
      </c>
      <c r="B1264" s="455" t="s">
        <v>3089</v>
      </c>
    </row>
    <row r="1265" spans="1:2" x14ac:dyDescent="0.2">
      <c r="A1265" s="454" t="s">
        <v>1502</v>
      </c>
      <c r="B1265" s="455" t="s">
        <v>3090</v>
      </c>
    </row>
    <row r="1266" spans="1:2" x14ac:dyDescent="0.2">
      <c r="A1266" s="454" t="s">
        <v>1503</v>
      </c>
      <c r="B1266" s="455" t="s">
        <v>3091</v>
      </c>
    </row>
    <row r="1267" spans="1:2" x14ac:dyDescent="0.2">
      <c r="A1267" s="454" t="s">
        <v>1504</v>
      </c>
      <c r="B1267" s="455" t="s">
        <v>3092</v>
      </c>
    </row>
    <row r="1268" spans="1:2" x14ac:dyDescent="0.2">
      <c r="A1268" s="454" t="s">
        <v>1505</v>
      </c>
      <c r="B1268" s="455" t="s">
        <v>3093</v>
      </c>
    </row>
    <row r="1269" spans="1:2" x14ac:dyDescent="0.2">
      <c r="A1269" s="454" t="s">
        <v>1506</v>
      </c>
      <c r="B1269" s="455" t="s">
        <v>3094</v>
      </c>
    </row>
    <row r="1270" spans="1:2" x14ac:dyDescent="0.2">
      <c r="A1270" s="454" t="s">
        <v>1507</v>
      </c>
      <c r="B1270" s="455" t="s">
        <v>3095</v>
      </c>
    </row>
    <row r="1271" spans="1:2" x14ac:dyDescent="0.2">
      <c r="A1271" s="454" t="s">
        <v>1508</v>
      </c>
      <c r="B1271" s="455" t="s">
        <v>3096</v>
      </c>
    </row>
    <row r="1272" spans="1:2" x14ac:dyDescent="0.2">
      <c r="A1272" s="454" t="s">
        <v>1509</v>
      </c>
      <c r="B1272" s="455" t="s">
        <v>3097</v>
      </c>
    </row>
    <row r="1273" spans="1:2" x14ac:dyDescent="0.2">
      <c r="A1273" s="454" t="s">
        <v>1510</v>
      </c>
      <c r="B1273" s="455" t="s">
        <v>3098</v>
      </c>
    </row>
    <row r="1274" spans="1:2" x14ac:dyDescent="0.2">
      <c r="A1274" s="454" t="s">
        <v>1511</v>
      </c>
      <c r="B1274" s="455" t="s">
        <v>3099</v>
      </c>
    </row>
    <row r="1275" spans="1:2" x14ac:dyDescent="0.2">
      <c r="A1275" s="454" t="s">
        <v>1512</v>
      </c>
      <c r="B1275" s="455" t="s">
        <v>3100</v>
      </c>
    </row>
    <row r="1276" spans="1:2" x14ac:dyDescent="0.2">
      <c r="A1276" s="454" t="s">
        <v>1513</v>
      </c>
      <c r="B1276" s="455" t="s">
        <v>3101</v>
      </c>
    </row>
    <row r="1277" spans="1:2" x14ac:dyDescent="0.2">
      <c r="A1277" s="454" t="s">
        <v>1514</v>
      </c>
      <c r="B1277" s="455" t="s">
        <v>3102</v>
      </c>
    </row>
    <row r="1278" spans="1:2" x14ac:dyDescent="0.2">
      <c r="A1278" s="454" t="s">
        <v>1515</v>
      </c>
      <c r="B1278" s="455" t="s">
        <v>3103</v>
      </c>
    </row>
    <row r="1279" spans="1:2" x14ac:dyDescent="0.2">
      <c r="A1279" s="454" t="s">
        <v>1516</v>
      </c>
      <c r="B1279" s="455" t="s">
        <v>3104</v>
      </c>
    </row>
    <row r="1280" spans="1:2" x14ac:dyDescent="0.2">
      <c r="A1280" s="454" t="s">
        <v>1517</v>
      </c>
      <c r="B1280" s="455" t="s">
        <v>3105</v>
      </c>
    </row>
    <row r="1281" spans="1:2" x14ac:dyDescent="0.2">
      <c r="A1281" s="454" t="s">
        <v>1518</v>
      </c>
      <c r="B1281" s="455" t="s">
        <v>3106</v>
      </c>
    </row>
    <row r="1282" spans="1:2" x14ac:dyDescent="0.2">
      <c r="A1282" s="454" t="s">
        <v>1519</v>
      </c>
      <c r="B1282" s="455" t="s">
        <v>3107</v>
      </c>
    </row>
    <row r="1283" spans="1:2" x14ac:dyDescent="0.2">
      <c r="A1283" s="454" t="s">
        <v>1520</v>
      </c>
      <c r="B1283" s="455" t="s">
        <v>3108</v>
      </c>
    </row>
    <row r="1284" spans="1:2" x14ac:dyDescent="0.2">
      <c r="A1284" s="454" t="s">
        <v>1521</v>
      </c>
      <c r="B1284" s="455" t="s">
        <v>3109</v>
      </c>
    </row>
    <row r="1285" spans="1:2" x14ac:dyDescent="0.2">
      <c r="A1285" s="454" t="s">
        <v>1522</v>
      </c>
      <c r="B1285" s="455" t="s">
        <v>3110</v>
      </c>
    </row>
    <row r="1286" spans="1:2" x14ac:dyDescent="0.2">
      <c r="A1286" s="454" t="s">
        <v>1523</v>
      </c>
      <c r="B1286" s="455" t="s">
        <v>3111</v>
      </c>
    </row>
    <row r="1287" spans="1:2" x14ac:dyDescent="0.2">
      <c r="A1287" s="454" t="s">
        <v>1524</v>
      </c>
      <c r="B1287" s="455" t="s">
        <v>3112</v>
      </c>
    </row>
    <row r="1288" spans="1:2" x14ac:dyDescent="0.2">
      <c r="A1288" s="454" t="s">
        <v>1525</v>
      </c>
      <c r="B1288" s="455" t="s">
        <v>3113</v>
      </c>
    </row>
    <row r="1289" spans="1:2" x14ac:dyDescent="0.2">
      <c r="A1289" s="454" t="s">
        <v>1526</v>
      </c>
      <c r="B1289" s="455" t="s">
        <v>3114</v>
      </c>
    </row>
    <row r="1290" spans="1:2" x14ac:dyDescent="0.2">
      <c r="A1290" s="454" t="s">
        <v>1527</v>
      </c>
      <c r="B1290" s="455" t="s">
        <v>3115</v>
      </c>
    </row>
    <row r="1291" spans="1:2" x14ac:dyDescent="0.2">
      <c r="A1291" s="454" t="s">
        <v>1528</v>
      </c>
      <c r="B1291" s="455" t="s">
        <v>3116</v>
      </c>
    </row>
    <row r="1292" spans="1:2" x14ac:dyDescent="0.2">
      <c r="A1292" s="454" t="s">
        <v>1529</v>
      </c>
      <c r="B1292" s="455" t="s">
        <v>3117</v>
      </c>
    </row>
    <row r="1293" spans="1:2" x14ac:dyDescent="0.2">
      <c r="A1293" s="454" t="s">
        <v>1530</v>
      </c>
      <c r="B1293" s="455" t="s">
        <v>3118</v>
      </c>
    </row>
    <row r="1294" spans="1:2" x14ac:dyDescent="0.2">
      <c r="A1294" s="454" t="s">
        <v>1531</v>
      </c>
      <c r="B1294" s="455" t="s">
        <v>3119</v>
      </c>
    </row>
    <row r="1295" spans="1:2" x14ac:dyDescent="0.2">
      <c r="A1295" s="454" t="s">
        <v>1532</v>
      </c>
      <c r="B1295" s="455" t="s">
        <v>3120</v>
      </c>
    </row>
    <row r="1296" spans="1:2" x14ac:dyDescent="0.2">
      <c r="A1296" s="454" t="s">
        <v>1533</v>
      </c>
      <c r="B1296" s="455" t="s">
        <v>3121</v>
      </c>
    </row>
    <row r="1297" spans="1:2" x14ac:dyDescent="0.2">
      <c r="A1297" s="454" t="s">
        <v>1534</v>
      </c>
      <c r="B1297" s="455" t="s">
        <v>3122</v>
      </c>
    </row>
    <row r="1298" spans="1:2" x14ac:dyDescent="0.2">
      <c r="A1298" s="454" t="s">
        <v>1535</v>
      </c>
      <c r="B1298" s="455" t="s">
        <v>3123</v>
      </c>
    </row>
    <row r="1299" spans="1:2" x14ac:dyDescent="0.2">
      <c r="A1299" s="454" t="s">
        <v>1536</v>
      </c>
      <c r="B1299" s="455" t="s">
        <v>3124</v>
      </c>
    </row>
    <row r="1300" spans="1:2" x14ac:dyDescent="0.2">
      <c r="A1300" s="454" t="s">
        <v>1537</v>
      </c>
      <c r="B1300" s="455" t="s">
        <v>3125</v>
      </c>
    </row>
    <row r="1301" spans="1:2" x14ac:dyDescent="0.2">
      <c r="A1301" s="454" t="s">
        <v>1538</v>
      </c>
      <c r="B1301" s="455" t="s">
        <v>3126</v>
      </c>
    </row>
    <row r="1302" spans="1:2" x14ac:dyDescent="0.2">
      <c r="A1302" s="454" t="s">
        <v>1539</v>
      </c>
      <c r="B1302" s="455" t="s">
        <v>3127</v>
      </c>
    </row>
    <row r="1303" spans="1:2" x14ac:dyDescent="0.2">
      <c r="A1303" s="454" t="s">
        <v>1540</v>
      </c>
      <c r="B1303" s="455" t="s">
        <v>3128</v>
      </c>
    </row>
    <row r="1304" spans="1:2" x14ac:dyDescent="0.2">
      <c r="A1304" s="454" t="s">
        <v>1541</v>
      </c>
      <c r="B1304" s="455" t="s">
        <v>3129</v>
      </c>
    </row>
    <row r="1305" spans="1:2" x14ac:dyDescent="0.2">
      <c r="A1305" s="454" t="s">
        <v>1542</v>
      </c>
      <c r="B1305" s="455" t="s">
        <v>3130</v>
      </c>
    </row>
    <row r="1306" spans="1:2" x14ac:dyDescent="0.2">
      <c r="A1306" s="456" t="s">
        <v>1543</v>
      </c>
      <c r="B1306" s="457" t="s">
        <v>3131</v>
      </c>
    </row>
    <row r="1307" spans="1:2" x14ac:dyDescent="0.2">
      <c r="A1307" s="458"/>
      <c r="B1307" s="458"/>
    </row>
    <row r="1308" spans="1:2" x14ac:dyDescent="0.2">
      <c r="A1308" s="458"/>
      <c r="B1308" s="458"/>
    </row>
    <row r="1309" spans="1:2" x14ac:dyDescent="0.2">
      <c r="A1309" s="458"/>
      <c r="B1309" s="458"/>
    </row>
    <row r="1310" spans="1:2" x14ac:dyDescent="0.2">
      <c r="A1310" s="458"/>
      <c r="B1310" s="458"/>
    </row>
    <row r="1311" spans="1:2" x14ac:dyDescent="0.2">
      <c r="A1311" s="458"/>
      <c r="B1311" s="458"/>
    </row>
    <row r="1312" spans="1:2" x14ac:dyDescent="0.2">
      <c r="A1312" s="458"/>
      <c r="B1312" s="458"/>
    </row>
    <row r="1313" spans="1:2" x14ac:dyDescent="0.2">
      <c r="A1313" s="458"/>
      <c r="B1313" s="458"/>
    </row>
    <row r="1314" spans="1:2" x14ac:dyDescent="0.2">
      <c r="A1314" s="458"/>
      <c r="B1314" s="458"/>
    </row>
    <row r="1315" spans="1:2" x14ac:dyDescent="0.2">
      <c r="A1315" s="458"/>
      <c r="B1315" s="458"/>
    </row>
    <row r="1316" spans="1:2" x14ac:dyDescent="0.2">
      <c r="A1316" s="458"/>
      <c r="B1316" s="458"/>
    </row>
    <row r="1317" spans="1:2" x14ac:dyDescent="0.2">
      <c r="A1317" s="458"/>
      <c r="B1317" s="458"/>
    </row>
    <row r="1318" spans="1:2" x14ac:dyDescent="0.2">
      <c r="A1318" s="458"/>
      <c r="B1318" s="458"/>
    </row>
    <row r="1319" spans="1:2" x14ac:dyDescent="0.2">
      <c r="A1319" s="458"/>
      <c r="B1319" s="458"/>
    </row>
    <row r="1320" spans="1:2" x14ac:dyDescent="0.2">
      <c r="A1320" s="458"/>
      <c r="B1320" s="458"/>
    </row>
    <row r="1321" spans="1:2" x14ac:dyDescent="0.2">
      <c r="A1321" s="458"/>
      <c r="B1321" s="458"/>
    </row>
    <row r="1322" spans="1:2" x14ac:dyDescent="0.2">
      <c r="A1322" s="458"/>
      <c r="B1322" s="458"/>
    </row>
    <row r="1323" spans="1:2" x14ac:dyDescent="0.2">
      <c r="A1323" s="458"/>
      <c r="B1323" s="458"/>
    </row>
    <row r="1324" spans="1:2" x14ac:dyDescent="0.2">
      <c r="A1324" s="458"/>
      <c r="B1324" s="458"/>
    </row>
    <row r="1325" spans="1:2" x14ac:dyDescent="0.2">
      <c r="A1325" s="458"/>
      <c r="B1325" s="458"/>
    </row>
    <row r="1326" spans="1:2" x14ac:dyDescent="0.2">
      <c r="A1326" s="458"/>
      <c r="B1326" s="458"/>
    </row>
    <row r="1327" spans="1:2" x14ac:dyDescent="0.2">
      <c r="A1327" s="458"/>
      <c r="B1327" s="458"/>
    </row>
    <row r="1328" spans="1:2" x14ac:dyDescent="0.2">
      <c r="A1328" s="458"/>
      <c r="B1328" s="458"/>
    </row>
    <row r="1329" spans="1:2" x14ac:dyDescent="0.2">
      <c r="A1329" s="458"/>
      <c r="B1329" s="458"/>
    </row>
    <row r="1330" spans="1:2" x14ac:dyDescent="0.2">
      <c r="A1330" s="458"/>
      <c r="B1330" s="458"/>
    </row>
    <row r="1331" spans="1:2" x14ac:dyDescent="0.2">
      <c r="A1331" s="458"/>
      <c r="B1331" s="458"/>
    </row>
    <row r="1332" spans="1:2" x14ac:dyDescent="0.2">
      <c r="A1332" s="458"/>
      <c r="B1332" s="458"/>
    </row>
    <row r="1333" spans="1:2" x14ac:dyDescent="0.2">
      <c r="A1333" s="458"/>
      <c r="B1333" s="458"/>
    </row>
    <row r="1334" spans="1:2" x14ac:dyDescent="0.2">
      <c r="A1334" s="458"/>
      <c r="B1334" s="458"/>
    </row>
    <row r="1335" spans="1:2" x14ac:dyDescent="0.2">
      <c r="A1335" s="458"/>
      <c r="B1335" s="458"/>
    </row>
    <row r="1336" spans="1:2" x14ac:dyDescent="0.2">
      <c r="A1336" s="458"/>
      <c r="B1336" s="458"/>
    </row>
    <row r="1337" spans="1:2" x14ac:dyDescent="0.2">
      <c r="A1337" s="458"/>
      <c r="B1337" s="458"/>
    </row>
    <row r="1338" spans="1:2" x14ac:dyDescent="0.2">
      <c r="A1338" s="458"/>
      <c r="B1338" s="458"/>
    </row>
    <row r="1339" spans="1:2" x14ac:dyDescent="0.2">
      <c r="A1339" s="458"/>
      <c r="B1339" s="458"/>
    </row>
    <row r="1340" spans="1:2" x14ac:dyDescent="0.2">
      <c r="A1340" s="458"/>
      <c r="B1340" s="458"/>
    </row>
    <row r="1341" spans="1:2" x14ac:dyDescent="0.2">
      <c r="A1341" s="458"/>
      <c r="B1341" s="458"/>
    </row>
    <row r="1342" spans="1:2" x14ac:dyDescent="0.2">
      <c r="A1342" s="458"/>
      <c r="B1342" s="458"/>
    </row>
    <row r="1343" spans="1:2" x14ac:dyDescent="0.2">
      <c r="A1343" s="458"/>
      <c r="B1343" s="458"/>
    </row>
    <row r="1344" spans="1:2" x14ac:dyDescent="0.2">
      <c r="A1344" s="458"/>
      <c r="B1344" s="458"/>
    </row>
    <row r="1345" spans="1:2" x14ac:dyDescent="0.2">
      <c r="A1345" s="458"/>
      <c r="B1345" s="458"/>
    </row>
    <row r="1346" spans="1:2" x14ac:dyDescent="0.2">
      <c r="A1346" s="458"/>
      <c r="B1346" s="458"/>
    </row>
    <row r="1347" spans="1:2" x14ac:dyDescent="0.2">
      <c r="A1347" s="458"/>
      <c r="B1347" s="458"/>
    </row>
    <row r="1348" spans="1:2" x14ac:dyDescent="0.2">
      <c r="A1348" s="458"/>
      <c r="B1348" s="458"/>
    </row>
    <row r="1349" spans="1:2" x14ac:dyDescent="0.2">
      <c r="A1349" s="458"/>
      <c r="B1349" s="458"/>
    </row>
    <row r="1350" spans="1:2" x14ac:dyDescent="0.2">
      <c r="A1350" s="458"/>
      <c r="B1350" s="458"/>
    </row>
    <row r="1351" spans="1:2" x14ac:dyDescent="0.2">
      <c r="A1351" s="458"/>
      <c r="B1351" s="458"/>
    </row>
    <row r="1352" spans="1:2" x14ac:dyDescent="0.2">
      <c r="A1352" s="458"/>
      <c r="B1352" s="458"/>
    </row>
    <row r="1353" spans="1:2" x14ac:dyDescent="0.2">
      <c r="A1353" s="458"/>
      <c r="B1353" s="458"/>
    </row>
    <row r="1354" spans="1:2" x14ac:dyDescent="0.2">
      <c r="A1354" s="458"/>
      <c r="B1354" s="458"/>
    </row>
    <row r="1355" spans="1:2" x14ac:dyDescent="0.2">
      <c r="A1355" s="458"/>
      <c r="B1355" s="458"/>
    </row>
    <row r="1356" spans="1:2" x14ac:dyDescent="0.2">
      <c r="A1356" s="458"/>
      <c r="B1356" s="458"/>
    </row>
    <row r="1357" spans="1:2" x14ac:dyDescent="0.2">
      <c r="A1357" s="458"/>
      <c r="B1357" s="458"/>
    </row>
    <row r="1358" spans="1:2" x14ac:dyDescent="0.2">
      <c r="A1358" s="458"/>
      <c r="B1358" s="458"/>
    </row>
    <row r="1359" spans="1:2" x14ac:dyDescent="0.2">
      <c r="A1359" s="458"/>
      <c r="B1359" s="458"/>
    </row>
    <row r="1360" spans="1:2" x14ac:dyDescent="0.2">
      <c r="A1360" s="458"/>
      <c r="B1360" s="458"/>
    </row>
    <row r="1361" spans="1:2" x14ac:dyDescent="0.2">
      <c r="A1361" s="458"/>
      <c r="B1361" s="458"/>
    </row>
    <row r="1362" spans="1:2" x14ac:dyDescent="0.2">
      <c r="A1362" s="458"/>
      <c r="B1362" s="458"/>
    </row>
    <row r="1363" spans="1:2" x14ac:dyDescent="0.2">
      <c r="A1363" s="458"/>
      <c r="B1363" s="458"/>
    </row>
    <row r="1364" spans="1:2" x14ac:dyDescent="0.2">
      <c r="A1364" s="458"/>
      <c r="B1364" s="458"/>
    </row>
    <row r="1365" spans="1:2" x14ac:dyDescent="0.2">
      <c r="A1365" s="458"/>
      <c r="B1365" s="458"/>
    </row>
    <row r="1366" spans="1:2" x14ac:dyDescent="0.2">
      <c r="A1366" s="458"/>
      <c r="B1366" s="458"/>
    </row>
    <row r="1367" spans="1:2" x14ac:dyDescent="0.2">
      <c r="A1367" s="458"/>
      <c r="B1367" s="458"/>
    </row>
    <row r="1368" spans="1:2" x14ac:dyDescent="0.2">
      <c r="A1368" s="458"/>
      <c r="B1368" s="458"/>
    </row>
    <row r="1369" spans="1:2" x14ac:dyDescent="0.2">
      <c r="A1369" s="458"/>
      <c r="B1369" s="458"/>
    </row>
    <row r="1370" spans="1:2" x14ac:dyDescent="0.2">
      <c r="A1370" s="458"/>
      <c r="B1370" s="458"/>
    </row>
    <row r="1371" spans="1:2" x14ac:dyDescent="0.2">
      <c r="A1371" s="458"/>
      <c r="B1371" s="458"/>
    </row>
    <row r="1372" spans="1:2" x14ac:dyDescent="0.2">
      <c r="A1372" s="458"/>
      <c r="B1372" s="458"/>
    </row>
    <row r="1373" spans="1:2" x14ac:dyDescent="0.2">
      <c r="A1373" s="458"/>
      <c r="B1373" s="458"/>
    </row>
    <row r="1374" spans="1:2" x14ac:dyDescent="0.2">
      <c r="A1374" s="458"/>
      <c r="B1374" s="458"/>
    </row>
    <row r="1375" spans="1:2" x14ac:dyDescent="0.2">
      <c r="A1375" s="458"/>
      <c r="B1375" s="458"/>
    </row>
    <row r="1376" spans="1:2" x14ac:dyDescent="0.2">
      <c r="A1376" s="458"/>
      <c r="B1376" s="458"/>
    </row>
    <row r="1377" spans="1:2" x14ac:dyDescent="0.2">
      <c r="A1377" s="458"/>
      <c r="B1377" s="458"/>
    </row>
    <row r="1378" spans="1:2" x14ac:dyDescent="0.2">
      <c r="A1378" s="458"/>
      <c r="B1378" s="458"/>
    </row>
    <row r="1379" spans="1:2" x14ac:dyDescent="0.2">
      <c r="A1379" s="458"/>
      <c r="B1379" s="458"/>
    </row>
    <row r="1380" spans="1:2" x14ac:dyDescent="0.2">
      <c r="A1380" s="458"/>
      <c r="B1380" s="458"/>
    </row>
    <row r="1381" spans="1:2" x14ac:dyDescent="0.2">
      <c r="A1381" s="458"/>
      <c r="B1381" s="458"/>
    </row>
    <row r="1382" spans="1:2" x14ac:dyDescent="0.2">
      <c r="A1382" s="458"/>
      <c r="B1382" s="458"/>
    </row>
    <row r="1383" spans="1:2" x14ac:dyDescent="0.2">
      <c r="A1383" s="458"/>
      <c r="B1383" s="458"/>
    </row>
    <row r="1384" spans="1:2" x14ac:dyDescent="0.2">
      <c r="A1384" s="458"/>
      <c r="B1384" s="458"/>
    </row>
    <row r="1385" spans="1:2" x14ac:dyDescent="0.2">
      <c r="A1385" s="458"/>
      <c r="B1385" s="458"/>
    </row>
    <row r="1386" spans="1:2" x14ac:dyDescent="0.2">
      <c r="A1386" s="458"/>
      <c r="B1386" s="458"/>
    </row>
    <row r="1387" spans="1:2" x14ac:dyDescent="0.2">
      <c r="A1387" s="458"/>
      <c r="B1387" s="458"/>
    </row>
    <row r="1388" spans="1:2" x14ac:dyDescent="0.2">
      <c r="A1388" s="458"/>
      <c r="B1388" s="458"/>
    </row>
    <row r="1389" spans="1:2" x14ac:dyDescent="0.2">
      <c r="A1389" s="458"/>
      <c r="B1389" s="458"/>
    </row>
    <row r="1390" spans="1:2" x14ac:dyDescent="0.2">
      <c r="A1390" s="458"/>
      <c r="B1390" s="458"/>
    </row>
    <row r="1391" spans="1:2" x14ac:dyDescent="0.2">
      <c r="A1391" s="458"/>
      <c r="B1391" s="458"/>
    </row>
    <row r="1392" spans="1:2" x14ac:dyDescent="0.2">
      <c r="A1392" s="458"/>
      <c r="B1392" s="458"/>
    </row>
    <row r="1393" spans="1:2" x14ac:dyDescent="0.2">
      <c r="A1393" s="458"/>
      <c r="B1393" s="458"/>
    </row>
    <row r="1394" spans="1:2" x14ac:dyDescent="0.2">
      <c r="A1394" s="458"/>
      <c r="B1394" s="458"/>
    </row>
    <row r="1395" spans="1:2" x14ac:dyDescent="0.2">
      <c r="A1395" s="458"/>
      <c r="B1395" s="458"/>
    </row>
    <row r="1396" spans="1:2" x14ac:dyDescent="0.2">
      <c r="A1396" s="458"/>
      <c r="B1396" s="458"/>
    </row>
    <row r="1397" spans="1:2" x14ac:dyDescent="0.2">
      <c r="A1397" s="458"/>
      <c r="B1397" s="458"/>
    </row>
    <row r="1398" spans="1:2" x14ac:dyDescent="0.2">
      <c r="A1398" s="458"/>
      <c r="B1398" s="458"/>
    </row>
    <row r="1399" spans="1:2" x14ac:dyDescent="0.2">
      <c r="A1399" s="458"/>
      <c r="B1399" s="458"/>
    </row>
    <row r="1400" spans="1:2" x14ac:dyDescent="0.2">
      <c r="A1400" s="458"/>
      <c r="B1400" s="458"/>
    </row>
    <row r="1401" spans="1:2" x14ac:dyDescent="0.2">
      <c r="A1401" s="458"/>
      <c r="B1401" s="458"/>
    </row>
    <row r="1402" spans="1:2" x14ac:dyDescent="0.2">
      <c r="A1402" s="458"/>
      <c r="B1402" s="458"/>
    </row>
    <row r="1403" spans="1:2" x14ac:dyDescent="0.2">
      <c r="A1403" s="458"/>
      <c r="B1403" s="458"/>
    </row>
    <row r="1404" spans="1:2" x14ac:dyDescent="0.2">
      <c r="A1404" s="458"/>
      <c r="B1404" s="458"/>
    </row>
    <row r="1405" spans="1:2" x14ac:dyDescent="0.2">
      <c r="A1405" s="458"/>
      <c r="B1405" s="458"/>
    </row>
    <row r="1406" spans="1:2" x14ac:dyDescent="0.2">
      <c r="A1406" s="458"/>
      <c r="B1406" s="458"/>
    </row>
    <row r="1407" spans="1:2" x14ac:dyDescent="0.2">
      <c r="A1407" s="458"/>
      <c r="B1407" s="458"/>
    </row>
    <row r="1408" spans="1:2" x14ac:dyDescent="0.2">
      <c r="A1408" s="458"/>
      <c r="B1408" s="458"/>
    </row>
    <row r="1409" spans="1:2" x14ac:dyDescent="0.2">
      <c r="A1409" s="458"/>
      <c r="B1409" s="458"/>
    </row>
    <row r="1410" spans="1:2" x14ac:dyDescent="0.2">
      <c r="A1410" s="458"/>
      <c r="B1410" s="458"/>
    </row>
    <row r="1411" spans="1:2" x14ac:dyDescent="0.2">
      <c r="A1411" s="458"/>
      <c r="B1411" s="458"/>
    </row>
    <row r="1412" spans="1:2" x14ac:dyDescent="0.2">
      <c r="A1412" s="458"/>
      <c r="B1412" s="458"/>
    </row>
    <row r="1413" spans="1:2" x14ac:dyDescent="0.2">
      <c r="A1413" s="458"/>
      <c r="B1413" s="458"/>
    </row>
    <row r="1414" spans="1:2" x14ac:dyDescent="0.2">
      <c r="A1414" s="458"/>
      <c r="B1414" s="458"/>
    </row>
    <row r="1415" spans="1:2" x14ac:dyDescent="0.2">
      <c r="A1415" s="458"/>
      <c r="B1415" s="458"/>
    </row>
    <row r="1416" spans="1:2" x14ac:dyDescent="0.2">
      <c r="A1416" s="458"/>
      <c r="B1416" s="458"/>
    </row>
    <row r="1417" spans="1:2" x14ac:dyDescent="0.2">
      <c r="A1417" s="458"/>
      <c r="B1417" s="458"/>
    </row>
    <row r="1418" spans="1:2" x14ac:dyDescent="0.2">
      <c r="A1418" s="458"/>
      <c r="B1418" s="458"/>
    </row>
    <row r="1419" spans="1:2" x14ac:dyDescent="0.2">
      <c r="A1419" s="458"/>
      <c r="B1419" s="458"/>
    </row>
    <row r="1420" spans="1:2" x14ac:dyDescent="0.2">
      <c r="A1420" s="458"/>
      <c r="B1420" s="458"/>
    </row>
    <row r="1421" spans="1:2" x14ac:dyDescent="0.2">
      <c r="A1421" s="458"/>
      <c r="B1421" s="458"/>
    </row>
    <row r="1422" spans="1:2" x14ac:dyDescent="0.2">
      <c r="A1422" s="458"/>
      <c r="B1422" s="458"/>
    </row>
    <row r="1423" spans="1:2" x14ac:dyDescent="0.2">
      <c r="A1423" s="458"/>
      <c r="B1423" s="458"/>
    </row>
    <row r="1424" spans="1:2" x14ac:dyDescent="0.2">
      <c r="A1424" s="458"/>
      <c r="B1424" s="458"/>
    </row>
    <row r="1425" spans="1:2" x14ac:dyDescent="0.2">
      <c r="A1425" s="458"/>
      <c r="B1425" s="458"/>
    </row>
    <row r="1426" spans="1:2" x14ac:dyDescent="0.2">
      <c r="A1426" s="458"/>
      <c r="B1426" s="458"/>
    </row>
    <row r="1427" spans="1:2" x14ac:dyDescent="0.2">
      <c r="A1427" s="458"/>
      <c r="B1427" s="458"/>
    </row>
    <row r="1428" spans="1:2" x14ac:dyDescent="0.2">
      <c r="A1428" s="458"/>
      <c r="B1428" s="458"/>
    </row>
    <row r="1429" spans="1:2" x14ac:dyDescent="0.2">
      <c r="A1429" s="458"/>
      <c r="B1429" s="458"/>
    </row>
    <row r="1430" spans="1:2" x14ac:dyDescent="0.2">
      <c r="A1430" s="458"/>
      <c r="B1430" s="458"/>
    </row>
    <row r="1431" spans="1:2" x14ac:dyDescent="0.2">
      <c r="A1431" s="458"/>
      <c r="B1431" s="458"/>
    </row>
    <row r="1432" spans="1:2" x14ac:dyDescent="0.2">
      <c r="A1432" s="458"/>
      <c r="B1432" s="458"/>
    </row>
    <row r="1433" spans="1:2" x14ac:dyDescent="0.2">
      <c r="A1433" s="458"/>
      <c r="B1433" s="458"/>
    </row>
    <row r="1434" spans="1:2" x14ac:dyDescent="0.2">
      <c r="A1434" s="458"/>
      <c r="B1434" s="458"/>
    </row>
    <row r="1435" spans="1:2" x14ac:dyDescent="0.2">
      <c r="A1435" s="458"/>
      <c r="B1435" s="458"/>
    </row>
    <row r="1436" spans="1:2" x14ac:dyDescent="0.2">
      <c r="A1436" s="458"/>
      <c r="B1436" s="458"/>
    </row>
    <row r="1437" spans="1:2" x14ac:dyDescent="0.2">
      <c r="A1437" s="458"/>
      <c r="B1437" s="458"/>
    </row>
    <row r="1438" spans="1:2" x14ac:dyDescent="0.2">
      <c r="A1438" s="458"/>
      <c r="B1438" s="458"/>
    </row>
    <row r="1439" spans="1:2" x14ac:dyDescent="0.2">
      <c r="A1439" s="458"/>
      <c r="B1439" s="458"/>
    </row>
    <row r="1440" spans="1:2" x14ac:dyDescent="0.2">
      <c r="A1440" s="458"/>
      <c r="B1440" s="458"/>
    </row>
    <row r="1441" spans="1:2" x14ac:dyDescent="0.2">
      <c r="A1441" s="458"/>
      <c r="B1441" s="458"/>
    </row>
    <row r="1442" spans="1:2" x14ac:dyDescent="0.2">
      <c r="A1442" s="458"/>
      <c r="B1442" s="458"/>
    </row>
    <row r="1443" spans="1:2" x14ac:dyDescent="0.2">
      <c r="A1443" s="458"/>
      <c r="B1443" s="458"/>
    </row>
    <row r="1444" spans="1:2" x14ac:dyDescent="0.2">
      <c r="A1444" s="458"/>
      <c r="B1444" s="458"/>
    </row>
    <row r="1445" spans="1:2" x14ac:dyDescent="0.2">
      <c r="A1445" s="458"/>
      <c r="B1445" s="458"/>
    </row>
    <row r="1446" spans="1:2" x14ac:dyDescent="0.2">
      <c r="A1446" s="458"/>
      <c r="B1446" s="458"/>
    </row>
    <row r="1447" spans="1:2" x14ac:dyDescent="0.2">
      <c r="A1447" s="458"/>
      <c r="B1447" s="458"/>
    </row>
    <row r="1448" spans="1:2" x14ac:dyDescent="0.2">
      <c r="A1448" s="458"/>
      <c r="B1448" s="458"/>
    </row>
    <row r="1449" spans="1:2" x14ac:dyDescent="0.2">
      <c r="A1449" s="458"/>
      <c r="B1449" s="458"/>
    </row>
    <row r="1450" spans="1:2" x14ac:dyDescent="0.2">
      <c r="A1450" s="458"/>
      <c r="B1450" s="458"/>
    </row>
    <row r="1451" spans="1:2" x14ac:dyDescent="0.2">
      <c r="A1451" s="458"/>
      <c r="B1451" s="459"/>
    </row>
    <row r="1452" spans="1:2" x14ac:dyDescent="0.2">
      <c r="A1452" s="458"/>
      <c r="B1452" s="458"/>
    </row>
    <row r="1453" spans="1:2" x14ac:dyDescent="0.2">
      <c r="A1453" s="458"/>
      <c r="B1453" s="458"/>
    </row>
    <row r="1454" spans="1:2" x14ac:dyDescent="0.2">
      <c r="A1454" s="458"/>
      <c r="B1454" s="458"/>
    </row>
    <row r="1455" spans="1:2" x14ac:dyDescent="0.2">
      <c r="A1455" s="458"/>
      <c r="B1455" s="458"/>
    </row>
    <row r="1456" spans="1:2" x14ac:dyDescent="0.2">
      <c r="A1456" s="458"/>
      <c r="B1456" s="458"/>
    </row>
    <row r="1457" spans="1:2" x14ac:dyDescent="0.2">
      <c r="A1457" s="458"/>
      <c r="B1457" s="458"/>
    </row>
    <row r="1458" spans="1:2" x14ac:dyDescent="0.2">
      <c r="A1458" s="458"/>
      <c r="B1458" s="458"/>
    </row>
    <row r="1459" spans="1:2" x14ac:dyDescent="0.2">
      <c r="A1459" s="458"/>
      <c r="B1459" s="458"/>
    </row>
    <row r="1460" spans="1:2" x14ac:dyDescent="0.2">
      <c r="A1460" s="458"/>
      <c r="B1460" s="458"/>
    </row>
    <row r="1461" spans="1:2" x14ac:dyDescent="0.2">
      <c r="A1461" s="458"/>
      <c r="B1461" s="458"/>
    </row>
    <row r="1462" spans="1:2" x14ac:dyDescent="0.2">
      <c r="A1462" s="458"/>
      <c r="B1462" s="458"/>
    </row>
    <row r="1463" spans="1:2" x14ac:dyDescent="0.2">
      <c r="A1463" s="458"/>
      <c r="B1463" s="458"/>
    </row>
    <row r="1464" spans="1:2" x14ac:dyDescent="0.2">
      <c r="A1464" s="458"/>
      <c r="B1464" s="458"/>
    </row>
    <row r="1465" spans="1:2" x14ac:dyDescent="0.2">
      <c r="A1465" s="458"/>
      <c r="B1465" s="458"/>
    </row>
    <row r="1466" spans="1:2" x14ac:dyDescent="0.2">
      <c r="A1466" s="458"/>
      <c r="B1466" s="458"/>
    </row>
    <row r="1467" spans="1:2" x14ac:dyDescent="0.2">
      <c r="A1467" s="458"/>
      <c r="B1467" s="458"/>
    </row>
    <row r="1468" spans="1:2" x14ac:dyDescent="0.2">
      <c r="A1468" s="458"/>
      <c r="B1468" s="458"/>
    </row>
    <row r="1469" spans="1:2" x14ac:dyDescent="0.2">
      <c r="A1469" s="458"/>
      <c r="B1469" s="458"/>
    </row>
    <row r="1470" spans="1:2" x14ac:dyDescent="0.2">
      <c r="A1470" s="458"/>
      <c r="B1470" s="458"/>
    </row>
    <row r="1471" spans="1:2" x14ac:dyDescent="0.2">
      <c r="A1471" s="458"/>
      <c r="B1471" s="458"/>
    </row>
    <row r="1472" spans="1:2" x14ac:dyDescent="0.2">
      <c r="A1472" s="458"/>
      <c r="B1472" s="458"/>
    </row>
    <row r="1473" spans="1:2" x14ac:dyDescent="0.2">
      <c r="A1473" s="458"/>
      <c r="B1473" s="458"/>
    </row>
    <row r="1474" spans="1:2" x14ac:dyDescent="0.2">
      <c r="A1474" s="458"/>
      <c r="B1474" s="458"/>
    </row>
    <row r="1475" spans="1:2" x14ac:dyDescent="0.2">
      <c r="A1475" s="458"/>
      <c r="B1475" s="458"/>
    </row>
    <row r="1476" spans="1:2" x14ac:dyDescent="0.2">
      <c r="A1476" s="458"/>
      <c r="B1476" s="458"/>
    </row>
    <row r="1477" spans="1:2" x14ac:dyDescent="0.2">
      <c r="A1477" s="458"/>
      <c r="B1477" s="458"/>
    </row>
    <row r="1478" spans="1:2" x14ac:dyDescent="0.2">
      <c r="A1478" s="458"/>
      <c r="B1478" s="458"/>
    </row>
    <row r="1479" spans="1:2" x14ac:dyDescent="0.2">
      <c r="A1479" s="458"/>
      <c r="B1479" s="458"/>
    </row>
    <row r="1480" spans="1:2" x14ac:dyDescent="0.2">
      <c r="A1480" s="458"/>
      <c r="B1480" s="458"/>
    </row>
    <row r="1481" spans="1:2" x14ac:dyDescent="0.2">
      <c r="A1481" s="458"/>
      <c r="B1481" s="458"/>
    </row>
    <row r="1482" spans="1:2" x14ac:dyDescent="0.2">
      <c r="A1482" s="458"/>
      <c r="B1482" s="458"/>
    </row>
    <row r="1483" spans="1:2" x14ac:dyDescent="0.2">
      <c r="A1483" s="458"/>
      <c r="B1483" s="458"/>
    </row>
    <row r="1484" spans="1:2" x14ac:dyDescent="0.2">
      <c r="A1484" s="458"/>
      <c r="B1484" s="458"/>
    </row>
    <row r="1485" spans="1:2" x14ac:dyDescent="0.2">
      <c r="A1485" s="458"/>
      <c r="B1485" s="458"/>
    </row>
    <row r="1486" spans="1:2" x14ac:dyDescent="0.2">
      <c r="A1486" s="458"/>
      <c r="B1486" s="458"/>
    </row>
    <row r="1487" spans="1:2" x14ac:dyDescent="0.2">
      <c r="A1487" s="458"/>
      <c r="B1487" s="458"/>
    </row>
    <row r="1488" spans="1:2" x14ac:dyDescent="0.2">
      <c r="A1488" s="458"/>
      <c r="B1488" s="458"/>
    </row>
    <row r="1489" spans="1:2" x14ac:dyDescent="0.2">
      <c r="A1489" s="458"/>
      <c r="B1489" s="458"/>
    </row>
    <row r="1490" spans="1:2" x14ac:dyDescent="0.2">
      <c r="A1490" s="458"/>
      <c r="B1490" s="458"/>
    </row>
    <row r="1491" spans="1:2" x14ac:dyDescent="0.2">
      <c r="A1491" s="458"/>
      <c r="B1491" s="458"/>
    </row>
    <row r="1492" spans="1:2" x14ac:dyDescent="0.2">
      <c r="A1492" s="458"/>
      <c r="B1492" s="458"/>
    </row>
    <row r="1493" spans="1:2" x14ac:dyDescent="0.2">
      <c r="A1493" s="458"/>
      <c r="B1493" s="458"/>
    </row>
    <row r="1494" spans="1:2" x14ac:dyDescent="0.2">
      <c r="A1494" s="458"/>
      <c r="B1494" s="458"/>
    </row>
    <row r="1495" spans="1:2" x14ac:dyDescent="0.2">
      <c r="A1495" s="458"/>
      <c r="B1495" s="458"/>
    </row>
    <row r="1496" spans="1:2" x14ac:dyDescent="0.2">
      <c r="A1496" s="458"/>
      <c r="B1496" s="458"/>
    </row>
    <row r="1497" spans="1:2" x14ac:dyDescent="0.2">
      <c r="A1497" s="458"/>
      <c r="B1497" s="458"/>
    </row>
    <row r="1498" spans="1:2" x14ac:dyDescent="0.2">
      <c r="A1498" s="458"/>
      <c r="B1498" s="458"/>
    </row>
    <row r="1499" spans="1:2" x14ac:dyDescent="0.2">
      <c r="A1499" s="458"/>
      <c r="B1499" s="458"/>
    </row>
    <row r="1500" spans="1:2" x14ac:dyDescent="0.2">
      <c r="A1500" s="458"/>
      <c r="B1500" s="458"/>
    </row>
    <row r="1501" spans="1:2" x14ac:dyDescent="0.2">
      <c r="A1501" s="458"/>
      <c r="B1501" s="458"/>
    </row>
    <row r="1502" spans="1:2" x14ac:dyDescent="0.2">
      <c r="A1502" s="458"/>
      <c r="B1502" s="458"/>
    </row>
    <row r="1503" spans="1:2" x14ac:dyDescent="0.2">
      <c r="A1503" s="458"/>
      <c r="B1503" s="458"/>
    </row>
    <row r="1504" spans="1:2" x14ac:dyDescent="0.2">
      <c r="A1504" s="458"/>
      <c r="B1504" s="458"/>
    </row>
    <row r="1505" spans="1:2" x14ac:dyDescent="0.2">
      <c r="A1505" s="458"/>
      <c r="B1505" s="458"/>
    </row>
    <row r="1506" spans="1:2" x14ac:dyDescent="0.2">
      <c r="A1506" s="458"/>
      <c r="B1506" s="458"/>
    </row>
    <row r="1507" spans="1:2" x14ac:dyDescent="0.2">
      <c r="A1507" s="458"/>
      <c r="B1507" s="458"/>
    </row>
    <row r="1508" spans="1:2" x14ac:dyDescent="0.2">
      <c r="A1508" s="458"/>
      <c r="B1508" s="458"/>
    </row>
    <row r="1509" spans="1:2" x14ac:dyDescent="0.2">
      <c r="A1509" s="458"/>
      <c r="B1509" s="458"/>
    </row>
    <row r="1510" spans="1:2" x14ac:dyDescent="0.2">
      <c r="A1510" s="458"/>
      <c r="B1510" s="458"/>
    </row>
    <row r="1511" spans="1:2" x14ac:dyDescent="0.2">
      <c r="A1511" s="458"/>
      <c r="B1511" s="458"/>
    </row>
    <row r="1512" spans="1:2" x14ac:dyDescent="0.2">
      <c r="A1512" s="458"/>
      <c r="B1512" s="458"/>
    </row>
    <row r="1513" spans="1:2" x14ac:dyDescent="0.2">
      <c r="A1513" s="458"/>
      <c r="B1513" s="458"/>
    </row>
    <row r="1514" spans="1:2" x14ac:dyDescent="0.2">
      <c r="A1514" s="458"/>
      <c r="B1514" s="458"/>
    </row>
    <row r="1515" spans="1:2" x14ac:dyDescent="0.2">
      <c r="A1515" s="458"/>
      <c r="B1515" s="458"/>
    </row>
    <row r="1516" spans="1:2" x14ac:dyDescent="0.2">
      <c r="A1516" s="458"/>
      <c r="B1516" s="458"/>
    </row>
    <row r="1517" spans="1:2" x14ac:dyDescent="0.2">
      <c r="A1517" s="458"/>
      <c r="B1517" s="458"/>
    </row>
    <row r="1518" spans="1:2" x14ac:dyDescent="0.2">
      <c r="A1518" s="458"/>
      <c r="B1518" s="458"/>
    </row>
    <row r="1519" spans="1:2" x14ac:dyDescent="0.2">
      <c r="A1519" s="458"/>
      <c r="B1519" s="458"/>
    </row>
    <row r="1520" spans="1:2" x14ac:dyDescent="0.2">
      <c r="A1520" s="458"/>
      <c r="B1520" s="458"/>
    </row>
    <row r="1521" spans="1:2" x14ac:dyDescent="0.2">
      <c r="A1521" s="458"/>
      <c r="B1521" s="458"/>
    </row>
    <row r="1522" spans="1:2" x14ac:dyDescent="0.2">
      <c r="A1522" s="458"/>
      <c r="B1522" s="458"/>
    </row>
    <row r="1523" spans="1:2" x14ac:dyDescent="0.2">
      <c r="A1523" s="458"/>
      <c r="B1523" s="458"/>
    </row>
    <row r="1524" spans="1:2" x14ac:dyDescent="0.2">
      <c r="A1524" s="458"/>
      <c r="B1524" s="458"/>
    </row>
    <row r="1525" spans="1:2" x14ac:dyDescent="0.2">
      <c r="A1525" s="458"/>
      <c r="B1525" s="458"/>
    </row>
    <row r="1526" spans="1:2" x14ac:dyDescent="0.2">
      <c r="A1526" s="458"/>
      <c r="B1526" s="458"/>
    </row>
    <row r="1527" spans="1:2" x14ac:dyDescent="0.2">
      <c r="A1527" s="458"/>
      <c r="B1527" s="458"/>
    </row>
    <row r="1528" spans="1:2" x14ac:dyDescent="0.2">
      <c r="A1528" s="458"/>
      <c r="B1528" s="458"/>
    </row>
    <row r="1529" spans="1:2" x14ac:dyDescent="0.2">
      <c r="A1529" s="458"/>
      <c r="B1529" s="458"/>
    </row>
    <row r="1530" spans="1:2" x14ac:dyDescent="0.2">
      <c r="A1530" s="458"/>
      <c r="B1530" s="458"/>
    </row>
    <row r="1531" spans="1:2" x14ac:dyDescent="0.2">
      <c r="A1531" s="458"/>
      <c r="B1531" s="458"/>
    </row>
    <row r="1532" spans="1:2" x14ac:dyDescent="0.2">
      <c r="A1532" s="458"/>
      <c r="B1532" s="458"/>
    </row>
    <row r="1533" spans="1:2" x14ac:dyDescent="0.2">
      <c r="A1533" s="458"/>
      <c r="B1533" s="458"/>
    </row>
    <row r="1534" spans="1:2" x14ac:dyDescent="0.2">
      <c r="A1534" s="458"/>
      <c r="B1534" s="458"/>
    </row>
    <row r="1535" spans="1:2" x14ac:dyDescent="0.2">
      <c r="A1535" s="458"/>
      <c r="B1535" s="458"/>
    </row>
    <row r="1536" spans="1:2" x14ac:dyDescent="0.2">
      <c r="A1536" s="458"/>
      <c r="B1536" s="458"/>
    </row>
    <row r="1537" spans="1:2" x14ac:dyDescent="0.2">
      <c r="A1537" s="458"/>
      <c r="B1537" s="458"/>
    </row>
    <row r="1538" spans="1:2" x14ac:dyDescent="0.2">
      <c r="A1538" s="458"/>
      <c r="B1538" s="458"/>
    </row>
    <row r="1539" spans="1:2" x14ac:dyDescent="0.2">
      <c r="A1539" s="458"/>
      <c r="B1539" s="458"/>
    </row>
    <row r="1540" spans="1:2" x14ac:dyDescent="0.2">
      <c r="A1540" s="458"/>
      <c r="B1540" s="458"/>
    </row>
    <row r="1541" spans="1:2" x14ac:dyDescent="0.2">
      <c r="A1541" s="458"/>
      <c r="B1541" s="458"/>
    </row>
    <row r="1542" spans="1:2" x14ac:dyDescent="0.2">
      <c r="A1542" s="458"/>
      <c r="B1542" s="458"/>
    </row>
    <row r="1543" spans="1:2" x14ac:dyDescent="0.2">
      <c r="A1543" s="458"/>
      <c r="B1543" s="458"/>
    </row>
    <row r="1544" spans="1:2" x14ac:dyDescent="0.2">
      <c r="A1544" s="458"/>
      <c r="B1544" s="458"/>
    </row>
    <row r="1545" spans="1:2" x14ac:dyDescent="0.2">
      <c r="A1545" s="458"/>
      <c r="B1545" s="458"/>
    </row>
    <row r="1546" spans="1:2" x14ac:dyDescent="0.2">
      <c r="A1546" s="458"/>
      <c r="B1546" s="458"/>
    </row>
    <row r="1547" spans="1:2" x14ac:dyDescent="0.2">
      <c r="A1547" s="458"/>
      <c r="B1547" s="458"/>
    </row>
    <row r="1548" spans="1:2" x14ac:dyDescent="0.2">
      <c r="A1548" s="458"/>
      <c r="B1548" s="458"/>
    </row>
    <row r="1549" spans="1:2" x14ac:dyDescent="0.2">
      <c r="A1549" s="458"/>
      <c r="B1549" s="458"/>
    </row>
    <row r="1550" spans="1:2" x14ac:dyDescent="0.2">
      <c r="A1550" s="458"/>
      <c r="B1550" s="458"/>
    </row>
    <row r="1551" spans="1:2" x14ac:dyDescent="0.2">
      <c r="A1551" s="458"/>
      <c r="B1551" s="458"/>
    </row>
    <row r="1552" spans="1:2" x14ac:dyDescent="0.2">
      <c r="A1552" s="458"/>
      <c r="B1552" s="458"/>
    </row>
    <row r="1553" spans="1:2" x14ac:dyDescent="0.2">
      <c r="A1553" s="458"/>
      <c r="B1553" s="458"/>
    </row>
    <row r="1554" spans="1:2" x14ac:dyDescent="0.2">
      <c r="A1554" s="458"/>
      <c r="B1554" s="458"/>
    </row>
    <row r="1555" spans="1:2" x14ac:dyDescent="0.2">
      <c r="A1555" s="458"/>
      <c r="B1555" s="458"/>
    </row>
    <row r="1556" spans="1:2" x14ac:dyDescent="0.2">
      <c r="A1556" s="458"/>
      <c r="B1556" s="458"/>
    </row>
    <row r="1557" spans="1:2" x14ac:dyDescent="0.2">
      <c r="A1557" s="458"/>
      <c r="B1557" s="458"/>
    </row>
    <row r="1558" spans="1:2" x14ac:dyDescent="0.2">
      <c r="A1558" s="458"/>
      <c r="B1558" s="458"/>
    </row>
    <row r="1559" spans="1:2" x14ac:dyDescent="0.2">
      <c r="A1559" s="458"/>
      <c r="B1559" s="458"/>
    </row>
    <row r="1560" spans="1:2" x14ac:dyDescent="0.2">
      <c r="A1560" s="458"/>
      <c r="B1560" s="458"/>
    </row>
    <row r="1561" spans="1:2" x14ac:dyDescent="0.2">
      <c r="A1561" s="458"/>
      <c r="B1561" s="458"/>
    </row>
    <row r="1562" spans="1:2" x14ac:dyDescent="0.2">
      <c r="A1562" s="458"/>
      <c r="B1562" s="458"/>
    </row>
    <row r="1563" spans="1:2" x14ac:dyDescent="0.2">
      <c r="A1563" s="458"/>
      <c r="B1563" s="458"/>
    </row>
    <row r="1564" spans="1:2" x14ac:dyDescent="0.2">
      <c r="A1564" s="458"/>
      <c r="B1564" s="458"/>
    </row>
    <row r="1565" spans="1:2" x14ac:dyDescent="0.2">
      <c r="A1565" s="458"/>
      <c r="B1565" s="458"/>
    </row>
    <row r="1566" spans="1:2" x14ac:dyDescent="0.2">
      <c r="A1566" s="458"/>
      <c r="B1566" s="458"/>
    </row>
    <row r="1567" spans="1:2" x14ac:dyDescent="0.2">
      <c r="A1567" s="458"/>
      <c r="B1567" s="458"/>
    </row>
    <row r="1568" spans="1:2" x14ac:dyDescent="0.2">
      <c r="A1568" s="458"/>
      <c r="B1568" s="458"/>
    </row>
    <row r="1569" spans="1:2" x14ac:dyDescent="0.2">
      <c r="A1569" s="458"/>
      <c r="B1569" s="458"/>
    </row>
    <row r="1570" spans="1:2" x14ac:dyDescent="0.2">
      <c r="A1570" s="458"/>
      <c r="B1570" s="458"/>
    </row>
    <row r="1571" spans="1:2" x14ac:dyDescent="0.2">
      <c r="A1571" s="458"/>
      <c r="B1571" s="458"/>
    </row>
    <row r="1572" spans="1:2" x14ac:dyDescent="0.2">
      <c r="A1572" s="458"/>
      <c r="B1572" s="458"/>
    </row>
    <row r="1573" spans="1:2" x14ac:dyDescent="0.2">
      <c r="A1573" s="458"/>
      <c r="B1573" s="458"/>
    </row>
    <row r="1574" spans="1:2" x14ac:dyDescent="0.2">
      <c r="A1574" s="458"/>
      <c r="B1574" s="458"/>
    </row>
    <row r="1575" spans="1:2" x14ac:dyDescent="0.2">
      <c r="A1575" s="458"/>
      <c r="B1575" s="458"/>
    </row>
    <row r="1576" spans="1:2" x14ac:dyDescent="0.2">
      <c r="A1576" s="458"/>
      <c r="B1576" s="458"/>
    </row>
    <row r="1577" spans="1:2" x14ac:dyDescent="0.2">
      <c r="A1577" s="458"/>
      <c r="B1577" s="458"/>
    </row>
    <row r="1578" spans="1:2" x14ac:dyDescent="0.2">
      <c r="A1578" s="458"/>
      <c r="B1578" s="458"/>
    </row>
    <row r="1579" spans="1:2" x14ac:dyDescent="0.2">
      <c r="A1579" s="458"/>
      <c r="B1579" s="458"/>
    </row>
    <row r="1580" spans="1:2" x14ac:dyDescent="0.2">
      <c r="A1580" s="458"/>
      <c r="B1580" s="458"/>
    </row>
    <row r="1581" spans="1:2" x14ac:dyDescent="0.2">
      <c r="A1581" s="458"/>
      <c r="B1581" s="458"/>
    </row>
    <row r="1582" spans="1:2" x14ac:dyDescent="0.2">
      <c r="A1582" s="458"/>
      <c r="B1582" s="458"/>
    </row>
    <row r="1583" spans="1:2" x14ac:dyDescent="0.2">
      <c r="A1583" s="458"/>
      <c r="B1583" s="458"/>
    </row>
    <row r="1584" spans="1:2" x14ac:dyDescent="0.2">
      <c r="A1584" s="458"/>
      <c r="B1584" s="458"/>
    </row>
    <row r="1585" spans="1:2" x14ac:dyDescent="0.2">
      <c r="A1585" s="458"/>
      <c r="B1585" s="458"/>
    </row>
    <row r="1586" spans="1:2" x14ac:dyDescent="0.2">
      <c r="A1586" s="458"/>
      <c r="B1586" s="458"/>
    </row>
    <row r="1587" spans="1:2" x14ac:dyDescent="0.2">
      <c r="A1587" s="458"/>
      <c r="B1587" s="458"/>
    </row>
    <row r="1588" spans="1:2" x14ac:dyDescent="0.2">
      <c r="A1588" s="458"/>
      <c r="B1588" s="458"/>
    </row>
    <row r="1589" spans="1:2" x14ac:dyDescent="0.2">
      <c r="A1589" s="458"/>
      <c r="B1589" s="458"/>
    </row>
    <row r="1590" spans="1:2" x14ac:dyDescent="0.2">
      <c r="A1590" s="458"/>
      <c r="B1590" s="458"/>
    </row>
    <row r="1591" spans="1:2" x14ac:dyDescent="0.2">
      <c r="A1591" s="458"/>
      <c r="B1591" s="458"/>
    </row>
    <row r="1592" spans="1:2" x14ac:dyDescent="0.2">
      <c r="A1592" s="458"/>
      <c r="B1592" s="458"/>
    </row>
    <row r="1593" spans="1:2" x14ac:dyDescent="0.2">
      <c r="A1593" s="458"/>
      <c r="B1593" s="458"/>
    </row>
    <row r="1594" spans="1:2" x14ac:dyDescent="0.2">
      <c r="A1594" s="458"/>
      <c r="B1594" s="458"/>
    </row>
    <row r="1595" spans="1:2" x14ac:dyDescent="0.2">
      <c r="A1595" s="458"/>
      <c r="B1595" s="458"/>
    </row>
    <row r="1596" spans="1:2" x14ac:dyDescent="0.2">
      <c r="A1596" s="458"/>
      <c r="B1596" s="458"/>
    </row>
    <row r="1597" spans="1:2" x14ac:dyDescent="0.2">
      <c r="A1597" s="458"/>
      <c r="B1597" s="458"/>
    </row>
    <row r="1598" spans="1:2" x14ac:dyDescent="0.2">
      <c r="A1598" s="458"/>
      <c r="B1598" s="458"/>
    </row>
    <row r="1599" spans="1:2" x14ac:dyDescent="0.2">
      <c r="A1599" s="458"/>
      <c r="B1599" s="458"/>
    </row>
    <row r="1600" spans="1:2" x14ac:dyDescent="0.2">
      <c r="A1600" s="458"/>
      <c r="B1600" s="458"/>
    </row>
    <row r="1601" spans="1:2" x14ac:dyDescent="0.2">
      <c r="A1601" s="458"/>
      <c r="B1601" s="458"/>
    </row>
    <row r="1602" spans="1:2" x14ac:dyDescent="0.2">
      <c r="A1602" s="458"/>
      <c r="B1602" s="458"/>
    </row>
    <row r="1603" spans="1:2" x14ac:dyDescent="0.2">
      <c r="A1603" s="458"/>
      <c r="B1603" s="458"/>
    </row>
    <row r="1604" spans="1:2" x14ac:dyDescent="0.2">
      <c r="A1604" s="458"/>
      <c r="B1604" s="458"/>
    </row>
    <row r="1605" spans="1:2" x14ac:dyDescent="0.2">
      <c r="A1605" s="458"/>
      <c r="B1605" s="458"/>
    </row>
    <row r="1606" spans="1:2" x14ac:dyDescent="0.2">
      <c r="A1606" s="458"/>
      <c r="B1606" s="458"/>
    </row>
    <row r="1607" spans="1:2" x14ac:dyDescent="0.2">
      <c r="A1607" s="458"/>
      <c r="B1607" s="458"/>
    </row>
    <row r="1608" spans="1:2" x14ac:dyDescent="0.2">
      <c r="A1608" s="458"/>
      <c r="B1608" s="458"/>
    </row>
    <row r="1609" spans="1:2" x14ac:dyDescent="0.2">
      <c r="A1609" s="458"/>
      <c r="B1609" s="458"/>
    </row>
    <row r="1610" spans="1:2" x14ac:dyDescent="0.2">
      <c r="A1610" s="458"/>
      <c r="B1610" s="458"/>
    </row>
    <row r="1611" spans="1:2" x14ac:dyDescent="0.2">
      <c r="A1611" s="458"/>
      <c r="B1611" s="458"/>
    </row>
    <row r="1612" spans="1:2" x14ac:dyDescent="0.2">
      <c r="A1612" s="458"/>
      <c r="B1612" s="458"/>
    </row>
    <row r="1613" spans="1:2" x14ac:dyDescent="0.2">
      <c r="A1613" s="458"/>
      <c r="B1613" s="458"/>
    </row>
    <row r="1614" spans="1:2" x14ac:dyDescent="0.2">
      <c r="A1614" s="458"/>
      <c r="B1614" s="458"/>
    </row>
    <row r="1615" spans="1:2" x14ac:dyDescent="0.2">
      <c r="A1615" s="458"/>
      <c r="B1615" s="458"/>
    </row>
    <row r="1616" spans="1:2" x14ac:dyDescent="0.2">
      <c r="A1616" s="458"/>
      <c r="B1616" s="458"/>
    </row>
    <row r="1617" spans="1:2" x14ac:dyDescent="0.2">
      <c r="A1617" s="458"/>
      <c r="B1617" s="458"/>
    </row>
    <row r="1618" spans="1:2" x14ac:dyDescent="0.2">
      <c r="A1618" s="458"/>
      <c r="B1618" s="458"/>
    </row>
    <row r="1619" spans="1:2" x14ac:dyDescent="0.2">
      <c r="A1619" s="458"/>
      <c r="B1619" s="458"/>
    </row>
    <row r="1620" spans="1:2" x14ac:dyDescent="0.2">
      <c r="A1620" s="458"/>
      <c r="B1620" s="458"/>
    </row>
    <row r="1621" spans="1:2" x14ac:dyDescent="0.2">
      <c r="A1621" s="458"/>
      <c r="B1621" s="458"/>
    </row>
    <row r="1622" spans="1:2" x14ac:dyDescent="0.2">
      <c r="A1622" s="458"/>
      <c r="B1622" s="458"/>
    </row>
    <row r="1623" spans="1:2" x14ac:dyDescent="0.2">
      <c r="A1623" s="458"/>
      <c r="B1623" s="458"/>
    </row>
    <row r="1624" spans="1:2" x14ac:dyDescent="0.2">
      <c r="A1624" s="458"/>
      <c r="B1624" s="458"/>
    </row>
    <row r="1625" spans="1:2" x14ac:dyDescent="0.2">
      <c r="A1625" s="458"/>
      <c r="B1625" s="458"/>
    </row>
    <row r="1626" spans="1:2" x14ac:dyDescent="0.2">
      <c r="A1626" s="458"/>
      <c r="B1626" s="458"/>
    </row>
    <row r="1627" spans="1:2" x14ac:dyDescent="0.2">
      <c r="A1627" s="458"/>
      <c r="B1627" s="458"/>
    </row>
    <row r="1628" spans="1:2" x14ac:dyDescent="0.2">
      <c r="A1628" s="458"/>
      <c r="B1628" s="458"/>
    </row>
    <row r="1629" spans="1:2" x14ac:dyDescent="0.2">
      <c r="A1629" s="458"/>
      <c r="B1629" s="458"/>
    </row>
    <row r="1630" spans="1:2" x14ac:dyDescent="0.2">
      <c r="A1630" s="458"/>
      <c r="B1630" s="458"/>
    </row>
    <row r="1631" spans="1:2" x14ac:dyDescent="0.2">
      <c r="A1631" s="458"/>
      <c r="B1631" s="458"/>
    </row>
    <row r="1632" spans="1:2" x14ac:dyDescent="0.2">
      <c r="A1632" s="458"/>
      <c r="B1632" s="458"/>
    </row>
    <row r="1633" spans="1:2" x14ac:dyDescent="0.2">
      <c r="A1633" s="458"/>
      <c r="B1633" s="458"/>
    </row>
    <row r="1634" spans="1:2" x14ac:dyDescent="0.2">
      <c r="A1634" s="458"/>
      <c r="B1634" s="458"/>
    </row>
    <row r="1635" spans="1:2" x14ac:dyDescent="0.2">
      <c r="A1635" s="458"/>
      <c r="B1635" s="458"/>
    </row>
    <row r="1636" spans="1:2" x14ac:dyDescent="0.2">
      <c r="A1636" s="458"/>
      <c r="B1636" s="458"/>
    </row>
    <row r="1637" spans="1:2" x14ac:dyDescent="0.2">
      <c r="A1637" s="458"/>
      <c r="B1637" s="458"/>
    </row>
    <row r="1638" spans="1:2" x14ac:dyDescent="0.2">
      <c r="A1638" s="458"/>
      <c r="B1638" s="458"/>
    </row>
    <row r="1639" spans="1:2" x14ac:dyDescent="0.2">
      <c r="A1639" s="458"/>
      <c r="B1639" s="458"/>
    </row>
    <row r="1640" spans="1:2" x14ac:dyDescent="0.2">
      <c r="A1640" s="458"/>
      <c r="B1640" s="458"/>
    </row>
    <row r="1641" spans="1:2" x14ac:dyDescent="0.2">
      <c r="A1641" s="458"/>
      <c r="B1641" s="458"/>
    </row>
    <row r="1642" spans="1:2" x14ac:dyDescent="0.2">
      <c r="A1642" s="458"/>
      <c r="B1642" s="458"/>
    </row>
    <row r="1643" spans="1:2" x14ac:dyDescent="0.2">
      <c r="A1643" s="458"/>
      <c r="B1643" s="458"/>
    </row>
    <row r="1644" spans="1:2" x14ac:dyDescent="0.2">
      <c r="A1644" s="458"/>
      <c r="B1644" s="458"/>
    </row>
    <row r="1645" spans="1:2" x14ac:dyDescent="0.2">
      <c r="A1645" s="458"/>
      <c r="B1645" s="458"/>
    </row>
    <row r="1646" spans="1:2" x14ac:dyDescent="0.2">
      <c r="A1646" s="458"/>
      <c r="B1646" s="458"/>
    </row>
    <row r="1647" spans="1:2" x14ac:dyDescent="0.2">
      <c r="A1647" s="458"/>
      <c r="B1647" s="458"/>
    </row>
    <row r="1648" spans="1:2" x14ac:dyDescent="0.2">
      <c r="A1648" s="458"/>
      <c r="B1648" s="458"/>
    </row>
    <row r="1649" spans="1:2" x14ac:dyDescent="0.2">
      <c r="A1649" s="458"/>
      <c r="B1649" s="458"/>
    </row>
    <row r="1650" spans="1:2" x14ac:dyDescent="0.2">
      <c r="A1650" s="458"/>
      <c r="B1650" s="458"/>
    </row>
    <row r="1651" spans="1:2" x14ac:dyDescent="0.2">
      <c r="A1651" s="458"/>
      <c r="B1651" s="458"/>
    </row>
    <row r="1652" spans="1:2" x14ac:dyDescent="0.2">
      <c r="A1652" s="458"/>
      <c r="B1652" s="458"/>
    </row>
    <row r="1653" spans="1:2" x14ac:dyDescent="0.2">
      <c r="A1653" s="458"/>
      <c r="B1653" s="458"/>
    </row>
    <row r="1654" spans="1:2" x14ac:dyDescent="0.2">
      <c r="A1654" s="458"/>
      <c r="B1654" s="458"/>
    </row>
    <row r="1655" spans="1:2" x14ac:dyDescent="0.2">
      <c r="A1655" s="458"/>
      <c r="B1655" s="458"/>
    </row>
    <row r="1656" spans="1:2" x14ac:dyDescent="0.2">
      <c r="A1656" s="458"/>
      <c r="B1656" s="458"/>
    </row>
    <row r="1657" spans="1:2" x14ac:dyDescent="0.2">
      <c r="A1657" s="458"/>
      <c r="B1657" s="458"/>
    </row>
    <row r="1658" spans="1:2" x14ac:dyDescent="0.2">
      <c r="A1658" s="458"/>
      <c r="B1658" s="458"/>
    </row>
    <row r="1659" spans="1:2" x14ac:dyDescent="0.2">
      <c r="A1659" s="458"/>
      <c r="B1659" s="458"/>
    </row>
    <row r="1660" spans="1:2" x14ac:dyDescent="0.2">
      <c r="A1660" s="458"/>
      <c r="B1660" s="458"/>
    </row>
    <row r="1661" spans="1:2" x14ac:dyDescent="0.2">
      <c r="A1661" s="458"/>
      <c r="B1661" s="458"/>
    </row>
    <row r="1662" spans="1:2" x14ac:dyDescent="0.2">
      <c r="A1662" s="458"/>
      <c r="B1662" s="458"/>
    </row>
    <row r="1663" spans="1:2" x14ac:dyDescent="0.2">
      <c r="A1663" s="458"/>
      <c r="B1663" s="458"/>
    </row>
    <row r="1664" spans="1:2" x14ac:dyDescent="0.2">
      <c r="A1664" s="458"/>
      <c r="B1664" s="458"/>
    </row>
    <row r="1665" spans="1:2" x14ac:dyDescent="0.2">
      <c r="A1665" s="458"/>
      <c r="B1665" s="458"/>
    </row>
    <row r="1666" spans="1:2" x14ac:dyDescent="0.2">
      <c r="A1666" s="458"/>
      <c r="B1666" s="458"/>
    </row>
    <row r="1667" spans="1:2" x14ac:dyDescent="0.2">
      <c r="A1667" s="458"/>
      <c r="B1667" s="458"/>
    </row>
    <row r="1668" spans="1:2" x14ac:dyDescent="0.2">
      <c r="A1668" s="458"/>
      <c r="B1668" s="458"/>
    </row>
    <row r="1669" spans="1:2" x14ac:dyDescent="0.2">
      <c r="A1669" s="458"/>
      <c r="B1669" s="458"/>
    </row>
    <row r="1670" spans="1:2" x14ac:dyDescent="0.2">
      <c r="A1670" s="458"/>
      <c r="B1670" s="458"/>
    </row>
    <row r="1671" spans="1:2" x14ac:dyDescent="0.2">
      <c r="A1671" s="458"/>
      <c r="B1671" s="458"/>
    </row>
    <row r="1672" spans="1:2" x14ac:dyDescent="0.2">
      <c r="A1672" s="458"/>
      <c r="B1672" s="458"/>
    </row>
    <row r="1673" spans="1:2" x14ac:dyDescent="0.2">
      <c r="A1673" s="458"/>
      <c r="B1673" s="458"/>
    </row>
    <row r="1674" spans="1:2" x14ac:dyDescent="0.2">
      <c r="A1674" s="458"/>
      <c r="B1674" s="458"/>
    </row>
    <row r="1675" spans="1:2" x14ac:dyDescent="0.2">
      <c r="A1675" s="458"/>
      <c r="B1675" s="458"/>
    </row>
    <row r="1676" spans="1:2" x14ac:dyDescent="0.2">
      <c r="A1676" s="458"/>
      <c r="B1676" s="458"/>
    </row>
    <row r="1677" spans="1:2" x14ac:dyDescent="0.2">
      <c r="A1677" s="458"/>
      <c r="B1677" s="458"/>
    </row>
    <row r="1678" spans="1:2" x14ac:dyDescent="0.2">
      <c r="A1678" s="458"/>
      <c r="B1678" s="458"/>
    </row>
    <row r="1679" spans="1:2" x14ac:dyDescent="0.2">
      <c r="A1679" s="458"/>
      <c r="B1679" s="458"/>
    </row>
    <row r="1680" spans="1:2" x14ac:dyDescent="0.2">
      <c r="A1680" s="458"/>
      <c r="B1680" s="458"/>
    </row>
    <row r="1681" spans="1:2" x14ac:dyDescent="0.2">
      <c r="A1681" s="458"/>
      <c r="B1681" s="458"/>
    </row>
    <row r="1682" spans="1:2" x14ac:dyDescent="0.2">
      <c r="A1682" s="458"/>
      <c r="B1682" s="458"/>
    </row>
    <row r="1683" spans="1:2" x14ac:dyDescent="0.2">
      <c r="A1683" s="458"/>
      <c r="B1683" s="458"/>
    </row>
    <row r="1684" spans="1:2" x14ac:dyDescent="0.2">
      <c r="A1684" s="458"/>
      <c r="B1684" s="458"/>
    </row>
    <row r="1685" spans="1:2" x14ac:dyDescent="0.2">
      <c r="A1685" s="458"/>
      <c r="B1685" s="458"/>
    </row>
    <row r="1686" spans="1:2" x14ac:dyDescent="0.2">
      <c r="A1686" s="458"/>
      <c r="B1686" s="458"/>
    </row>
    <row r="1687" spans="1:2" x14ac:dyDescent="0.2">
      <c r="A1687" s="458"/>
      <c r="B1687" s="458"/>
    </row>
    <row r="1688" spans="1:2" x14ac:dyDescent="0.2">
      <c r="A1688" s="458"/>
      <c r="B1688" s="458"/>
    </row>
    <row r="1689" spans="1:2" x14ac:dyDescent="0.2">
      <c r="A1689" s="458"/>
      <c r="B1689" s="458"/>
    </row>
    <row r="1690" spans="1:2" x14ac:dyDescent="0.2">
      <c r="A1690" s="458"/>
      <c r="B1690" s="458"/>
    </row>
    <row r="1691" spans="1:2" x14ac:dyDescent="0.2">
      <c r="A1691" s="458"/>
      <c r="B1691" s="458"/>
    </row>
    <row r="1692" spans="1:2" x14ac:dyDescent="0.2">
      <c r="A1692" s="458"/>
      <c r="B1692" s="458"/>
    </row>
    <row r="1693" spans="1:2" x14ac:dyDescent="0.2">
      <c r="A1693" s="458"/>
      <c r="B1693" s="458"/>
    </row>
    <row r="1694" spans="1:2" x14ac:dyDescent="0.2">
      <c r="A1694" s="458"/>
      <c r="B1694" s="458"/>
    </row>
    <row r="1695" spans="1:2" x14ac:dyDescent="0.2">
      <c r="A1695" s="458"/>
      <c r="B1695" s="458"/>
    </row>
    <row r="1696" spans="1:2" x14ac:dyDescent="0.2">
      <c r="A1696" s="458"/>
      <c r="B1696" s="458"/>
    </row>
    <row r="1697" spans="1:2" x14ac:dyDescent="0.2">
      <c r="A1697" s="458"/>
      <c r="B1697" s="458"/>
    </row>
    <row r="1698" spans="1:2" x14ac:dyDescent="0.2">
      <c r="A1698" s="458"/>
      <c r="B1698" s="458"/>
    </row>
    <row r="1699" spans="1:2" x14ac:dyDescent="0.2">
      <c r="A1699" s="458"/>
      <c r="B1699" s="458"/>
    </row>
    <row r="1700" spans="1:2" x14ac:dyDescent="0.2">
      <c r="A1700" s="458"/>
      <c r="B1700" s="458"/>
    </row>
    <row r="1701" spans="1:2" x14ac:dyDescent="0.2">
      <c r="A1701" s="458"/>
      <c r="B1701" s="458"/>
    </row>
    <row r="1702" spans="1:2" x14ac:dyDescent="0.2">
      <c r="A1702" s="458"/>
      <c r="B1702" s="458"/>
    </row>
    <row r="1703" spans="1:2" x14ac:dyDescent="0.2">
      <c r="A1703" s="458"/>
      <c r="B1703" s="458"/>
    </row>
    <row r="1704" spans="1:2" x14ac:dyDescent="0.2">
      <c r="A1704" s="458"/>
      <c r="B1704" s="458"/>
    </row>
    <row r="1705" spans="1:2" x14ac:dyDescent="0.2">
      <c r="A1705" s="458"/>
      <c r="B1705" s="458"/>
    </row>
    <row r="1706" spans="1:2" x14ac:dyDescent="0.2">
      <c r="A1706" s="458"/>
      <c r="B1706" s="458"/>
    </row>
    <row r="1707" spans="1:2" x14ac:dyDescent="0.2">
      <c r="A1707" s="458"/>
      <c r="B1707" s="458"/>
    </row>
    <row r="1708" spans="1:2" x14ac:dyDescent="0.2">
      <c r="A1708" s="458"/>
      <c r="B1708" s="458"/>
    </row>
    <row r="1709" spans="1:2" x14ac:dyDescent="0.2">
      <c r="A1709" s="458"/>
      <c r="B1709" s="458"/>
    </row>
    <row r="1710" spans="1:2" x14ac:dyDescent="0.2">
      <c r="A1710" s="458"/>
      <c r="B1710" s="458"/>
    </row>
    <row r="1711" spans="1:2" x14ac:dyDescent="0.2">
      <c r="A1711" s="458"/>
      <c r="B1711" s="458"/>
    </row>
    <row r="1712" spans="1:2" x14ac:dyDescent="0.2">
      <c r="A1712" s="458"/>
      <c r="B1712" s="458"/>
    </row>
    <row r="1713" spans="1:2" x14ac:dyDescent="0.2">
      <c r="A1713" s="458"/>
      <c r="B1713" s="458"/>
    </row>
    <row r="1714" spans="1:2" x14ac:dyDescent="0.2">
      <c r="A1714" s="458"/>
      <c r="B1714" s="458"/>
    </row>
    <row r="1715" spans="1:2" x14ac:dyDescent="0.2">
      <c r="A1715" s="458"/>
      <c r="B1715" s="458"/>
    </row>
    <row r="1716" spans="1:2" x14ac:dyDescent="0.2">
      <c r="A1716" s="458"/>
      <c r="B1716" s="458"/>
    </row>
    <row r="1717" spans="1:2" x14ac:dyDescent="0.2">
      <c r="A1717" s="458"/>
      <c r="B1717" s="458"/>
    </row>
    <row r="1718" spans="1:2" x14ac:dyDescent="0.2">
      <c r="A1718" s="458"/>
      <c r="B1718" s="458"/>
    </row>
    <row r="1719" spans="1:2" x14ac:dyDescent="0.2">
      <c r="A1719" s="458"/>
      <c r="B1719" s="458"/>
    </row>
    <row r="1720" spans="1:2" x14ac:dyDescent="0.2">
      <c r="A1720" s="458"/>
      <c r="B1720" s="458"/>
    </row>
    <row r="1721" spans="1:2" x14ac:dyDescent="0.2">
      <c r="A1721" s="458"/>
      <c r="B1721" s="458"/>
    </row>
    <row r="1722" spans="1:2" x14ac:dyDescent="0.2">
      <c r="A1722" s="458"/>
      <c r="B1722" s="458"/>
    </row>
    <row r="1723" spans="1:2" x14ac:dyDescent="0.2">
      <c r="A1723" s="458"/>
      <c r="B1723" s="458"/>
    </row>
    <row r="1724" spans="1:2" x14ac:dyDescent="0.2">
      <c r="A1724" s="458"/>
      <c r="B1724" s="458"/>
    </row>
    <row r="1725" spans="1:2" x14ac:dyDescent="0.2">
      <c r="A1725" s="458"/>
      <c r="B1725" s="458"/>
    </row>
    <row r="1726" spans="1:2" x14ac:dyDescent="0.2">
      <c r="A1726" s="458"/>
      <c r="B1726" s="458"/>
    </row>
    <row r="1727" spans="1:2" x14ac:dyDescent="0.2">
      <c r="A1727" s="458"/>
      <c r="B1727" s="458"/>
    </row>
    <row r="1728" spans="1:2" x14ac:dyDescent="0.2">
      <c r="A1728" s="458"/>
      <c r="B1728" s="458"/>
    </row>
    <row r="1729" spans="1:2" x14ac:dyDescent="0.2">
      <c r="A1729" s="458"/>
      <c r="B1729" s="458"/>
    </row>
    <row r="1730" spans="1:2" x14ac:dyDescent="0.2">
      <c r="A1730" s="458"/>
      <c r="B1730" s="458"/>
    </row>
    <row r="1731" spans="1:2" x14ac:dyDescent="0.2">
      <c r="A1731" s="458"/>
      <c r="B1731" s="458"/>
    </row>
    <row r="1732" spans="1:2" x14ac:dyDescent="0.2">
      <c r="A1732" s="458"/>
      <c r="B1732" s="458"/>
    </row>
    <row r="1733" spans="1:2" x14ac:dyDescent="0.2">
      <c r="A1733" s="458"/>
      <c r="B1733" s="458"/>
    </row>
    <row r="1734" spans="1:2" x14ac:dyDescent="0.2">
      <c r="A1734" s="458"/>
      <c r="B1734" s="458"/>
    </row>
    <row r="1735" spans="1:2" x14ac:dyDescent="0.2">
      <c r="A1735" s="458"/>
      <c r="B1735" s="458"/>
    </row>
    <row r="1736" spans="1:2" x14ac:dyDescent="0.2">
      <c r="A1736" s="458"/>
      <c r="B1736" s="458"/>
    </row>
    <row r="1737" spans="1:2" x14ac:dyDescent="0.2">
      <c r="A1737" s="458"/>
      <c r="B1737" s="458"/>
    </row>
    <row r="1738" spans="1:2" x14ac:dyDescent="0.2">
      <c r="A1738" s="458"/>
      <c r="B1738" s="458"/>
    </row>
    <row r="1739" spans="1:2" x14ac:dyDescent="0.2">
      <c r="A1739" s="458"/>
      <c r="B1739" s="458"/>
    </row>
    <row r="1740" spans="1:2" x14ac:dyDescent="0.2">
      <c r="A1740" s="458"/>
      <c r="B1740" s="458"/>
    </row>
    <row r="1741" spans="1:2" x14ac:dyDescent="0.2">
      <c r="A1741" s="458"/>
      <c r="B1741" s="458"/>
    </row>
    <row r="1742" spans="1:2" x14ac:dyDescent="0.2">
      <c r="A1742" s="458"/>
      <c r="B1742" s="458"/>
    </row>
    <row r="1743" spans="1:2" x14ac:dyDescent="0.2">
      <c r="A1743" s="458"/>
      <c r="B1743" s="458"/>
    </row>
    <row r="1744" spans="1:2" x14ac:dyDescent="0.2">
      <c r="A1744" s="458"/>
      <c r="B1744" s="458"/>
    </row>
    <row r="1745" spans="1:2" x14ac:dyDescent="0.2">
      <c r="A1745" s="458"/>
      <c r="B1745" s="458"/>
    </row>
    <row r="1746" spans="1:2" x14ac:dyDescent="0.2">
      <c r="A1746" s="458"/>
      <c r="B1746" s="458"/>
    </row>
    <row r="1747" spans="1:2" x14ac:dyDescent="0.2">
      <c r="A1747" s="458"/>
      <c r="B1747" s="458"/>
    </row>
    <row r="1748" spans="1:2" x14ac:dyDescent="0.2">
      <c r="A1748" s="458"/>
      <c r="B1748" s="458"/>
    </row>
    <row r="1749" spans="1:2" x14ac:dyDescent="0.2">
      <c r="A1749" s="458"/>
      <c r="B1749" s="458"/>
    </row>
    <row r="1750" spans="1:2" x14ac:dyDescent="0.2">
      <c r="A1750" s="458"/>
      <c r="B1750" s="458"/>
    </row>
    <row r="1751" spans="1:2" x14ac:dyDescent="0.2">
      <c r="A1751" s="458"/>
      <c r="B1751" s="458"/>
    </row>
    <row r="1752" spans="1:2" x14ac:dyDescent="0.2">
      <c r="A1752" s="458"/>
      <c r="B1752" s="458"/>
    </row>
    <row r="1753" spans="1:2" x14ac:dyDescent="0.2">
      <c r="A1753" s="458"/>
      <c r="B1753" s="458"/>
    </row>
    <row r="1754" spans="1:2" x14ac:dyDescent="0.2">
      <c r="A1754" s="458"/>
      <c r="B1754" s="458"/>
    </row>
    <row r="1755" spans="1:2" x14ac:dyDescent="0.2">
      <c r="A1755" s="458"/>
      <c r="B1755" s="458"/>
    </row>
    <row r="1756" spans="1:2" x14ac:dyDescent="0.2">
      <c r="A1756" s="458"/>
      <c r="B1756" s="458"/>
    </row>
    <row r="1757" spans="1:2" x14ac:dyDescent="0.2">
      <c r="A1757" s="458"/>
      <c r="B1757" s="458"/>
    </row>
    <row r="1758" spans="1:2" x14ac:dyDescent="0.2">
      <c r="A1758" s="458"/>
      <c r="B1758" s="458"/>
    </row>
    <row r="1759" spans="1:2" x14ac:dyDescent="0.2">
      <c r="A1759" s="458"/>
      <c r="B1759" s="458"/>
    </row>
    <row r="1760" spans="1:2" x14ac:dyDescent="0.2">
      <c r="A1760" s="458"/>
      <c r="B1760" s="458"/>
    </row>
    <row r="1761" spans="1:2" x14ac:dyDescent="0.2">
      <c r="A1761" s="458"/>
      <c r="B1761" s="458"/>
    </row>
    <row r="1762" spans="1:2" x14ac:dyDescent="0.2">
      <c r="A1762" s="458"/>
      <c r="B1762" s="458"/>
    </row>
    <row r="1763" spans="1:2" x14ac:dyDescent="0.2">
      <c r="A1763" s="458"/>
      <c r="B1763" s="458"/>
    </row>
    <row r="1764" spans="1:2" x14ac:dyDescent="0.2">
      <c r="A1764" s="458"/>
      <c r="B1764" s="458"/>
    </row>
    <row r="1765" spans="1:2" x14ac:dyDescent="0.2">
      <c r="A1765" s="458"/>
      <c r="B1765" s="458"/>
    </row>
    <row r="1766" spans="1:2" x14ac:dyDescent="0.2">
      <c r="A1766" s="458"/>
      <c r="B1766" s="458"/>
    </row>
    <row r="1767" spans="1:2" x14ac:dyDescent="0.2">
      <c r="A1767" s="458"/>
      <c r="B1767" s="458"/>
    </row>
    <row r="1768" spans="1:2" x14ac:dyDescent="0.2">
      <c r="A1768" s="458"/>
      <c r="B1768" s="458"/>
    </row>
    <row r="1769" spans="1:2" x14ac:dyDescent="0.2">
      <c r="A1769" s="458"/>
      <c r="B1769" s="458"/>
    </row>
    <row r="1770" spans="1:2" x14ac:dyDescent="0.2">
      <c r="A1770" s="458"/>
      <c r="B1770" s="458"/>
    </row>
    <row r="1771" spans="1:2" x14ac:dyDescent="0.2">
      <c r="A1771" s="458"/>
      <c r="B1771" s="458"/>
    </row>
    <row r="1772" spans="1:2" x14ac:dyDescent="0.2">
      <c r="A1772" s="458"/>
      <c r="B1772" s="458"/>
    </row>
    <row r="1773" spans="1:2" x14ac:dyDescent="0.2">
      <c r="A1773" s="458"/>
      <c r="B1773" s="458"/>
    </row>
    <row r="1774" spans="1:2" x14ac:dyDescent="0.2">
      <c r="A1774" s="458"/>
      <c r="B1774" s="458"/>
    </row>
    <row r="1775" spans="1:2" x14ac:dyDescent="0.2">
      <c r="A1775" s="458"/>
      <c r="B1775" s="458"/>
    </row>
    <row r="1776" spans="1:2" x14ac:dyDescent="0.2">
      <c r="A1776" s="458"/>
      <c r="B1776" s="458"/>
    </row>
    <row r="1777" spans="1:2" x14ac:dyDescent="0.2">
      <c r="A1777" s="458"/>
      <c r="B1777" s="458"/>
    </row>
    <row r="1778" spans="1:2" x14ac:dyDescent="0.2">
      <c r="A1778" s="458"/>
      <c r="B1778" s="458"/>
    </row>
    <row r="1779" spans="1:2" x14ac:dyDescent="0.2">
      <c r="A1779" s="458"/>
      <c r="B1779" s="458"/>
    </row>
    <row r="1780" spans="1:2" x14ac:dyDescent="0.2">
      <c r="A1780" s="458"/>
      <c r="B1780" s="458"/>
    </row>
    <row r="1781" spans="1:2" x14ac:dyDescent="0.2">
      <c r="A1781" s="458"/>
      <c r="B1781" s="458"/>
    </row>
    <row r="1782" spans="1:2" x14ac:dyDescent="0.2">
      <c r="A1782" s="458"/>
      <c r="B1782" s="458"/>
    </row>
    <row r="1783" spans="1:2" x14ac:dyDescent="0.2">
      <c r="A1783" s="458"/>
      <c r="B1783" s="458"/>
    </row>
    <row r="1784" spans="1:2" x14ac:dyDescent="0.2">
      <c r="A1784" s="458"/>
      <c r="B1784" s="458"/>
    </row>
    <row r="1785" spans="1:2" x14ac:dyDescent="0.2">
      <c r="A1785" s="458"/>
      <c r="B1785" s="458"/>
    </row>
    <row r="1786" spans="1:2" x14ac:dyDescent="0.2">
      <c r="A1786" s="458"/>
      <c r="B1786" s="458"/>
    </row>
    <row r="1787" spans="1:2" x14ac:dyDescent="0.2">
      <c r="A1787" s="458"/>
      <c r="B1787" s="458"/>
    </row>
    <row r="1788" spans="1:2" x14ac:dyDescent="0.2">
      <c r="A1788" s="458"/>
      <c r="B1788" s="458"/>
    </row>
    <row r="1789" spans="1:2" x14ac:dyDescent="0.2">
      <c r="A1789" s="458"/>
      <c r="B1789" s="458"/>
    </row>
    <row r="1790" spans="1:2" x14ac:dyDescent="0.2">
      <c r="A1790" s="458"/>
      <c r="B1790" s="458"/>
    </row>
    <row r="1791" spans="1:2" x14ac:dyDescent="0.2">
      <c r="A1791" s="458"/>
      <c r="B1791" s="458"/>
    </row>
    <row r="1792" spans="1:2" x14ac:dyDescent="0.2">
      <c r="A1792" s="458"/>
      <c r="B1792" s="458"/>
    </row>
    <row r="1793" spans="1:2" x14ac:dyDescent="0.2">
      <c r="A1793" s="458"/>
      <c r="B1793" s="458"/>
    </row>
    <row r="1794" spans="1:2" x14ac:dyDescent="0.2">
      <c r="A1794" s="458"/>
      <c r="B1794" s="458"/>
    </row>
    <row r="1795" spans="1:2" x14ac:dyDescent="0.2">
      <c r="A1795" s="458"/>
      <c r="B1795" s="458"/>
    </row>
    <row r="1796" spans="1:2" x14ac:dyDescent="0.2">
      <c r="A1796" s="458"/>
      <c r="B1796" s="458"/>
    </row>
    <row r="1797" spans="1:2" x14ac:dyDescent="0.2">
      <c r="A1797" s="458"/>
      <c r="B1797" s="458"/>
    </row>
    <row r="1798" spans="1:2" x14ac:dyDescent="0.2">
      <c r="A1798" s="458"/>
      <c r="B1798" s="458"/>
    </row>
    <row r="1799" spans="1:2" x14ac:dyDescent="0.2">
      <c r="A1799" s="458"/>
      <c r="B1799" s="458"/>
    </row>
    <row r="1800" spans="1:2" x14ac:dyDescent="0.2">
      <c r="A1800" s="458"/>
      <c r="B1800" s="458"/>
    </row>
    <row r="1801" spans="1:2" x14ac:dyDescent="0.2">
      <c r="A1801" s="458"/>
      <c r="B1801" s="458"/>
    </row>
    <row r="1802" spans="1:2" x14ac:dyDescent="0.2">
      <c r="A1802" s="458"/>
      <c r="B1802" s="458"/>
    </row>
    <row r="1803" spans="1:2" x14ac:dyDescent="0.2">
      <c r="A1803" s="458"/>
      <c r="B1803" s="458"/>
    </row>
    <row r="1804" spans="1:2" x14ac:dyDescent="0.2">
      <c r="A1804" s="458"/>
      <c r="B1804" s="458"/>
    </row>
    <row r="1805" spans="1:2" x14ac:dyDescent="0.2">
      <c r="A1805" s="458"/>
      <c r="B1805" s="458"/>
    </row>
    <row r="1806" spans="1:2" x14ac:dyDescent="0.2">
      <c r="A1806" s="458"/>
      <c r="B1806" s="458"/>
    </row>
    <row r="1807" spans="1:2" x14ac:dyDescent="0.2">
      <c r="A1807" s="458"/>
      <c r="B1807" s="458"/>
    </row>
    <row r="1808" spans="1:2" x14ac:dyDescent="0.2">
      <c r="A1808" s="458"/>
      <c r="B1808" s="458"/>
    </row>
    <row r="1809" spans="1:2" x14ac:dyDescent="0.2">
      <c r="A1809" s="458"/>
      <c r="B1809" s="458"/>
    </row>
    <row r="1810" spans="1:2" x14ac:dyDescent="0.2">
      <c r="A1810" s="458"/>
      <c r="B1810" s="458"/>
    </row>
    <row r="1811" spans="1:2" x14ac:dyDescent="0.2">
      <c r="A1811" s="458"/>
      <c r="B1811" s="458"/>
    </row>
    <row r="1812" spans="1:2" x14ac:dyDescent="0.2">
      <c r="A1812" s="458"/>
      <c r="B1812" s="458"/>
    </row>
    <row r="1813" spans="1:2" x14ac:dyDescent="0.2">
      <c r="A1813" s="458"/>
      <c r="B1813" s="458"/>
    </row>
    <row r="1814" spans="1:2" x14ac:dyDescent="0.2">
      <c r="A1814" s="458"/>
      <c r="B1814" s="458"/>
    </row>
    <row r="1815" spans="1:2" x14ac:dyDescent="0.2">
      <c r="A1815" s="458"/>
      <c r="B1815" s="458"/>
    </row>
    <row r="1816" spans="1:2" x14ac:dyDescent="0.2">
      <c r="A1816" s="458"/>
      <c r="B1816" s="458"/>
    </row>
    <row r="1817" spans="1:2" x14ac:dyDescent="0.2">
      <c r="A1817" s="458"/>
      <c r="B1817" s="458"/>
    </row>
    <row r="1818" spans="1:2" x14ac:dyDescent="0.2">
      <c r="A1818" s="458"/>
      <c r="B1818" s="458"/>
    </row>
    <row r="1819" spans="1:2" x14ac:dyDescent="0.2">
      <c r="A1819" s="458"/>
      <c r="B1819" s="458"/>
    </row>
    <row r="1820" spans="1:2" x14ac:dyDescent="0.2">
      <c r="A1820" s="458"/>
      <c r="B1820" s="458"/>
    </row>
    <row r="1821" spans="1:2" x14ac:dyDescent="0.2">
      <c r="A1821" s="458"/>
      <c r="B1821" s="458"/>
    </row>
    <row r="1822" spans="1:2" x14ac:dyDescent="0.2">
      <c r="A1822" s="458"/>
      <c r="B1822" s="458"/>
    </row>
    <row r="1823" spans="1:2" x14ac:dyDescent="0.2">
      <c r="A1823" s="458"/>
      <c r="B1823" s="458"/>
    </row>
    <row r="1824" spans="1:2" x14ac:dyDescent="0.2">
      <c r="A1824" s="458"/>
      <c r="B1824" s="458"/>
    </row>
    <row r="1825" spans="1:2" x14ac:dyDescent="0.2">
      <c r="A1825" s="458"/>
      <c r="B1825" s="458"/>
    </row>
    <row r="1826" spans="1:2" x14ac:dyDescent="0.2">
      <c r="A1826" s="458"/>
      <c r="B1826" s="458"/>
    </row>
    <row r="1827" spans="1:2" x14ac:dyDescent="0.2">
      <c r="A1827" s="458"/>
      <c r="B1827" s="458"/>
    </row>
    <row r="1828" spans="1:2" x14ac:dyDescent="0.2">
      <c r="A1828" s="458"/>
      <c r="B1828" s="458"/>
    </row>
    <row r="1829" spans="1:2" x14ac:dyDescent="0.2">
      <c r="A1829" s="458"/>
      <c r="B1829" s="458"/>
    </row>
    <row r="1830" spans="1:2" x14ac:dyDescent="0.2">
      <c r="A1830" s="458"/>
      <c r="B1830" s="458"/>
    </row>
    <row r="1831" spans="1:2" x14ac:dyDescent="0.2">
      <c r="A1831" s="458"/>
      <c r="B1831" s="458"/>
    </row>
    <row r="1832" spans="1:2" x14ac:dyDescent="0.2">
      <c r="A1832" s="458"/>
      <c r="B1832" s="458"/>
    </row>
    <row r="1833" spans="1:2" x14ac:dyDescent="0.2">
      <c r="A1833" s="458"/>
      <c r="B1833" s="458"/>
    </row>
    <row r="1834" spans="1:2" x14ac:dyDescent="0.2">
      <c r="A1834" s="458"/>
      <c r="B1834" s="458"/>
    </row>
    <row r="1835" spans="1:2" x14ac:dyDescent="0.2">
      <c r="A1835" s="458"/>
      <c r="B1835" s="458"/>
    </row>
    <row r="1836" spans="1:2" x14ac:dyDescent="0.2">
      <c r="A1836" s="458"/>
      <c r="B1836" s="458"/>
    </row>
    <row r="1837" spans="1:2" x14ac:dyDescent="0.2">
      <c r="A1837" s="458"/>
      <c r="B1837" s="458"/>
    </row>
    <row r="1838" spans="1:2" x14ac:dyDescent="0.2">
      <c r="A1838" s="458"/>
      <c r="B1838" s="458"/>
    </row>
    <row r="1839" spans="1:2" x14ac:dyDescent="0.2">
      <c r="A1839" s="458"/>
      <c r="B1839" s="458"/>
    </row>
    <row r="1840" spans="1:2" x14ac:dyDescent="0.2">
      <c r="A1840" s="458"/>
      <c r="B1840" s="458"/>
    </row>
    <row r="1841" spans="1:2" x14ac:dyDescent="0.2">
      <c r="A1841" s="458"/>
      <c r="B1841" s="458"/>
    </row>
    <row r="1842" spans="1:2" x14ac:dyDescent="0.2">
      <c r="A1842" s="458"/>
      <c r="B1842" s="458"/>
    </row>
    <row r="1843" spans="1:2" x14ac:dyDescent="0.2">
      <c r="A1843" s="458"/>
      <c r="B1843" s="458"/>
    </row>
    <row r="1844" spans="1:2" x14ac:dyDescent="0.2">
      <c r="A1844" s="458"/>
      <c r="B1844" s="458"/>
    </row>
    <row r="1845" spans="1:2" x14ac:dyDescent="0.2">
      <c r="A1845" s="458"/>
      <c r="B1845" s="458"/>
    </row>
    <row r="1846" spans="1:2" x14ac:dyDescent="0.2">
      <c r="A1846" s="458"/>
      <c r="B1846" s="458"/>
    </row>
    <row r="1847" spans="1:2" x14ac:dyDescent="0.2">
      <c r="A1847" s="458"/>
      <c r="B1847" s="458"/>
    </row>
    <row r="1848" spans="1:2" x14ac:dyDescent="0.2">
      <c r="A1848" s="458"/>
      <c r="B1848" s="458"/>
    </row>
    <row r="1849" spans="1:2" x14ac:dyDescent="0.2">
      <c r="A1849" s="458"/>
      <c r="B1849" s="458"/>
    </row>
    <row r="1850" spans="1:2" x14ac:dyDescent="0.2">
      <c r="A1850" s="458"/>
      <c r="B1850" s="458"/>
    </row>
    <row r="1851" spans="1:2" x14ac:dyDescent="0.2">
      <c r="A1851" s="458"/>
      <c r="B1851" s="458"/>
    </row>
    <row r="1852" spans="1:2" x14ac:dyDescent="0.2">
      <c r="A1852" s="458"/>
      <c r="B1852" s="458"/>
    </row>
    <row r="1853" spans="1:2" x14ac:dyDescent="0.2">
      <c r="A1853" s="458"/>
      <c r="B1853" s="458"/>
    </row>
    <row r="1854" spans="1:2" x14ac:dyDescent="0.2">
      <c r="A1854" s="458"/>
      <c r="B1854" s="458"/>
    </row>
    <row r="1855" spans="1:2" x14ac:dyDescent="0.2">
      <c r="A1855" s="458"/>
      <c r="B1855" s="458"/>
    </row>
    <row r="1856" spans="1:2" x14ac:dyDescent="0.2">
      <c r="A1856" s="458"/>
      <c r="B1856" s="458"/>
    </row>
    <row r="1857" spans="1:2" x14ac:dyDescent="0.2">
      <c r="A1857" s="458"/>
      <c r="B1857" s="458"/>
    </row>
    <row r="1858" spans="1:2" x14ac:dyDescent="0.2">
      <c r="A1858" s="458"/>
      <c r="B1858" s="458"/>
    </row>
    <row r="1859" spans="1:2" x14ac:dyDescent="0.2">
      <c r="A1859" s="458"/>
      <c r="B1859" s="458"/>
    </row>
    <row r="1860" spans="1:2" x14ac:dyDescent="0.2">
      <c r="A1860" s="458"/>
      <c r="B1860" s="458"/>
    </row>
    <row r="1861" spans="1:2" x14ac:dyDescent="0.2">
      <c r="A1861" s="458"/>
      <c r="B1861" s="458"/>
    </row>
    <row r="1862" spans="1:2" x14ac:dyDescent="0.2">
      <c r="A1862" s="458"/>
      <c r="B1862" s="458"/>
    </row>
    <row r="1863" spans="1:2" x14ac:dyDescent="0.2">
      <c r="A1863" s="458"/>
      <c r="B1863" s="458"/>
    </row>
    <row r="1864" spans="1:2" x14ac:dyDescent="0.2">
      <c r="A1864" s="458"/>
      <c r="B1864" s="458"/>
    </row>
    <row r="1865" spans="1:2" x14ac:dyDescent="0.2">
      <c r="A1865" s="458"/>
      <c r="B1865" s="458"/>
    </row>
    <row r="1866" spans="1:2" x14ac:dyDescent="0.2">
      <c r="A1866" s="458"/>
      <c r="B1866" s="458"/>
    </row>
    <row r="1867" spans="1:2" x14ac:dyDescent="0.2">
      <c r="A1867" s="458"/>
      <c r="B1867" s="458"/>
    </row>
    <row r="1868" spans="1:2" x14ac:dyDescent="0.2">
      <c r="A1868" s="458"/>
      <c r="B1868" s="458"/>
    </row>
    <row r="1869" spans="1:2" x14ac:dyDescent="0.2">
      <c r="A1869" s="458"/>
      <c r="B1869" s="458"/>
    </row>
    <row r="1870" spans="1:2" x14ac:dyDescent="0.2">
      <c r="A1870" s="458"/>
      <c r="B1870" s="458"/>
    </row>
    <row r="1871" spans="1:2" x14ac:dyDescent="0.2">
      <c r="A1871" s="458"/>
      <c r="B1871" s="458"/>
    </row>
    <row r="1872" spans="1:2" x14ac:dyDescent="0.2">
      <c r="A1872" s="458"/>
      <c r="B1872" s="458"/>
    </row>
    <row r="1873" spans="1:2" x14ac:dyDescent="0.2">
      <c r="A1873" s="458"/>
      <c r="B1873" s="458"/>
    </row>
    <row r="1874" spans="1:2" x14ac:dyDescent="0.2">
      <c r="A1874" s="458"/>
      <c r="B1874" s="458"/>
    </row>
    <row r="1875" spans="1:2" x14ac:dyDescent="0.2">
      <c r="A1875" s="458"/>
      <c r="B1875" s="458"/>
    </row>
    <row r="1876" spans="1:2" x14ac:dyDescent="0.2">
      <c r="A1876" s="458"/>
      <c r="B1876" s="458"/>
    </row>
    <row r="1877" spans="1:2" x14ac:dyDescent="0.2">
      <c r="A1877" s="458"/>
      <c r="B1877" s="458"/>
    </row>
    <row r="1878" spans="1:2" x14ac:dyDescent="0.2">
      <c r="A1878" s="458"/>
      <c r="B1878" s="458"/>
    </row>
    <row r="1879" spans="1:2" x14ac:dyDescent="0.2">
      <c r="A1879" s="458"/>
      <c r="B1879" s="458"/>
    </row>
    <row r="1880" spans="1:2" x14ac:dyDescent="0.2">
      <c r="A1880" s="458"/>
      <c r="B1880" s="458"/>
    </row>
    <row r="1881" spans="1:2" x14ac:dyDescent="0.2">
      <c r="A1881" s="458"/>
      <c r="B1881" s="458"/>
    </row>
    <row r="1882" spans="1:2" x14ac:dyDescent="0.2">
      <c r="A1882" s="458"/>
      <c r="B1882" s="458"/>
    </row>
    <row r="1883" spans="1:2" x14ac:dyDescent="0.2">
      <c r="A1883" s="458"/>
      <c r="B1883" s="458"/>
    </row>
    <row r="1884" spans="1:2" x14ac:dyDescent="0.2">
      <c r="A1884" s="458"/>
      <c r="B1884" s="458"/>
    </row>
    <row r="1885" spans="1:2" x14ac:dyDescent="0.2">
      <c r="A1885" s="458"/>
      <c r="B1885" s="458"/>
    </row>
    <row r="1886" spans="1:2" x14ac:dyDescent="0.2">
      <c r="A1886" s="458"/>
      <c r="B1886" s="458"/>
    </row>
    <row r="1887" spans="1:2" x14ac:dyDescent="0.2">
      <c r="A1887" s="458"/>
      <c r="B1887" s="458"/>
    </row>
    <row r="1888" spans="1:2" x14ac:dyDescent="0.2">
      <c r="A1888" s="458"/>
      <c r="B1888" s="458"/>
    </row>
    <row r="1889" spans="1:2" x14ac:dyDescent="0.2">
      <c r="A1889" s="458"/>
      <c r="B1889" s="458"/>
    </row>
    <row r="1890" spans="1:2" x14ac:dyDescent="0.2">
      <c r="A1890" s="458"/>
      <c r="B1890" s="458"/>
    </row>
    <row r="1891" spans="1:2" x14ac:dyDescent="0.2">
      <c r="A1891" s="458"/>
      <c r="B1891" s="458"/>
    </row>
    <row r="1892" spans="1:2" x14ac:dyDescent="0.2">
      <c r="A1892" s="458"/>
      <c r="B1892" s="458"/>
    </row>
    <row r="1893" spans="1:2" x14ac:dyDescent="0.2">
      <c r="A1893" s="458"/>
      <c r="B1893" s="458"/>
    </row>
    <row r="1894" spans="1:2" x14ac:dyDescent="0.2">
      <c r="A1894" s="458"/>
      <c r="B1894" s="458"/>
    </row>
    <row r="1895" spans="1:2" x14ac:dyDescent="0.2">
      <c r="A1895" s="458"/>
      <c r="B1895" s="458"/>
    </row>
    <row r="1896" spans="1:2" x14ac:dyDescent="0.2">
      <c r="A1896" s="458"/>
      <c r="B1896" s="458"/>
    </row>
    <row r="1897" spans="1:2" x14ac:dyDescent="0.2">
      <c r="A1897" s="458"/>
      <c r="B1897" s="458"/>
    </row>
    <row r="1898" spans="1:2" x14ac:dyDescent="0.2">
      <c r="A1898" s="458"/>
      <c r="B1898" s="458"/>
    </row>
    <row r="1899" spans="1:2" x14ac:dyDescent="0.2">
      <c r="A1899" s="458"/>
      <c r="B1899" s="458"/>
    </row>
    <row r="1900" spans="1:2" x14ac:dyDescent="0.2">
      <c r="A1900" s="458"/>
      <c r="B1900" s="458"/>
    </row>
    <row r="1901" spans="1:2" x14ac:dyDescent="0.2">
      <c r="A1901" s="458"/>
      <c r="B1901" s="458"/>
    </row>
    <row r="1902" spans="1:2" x14ac:dyDescent="0.2">
      <c r="A1902" s="458"/>
      <c r="B1902" s="458"/>
    </row>
    <row r="1903" spans="1:2" x14ac:dyDescent="0.2">
      <c r="A1903" s="458"/>
      <c r="B1903" s="458"/>
    </row>
    <row r="1904" spans="1:2" x14ac:dyDescent="0.2">
      <c r="A1904" s="458"/>
      <c r="B1904" s="458"/>
    </row>
    <row r="1905" spans="1:2" x14ac:dyDescent="0.2">
      <c r="A1905" s="458"/>
      <c r="B1905" s="458"/>
    </row>
    <row r="1906" spans="1:2" x14ac:dyDescent="0.2">
      <c r="A1906" s="458"/>
      <c r="B1906" s="458"/>
    </row>
    <row r="1907" spans="1:2" x14ac:dyDescent="0.2">
      <c r="A1907" s="458"/>
      <c r="B1907" s="458"/>
    </row>
    <row r="1908" spans="1:2" x14ac:dyDescent="0.2">
      <c r="A1908" s="458"/>
      <c r="B1908" s="458"/>
    </row>
    <row r="1909" spans="1:2" x14ac:dyDescent="0.2">
      <c r="A1909" s="458"/>
      <c r="B1909" s="458"/>
    </row>
    <row r="1910" spans="1:2" x14ac:dyDescent="0.2">
      <c r="A1910" s="458"/>
      <c r="B1910" s="458"/>
    </row>
    <row r="1911" spans="1:2" x14ac:dyDescent="0.2">
      <c r="A1911" s="458"/>
      <c r="B1911" s="458"/>
    </row>
    <row r="1912" spans="1:2" x14ac:dyDescent="0.2">
      <c r="A1912" s="458"/>
      <c r="B1912" s="458"/>
    </row>
    <row r="1913" spans="1:2" x14ac:dyDescent="0.2">
      <c r="A1913" s="458"/>
      <c r="B1913" s="458"/>
    </row>
    <row r="1914" spans="1:2" x14ac:dyDescent="0.2">
      <c r="A1914" s="458"/>
      <c r="B1914" s="458"/>
    </row>
    <row r="1915" spans="1:2" x14ac:dyDescent="0.2">
      <c r="A1915" s="458"/>
      <c r="B1915" s="458"/>
    </row>
    <row r="1916" spans="1:2" x14ac:dyDescent="0.2">
      <c r="A1916" s="458"/>
      <c r="B1916" s="458"/>
    </row>
    <row r="1917" spans="1:2" x14ac:dyDescent="0.2">
      <c r="A1917" s="458"/>
      <c r="B1917" s="458"/>
    </row>
    <row r="1918" spans="1:2" x14ac:dyDescent="0.2">
      <c r="A1918" s="458"/>
      <c r="B1918" s="458"/>
    </row>
    <row r="1919" spans="1:2" x14ac:dyDescent="0.2">
      <c r="A1919" s="458"/>
      <c r="B1919" s="458"/>
    </row>
    <row r="1920" spans="1:2" x14ac:dyDescent="0.2">
      <c r="A1920" s="458"/>
      <c r="B1920" s="458"/>
    </row>
    <row r="1921" spans="1:2" x14ac:dyDescent="0.2">
      <c r="A1921" s="458"/>
      <c r="B1921" s="458"/>
    </row>
    <row r="1922" spans="1:2" x14ac:dyDescent="0.2">
      <c r="A1922" s="458"/>
      <c r="B1922" s="458"/>
    </row>
    <row r="1923" spans="1:2" x14ac:dyDescent="0.2">
      <c r="A1923" s="458"/>
      <c r="B1923" s="458"/>
    </row>
    <row r="1924" spans="1:2" x14ac:dyDescent="0.2">
      <c r="A1924" s="458"/>
      <c r="B1924" s="458"/>
    </row>
    <row r="1925" spans="1:2" x14ac:dyDescent="0.2">
      <c r="A1925" s="458"/>
      <c r="B1925" s="458"/>
    </row>
    <row r="1926" spans="1:2" x14ac:dyDescent="0.2">
      <c r="A1926" s="458"/>
      <c r="B1926" s="458"/>
    </row>
    <row r="1927" spans="1:2" x14ac:dyDescent="0.2">
      <c r="A1927" s="458"/>
      <c r="B1927" s="458"/>
    </row>
    <row r="1928" spans="1:2" x14ac:dyDescent="0.2">
      <c r="A1928" s="458"/>
      <c r="B1928" s="458"/>
    </row>
    <row r="1929" spans="1:2" x14ac:dyDescent="0.2">
      <c r="A1929" s="458"/>
      <c r="B1929" s="458"/>
    </row>
    <row r="1930" spans="1:2" x14ac:dyDescent="0.2">
      <c r="A1930" s="458"/>
      <c r="B1930" s="458"/>
    </row>
    <row r="1931" spans="1:2" x14ac:dyDescent="0.2">
      <c r="A1931" s="458"/>
      <c r="B1931" s="458"/>
    </row>
    <row r="1932" spans="1:2" x14ac:dyDescent="0.2">
      <c r="A1932" s="458"/>
      <c r="B1932" s="458"/>
    </row>
    <row r="1933" spans="1:2" x14ac:dyDescent="0.2">
      <c r="A1933" s="458"/>
      <c r="B1933" s="458"/>
    </row>
    <row r="1934" spans="1:2" x14ac:dyDescent="0.2">
      <c r="A1934" s="458"/>
      <c r="B1934" s="458"/>
    </row>
    <row r="1935" spans="1:2" x14ac:dyDescent="0.2">
      <c r="A1935" s="458"/>
      <c r="B1935" s="458"/>
    </row>
    <row r="1936" spans="1:2" x14ac:dyDescent="0.2">
      <c r="A1936" s="458"/>
      <c r="B1936" s="458"/>
    </row>
    <row r="1937" spans="1:2" x14ac:dyDescent="0.2">
      <c r="A1937" s="458"/>
      <c r="B1937" s="458"/>
    </row>
    <row r="1938" spans="1:2" x14ac:dyDescent="0.2">
      <c r="A1938" s="458"/>
      <c r="B1938" s="458"/>
    </row>
    <row r="1939" spans="1:2" x14ac:dyDescent="0.2">
      <c r="A1939" s="458"/>
      <c r="B1939" s="458"/>
    </row>
    <row r="1940" spans="1:2" x14ac:dyDescent="0.2">
      <c r="A1940" s="458"/>
      <c r="B1940" s="458"/>
    </row>
    <row r="1941" spans="1:2" x14ac:dyDescent="0.2">
      <c r="A1941" s="458"/>
      <c r="B1941" s="458"/>
    </row>
    <row r="1942" spans="1:2" x14ac:dyDescent="0.2">
      <c r="A1942" s="458"/>
      <c r="B1942" s="458"/>
    </row>
    <row r="1943" spans="1:2" x14ac:dyDescent="0.2">
      <c r="A1943" s="458"/>
      <c r="B1943" s="458"/>
    </row>
    <row r="1944" spans="1:2" x14ac:dyDescent="0.2">
      <c r="A1944" s="458"/>
      <c r="B1944" s="458"/>
    </row>
    <row r="1945" spans="1:2" x14ac:dyDescent="0.2">
      <c r="A1945" s="458"/>
      <c r="B1945" s="458"/>
    </row>
    <row r="1946" spans="1:2" x14ac:dyDescent="0.2">
      <c r="A1946" s="458"/>
      <c r="B1946" s="458"/>
    </row>
    <row r="1947" spans="1:2" x14ac:dyDescent="0.2">
      <c r="A1947" s="458"/>
      <c r="B1947" s="458"/>
    </row>
    <row r="1948" spans="1:2" x14ac:dyDescent="0.2">
      <c r="A1948" s="458"/>
      <c r="B1948" s="458"/>
    </row>
    <row r="1949" spans="1:2" x14ac:dyDescent="0.2">
      <c r="A1949" s="458"/>
      <c r="B1949" s="458"/>
    </row>
    <row r="1950" spans="1:2" x14ac:dyDescent="0.2">
      <c r="A1950" s="458"/>
      <c r="B1950" s="458"/>
    </row>
    <row r="1951" spans="1:2" x14ac:dyDescent="0.2">
      <c r="A1951" s="458"/>
      <c r="B1951" s="458"/>
    </row>
    <row r="1952" spans="1:2" x14ac:dyDescent="0.2">
      <c r="A1952" s="458"/>
      <c r="B1952" s="458"/>
    </row>
    <row r="1953" spans="1:2" x14ac:dyDescent="0.2">
      <c r="A1953" s="458"/>
      <c r="B1953" s="458"/>
    </row>
    <row r="1954" spans="1:2" x14ac:dyDescent="0.2">
      <c r="A1954" s="458"/>
      <c r="B1954" s="458"/>
    </row>
    <row r="1955" spans="1:2" x14ac:dyDescent="0.2">
      <c r="A1955" s="458"/>
      <c r="B1955" s="458"/>
    </row>
    <row r="1956" spans="1:2" x14ac:dyDescent="0.2">
      <c r="A1956" s="458"/>
      <c r="B1956" s="458"/>
    </row>
    <row r="1957" spans="1:2" x14ac:dyDescent="0.2">
      <c r="A1957" s="458"/>
      <c r="B1957" s="458"/>
    </row>
    <row r="1958" spans="1:2" x14ac:dyDescent="0.2">
      <c r="A1958" s="458"/>
      <c r="B1958" s="458"/>
    </row>
    <row r="1959" spans="1:2" x14ac:dyDescent="0.2">
      <c r="A1959" s="458"/>
      <c r="B1959" s="458"/>
    </row>
    <row r="1960" spans="1:2" x14ac:dyDescent="0.2">
      <c r="A1960" s="458"/>
      <c r="B1960" s="458"/>
    </row>
    <row r="1961" spans="1:2" x14ac:dyDescent="0.2">
      <c r="A1961" s="458"/>
      <c r="B1961" s="458"/>
    </row>
    <row r="1962" spans="1:2" x14ac:dyDescent="0.2">
      <c r="A1962" s="458"/>
      <c r="B1962" s="458"/>
    </row>
    <row r="1963" spans="1:2" x14ac:dyDescent="0.2">
      <c r="A1963" s="458"/>
      <c r="B1963" s="458"/>
    </row>
    <row r="1964" spans="1:2" x14ac:dyDescent="0.2">
      <c r="A1964" s="458"/>
      <c r="B1964" s="458"/>
    </row>
    <row r="1965" spans="1:2" x14ac:dyDescent="0.2">
      <c r="A1965" s="458"/>
      <c r="B1965" s="458"/>
    </row>
    <row r="1966" spans="1:2" x14ac:dyDescent="0.2">
      <c r="A1966" s="458"/>
      <c r="B1966" s="458"/>
    </row>
    <row r="1967" spans="1:2" x14ac:dyDescent="0.2">
      <c r="A1967" s="458"/>
      <c r="B1967" s="458"/>
    </row>
    <row r="1968" spans="1:2" x14ac:dyDescent="0.2">
      <c r="A1968" s="458"/>
      <c r="B1968" s="458"/>
    </row>
    <row r="1969" spans="1:2" x14ac:dyDescent="0.2">
      <c r="A1969" s="458"/>
      <c r="B1969" s="458"/>
    </row>
    <row r="1970" spans="1:2" x14ac:dyDescent="0.2">
      <c r="A1970" s="458"/>
      <c r="B1970" s="458"/>
    </row>
    <row r="1971" spans="1:2" x14ac:dyDescent="0.2">
      <c r="A1971" s="458"/>
      <c r="B1971" s="458"/>
    </row>
    <row r="1972" spans="1:2" x14ac:dyDescent="0.2">
      <c r="A1972" s="458"/>
      <c r="B1972" s="458"/>
    </row>
    <row r="1973" spans="1:2" x14ac:dyDescent="0.2">
      <c r="A1973" s="458"/>
      <c r="B1973" s="458"/>
    </row>
    <row r="1974" spans="1:2" x14ac:dyDescent="0.2">
      <c r="A1974" s="458"/>
      <c r="B1974" s="458"/>
    </row>
    <row r="1975" spans="1:2" x14ac:dyDescent="0.2">
      <c r="A1975" s="458"/>
      <c r="B1975" s="458"/>
    </row>
    <row r="1976" spans="1:2" x14ac:dyDescent="0.2">
      <c r="A1976" s="458"/>
      <c r="B1976" s="458"/>
    </row>
    <row r="1977" spans="1:2" x14ac:dyDescent="0.2">
      <c r="A1977" s="458"/>
      <c r="B1977" s="458"/>
    </row>
    <row r="1978" spans="1:2" x14ac:dyDescent="0.2">
      <c r="A1978" s="458"/>
      <c r="B1978" s="458"/>
    </row>
    <row r="1979" spans="1:2" x14ac:dyDescent="0.2">
      <c r="A1979" s="458"/>
      <c r="B1979" s="458"/>
    </row>
    <row r="1980" spans="1:2" x14ac:dyDescent="0.2">
      <c r="A1980" s="458"/>
      <c r="B1980" s="458"/>
    </row>
    <row r="1981" spans="1:2" x14ac:dyDescent="0.2">
      <c r="A1981" s="458"/>
      <c r="B1981" s="458"/>
    </row>
    <row r="1982" spans="1:2" x14ac:dyDescent="0.2">
      <c r="A1982" s="458"/>
      <c r="B1982" s="458"/>
    </row>
    <row r="1983" spans="1:2" x14ac:dyDescent="0.2">
      <c r="A1983" s="458"/>
      <c r="B1983" s="458"/>
    </row>
    <row r="1984" spans="1:2" x14ac:dyDescent="0.2">
      <c r="A1984" s="458"/>
      <c r="B1984" s="458"/>
    </row>
    <row r="1985" spans="1:2" x14ac:dyDescent="0.2">
      <c r="A1985" s="458"/>
      <c r="B1985" s="458"/>
    </row>
    <row r="1986" spans="1:2" x14ac:dyDescent="0.2">
      <c r="A1986" s="458"/>
      <c r="B1986" s="458"/>
    </row>
    <row r="1987" spans="1:2" x14ac:dyDescent="0.2">
      <c r="A1987" s="458"/>
      <c r="B1987" s="458"/>
    </row>
    <row r="1988" spans="1:2" x14ac:dyDescent="0.2">
      <c r="A1988" s="458"/>
      <c r="B1988" s="458"/>
    </row>
    <row r="1989" spans="1:2" x14ac:dyDescent="0.2">
      <c r="A1989" s="458"/>
      <c r="B1989" s="458"/>
    </row>
    <row r="1990" spans="1:2" x14ac:dyDescent="0.2">
      <c r="A1990" s="458"/>
      <c r="B1990" s="458"/>
    </row>
    <row r="1991" spans="1:2" x14ac:dyDescent="0.2">
      <c r="A1991" s="458"/>
      <c r="B1991" s="458"/>
    </row>
    <row r="1992" spans="1:2" x14ac:dyDescent="0.2">
      <c r="A1992" s="458"/>
      <c r="B1992" s="458"/>
    </row>
    <row r="1993" spans="1:2" x14ac:dyDescent="0.2">
      <c r="A1993" s="458"/>
      <c r="B1993" s="458"/>
    </row>
    <row r="1994" spans="1:2" x14ac:dyDescent="0.2">
      <c r="A1994" s="458"/>
      <c r="B1994" s="458"/>
    </row>
    <row r="1995" spans="1:2" x14ac:dyDescent="0.2">
      <c r="A1995" s="458"/>
      <c r="B1995" s="458"/>
    </row>
    <row r="1996" spans="1:2" x14ac:dyDescent="0.2">
      <c r="A1996" s="458"/>
      <c r="B1996" s="458"/>
    </row>
    <row r="1997" spans="1:2" x14ac:dyDescent="0.2">
      <c r="A1997" s="458"/>
      <c r="B1997" s="458"/>
    </row>
    <row r="1998" spans="1:2" x14ac:dyDescent="0.2">
      <c r="A1998" s="458"/>
      <c r="B1998" s="458"/>
    </row>
    <row r="1999" spans="1:2" x14ac:dyDescent="0.2">
      <c r="A1999" s="458"/>
      <c r="B1999" s="458"/>
    </row>
    <row r="2000" spans="1:2" x14ac:dyDescent="0.2">
      <c r="A2000" s="458"/>
      <c r="B2000" s="458"/>
    </row>
    <row r="2001" spans="1:2" x14ac:dyDescent="0.2">
      <c r="A2001" s="458"/>
      <c r="B2001" s="458"/>
    </row>
    <row r="2002" spans="1:2" x14ac:dyDescent="0.2">
      <c r="A2002" s="458"/>
      <c r="B2002" s="458"/>
    </row>
    <row r="2003" spans="1:2" x14ac:dyDescent="0.2">
      <c r="A2003" s="458"/>
      <c r="B2003" s="458"/>
    </row>
    <row r="2004" spans="1:2" x14ac:dyDescent="0.2">
      <c r="A2004" s="458"/>
      <c r="B2004" s="458"/>
    </row>
    <row r="2005" spans="1:2" x14ac:dyDescent="0.2">
      <c r="A2005" s="458"/>
      <c r="B2005" s="458"/>
    </row>
    <row r="2006" spans="1:2" x14ac:dyDescent="0.2">
      <c r="A2006" s="458"/>
      <c r="B2006" s="458"/>
    </row>
    <row r="2007" spans="1:2" x14ac:dyDescent="0.2">
      <c r="A2007" s="458"/>
      <c r="B2007" s="458"/>
    </row>
    <row r="2008" spans="1:2" x14ac:dyDescent="0.2">
      <c r="A2008" s="458"/>
      <c r="B2008" s="458"/>
    </row>
    <row r="2009" spans="1:2" x14ac:dyDescent="0.2">
      <c r="A2009" s="458"/>
      <c r="B2009" s="458"/>
    </row>
    <row r="2010" spans="1:2" x14ac:dyDescent="0.2">
      <c r="A2010" s="458"/>
      <c r="B2010" s="458"/>
    </row>
    <row r="2011" spans="1:2" x14ac:dyDescent="0.2">
      <c r="A2011" s="458"/>
      <c r="B2011" s="458"/>
    </row>
    <row r="2012" spans="1:2" x14ac:dyDescent="0.2">
      <c r="A2012" s="458"/>
      <c r="B2012" s="458"/>
    </row>
    <row r="2013" spans="1:2" x14ac:dyDescent="0.2">
      <c r="A2013" s="458"/>
      <c r="B2013" s="458"/>
    </row>
    <row r="2014" spans="1:2" x14ac:dyDescent="0.2">
      <c r="A2014" s="458"/>
      <c r="B2014" s="458"/>
    </row>
    <row r="2015" spans="1:2" x14ac:dyDescent="0.2">
      <c r="A2015" s="458"/>
      <c r="B2015" s="458"/>
    </row>
    <row r="2016" spans="1:2" x14ac:dyDescent="0.2">
      <c r="A2016" s="458"/>
      <c r="B2016" s="458"/>
    </row>
    <row r="2017" spans="1:2" x14ac:dyDescent="0.2">
      <c r="A2017" s="458"/>
      <c r="B2017" s="458"/>
    </row>
    <row r="2018" spans="1:2" x14ac:dyDescent="0.2">
      <c r="A2018" s="458"/>
      <c r="B2018" s="458"/>
    </row>
    <row r="2019" spans="1:2" x14ac:dyDescent="0.2">
      <c r="A2019" s="458"/>
      <c r="B2019" s="458"/>
    </row>
    <row r="2020" spans="1:2" x14ac:dyDescent="0.2">
      <c r="A2020" s="458"/>
      <c r="B2020" s="458"/>
    </row>
    <row r="2021" spans="1:2" x14ac:dyDescent="0.2">
      <c r="A2021" s="458"/>
      <c r="B2021" s="458"/>
    </row>
    <row r="2022" spans="1:2" x14ac:dyDescent="0.2">
      <c r="A2022" s="458"/>
      <c r="B2022" s="458"/>
    </row>
    <row r="2023" spans="1:2" x14ac:dyDescent="0.2">
      <c r="A2023" s="458"/>
      <c r="B2023" s="458"/>
    </row>
    <row r="2024" spans="1:2" x14ac:dyDescent="0.2">
      <c r="A2024" s="458"/>
      <c r="B2024" s="458"/>
    </row>
    <row r="2025" spans="1:2" x14ac:dyDescent="0.2">
      <c r="A2025" s="458"/>
      <c r="B2025" s="458"/>
    </row>
    <row r="2026" spans="1:2" x14ac:dyDescent="0.2">
      <c r="A2026" s="458"/>
      <c r="B2026" s="458"/>
    </row>
    <row r="2027" spans="1:2" x14ac:dyDescent="0.2">
      <c r="A2027" s="458"/>
      <c r="B2027" s="458"/>
    </row>
    <row r="2028" spans="1:2" x14ac:dyDescent="0.2">
      <c r="A2028" s="458"/>
      <c r="B2028" s="458"/>
    </row>
    <row r="2029" spans="1:2" x14ac:dyDescent="0.2">
      <c r="A2029" s="458"/>
      <c r="B2029" s="458"/>
    </row>
    <row r="2030" spans="1:2" x14ac:dyDescent="0.2">
      <c r="A2030" s="458"/>
      <c r="B2030" s="458"/>
    </row>
    <row r="2031" spans="1:2" x14ac:dyDescent="0.2">
      <c r="A2031" s="458"/>
      <c r="B2031" s="458"/>
    </row>
    <row r="2032" spans="1:2" x14ac:dyDescent="0.2">
      <c r="A2032" s="458"/>
      <c r="B2032" s="458"/>
    </row>
    <row r="2033" spans="1:2" x14ac:dyDescent="0.2">
      <c r="A2033" s="458"/>
      <c r="B2033" s="458"/>
    </row>
    <row r="2034" spans="1:2" x14ac:dyDescent="0.2">
      <c r="A2034" s="458"/>
      <c r="B2034" s="458"/>
    </row>
    <row r="2035" spans="1:2" x14ac:dyDescent="0.2">
      <c r="A2035" s="458"/>
      <c r="B2035" s="458"/>
    </row>
    <row r="2036" spans="1:2" x14ac:dyDescent="0.2">
      <c r="A2036" s="458"/>
      <c r="B2036" s="458"/>
    </row>
    <row r="2037" spans="1:2" x14ac:dyDescent="0.2">
      <c r="A2037" s="458"/>
      <c r="B2037" s="458"/>
    </row>
    <row r="2038" spans="1:2" x14ac:dyDescent="0.2">
      <c r="A2038" s="458"/>
      <c r="B2038" s="458"/>
    </row>
    <row r="2039" spans="1:2" x14ac:dyDescent="0.2">
      <c r="A2039" s="458"/>
      <c r="B2039" s="458"/>
    </row>
    <row r="2040" spans="1:2" x14ac:dyDescent="0.2">
      <c r="A2040" s="458"/>
      <c r="B2040" s="458"/>
    </row>
    <row r="2041" spans="1:2" x14ac:dyDescent="0.2">
      <c r="A2041" s="458"/>
      <c r="B2041" s="458"/>
    </row>
    <row r="2042" spans="1:2" x14ac:dyDescent="0.2">
      <c r="A2042" s="458"/>
      <c r="B2042" s="458"/>
    </row>
    <row r="2043" spans="1:2" x14ac:dyDescent="0.2">
      <c r="A2043" s="458"/>
      <c r="B2043" s="458"/>
    </row>
    <row r="2044" spans="1:2" x14ac:dyDescent="0.2">
      <c r="A2044" s="458"/>
      <c r="B2044" s="458"/>
    </row>
    <row r="2045" spans="1:2" x14ac:dyDescent="0.2">
      <c r="A2045" s="458"/>
      <c r="B2045" s="458"/>
    </row>
    <row r="2046" spans="1:2" x14ac:dyDescent="0.2">
      <c r="A2046" s="458"/>
      <c r="B2046" s="458"/>
    </row>
    <row r="2047" spans="1:2" x14ac:dyDescent="0.2">
      <c r="A2047" s="458"/>
      <c r="B2047" s="458"/>
    </row>
    <row r="2048" spans="1:2" x14ac:dyDescent="0.2">
      <c r="A2048" s="458"/>
      <c r="B2048" s="458"/>
    </row>
    <row r="2049" spans="1:2" x14ac:dyDescent="0.2">
      <c r="A2049" s="458"/>
      <c r="B2049" s="458"/>
    </row>
    <row r="2050" spans="1:2" x14ac:dyDescent="0.2">
      <c r="A2050" s="458"/>
      <c r="B2050" s="458"/>
    </row>
    <row r="2051" spans="1:2" x14ac:dyDescent="0.2">
      <c r="A2051" s="458"/>
      <c r="B2051" s="458"/>
    </row>
    <row r="2052" spans="1:2" x14ac:dyDescent="0.2">
      <c r="A2052" s="458"/>
      <c r="B2052" s="458"/>
    </row>
    <row r="2053" spans="1:2" x14ac:dyDescent="0.2">
      <c r="A2053" s="458"/>
      <c r="B2053" s="458"/>
    </row>
    <row r="2054" spans="1:2" x14ac:dyDescent="0.2">
      <c r="A2054" s="458"/>
      <c r="B2054" s="458"/>
    </row>
    <row r="2055" spans="1:2" x14ac:dyDescent="0.2">
      <c r="A2055" s="458"/>
      <c r="B2055" s="458"/>
    </row>
    <row r="2056" spans="1:2" x14ac:dyDescent="0.2">
      <c r="A2056" s="458"/>
      <c r="B2056" s="458"/>
    </row>
    <row r="2057" spans="1:2" x14ac:dyDescent="0.2">
      <c r="A2057" s="458"/>
      <c r="B2057" s="458"/>
    </row>
    <row r="2058" spans="1:2" x14ac:dyDescent="0.2">
      <c r="A2058" s="458"/>
      <c r="B2058" s="458"/>
    </row>
    <row r="2059" spans="1:2" x14ac:dyDescent="0.2">
      <c r="A2059" s="458"/>
      <c r="B2059" s="458"/>
    </row>
    <row r="2060" spans="1:2" x14ac:dyDescent="0.2">
      <c r="A2060" s="458"/>
      <c r="B2060" s="458"/>
    </row>
    <row r="2061" spans="1:2" x14ac:dyDescent="0.2">
      <c r="A2061" s="458"/>
      <c r="B2061" s="458"/>
    </row>
    <row r="2062" spans="1:2" x14ac:dyDescent="0.2">
      <c r="A2062" s="458"/>
      <c r="B2062" s="458"/>
    </row>
    <row r="2063" spans="1:2" x14ac:dyDescent="0.2">
      <c r="A2063" s="458"/>
      <c r="B2063" s="458"/>
    </row>
    <row r="2064" spans="1:2" x14ac:dyDescent="0.2">
      <c r="A2064" s="458"/>
      <c r="B2064" s="458"/>
    </row>
    <row r="2065" spans="1:2" x14ac:dyDescent="0.2">
      <c r="A2065" s="458"/>
      <c r="B2065" s="458"/>
    </row>
    <row r="2066" spans="1:2" x14ac:dyDescent="0.2">
      <c r="A2066" s="458"/>
      <c r="B2066" s="458"/>
    </row>
    <row r="2067" spans="1:2" x14ac:dyDescent="0.2">
      <c r="A2067" s="458"/>
      <c r="B2067" s="458"/>
    </row>
    <row r="2068" spans="1:2" x14ac:dyDescent="0.2">
      <c r="A2068" s="458"/>
      <c r="B2068" s="458"/>
    </row>
    <row r="2069" spans="1:2" x14ac:dyDescent="0.2">
      <c r="A2069" s="458"/>
      <c r="B2069" s="458"/>
    </row>
    <row r="2070" spans="1:2" x14ac:dyDescent="0.2">
      <c r="A2070" s="458"/>
      <c r="B2070" s="458"/>
    </row>
    <row r="2071" spans="1:2" x14ac:dyDescent="0.2">
      <c r="A2071" s="458"/>
      <c r="B2071" s="458"/>
    </row>
    <row r="2072" spans="1:2" x14ac:dyDescent="0.2">
      <c r="A2072" s="458"/>
      <c r="B2072" s="458"/>
    </row>
    <row r="2073" spans="1:2" x14ac:dyDescent="0.2">
      <c r="A2073" s="458"/>
      <c r="B2073" s="458"/>
    </row>
    <row r="2074" spans="1:2" x14ac:dyDescent="0.2">
      <c r="A2074" s="458"/>
      <c r="B2074" s="458"/>
    </row>
    <row r="2075" spans="1:2" x14ac:dyDescent="0.2">
      <c r="A2075" s="458"/>
      <c r="B2075" s="458"/>
    </row>
    <row r="2076" spans="1:2" x14ac:dyDescent="0.2">
      <c r="A2076" s="458"/>
      <c r="B2076" s="458"/>
    </row>
    <row r="2077" spans="1:2" x14ac:dyDescent="0.2">
      <c r="A2077" s="458"/>
      <c r="B2077" s="458"/>
    </row>
    <row r="2078" spans="1:2" x14ac:dyDescent="0.2">
      <c r="A2078" s="458"/>
      <c r="B2078" s="458"/>
    </row>
    <row r="2079" spans="1:2" x14ac:dyDescent="0.2">
      <c r="A2079" s="458"/>
      <c r="B2079" s="458"/>
    </row>
    <row r="2080" spans="1:2" x14ac:dyDescent="0.2">
      <c r="A2080" s="458"/>
      <c r="B2080" s="458"/>
    </row>
    <row r="2081" spans="1:2" x14ac:dyDescent="0.2">
      <c r="A2081" s="458"/>
      <c r="B2081" s="458"/>
    </row>
    <row r="2082" spans="1:2" x14ac:dyDescent="0.2">
      <c r="A2082" s="458"/>
      <c r="B2082" s="458"/>
    </row>
    <row r="2083" spans="1:2" x14ac:dyDescent="0.2">
      <c r="A2083" s="458"/>
      <c r="B2083" s="458"/>
    </row>
    <row r="2084" spans="1:2" x14ac:dyDescent="0.2">
      <c r="A2084" s="458"/>
      <c r="B2084" s="458"/>
    </row>
    <row r="2085" spans="1:2" x14ac:dyDescent="0.2">
      <c r="A2085" s="458"/>
      <c r="B2085" s="458"/>
    </row>
    <row r="2086" spans="1:2" x14ac:dyDescent="0.2">
      <c r="A2086" s="458"/>
      <c r="B2086" s="458"/>
    </row>
    <row r="2087" spans="1:2" x14ac:dyDescent="0.2">
      <c r="A2087" s="458"/>
      <c r="B2087" s="458"/>
    </row>
    <row r="2088" spans="1:2" x14ac:dyDescent="0.2">
      <c r="A2088" s="458"/>
      <c r="B2088" s="458"/>
    </row>
    <row r="2089" spans="1:2" x14ac:dyDescent="0.2">
      <c r="A2089" s="458"/>
      <c r="B2089" s="458"/>
    </row>
    <row r="2090" spans="1:2" x14ac:dyDescent="0.2">
      <c r="A2090" s="458"/>
      <c r="B2090" s="458"/>
    </row>
    <row r="2091" spans="1:2" x14ac:dyDescent="0.2">
      <c r="A2091" s="458"/>
      <c r="B2091" s="458"/>
    </row>
    <row r="2092" spans="1:2" x14ac:dyDescent="0.2">
      <c r="A2092" s="458"/>
      <c r="B2092" s="458"/>
    </row>
    <row r="2093" spans="1:2" x14ac:dyDescent="0.2">
      <c r="A2093" s="458"/>
      <c r="B2093" s="458"/>
    </row>
    <row r="2094" spans="1:2" x14ac:dyDescent="0.2">
      <c r="A2094" s="458"/>
      <c r="B2094" s="458"/>
    </row>
    <row r="2095" spans="1:2" x14ac:dyDescent="0.2">
      <c r="A2095" s="458"/>
      <c r="B2095" s="458"/>
    </row>
    <row r="2096" spans="1:2" x14ac:dyDescent="0.2">
      <c r="A2096" s="458"/>
      <c r="B2096" s="458"/>
    </row>
    <row r="2097" spans="1:2" x14ac:dyDescent="0.2">
      <c r="A2097" s="458"/>
      <c r="B2097" s="458"/>
    </row>
    <row r="2098" spans="1:2" x14ac:dyDescent="0.2">
      <c r="A2098" s="458"/>
      <c r="B2098" s="458"/>
    </row>
    <row r="2099" spans="1:2" x14ac:dyDescent="0.2">
      <c r="A2099" s="458"/>
      <c r="B2099" s="458"/>
    </row>
    <row r="2100" spans="1:2" x14ac:dyDescent="0.2">
      <c r="A2100" s="458"/>
      <c r="B2100" s="458"/>
    </row>
    <row r="2101" spans="1:2" x14ac:dyDescent="0.2">
      <c r="A2101" s="458"/>
      <c r="B2101" s="458"/>
    </row>
    <row r="2102" spans="1:2" x14ac:dyDescent="0.2">
      <c r="A2102" s="458"/>
      <c r="B2102" s="458"/>
    </row>
    <row r="2103" spans="1:2" x14ac:dyDescent="0.2">
      <c r="A2103" s="458"/>
      <c r="B2103" s="458"/>
    </row>
    <row r="2104" spans="1:2" x14ac:dyDescent="0.2">
      <c r="A2104" s="458"/>
      <c r="B2104" s="458"/>
    </row>
    <row r="2105" spans="1:2" x14ac:dyDescent="0.2">
      <c r="A2105" s="458"/>
      <c r="B2105" s="458"/>
    </row>
    <row r="2106" spans="1:2" x14ac:dyDescent="0.2">
      <c r="A2106" s="458"/>
      <c r="B2106" s="458"/>
    </row>
    <row r="2107" spans="1:2" x14ac:dyDescent="0.2">
      <c r="A2107" s="458"/>
      <c r="B2107" s="458"/>
    </row>
    <row r="2108" spans="1:2" x14ac:dyDescent="0.2">
      <c r="A2108" s="458"/>
      <c r="B2108" s="458"/>
    </row>
    <row r="2109" spans="1:2" x14ac:dyDescent="0.2">
      <c r="A2109" s="458"/>
      <c r="B2109" s="458"/>
    </row>
    <row r="2110" spans="1:2" x14ac:dyDescent="0.2">
      <c r="A2110" s="458"/>
      <c r="B2110" s="458"/>
    </row>
    <row r="2111" spans="1:2" x14ac:dyDescent="0.2">
      <c r="A2111" s="458"/>
      <c r="B2111" s="458"/>
    </row>
    <row r="2112" spans="1:2" x14ac:dyDescent="0.2">
      <c r="A2112" s="458"/>
      <c r="B2112" s="458"/>
    </row>
    <row r="2113" spans="1:2" x14ac:dyDescent="0.2">
      <c r="A2113" s="458"/>
      <c r="B2113" s="458"/>
    </row>
    <row r="2114" spans="1:2" x14ac:dyDescent="0.2">
      <c r="A2114" s="458"/>
      <c r="B2114" s="458"/>
    </row>
    <row r="2115" spans="1:2" x14ac:dyDescent="0.2">
      <c r="A2115" s="458"/>
      <c r="B2115" s="458"/>
    </row>
    <row r="2116" spans="1:2" x14ac:dyDescent="0.2">
      <c r="A2116" s="458"/>
      <c r="B2116" s="458"/>
    </row>
    <row r="2117" spans="1:2" x14ac:dyDescent="0.2">
      <c r="A2117" s="458"/>
      <c r="B2117" s="458"/>
    </row>
    <row r="2118" spans="1:2" x14ac:dyDescent="0.2">
      <c r="A2118" s="458"/>
      <c r="B2118" s="458"/>
    </row>
    <row r="2119" spans="1:2" x14ac:dyDescent="0.2">
      <c r="A2119" s="458"/>
      <c r="B2119" s="458"/>
    </row>
    <row r="2120" spans="1:2" x14ac:dyDescent="0.2">
      <c r="A2120" s="458"/>
      <c r="B2120" s="458"/>
    </row>
    <row r="2121" spans="1:2" x14ac:dyDescent="0.2">
      <c r="A2121" s="458"/>
      <c r="B2121" s="458"/>
    </row>
    <row r="2122" spans="1:2" x14ac:dyDescent="0.2">
      <c r="A2122" s="458"/>
      <c r="B2122" s="458"/>
    </row>
    <row r="2123" spans="1:2" x14ac:dyDescent="0.2">
      <c r="A2123" s="458"/>
      <c r="B2123" s="458"/>
    </row>
    <row r="2124" spans="1:2" x14ac:dyDescent="0.2">
      <c r="A2124" s="458"/>
      <c r="B2124" s="458"/>
    </row>
    <row r="2125" spans="1:2" x14ac:dyDescent="0.2">
      <c r="A2125" s="458"/>
      <c r="B2125" s="458"/>
    </row>
    <row r="2126" spans="1:2" x14ac:dyDescent="0.2">
      <c r="A2126" s="458"/>
      <c r="B2126" s="458"/>
    </row>
    <row r="2127" spans="1:2" x14ac:dyDescent="0.2">
      <c r="A2127" s="458"/>
      <c r="B2127" s="458"/>
    </row>
    <row r="2128" spans="1:2" x14ac:dyDescent="0.2">
      <c r="A2128" s="458"/>
      <c r="B2128" s="458"/>
    </row>
    <row r="2129" spans="1:2" x14ac:dyDescent="0.2">
      <c r="A2129" s="458"/>
      <c r="B2129" s="458"/>
    </row>
    <row r="2130" spans="1:2" x14ac:dyDescent="0.2">
      <c r="A2130" s="458"/>
      <c r="B2130" s="458"/>
    </row>
    <row r="2131" spans="1:2" x14ac:dyDescent="0.2">
      <c r="A2131" s="458"/>
      <c r="B2131" s="458"/>
    </row>
    <row r="2132" spans="1:2" x14ac:dyDescent="0.2">
      <c r="A2132" s="458"/>
      <c r="B2132" s="458"/>
    </row>
    <row r="2133" spans="1:2" x14ac:dyDescent="0.2">
      <c r="A2133" s="458"/>
      <c r="B2133" s="458"/>
    </row>
    <row r="2134" spans="1:2" x14ac:dyDescent="0.2">
      <c r="A2134" s="458"/>
      <c r="B2134" s="458"/>
    </row>
    <row r="2135" spans="1:2" x14ac:dyDescent="0.2">
      <c r="A2135" s="458"/>
      <c r="B2135" s="458"/>
    </row>
    <row r="2136" spans="1:2" x14ac:dyDescent="0.2">
      <c r="A2136" s="458"/>
      <c r="B2136" s="458"/>
    </row>
    <row r="2137" spans="1:2" x14ac:dyDescent="0.2">
      <c r="A2137" s="458"/>
      <c r="B2137" s="458"/>
    </row>
    <row r="2138" spans="1:2" x14ac:dyDescent="0.2">
      <c r="A2138" s="458"/>
      <c r="B2138" s="458"/>
    </row>
    <row r="2139" spans="1:2" x14ac:dyDescent="0.2">
      <c r="A2139" s="458"/>
      <c r="B2139" s="458"/>
    </row>
    <row r="2140" spans="1:2" x14ac:dyDescent="0.2">
      <c r="A2140" s="458"/>
      <c r="B2140" s="458"/>
    </row>
    <row r="2141" spans="1:2" x14ac:dyDescent="0.2">
      <c r="A2141" s="458"/>
      <c r="B2141" s="458"/>
    </row>
    <row r="2142" spans="1:2" x14ac:dyDescent="0.2">
      <c r="A2142" s="458"/>
      <c r="B2142" s="458"/>
    </row>
    <row r="2143" spans="1:2" x14ac:dyDescent="0.2">
      <c r="A2143" s="458"/>
      <c r="B2143" s="458"/>
    </row>
    <row r="2144" spans="1:2" x14ac:dyDescent="0.2">
      <c r="A2144" s="458"/>
      <c r="B2144" s="458"/>
    </row>
    <row r="2145" spans="1:2" x14ac:dyDescent="0.2">
      <c r="A2145" s="458"/>
      <c r="B2145" s="458"/>
    </row>
    <row r="2146" spans="1:2" x14ac:dyDescent="0.2">
      <c r="A2146" s="458"/>
      <c r="B2146" s="458"/>
    </row>
    <row r="2147" spans="1:2" x14ac:dyDescent="0.2">
      <c r="A2147" s="458"/>
      <c r="B2147" s="458"/>
    </row>
    <row r="2148" spans="1:2" x14ac:dyDescent="0.2">
      <c r="A2148" s="458"/>
      <c r="B2148" s="458"/>
    </row>
    <row r="2149" spans="1:2" x14ac:dyDescent="0.2">
      <c r="A2149" s="458"/>
      <c r="B2149" s="458"/>
    </row>
    <row r="2150" spans="1:2" x14ac:dyDescent="0.2">
      <c r="A2150" s="458"/>
      <c r="B2150" s="458"/>
    </row>
    <row r="2151" spans="1:2" x14ac:dyDescent="0.2">
      <c r="A2151" s="458"/>
      <c r="B2151" s="458"/>
    </row>
    <row r="2152" spans="1:2" x14ac:dyDescent="0.2">
      <c r="A2152" s="458"/>
      <c r="B2152" s="458"/>
    </row>
    <row r="2153" spans="1:2" x14ac:dyDescent="0.2">
      <c r="A2153" s="458"/>
      <c r="B2153" s="458"/>
    </row>
    <row r="2154" spans="1:2" x14ac:dyDescent="0.2">
      <c r="A2154" s="458"/>
      <c r="B2154" s="458"/>
    </row>
    <row r="2155" spans="1:2" x14ac:dyDescent="0.2">
      <c r="A2155" s="458"/>
      <c r="B2155" s="458"/>
    </row>
    <row r="2156" spans="1:2" x14ac:dyDescent="0.2">
      <c r="A2156" s="458"/>
      <c r="B2156" s="458"/>
    </row>
    <row r="2157" spans="1:2" x14ac:dyDescent="0.2">
      <c r="A2157" s="458"/>
      <c r="B2157" s="458"/>
    </row>
    <row r="2158" spans="1:2" x14ac:dyDescent="0.2">
      <c r="A2158" s="458"/>
      <c r="B2158" s="458"/>
    </row>
    <row r="2159" spans="1:2" x14ac:dyDescent="0.2">
      <c r="A2159" s="458"/>
      <c r="B2159" s="458"/>
    </row>
    <row r="2160" spans="1:2" x14ac:dyDescent="0.2">
      <c r="A2160" s="458"/>
      <c r="B2160" s="458"/>
    </row>
    <row r="2161" spans="1:2" x14ac:dyDescent="0.2">
      <c r="A2161" s="458"/>
      <c r="B2161" s="458"/>
    </row>
    <row r="2162" spans="1:2" x14ac:dyDescent="0.2">
      <c r="A2162" s="458"/>
      <c r="B2162" s="458"/>
    </row>
    <row r="2163" spans="1:2" x14ac:dyDescent="0.2">
      <c r="A2163" s="458"/>
      <c r="B2163" s="458"/>
    </row>
    <row r="2164" spans="1:2" x14ac:dyDescent="0.2">
      <c r="A2164" s="458"/>
      <c r="B2164" s="458"/>
    </row>
    <row r="2165" spans="1:2" x14ac:dyDescent="0.2">
      <c r="A2165" s="458"/>
      <c r="B2165" s="458"/>
    </row>
    <row r="2166" spans="1:2" x14ac:dyDescent="0.2">
      <c r="A2166" s="458"/>
      <c r="B2166" s="458"/>
    </row>
    <row r="2167" spans="1:2" x14ac:dyDescent="0.2">
      <c r="A2167" s="458"/>
      <c r="B2167" s="458"/>
    </row>
    <row r="2168" spans="1:2" x14ac:dyDescent="0.2">
      <c r="A2168" s="458"/>
      <c r="B2168" s="458"/>
    </row>
    <row r="2169" spans="1:2" x14ac:dyDescent="0.2">
      <c r="A2169" s="458"/>
      <c r="B2169" s="458"/>
    </row>
    <row r="2170" spans="1:2" x14ac:dyDescent="0.2">
      <c r="A2170" s="458"/>
      <c r="B2170" s="458"/>
    </row>
    <row r="2171" spans="1:2" x14ac:dyDescent="0.2">
      <c r="A2171" s="458"/>
      <c r="B2171" s="458"/>
    </row>
    <row r="2172" spans="1:2" x14ac:dyDescent="0.2">
      <c r="A2172" s="458"/>
      <c r="B2172" s="458"/>
    </row>
    <row r="2173" spans="1:2" x14ac:dyDescent="0.2">
      <c r="A2173" s="458"/>
      <c r="B2173" s="458"/>
    </row>
    <row r="2174" spans="1:2" x14ac:dyDescent="0.2">
      <c r="A2174" s="458"/>
      <c r="B2174" s="458"/>
    </row>
    <row r="2175" spans="1:2" x14ac:dyDescent="0.2">
      <c r="A2175" s="458"/>
      <c r="B2175" s="458"/>
    </row>
    <row r="2176" spans="1:2" x14ac:dyDescent="0.2">
      <c r="A2176" s="458"/>
      <c r="B2176" s="458"/>
    </row>
    <row r="2177" spans="1:2" x14ac:dyDescent="0.2">
      <c r="A2177" s="458"/>
      <c r="B2177" s="458"/>
    </row>
    <row r="2178" spans="1:2" x14ac:dyDescent="0.2">
      <c r="A2178" s="458"/>
      <c r="B2178" s="458"/>
    </row>
    <row r="2179" spans="1:2" x14ac:dyDescent="0.2">
      <c r="A2179" s="458"/>
      <c r="B2179" s="458"/>
    </row>
    <row r="2180" spans="1:2" x14ac:dyDescent="0.2">
      <c r="A2180" s="458"/>
      <c r="B2180" s="458"/>
    </row>
    <row r="2181" spans="1:2" x14ac:dyDescent="0.2">
      <c r="A2181" s="458"/>
      <c r="B2181" s="458"/>
    </row>
    <row r="2182" spans="1:2" x14ac:dyDescent="0.2">
      <c r="A2182" s="458"/>
      <c r="B2182" s="458"/>
    </row>
    <row r="2183" spans="1:2" x14ac:dyDescent="0.2">
      <c r="A2183" s="458"/>
      <c r="B2183" s="458"/>
    </row>
    <row r="2184" spans="1:2" x14ac:dyDescent="0.2">
      <c r="A2184" s="458"/>
      <c r="B2184" s="458"/>
    </row>
    <row r="2185" spans="1:2" x14ac:dyDescent="0.2">
      <c r="A2185" s="458"/>
      <c r="B2185" s="458"/>
    </row>
    <row r="2186" spans="1:2" x14ac:dyDescent="0.2">
      <c r="A2186" s="458"/>
      <c r="B2186" s="458"/>
    </row>
    <row r="2187" spans="1:2" x14ac:dyDescent="0.2">
      <c r="A2187" s="458"/>
      <c r="B2187" s="458"/>
    </row>
    <row r="2188" spans="1:2" x14ac:dyDescent="0.2">
      <c r="A2188" s="458"/>
      <c r="B2188" s="458"/>
    </row>
    <row r="2189" spans="1:2" x14ac:dyDescent="0.2">
      <c r="A2189" s="458"/>
      <c r="B2189" s="458"/>
    </row>
    <row r="2190" spans="1:2" x14ac:dyDescent="0.2">
      <c r="A2190" s="458"/>
      <c r="B2190" s="458"/>
    </row>
    <row r="2191" spans="1:2" x14ac:dyDescent="0.2">
      <c r="A2191" s="458"/>
      <c r="B2191" s="458"/>
    </row>
    <row r="2192" spans="1:2" x14ac:dyDescent="0.2">
      <c r="A2192" s="458"/>
      <c r="B2192" s="458"/>
    </row>
    <row r="2193" spans="1:2" x14ac:dyDescent="0.2">
      <c r="A2193" s="458"/>
      <c r="B2193" s="458"/>
    </row>
    <row r="2194" spans="1:2" x14ac:dyDescent="0.2">
      <c r="A2194" s="458"/>
      <c r="B2194" s="458"/>
    </row>
    <row r="2195" spans="1:2" x14ac:dyDescent="0.2">
      <c r="A2195" s="458"/>
      <c r="B2195" s="458"/>
    </row>
    <row r="2196" spans="1:2" x14ac:dyDescent="0.2">
      <c r="A2196" s="458"/>
      <c r="B2196" s="458"/>
    </row>
    <row r="2197" spans="1:2" x14ac:dyDescent="0.2">
      <c r="A2197" s="458"/>
      <c r="B2197" s="458"/>
    </row>
    <row r="2198" spans="1:2" x14ac:dyDescent="0.2">
      <c r="A2198" s="458"/>
      <c r="B2198" s="458"/>
    </row>
    <row r="2199" spans="1:2" x14ac:dyDescent="0.2">
      <c r="A2199" s="458"/>
      <c r="B2199" s="458"/>
    </row>
    <row r="2200" spans="1:2" x14ac:dyDescent="0.2">
      <c r="A2200" s="458"/>
      <c r="B2200" s="458"/>
    </row>
    <row r="2201" spans="1:2" x14ac:dyDescent="0.2">
      <c r="A2201" s="458"/>
      <c r="B2201" s="458"/>
    </row>
    <row r="2202" spans="1:2" x14ac:dyDescent="0.2">
      <c r="A2202" s="458"/>
      <c r="B2202" s="458"/>
    </row>
    <row r="2203" spans="1:2" x14ac:dyDescent="0.2">
      <c r="A2203" s="458"/>
      <c r="B2203" s="458"/>
    </row>
    <row r="2204" spans="1:2" x14ac:dyDescent="0.2">
      <c r="A2204" s="458"/>
      <c r="B2204" s="458"/>
    </row>
    <row r="2205" spans="1:2" x14ac:dyDescent="0.2">
      <c r="A2205" s="458"/>
      <c r="B2205" s="458"/>
    </row>
    <row r="2206" spans="1:2" x14ac:dyDescent="0.2">
      <c r="A2206" s="458"/>
      <c r="B2206" s="458"/>
    </row>
    <row r="2207" spans="1:2" x14ac:dyDescent="0.2">
      <c r="A2207" s="458"/>
      <c r="B2207" s="458"/>
    </row>
    <row r="2208" spans="1:2" x14ac:dyDescent="0.2">
      <c r="A2208" s="458"/>
      <c r="B2208" s="458"/>
    </row>
    <row r="2209" spans="1:2" x14ac:dyDescent="0.2">
      <c r="A2209" s="458"/>
      <c r="B2209" s="458"/>
    </row>
    <row r="2210" spans="1:2" x14ac:dyDescent="0.2">
      <c r="A2210" s="458"/>
      <c r="B2210" s="458"/>
    </row>
    <row r="2211" spans="1:2" x14ac:dyDescent="0.2">
      <c r="A2211" s="458"/>
      <c r="B2211" s="458"/>
    </row>
    <row r="2212" spans="1:2" x14ac:dyDescent="0.2">
      <c r="A2212" s="458"/>
      <c r="B2212" s="458"/>
    </row>
    <row r="2213" spans="1:2" x14ac:dyDescent="0.2">
      <c r="A2213" s="458"/>
      <c r="B2213" s="458"/>
    </row>
    <row r="2214" spans="1:2" x14ac:dyDescent="0.2">
      <c r="A2214" s="458"/>
      <c r="B2214" s="458"/>
    </row>
    <row r="2215" spans="1:2" x14ac:dyDescent="0.2">
      <c r="A2215" s="458"/>
      <c r="B2215" s="458"/>
    </row>
    <row r="2216" spans="1:2" x14ac:dyDescent="0.2">
      <c r="A2216" s="458"/>
      <c r="B2216" s="458"/>
    </row>
    <row r="2217" spans="1:2" x14ac:dyDescent="0.2">
      <c r="A2217" s="458"/>
      <c r="B2217" s="458"/>
    </row>
    <row r="2218" spans="1:2" x14ac:dyDescent="0.2">
      <c r="A2218" s="458"/>
      <c r="B2218" s="458"/>
    </row>
    <row r="2219" spans="1:2" x14ac:dyDescent="0.2">
      <c r="A2219" s="458"/>
      <c r="B2219" s="458"/>
    </row>
    <row r="2220" spans="1:2" x14ac:dyDescent="0.2">
      <c r="A2220" s="458"/>
      <c r="B2220" s="458"/>
    </row>
    <row r="2221" spans="1:2" x14ac:dyDescent="0.2">
      <c r="A2221" s="458"/>
      <c r="B2221" s="458"/>
    </row>
    <row r="2222" spans="1:2" x14ac:dyDescent="0.2">
      <c r="A2222" s="458"/>
      <c r="B2222" s="458"/>
    </row>
    <row r="2223" spans="1:2" x14ac:dyDescent="0.2">
      <c r="A2223" s="458"/>
      <c r="B2223" s="458"/>
    </row>
    <row r="2224" spans="1:2" x14ac:dyDescent="0.2">
      <c r="A2224" s="458"/>
      <c r="B2224" s="458"/>
    </row>
    <row r="2225" spans="1:2" x14ac:dyDescent="0.2">
      <c r="A2225" s="458"/>
      <c r="B2225" s="458"/>
    </row>
    <row r="2226" spans="1:2" x14ac:dyDescent="0.2">
      <c r="A2226" s="458"/>
      <c r="B2226" s="458"/>
    </row>
    <row r="2227" spans="1:2" x14ac:dyDescent="0.2">
      <c r="A2227" s="458"/>
      <c r="B2227" s="458"/>
    </row>
    <row r="2228" spans="1:2" x14ac:dyDescent="0.2">
      <c r="A2228" s="458"/>
      <c r="B2228" s="458"/>
    </row>
    <row r="2229" spans="1:2" x14ac:dyDescent="0.2">
      <c r="A2229" s="458"/>
      <c r="B2229" s="458"/>
    </row>
    <row r="2230" spans="1:2" x14ac:dyDescent="0.2">
      <c r="A2230" s="458"/>
      <c r="B2230" s="458"/>
    </row>
    <row r="2231" spans="1:2" x14ac:dyDescent="0.2">
      <c r="A2231" s="458"/>
      <c r="B2231" s="458"/>
    </row>
    <row r="2232" spans="1:2" x14ac:dyDescent="0.2">
      <c r="A2232" s="458"/>
      <c r="B2232" s="458"/>
    </row>
    <row r="2233" spans="1:2" x14ac:dyDescent="0.2">
      <c r="A2233" s="458"/>
      <c r="B2233" s="458"/>
    </row>
    <row r="2234" spans="1:2" x14ac:dyDescent="0.2">
      <c r="A2234" s="458"/>
      <c r="B2234" s="458"/>
    </row>
    <row r="2235" spans="1:2" x14ac:dyDescent="0.2">
      <c r="A2235" s="458"/>
      <c r="B2235" s="458"/>
    </row>
    <row r="2236" spans="1:2" x14ac:dyDescent="0.2">
      <c r="A2236" s="458"/>
      <c r="B2236" s="458"/>
    </row>
    <row r="2237" spans="1:2" x14ac:dyDescent="0.2">
      <c r="A2237" s="458"/>
      <c r="B2237" s="458"/>
    </row>
    <row r="2238" spans="1:2" x14ac:dyDescent="0.2">
      <c r="A2238" s="458"/>
      <c r="B2238" s="458"/>
    </row>
    <row r="2239" spans="1:2" x14ac:dyDescent="0.2">
      <c r="A2239" s="458"/>
      <c r="B2239" s="458"/>
    </row>
    <row r="2240" spans="1:2" x14ac:dyDescent="0.2">
      <c r="A2240" s="458"/>
      <c r="B2240" s="458"/>
    </row>
    <row r="2241" spans="1:2" x14ac:dyDescent="0.2">
      <c r="A2241" s="458"/>
      <c r="B2241" s="458"/>
    </row>
    <row r="2242" spans="1:2" x14ac:dyDescent="0.2">
      <c r="A2242" s="458"/>
      <c r="B2242" s="458"/>
    </row>
    <row r="2243" spans="1:2" x14ac:dyDescent="0.2">
      <c r="A2243" s="458"/>
      <c r="B2243" s="458"/>
    </row>
    <row r="2244" spans="1:2" x14ac:dyDescent="0.2">
      <c r="A2244" s="458"/>
      <c r="B2244" s="458"/>
    </row>
    <row r="2245" spans="1:2" x14ac:dyDescent="0.2">
      <c r="A2245" s="458"/>
      <c r="B2245" s="458"/>
    </row>
    <row r="2246" spans="1:2" x14ac:dyDescent="0.2">
      <c r="A2246" s="458"/>
      <c r="B2246" s="458"/>
    </row>
    <row r="2247" spans="1:2" x14ac:dyDescent="0.2">
      <c r="A2247" s="458"/>
      <c r="B2247" s="458"/>
    </row>
    <row r="2248" spans="1:2" x14ac:dyDescent="0.2">
      <c r="A2248" s="458"/>
      <c r="B2248" s="458"/>
    </row>
    <row r="2249" spans="1:2" x14ac:dyDescent="0.2">
      <c r="A2249" s="458"/>
      <c r="B2249" s="458"/>
    </row>
    <row r="2250" spans="1:2" x14ac:dyDescent="0.2">
      <c r="A2250" s="458"/>
      <c r="B2250" s="458"/>
    </row>
    <row r="2251" spans="1:2" x14ac:dyDescent="0.2">
      <c r="A2251" s="458"/>
      <c r="B2251" s="458"/>
    </row>
    <row r="2252" spans="1:2" x14ac:dyDescent="0.2">
      <c r="A2252" s="458"/>
      <c r="B2252" s="458"/>
    </row>
    <row r="2253" spans="1:2" x14ac:dyDescent="0.2">
      <c r="A2253" s="458"/>
      <c r="B2253" s="458"/>
    </row>
    <row r="2254" spans="1:2" x14ac:dyDescent="0.2">
      <c r="A2254" s="458"/>
      <c r="B2254" s="458"/>
    </row>
    <row r="2255" spans="1:2" x14ac:dyDescent="0.2">
      <c r="A2255" s="458"/>
      <c r="B2255" s="458"/>
    </row>
    <row r="2256" spans="1:2" x14ac:dyDescent="0.2">
      <c r="A2256" s="458"/>
      <c r="B2256" s="458"/>
    </row>
    <row r="2257" spans="1:2" x14ac:dyDescent="0.2">
      <c r="A2257" s="458"/>
      <c r="B2257" s="458"/>
    </row>
    <row r="2258" spans="1:2" x14ac:dyDescent="0.2">
      <c r="A2258" s="458"/>
      <c r="B2258" s="458"/>
    </row>
    <row r="2259" spans="1:2" x14ac:dyDescent="0.2">
      <c r="A2259" s="458"/>
      <c r="B2259" s="458"/>
    </row>
    <row r="2260" spans="1:2" x14ac:dyDescent="0.2">
      <c r="A2260" s="458"/>
      <c r="B2260" s="458"/>
    </row>
    <row r="2261" spans="1:2" x14ac:dyDescent="0.2">
      <c r="A2261" s="458"/>
      <c r="B2261" s="458"/>
    </row>
    <row r="2262" spans="1:2" x14ac:dyDescent="0.2">
      <c r="A2262" s="458"/>
      <c r="B2262" s="458"/>
    </row>
    <row r="2263" spans="1:2" x14ac:dyDescent="0.2">
      <c r="A2263" s="458"/>
      <c r="B2263" s="458"/>
    </row>
    <row r="2264" spans="1:2" x14ac:dyDescent="0.2">
      <c r="A2264" s="458"/>
      <c r="B2264" s="458"/>
    </row>
    <row r="2265" spans="1:2" x14ac:dyDescent="0.2">
      <c r="A2265" s="458"/>
      <c r="B2265" s="458"/>
    </row>
    <row r="2266" spans="1:2" x14ac:dyDescent="0.2">
      <c r="A2266" s="458"/>
      <c r="B2266" s="458"/>
    </row>
    <row r="2267" spans="1:2" x14ac:dyDescent="0.2">
      <c r="A2267" s="458"/>
      <c r="B2267" s="458"/>
    </row>
    <row r="2268" spans="1:2" x14ac:dyDescent="0.2">
      <c r="A2268" s="458"/>
      <c r="B2268" s="458"/>
    </row>
    <row r="2269" spans="1:2" x14ac:dyDescent="0.2">
      <c r="A2269" s="458"/>
      <c r="B2269" s="458"/>
    </row>
    <row r="2270" spans="1:2" x14ac:dyDescent="0.2">
      <c r="A2270" s="458"/>
      <c r="B2270" s="458"/>
    </row>
    <row r="2271" spans="1:2" x14ac:dyDescent="0.2">
      <c r="A2271" s="458"/>
      <c r="B2271" s="458"/>
    </row>
    <row r="2272" spans="1:2" x14ac:dyDescent="0.2">
      <c r="A2272" s="458"/>
      <c r="B2272" s="458"/>
    </row>
    <row r="2273" spans="1:2" x14ac:dyDescent="0.2">
      <c r="A2273" s="458"/>
      <c r="B2273" s="458"/>
    </row>
    <row r="2274" spans="1:2" x14ac:dyDescent="0.2">
      <c r="A2274" s="458"/>
      <c r="B2274" s="458"/>
    </row>
    <row r="2275" spans="1:2" x14ac:dyDescent="0.2">
      <c r="A2275" s="458"/>
      <c r="B2275" s="458"/>
    </row>
    <row r="2276" spans="1:2" x14ac:dyDescent="0.2">
      <c r="A2276" s="458"/>
      <c r="B2276" s="458"/>
    </row>
    <row r="2277" spans="1:2" x14ac:dyDescent="0.2">
      <c r="A2277" s="458"/>
      <c r="B2277" s="458"/>
    </row>
    <row r="2278" spans="1:2" x14ac:dyDescent="0.2">
      <c r="A2278" s="458"/>
      <c r="B2278" s="458"/>
    </row>
    <row r="2279" spans="1:2" x14ac:dyDescent="0.2">
      <c r="A2279" s="458"/>
      <c r="B2279" s="458"/>
    </row>
    <row r="2280" spans="1:2" x14ac:dyDescent="0.2">
      <c r="A2280" s="458"/>
      <c r="B2280" s="458"/>
    </row>
    <row r="2281" spans="1:2" x14ac:dyDescent="0.2">
      <c r="A2281" s="458"/>
      <c r="B2281" s="458"/>
    </row>
    <row r="2282" spans="1:2" x14ac:dyDescent="0.2">
      <c r="A2282" s="458"/>
      <c r="B2282" s="458"/>
    </row>
    <row r="2283" spans="1:2" x14ac:dyDescent="0.2">
      <c r="A2283" s="458"/>
      <c r="B2283" s="458"/>
    </row>
    <row r="2284" spans="1:2" x14ac:dyDescent="0.2">
      <c r="A2284" s="458"/>
      <c r="B2284" s="458"/>
    </row>
    <row r="2285" spans="1:2" x14ac:dyDescent="0.2">
      <c r="A2285" s="458"/>
      <c r="B2285" s="458"/>
    </row>
    <row r="2286" spans="1:2" x14ac:dyDescent="0.2">
      <c r="A2286" s="458"/>
      <c r="B2286" s="458"/>
    </row>
    <row r="2287" spans="1:2" x14ac:dyDescent="0.2">
      <c r="A2287" s="458"/>
      <c r="B2287" s="458"/>
    </row>
    <row r="2288" spans="1:2" x14ac:dyDescent="0.2">
      <c r="A2288" s="458"/>
      <c r="B2288" s="458"/>
    </row>
    <row r="2289" spans="1:2" x14ac:dyDescent="0.2">
      <c r="A2289" s="458"/>
      <c r="B2289" s="458"/>
    </row>
    <row r="2290" spans="1:2" x14ac:dyDescent="0.2">
      <c r="A2290" s="458"/>
      <c r="B2290" s="458"/>
    </row>
    <row r="2291" spans="1:2" x14ac:dyDescent="0.2">
      <c r="A2291" s="458"/>
      <c r="B2291" s="458"/>
    </row>
    <row r="2292" spans="1:2" x14ac:dyDescent="0.2">
      <c r="A2292" s="458"/>
      <c r="B2292" s="458"/>
    </row>
    <row r="2293" spans="1:2" x14ac:dyDescent="0.2">
      <c r="A2293" s="458"/>
      <c r="B2293" s="458"/>
    </row>
    <row r="2294" spans="1:2" x14ac:dyDescent="0.2">
      <c r="A2294" s="458"/>
      <c r="B2294" s="458"/>
    </row>
    <row r="2295" spans="1:2" x14ac:dyDescent="0.2">
      <c r="A2295" s="458"/>
      <c r="B2295" s="458"/>
    </row>
    <row r="2296" spans="1:2" x14ac:dyDescent="0.2">
      <c r="A2296" s="458"/>
      <c r="B2296" s="458"/>
    </row>
    <row r="2297" spans="1:2" x14ac:dyDescent="0.2">
      <c r="A2297" s="458"/>
      <c r="B2297" s="458"/>
    </row>
    <row r="2298" spans="1:2" x14ac:dyDescent="0.2">
      <c r="A2298" s="458"/>
      <c r="B2298" s="458"/>
    </row>
    <row r="2299" spans="1:2" x14ac:dyDescent="0.2">
      <c r="A2299" s="458"/>
      <c r="B2299" s="458"/>
    </row>
    <row r="2300" spans="1:2" x14ac:dyDescent="0.2">
      <c r="A2300" s="458"/>
      <c r="B2300" s="458"/>
    </row>
    <row r="2301" spans="1:2" x14ac:dyDescent="0.2">
      <c r="A2301" s="458"/>
      <c r="B2301" s="458"/>
    </row>
    <row r="2302" spans="1:2" x14ac:dyDescent="0.2">
      <c r="A2302" s="458"/>
      <c r="B2302" s="458"/>
    </row>
    <row r="2303" spans="1:2" x14ac:dyDescent="0.2">
      <c r="A2303" s="458"/>
      <c r="B2303" s="458"/>
    </row>
    <row r="2304" spans="1:2" x14ac:dyDescent="0.2">
      <c r="A2304" s="458"/>
      <c r="B2304" s="458"/>
    </row>
    <row r="2305" spans="1:2" x14ac:dyDescent="0.2">
      <c r="A2305" s="458"/>
      <c r="B2305" s="458"/>
    </row>
    <row r="2306" spans="1:2" x14ac:dyDescent="0.2">
      <c r="A2306" s="458"/>
      <c r="B2306" s="458"/>
    </row>
    <row r="2307" spans="1:2" x14ac:dyDescent="0.2">
      <c r="A2307" s="458"/>
      <c r="B2307" s="458"/>
    </row>
    <row r="2308" spans="1:2" x14ac:dyDescent="0.2">
      <c r="A2308" s="458"/>
      <c r="B2308" s="458"/>
    </row>
    <row r="2309" spans="1:2" x14ac:dyDescent="0.2">
      <c r="A2309" s="458"/>
      <c r="B2309" s="458"/>
    </row>
    <row r="2310" spans="1:2" x14ac:dyDescent="0.2">
      <c r="A2310" s="458"/>
      <c r="B2310" s="458"/>
    </row>
    <row r="2311" spans="1:2" x14ac:dyDescent="0.2">
      <c r="A2311" s="458"/>
      <c r="B2311" s="458"/>
    </row>
    <row r="2312" spans="1:2" x14ac:dyDescent="0.2">
      <c r="A2312" s="458"/>
      <c r="B2312" s="458"/>
    </row>
    <row r="2313" spans="1:2" x14ac:dyDescent="0.2">
      <c r="A2313" s="458"/>
      <c r="B2313" s="458"/>
    </row>
    <row r="2314" spans="1:2" x14ac:dyDescent="0.2">
      <c r="A2314" s="458"/>
      <c r="B2314" s="458"/>
    </row>
    <row r="2315" spans="1:2" x14ac:dyDescent="0.2">
      <c r="A2315" s="458"/>
      <c r="B2315" s="458"/>
    </row>
    <row r="2316" spans="1:2" x14ac:dyDescent="0.2">
      <c r="A2316" s="458"/>
      <c r="B2316" s="458"/>
    </row>
    <row r="2317" spans="1:2" x14ac:dyDescent="0.2">
      <c r="A2317" s="458"/>
      <c r="B2317" s="458"/>
    </row>
    <row r="2318" spans="1:2" x14ac:dyDescent="0.2">
      <c r="A2318" s="458"/>
      <c r="B2318" s="458"/>
    </row>
    <row r="2319" spans="1:2" x14ac:dyDescent="0.2">
      <c r="A2319" s="458"/>
      <c r="B2319" s="458"/>
    </row>
    <row r="2320" spans="1:2" x14ac:dyDescent="0.2">
      <c r="A2320" s="458"/>
      <c r="B2320" s="458"/>
    </row>
    <row r="2321" spans="1:2" x14ac:dyDescent="0.2">
      <c r="A2321" s="458"/>
      <c r="B2321" s="458"/>
    </row>
    <row r="2322" spans="1:2" x14ac:dyDescent="0.2">
      <c r="A2322" s="458"/>
      <c r="B2322" s="458"/>
    </row>
    <row r="2323" spans="1:2" x14ac:dyDescent="0.2">
      <c r="A2323" s="458"/>
      <c r="B2323" s="458"/>
    </row>
    <row r="2324" spans="1:2" x14ac:dyDescent="0.2">
      <c r="A2324" s="458"/>
      <c r="B2324" s="458"/>
    </row>
    <row r="2325" spans="1:2" x14ac:dyDescent="0.2">
      <c r="A2325" s="458"/>
      <c r="B2325" s="458"/>
    </row>
    <row r="2326" spans="1:2" x14ac:dyDescent="0.2">
      <c r="A2326" s="458"/>
      <c r="B2326" s="458"/>
    </row>
    <row r="2327" spans="1:2" x14ac:dyDescent="0.2">
      <c r="A2327" s="458"/>
      <c r="B2327" s="458"/>
    </row>
    <row r="2328" spans="1:2" x14ac:dyDescent="0.2">
      <c r="A2328" s="458"/>
      <c r="B2328" s="458"/>
    </row>
    <row r="2329" spans="1:2" x14ac:dyDescent="0.2">
      <c r="A2329" s="458"/>
      <c r="B2329" s="458"/>
    </row>
    <row r="2330" spans="1:2" x14ac:dyDescent="0.2">
      <c r="A2330" s="458"/>
      <c r="B2330" s="458"/>
    </row>
    <row r="2331" spans="1:2" x14ac:dyDescent="0.2">
      <c r="A2331" s="458"/>
      <c r="B2331" s="458"/>
    </row>
    <row r="2332" spans="1:2" x14ac:dyDescent="0.2">
      <c r="A2332" s="458"/>
      <c r="B2332" s="458"/>
    </row>
    <row r="2333" spans="1:2" x14ac:dyDescent="0.2">
      <c r="A2333" s="458"/>
      <c r="B2333" s="458"/>
    </row>
    <row r="2334" spans="1:2" x14ac:dyDescent="0.2">
      <c r="A2334" s="458"/>
      <c r="B2334" s="458"/>
    </row>
    <row r="2335" spans="1:2" x14ac:dyDescent="0.2">
      <c r="A2335" s="458"/>
      <c r="B2335" s="458"/>
    </row>
    <row r="2336" spans="1:2" x14ac:dyDescent="0.2">
      <c r="A2336" s="458"/>
      <c r="B2336" s="458"/>
    </row>
    <row r="2337" spans="1:2" x14ac:dyDescent="0.2">
      <c r="A2337" s="458"/>
      <c r="B2337" s="458"/>
    </row>
    <row r="2338" spans="1:2" x14ac:dyDescent="0.2">
      <c r="A2338" s="458"/>
      <c r="B2338" s="458"/>
    </row>
    <row r="2339" spans="1:2" x14ac:dyDescent="0.2">
      <c r="A2339" s="458"/>
      <c r="B2339" s="458"/>
    </row>
    <row r="2340" spans="1:2" x14ac:dyDescent="0.2">
      <c r="A2340" s="458"/>
      <c r="B2340" s="458"/>
    </row>
    <row r="2341" spans="1:2" x14ac:dyDescent="0.2">
      <c r="A2341" s="458"/>
      <c r="B2341" s="458"/>
    </row>
    <row r="2342" spans="1:2" x14ac:dyDescent="0.2">
      <c r="A2342" s="458"/>
      <c r="B2342" s="458"/>
    </row>
    <row r="2343" spans="1:2" x14ac:dyDescent="0.2">
      <c r="A2343" s="458"/>
      <c r="B2343" s="458"/>
    </row>
    <row r="2344" spans="1:2" x14ac:dyDescent="0.2">
      <c r="A2344" s="458"/>
      <c r="B2344" s="458"/>
    </row>
    <row r="2345" spans="1:2" x14ac:dyDescent="0.2">
      <c r="A2345" s="458"/>
      <c r="B2345" s="458"/>
    </row>
    <row r="2346" spans="1:2" x14ac:dyDescent="0.2">
      <c r="A2346" s="458"/>
      <c r="B2346" s="458"/>
    </row>
    <row r="2347" spans="1:2" x14ac:dyDescent="0.2">
      <c r="A2347" s="458"/>
      <c r="B2347" s="458"/>
    </row>
    <row r="2348" spans="1:2" x14ac:dyDescent="0.2">
      <c r="A2348" s="458"/>
      <c r="B2348" s="458"/>
    </row>
    <row r="2349" spans="1:2" x14ac:dyDescent="0.2">
      <c r="A2349" s="458"/>
      <c r="B2349" s="458"/>
    </row>
    <row r="2350" spans="1:2" x14ac:dyDescent="0.2">
      <c r="A2350" s="458"/>
      <c r="B2350" s="458"/>
    </row>
    <row r="2351" spans="1:2" x14ac:dyDescent="0.2">
      <c r="A2351" s="458"/>
      <c r="B2351" s="458"/>
    </row>
    <row r="2352" spans="1:2" x14ac:dyDescent="0.2">
      <c r="A2352" s="458"/>
      <c r="B2352" s="458"/>
    </row>
    <row r="2353" spans="1:2" x14ac:dyDescent="0.2">
      <c r="A2353" s="458"/>
      <c r="B2353" s="458"/>
    </row>
    <row r="2354" spans="1:2" x14ac:dyDescent="0.2">
      <c r="A2354" s="458"/>
      <c r="B2354" s="458"/>
    </row>
    <row r="2355" spans="1:2" x14ac:dyDescent="0.2">
      <c r="A2355" s="458"/>
      <c r="B2355" s="458"/>
    </row>
    <row r="2356" spans="1:2" x14ac:dyDescent="0.2">
      <c r="A2356" s="458"/>
      <c r="B2356" s="458"/>
    </row>
    <row r="2357" spans="1:2" x14ac:dyDescent="0.2">
      <c r="A2357" s="458"/>
      <c r="B2357" s="458"/>
    </row>
    <row r="2358" spans="1:2" x14ac:dyDescent="0.2">
      <c r="A2358" s="458"/>
      <c r="B2358" s="458"/>
    </row>
    <row r="2359" spans="1:2" x14ac:dyDescent="0.2">
      <c r="A2359" s="458"/>
      <c r="B2359" s="458"/>
    </row>
    <row r="2360" spans="1:2" x14ac:dyDescent="0.2">
      <c r="A2360" s="458"/>
      <c r="B2360" s="458"/>
    </row>
    <row r="2361" spans="1:2" x14ac:dyDescent="0.2">
      <c r="A2361" s="458"/>
      <c r="B2361" s="458"/>
    </row>
    <row r="2362" spans="1:2" x14ac:dyDescent="0.2">
      <c r="A2362" s="458"/>
      <c r="B2362" s="458"/>
    </row>
    <row r="2363" spans="1:2" x14ac:dyDescent="0.2">
      <c r="A2363" s="458"/>
      <c r="B2363" s="458"/>
    </row>
    <row r="2364" spans="1:2" x14ac:dyDescent="0.2">
      <c r="A2364" s="458"/>
      <c r="B2364" s="458"/>
    </row>
    <row r="2365" spans="1:2" x14ac:dyDescent="0.2">
      <c r="A2365" s="458"/>
      <c r="B2365" s="458"/>
    </row>
    <row r="2366" spans="1:2" x14ac:dyDescent="0.2">
      <c r="A2366" s="458"/>
      <c r="B2366" s="458"/>
    </row>
    <row r="2367" spans="1:2" x14ac:dyDescent="0.2">
      <c r="A2367" s="458"/>
      <c r="B2367" s="458"/>
    </row>
    <row r="2368" spans="1:2" x14ac:dyDescent="0.2">
      <c r="A2368" s="458"/>
      <c r="B2368" s="458"/>
    </row>
    <row r="2369" spans="1:2" x14ac:dyDescent="0.2">
      <c r="A2369" s="458"/>
      <c r="B2369" s="458"/>
    </row>
    <row r="2370" spans="1:2" x14ac:dyDescent="0.2">
      <c r="A2370" s="458"/>
      <c r="B2370" s="458"/>
    </row>
    <row r="2371" spans="1:2" x14ac:dyDescent="0.2">
      <c r="A2371" s="458"/>
      <c r="B2371" s="458"/>
    </row>
    <row r="2372" spans="1:2" x14ac:dyDescent="0.2">
      <c r="A2372" s="458"/>
      <c r="B2372" s="458"/>
    </row>
    <row r="2373" spans="1:2" x14ac:dyDescent="0.2">
      <c r="A2373" s="458"/>
      <c r="B2373" s="458"/>
    </row>
    <row r="2374" spans="1:2" x14ac:dyDescent="0.2">
      <c r="A2374" s="458"/>
      <c r="B2374" s="458"/>
    </row>
    <row r="2375" spans="1:2" x14ac:dyDescent="0.2">
      <c r="A2375" s="458"/>
      <c r="B2375" s="458"/>
    </row>
    <row r="2376" spans="1:2" x14ac:dyDescent="0.2">
      <c r="A2376" s="458"/>
      <c r="B2376" s="458"/>
    </row>
    <row r="2377" spans="1:2" x14ac:dyDescent="0.2">
      <c r="A2377" s="458"/>
      <c r="B2377" s="458"/>
    </row>
    <row r="2378" spans="1:2" x14ac:dyDescent="0.2">
      <c r="A2378" s="458"/>
      <c r="B2378" s="458"/>
    </row>
    <row r="2379" spans="1:2" x14ac:dyDescent="0.2">
      <c r="A2379" s="458"/>
      <c r="B2379" s="458"/>
    </row>
    <row r="2380" spans="1:2" x14ac:dyDescent="0.2">
      <c r="A2380" s="458"/>
      <c r="B2380" s="458"/>
    </row>
    <row r="2381" spans="1:2" x14ac:dyDescent="0.2">
      <c r="A2381" s="458"/>
      <c r="B2381" s="458"/>
    </row>
    <row r="2382" spans="1:2" x14ac:dyDescent="0.2">
      <c r="A2382" s="458"/>
      <c r="B2382" s="458"/>
    </row>
    <row r="2383" spans="1:2" x14ac:dyDescent="0.2">
      <c r="A2383" s="458"/>
      <c r="B2383" s="458"/>
    </row>
    <row r="2384" spans="1:2" x14ac:dyDescent="0.2">
      <c r="A2384" s="458"/>
      <c r="B2384" s="458"/>
    </row>
    <row r="2385" spans="1:2" x14ac:dyDescent="0.2">
      <c r="A2385" s="458"/>
      <c r="B2385" s="458"/>
    </row>
    <row r="2386" spans="1:2" x14ac:dyDescent="0.2">
      <c r="A2386" s="458"/>
      <c r="B2386" s="458"/>
    </row>
    <row r="2387" spans="1:2" x14ac:dyDescent="0.2">
      <c r="A2387" s="458"/>
      <c r="B2387" s="458"/>
    </row>
    <row r="2388" spans="1:2" x14ac:dyDescent="0.2">
      <c r="A2388" s="458"/>
      <c r="B2388" s="458"/>
    </row>
    <row r="2389" spans="1:2" x14ac:dyDescent="0.2">
      <c r="A2389" s="458"/>
      <c r="B2389" s="458"/>
    </row>
    <row r="2390" spans="1:2" x14ac:dyDescent="0.2">
      <c r="A2390" s="458"/>
      <c r="B2390" s="458"/>
    </row>
    <row r="2391" spans="1:2" x14ac:dyDescent="0.2">
      <c r="A2391" s="458"/>
      <c r="B2391" s="458"/>
    </row>
    <row r="2392" spans="1:2" x14ac:dyDescent="0.2">
      <c r="A2392" s="458"/>
      <c r="B2392" s="458"/>
    </row>
    <row r="2393" spans="1:2" x14ac:dyDescent="0.2">
      <c r="A2393" s="458"/>
      <c r="B2393" s="458"/>
    </row>
    <row r="2394" spans="1:2" x14ac:dyDescent="0.2">
      <c r="A2394" s="458"/>
      <c r="B2394" s="458"/>
    </row>
    <row r="2395" spans="1:2" x14ac:dyDescent="0.2">
      <c r="A2395" s="458"/>
      <c r="B2395" s="458"/>
    </row>
    <row r="2396" spans="1:2" x14ac:dyDescent="0.2">
      <c r="A2396" s="458"/>
      <c r="B2396" s="458"/>
    </row>
    <row r="2397" spans="1:2" x14ac:dyDescent="0.2">
      <c r="A2397" s="458"/>
      <c r="B2397" s="458"/>
    </row>
    <row r="2398" spans="1:2" x14ac:dyDescent="0.2">
      <c r="A2398" s="458"/>
      <c r="B2398" s="458"/>
    </row>
    <row r="2399" spans="1:2" x14ac:dyDescent="0.2">
      <c r="A2399" s="458"/>
      <c r="B2399" s="458"/>
    </row>
    <row r="2400" spans="1:2" x14ac:dyDescent="0.2">
      <c r="A2400" s="458"/>
      <c r="B2400" s="458"/>
    </row>
    <row r="2401" spans="1:2" x14ac:dyDescent="0.2">
      <c r="A2401" s="458"/>
      <c r="B2401" s="458"/>
    </row>
    <row r="2402" spans="1:2" x14ac:dyDescent="0.2">
      <c r="A2402" s="458"/>
      <c r="B2402" s="458"/>
    </row>
    <row r="2403" spans="1:2" x14ac:dyDescent="0.2">
      <c r="A2403" s="458"/>
      <c r="B2403" s="458"/>
    </row>
    <row r="2404" spans="1:2" x14ac:dyDescent="0.2">
      <c r="A2404" s="458"/>
      <c r="B2404" s="458"/>
    </row>
    <row r="2405" spans="1:2" x14ac:dyDescent="0.2">
      <c r="A2405" s="458"/>
      <c r="B2405" s="458"/>
    </row>
    <row r="2406" spans="1:2" x14ac:dyDescent="0.2">
      <c r="A2406" s="458"/>
      <c r="B2406" s="458"/>
    </row>
    <row r="2407" spans="1:2" x14ac:dyDescent="0.2">
      <c r="A2407" s="458"/>
      <c r="B2407" s="458"/>
    </row>
    <row r="2408" spans="1:2" x14ac:dyDescent="0.2">
      <c r="A2408" s="458"/>
      <c r="B2408" s="458"/>
    </row>
    <row r="2409" spans="1:2" x14ac:dyDescent="0.2">
      <c r="A2409" s="458"/>
      <c r="B2409" s="458"/>
    </row>
    <row r="2410" spans="1:2" x14ac:dyDescent="0.2">
      <c r="A2410" s="458"/>
      <c r="B2410" s="458"/>
    </row>
    <row r="2411" spans="1:2" x14ac:dyDescent="0.2">
      <c r="A2411" s="458"/>
      <c r="B2411" s="458"/>
    </row>
    <row r="2412" spans="1:2" x14ac:dyDescent="0.2">
      <c r="A2412" s="458"/>
      <c r="B2412" s="458"/>
    </row>
    <row r="2413" spans="1:2" x14ac:dyDescent="0.2">
      <c r="A2413" s="458"/>
      <c r="B2413" s="458"/>
    </row>
    <row r="2414" spans="1:2" x14ac:dyDescent="0.2">
      <c r="A2414" s="458"/>
      <c r="B2414" s="458"/>
    </row>
    <row r="2415" spans="1:2" x14ac:dyDescent="0.2">
      <c r="A2415" s="458"/>
      <c r="B2415" s="458"/>
    </row>
    <row r="2416" spans="1:2" x14ac:dyDescent="0.2">
      <c r="A2416" s="458"/>
      <c r="B2416" s="458"/>
    </row>
    <row r="2417" spans="1:2" x14ac:dyDescent="0.2">
      <c r="A2417" s="458"/>
      <c r="B2417" s="458"/>
    </row>
    <row r="2418" spans="1:2" x14ac:dyDescent="0.2">
      <c r="A2418" s="458"/>
      <c r="B2418" s="458"/>
    </row>
    <row r="2419" spans="1:2" x14ac:dyDescent="0.2">
      <c r="A2419" s="458"/>
      <c r="B2419" s="458"/>
    </row>
    <row r="2420" spans="1:2" x14ac:dyDescent="0.2">
      <c r="A2420" s="458"/>
      <c r="B2420" s="458"/>
    </row>
    <row r="2421" spans="1:2" x14ac:dyDescent="0.2">
      <c r="A2421" s="458"/>
      <c r="B2421" s="458"/>
    </row>
    <row r="2422" spans="1:2" x14ac:dyDescent="0.2">
      <c r="A2422" s="458"/>
      <c r="B2422" s="458"/>
    </row>
    <row r="2423" spans="1:2" x14ac:dyDescent="0.2">
      <c r="A2423" s="458"/>
      <c r="B2423" s="458"/>
    </row>
    <row r="2424" spans="1:2" x14ac:dyDescent="0.2">
      <c r="A2424" s="458"/>
      <c r="B2424" s="458"/>
    </row>
    <row r="2425" spans="1:2" x14ac:dyDescent="0.2">
      <c r="A2425" s="458"/>
      <c r="B2425" s="458"/>
    </row>
    <row r="2426" spans="1:2" x14ac:dyDescent="0.2">
      <c r="A2426" s="458"/>
      <c r="B2426" s="458"/>
    </row>
    <row r="2427" spans="1:2" x14ac:dyDescent="0.2">
      <c r="A2427" s="458"/>
      <c r="B2427" s="458"/>
    </row>
    <row r="2428" spans="1:2" x14ac:dyDescent="0.2">
      <c r="A2428" s="458"/>
      <c r="B2428" s="458"/>
    </row>
    <row r="2429" spans="1:2" x14ac:dyDescent="0.2">
      <c r="A2429" s="458"/>
      <c r="B2429" s="458"/>
    </row>
    <row r="2430" spans="1:2" x14ac:dyDescent="0.2">
      <c r="A2430" s="458"/>
      <c r="B2430" s="458"/>
    </row>
    <row r="2431" spans="1:2" x14ac:dyDescent="0.2">
      <c r="A2431" s="458"/>
      <c r="B2431" s="458"/>
    </row>
    <row r="2432" spans="1:2" x14ac:dyDescent="0.2">
      <c r="A2432" s="458"/>
      <c r="B2432" s="458"/>
    </row>
    <row r="2433" spans="1:2" x14ac:dyDescent="0.2">
      <c r="A2433" s="458"/>
      <c r="B2433" s="458"/>
    </row>
    <row r="2434" spans="1:2" x14ac:dyDescent="0.2">
      <c r="A2434" s="458"/>
      <c r="B2434" s="458"/>
    </row>
    <row r="2435" spans="1:2" x14ac:dyDescent="0.2">
      <c r="A2435" s="458"/>
      <c r="B2435" s="458"/>
    </row>
    <row r="2436" spans="1:2" x14ac:dyDescent="0.2">
      <c r="A2436" s="458"/>
      <c r="B2436" s="458"/>
    </row>
    <row r="2437" spans="1:2" x14ac:dyDescent="0.2">
      <c r="A2437" s="458"/>
      <c r="B2437" s="458"/>
    </row>
    <row r="2438" spans="1:2" x14ac:dyDescent="0.2">
      <c r="A2438" s="458"/>
      <c r="B2438" s="458"/>
    </row>
    <row r="2439" spans="1:2" x14ac:dyDescent="0.2">
      <c r="A2439" s="458"/>
      <c r="B2439" s="458"/>
    </row>
    <row r="2440" spans="1:2" x14ac:dyDescent="0.2">
      <c r="A2440" s="458"/>
      <c r="B2440" s="458"/>
    </row>
    <row r="2441" spans="1:2" x14ac:dyDescent="0.2">
      <c r="A2441" s="458"/>
      <c r="B2441" s="458"/>
    </row>
    <row r="2442" spans="1:2" x14ac:dyDescent="0.2">
      <c r="A2442" s="458"/>
      <c r="B2442" s="458"/>
    </row>
    <row r="2443" spans="1:2" x14ac:dyDescent="0.2">
      <c r="A2443" s="458"/>
      <c r="B2443" s="458"/>
    </row>
    <row r="2444" spans="1:2" x14ac:dyDescent="0.2">
      <c r="A2444" s="458"/>
      <c r="B2444" s="458"/>
    </row>
    <row r="2445" spans="1:2" x14ac:dyDescent="0.2">
      <c r="A2445" s="458"/>
      <c r="B2445" s="458"/>
    </row>
    <row r="2446" spans="1:2" x14ac:dyDescent="0.2">
      <c r="A2446" s="458"/>
      <c r="B2446" s="458"/>
    </row>
    <row r="2447" spans="1:2" x14ac:dyDescent="0.2">
      <c r="A2447" s="458"/>
      <c r="B2447" s="458"/>
    </row>
    <row r="2448" spans="1:2" x14ac:dyDescent="0.2">
      <c r="A2448" s="458"/>
      <c r="B2448" s="458"/>
    </row>
    <row r="2449" spans="1:2" x14ac:dyDescent="0.2">
      <c r="A2449" s="458"/>
      <c r="B2449" s="458"/>
    </row>
    <row r="2450" spans="1:2" x14ac:dyDescent="0.2">
      <c r="A2450" s="458"/>
      <c r="B2450" s="458"/>
    </row>
    <row r="2451" spans="1:2" x14ac:dyDescent="0.2">
      <c r="A2451" s="458"/>
      <c r="B2451" s="458"/>
    </row>
    <row r="2452" spans="1:2" x14ac:dyDescent="0.2">
      <c r="A2452" s="458"/>
      <c r="B2452" s="458"/>
    </row>
    <row r="2453" spans="1:2" x14ac:dyDescent="0.2">
      <c r="A2453" s="458"/>
      <c r="B2453" s="458"/>
    </row>
    <row r="2454" spans="1:2" x14ac:dyDescent="0.2">
      <c r="A2454" s="458"/>
      <c r="B2454" s="458"/>
    </row>
    <row r="2455" spans="1:2" x14ac:dyDescent="0.2">
      <c r="A2455" s="458"/>
      <c r="B2455" s="458"/>
    </row>
    <row r="2456" spans="1:2" x14ac:dyDescent="0.2">
      <c r="A2456" s="458"/>
      <c r="B2456" s="458"/>
    </row>
    <row r="2457" spans="1:2" x14ac:dyDescent="0.2">
      <c r="A2457" s="458"/>
      <c r="B2457" s="458"/>
    </row>
    <row r="2458" spans="1:2" x14ac:dyDescent="0.2">
      <c r="A2458" s="458"/>
      <c r="B2458" s="458"/>
    </row>
    <row r="2459" spans="1:2" x14ac:dyDescent="0.2">
      <c r="A2459" s="458"/>
      <c r="B2459" s="458"/>
    </row>
    <row r="2460" spans="1:2" x14ac:dyDescent="0.2">
      <c r="A2460" s="458"/>
      <c r="B2460" s="458"/>
    </row>
    <row r="2461" spans="1:2" x14ac:dyDescent="0.2">
      <c r="A2461" s="458"/>
      <c r="B2461" s="458"/>
    </row>
    <row r="2462" spans="1:2" x14ac:dyDescent="0.2">
      <c r="A2462" s="458"/>
      <c r="B2462" s="458"/>
    </row>
    <row r="2463" spans="1:2" x14ac:dyDescent="0.2">
      <c r="A2463" s="458"/>
      <c r="B2463" s="458"/>
    </row>
    <row r="2464" spans="1:2" x14ac:dyDescent="0.2">
      <c r="A2464" s="458"/>
      <c r="B2464" s="458"/>
    </row>
    <row r="2465" spans="1:2" x14ac:dyDescent="0.2">
      <c r="A2465" s="458"/>
      <c r="B2465" s="458"/>
    </row>
    <row r="2466" spans="1:2" x14ac:dyDescent="0.2">
      <c r="A2466" s="458"/>
      <c r="B2466" s="458"/>
    </row>
    <row r="2467" spans="1:2" x14ac:dyDescent="0.2">
      <c r="A2467" s="458"/>
      <c r="B2467" s="458"/>
    </row>
    <row r="2468" spans="1:2" x14ac:dyDescent="0.2">
      <c r="A2468" s="458"/>
      <c r="B2468" s="458"/>
    </row>
    <row r="2469" spans="1:2" x14ac:dyDescent="0.2">
      <c r="A2469" s="458"/>
      <c r="B2469" s="458"/>
    </row>
    <row r="2470" spans="1:2" x14ac:dyDescent="0.2">
      <c r="A2470" s="458"/>
      <c r="B2470" s="458"/>
    </row>
    <row r="2471" spans="1:2" x14ac:dyDescent="0.2">
      <c r="A2471" s="458"/>
      <c r="B2471" s="458"/>
    </row>
    <row r="2472" spans="1:2" x14ac:dyDescent="0.2">
      <c r="A2472" s="458"/>
      <c r="B2472" s="458"/>
    </row>
    <row r="2473" spans="1:2" x14ac:dyDescent="0.2">
      <c r="A2473" s="458"/>
      <c r="B2473" s="458"/>
    </row>
    <row r="2474" spans="1:2" x14ac:dyDescent="0.2">
      <c r="A2474" s="458"/>
      <c r="B2474" s="458"/>
    </row>
    <row r="2475" spans="1:2" x14ac:dyDescent="0.2">
      <c r="A2475" s="458"/>
      <c r="B2475" s="458"/>
    </row>
    <row r="2476" spans="1:2" x14ac:dyDescent="0.2">
      <c r="A2476" s="458"/>
      <c r="B2476" s="458"/>
    </row>
    <row r="2477" spans="1:2" x14ac:dyDescent="0.2">
      <c r="A2477" s="458"/>
      <c r="B2477" s="458"/>
    </row>
    <row r="2478" spans="1:2" x14ac:dyDescent="0.2">
      <c r="A2478" s="458"/>
      <c r="B2478" s="458"/>
    </row>
    <row r="2479" spans="1:2" x14ac:dyDescent="0.2">
      <c r="A2479" s="458"/>
      <c r="B2479" s="458"/>
    </row>
    <row r="2480" spans="1:2" x14ac:dyDescent="0.2">
      <c r="A2480" s="458"/>
      <c r="B2480" s="458"/>
    </row>
    <row r="2481" spans="1:2" x14ac:dyDescent="0.2">
      <c r="A2481" s="458"/>
      <c r="B2481" s="458"/>
    </row>
    <row r="2482" spans="1:2" x14ac:dyDescent="0.2">
      <c r="A2482" s="458"/>
      <c r="B2482" s="458"/>
    </row>
    <row r="2483" spans="1:2" x14ac:dyDescent="0.2">
      <c r="A2483" s="458"/>
      <c r="B2483" s="458"/>
    </row>
    <row r="2484" spans="1:2" x14ac:dyDescent="0.2">
      <c r="A2484" s="458"/>
      <c r="B2484" s="458"/>
    </row>
    <row r="2485" spans="1:2" x14ac:dyDescent="0.2">
      <c r="A2485" s="458"/>
      <c r="B2485" s="458"/>
    </row>
    <row r="2486" spans="1:2" x14ac:dyDescent="0.2">
      <c r="A2486" s="458"/>
      <c r="B2486" s="458"/>
    </row>
    <row r="2487" spans="1:2" x14ac:dyDescent="0.2">
      <c r="A2487" s="458"/>
      <c r="B2487" s="458"/>
    </row>
    <row r="2488" spans="1:2" x14ac:dyDescent="0.2">
      <c r="A2488" s="458"/>
      <c r="B2488" s="458"/>
    </row>
    <row r="2489" spans="1:2" x14ac:dyDescent="0.2">
      <c r="A2489" s="458"/>
      <c r="B2489" s="458"/>
    </row>
    <row r="2490" spans="1:2" x14ac:dyDescent="0.2">
      <c r="A2490" s="458"/>
      <c r="B2490" s="458"/>
    </row>
    <row r="2491" spans="1:2" x14ac:dyDescent="0.2">
      <c r="A2491" s="458"/>
      <c r="B2491" s="458"/>
    </row>
    <row r="2492" spans="1:2" x14ac:dyDescent="0.2">
      <c r="A2492" s="458"/>
      <c r="B2492" s="458"/>
    </row>
    <row r="2493" spans="1:2" x14ac:dyDescent="0.2">
      <c r="A2493" s="458"/>
      <c r="B2493" s="458"/>
    </row>
    <row r="2494" spans="1:2" x14ac:dyDescent="0.2">
      <c r="A2494" s="458"/>
      <c r="B2494" s="458"/>
    </row>
    <row r="2495" spans="1:2" x14ac:dyDescent="0.2">
      <c r="A2495" s="458"/>
      <c r="B2495" s="458"/>
    </row>
    <row r="2496" spans="1:2" x14ac:dyDescent="0.2">
      <c r="A2496" s="458"/>
      <c r="B2496" s="458"/>
    </row>
    <row r="2497" spans="1:2" x14ac:dyDescent="0.2">
      <c r="A2497" s="458"/>
      <c r="B2497" s="458"/>
    </row>
    <row r="2498" spans="1:2" x14ac:dyDescent="0.2">
      <c r="A2498" s="458"/>
      <c r="B2498" s="458"/>
    </row>
    <row r="2499" spans="1:2" x14ac:dyDescent="0.2">
      <c r="A2499" s="458"/>
      <c r="B2499" s="458"/>
    </row>
    <row r="2500" spans="1:2" x14ac:dyDescent="0.2">
      <c r="A2500" s="458"/>
      <c r="B2500" s="458"/>
    </row>
    <row r="2501" spans="1:2" x14ac:dyDescent="0.2">
      <c r="A2501" s="458"/>
      <c r="B2501" s="458"/>
    </row>
    <row r="2502" spans="1:2" x14ac:dyDescent="0.2">
      <c r="A2502" s="458"/>
      <c r="B2502" s="458"/>
    </row>
    <row r="2503" spans="1:2" x14ac:dyDescent="0.2">
      <c r="A2503" s="458"/>
      <c r="B2503" s="458"/>
    </row>
    <row r="2504" spans="1:2" x14ac:dyDescent="0.2">
      <c r="A2504" s="458"/>
      <c r="B2504" s="458"/>
    </row>
    <row r="2505" spans="1:2" x14ac:dyDescent="0.2">
      <c r="A2505" s="458"/>
      <c r="B2505" s="458"/>
    </row>
    <row r="2506" spans="1:2" x14ac:dyDescent="0.2">
      <c r="A2506" s="458"/>
      <c r="B2506" s="458"/>
    </row>
    <row r="2507" spans="1:2" x14ac:dyDescent="0.2">
      <c r="A2507" s="458"/>
      <c r="B2507" s="458"/>
    </row>
    <row r="2508" spans="1:2" x14ac:dyDescent="0.2">
      <c r="A2508" s="458"/>
      <c r="B2508" s="458"/>
    </row>
    <row r="2509" spans="1:2" x14ac:dyDescent="0.2">
      <c r="A2509" s="458"/>
      <c r="B2509" s="458"/>
    </row>
    <row r="2510" spans="1:2" x14ac:dyDescent="0.2">
      <c r="A2510" s="458"/>
      <c r="B2510" s="458"/>
    </row>
    <row r="2511" spans="1:2" x14ac:dyDescent="0.2">
      <c r="A2511" s="458"/>
      <c r="B2511" s="458"/>
    </row>
    <row r="2512" spans="1:2" x14ac:dyDescent="0.2">
      <c r="A2512" s="458"/>
      <c r="B2512" s="458"/>
    </row>
    <row r="2513" spans="1:2" x14ac:dyDescent="0.2">
      <c r="A2513" s="458"/>
      <c r="B2513" s="458"/>
    </row>
    <row r="2514" spans="1:2" x14ac:dyDescent="0.2">
      <c r="A2514" s="458"/>
      <c r="B2514" s="458"/>
    </row>
    <row r="2515" spans="1:2" x14ac:dyDescent="0.2">
      <c r="A2515" s="458"/>
      <c r="B2515" s="458"/>
    </row>
    <row r="2516" spans="1:2" x14ac:dyDescent="0.2">
      <c r="A2516" s="458"/>
      <c r="B2516" s="458"/>
    </row>
    <row r="2517" spans="1:2" x14ac:dyDescent="0.2">
      <c r="A2517" s="458"/>
      <c r="B2517" s="458"/>
    </row>
    <row r="2518" spans="1:2" x14ac:dyDescent="0.2">
      <c r="A2518" s="458"/>
      <c r="B2518" s="458"/>
    </row>
    <row r="2519" spans="1:2" x14ac:dyDescent="0.2">
      <c r="A2519" s="458"/>
      <c r="B2519" s="458"/>
    </row>
    <row r="2520" spans="1:2" x14ac:dyDescent="0.2">
      <c r="A2520" s="458"/>
      <c r="B2520" s="458"/>
    </row>
    <row r="2521" spans="1:2" x14ac:dyDescent="0.2">
      <c r="A2521" s="458"/>
      <c r="B2521" s="458"/>
    </row>
    <row r="2522" spans="1:2" x14ac:dyDescent="0.2">
      <c r="A2522" s="458"/>
      <c r="B2522" s="458"/>
    </row>
    <row r="2523" spans="1:2" x14ac:dyDescent="0.2">
      <c r="A2523" s="458"/>
      <c r="B2523" s="458"/>
    </row>
    <row r="2524" spans="1:2" x14ac:dyDescent="0.2">
      <c r="A2524" s="458"/>
      <c r="B2524" s="458"/>
    </row>
    <row r="2525" spans="1:2" x14ac:dyDescent="0.2">
      <c r="A2525" s="458"/>
      <c r="B2525" s="458"/>
    </row>
    <row r="2526" spans="1:2" x14ac:dyDescent="0.2">
      <c r="A2526" s="458"/>
      <c r="B2526" s="458"/>
    </row>
    <row r="2527" spans="1:2" x14ac:dyDescent="0.2">
      <c r="A2527" s="458"/>
      <c r="B2527" s="458"/>
    </row>
    <row r="2528" spans="1:2" x14ac:dyDescent="0.2">
      <c r="A2528" s="458"/>
      <c r="B2528" s="458"/>
    </row>
    <row r="2529" spans="1:2" x14ac:dyDescent="0.2">
      <c r="A2529" s="458"/>
      <c r="B2529" s="458"/>
    </row>
    <row r="2530" spans="1:2" x14ac:dyDescent="0.2">
      <c r="A2530" s="458"/>
      <c r="B2530" s="458"/>
    </row>
    <row r="2531" spans="1:2" x14ac:dyDescent="0.2">
      <c r="A2531" s="458"/>
      <c r="B2531" s="458"/>
    </row>
    <row r="2532" spans="1:2" x14ac:dyDescent="0.2">
      <c r="A2532" s="458"/>
      <c r="B2532" s="458"/>
    </row>
    <row r="2533" spans="1:2" x14ac:dyDescent="0.2">
      <c r="A2533" s="458"/>
      <c r="B2533" s="458"/>
    </row>
    <row r="2534" spans="1:2" x14ac:dyDescent="0.2">
      <c r="A2534" s="458"/>
      <c r="B2534" s="458"/>
    </row>
    <row r="2535" spans="1:2" x14ac:dyDescent="0.2">
      <c r="A2535" s="458"/>
      <c r="B2535" s="458"/>
    </row>
    <row r="2536" spans="1:2" x14ac:dyDescent="0.2">
      <c r="A2536" s="458"/>
      <c r="B2536" s="458"/>
    </row>
    <row r="2537" spans="1:2" x14ac:dyDescent="0.2">
      <c r="A2537" s="458"/>
      <c r="B2537" s="458"/>
    </row>
    <row r="2538" spans="1:2" x14ac:dyDescent="0.2">
      <c r="A2538" s="458"/>
      <c r="B2538" s="458"/>
    </row>
    <row r="2539" spans="1:2" x14ac:dyDescent="0.2">
      <c r="A2539" s="458"/>
      <c r="B2539" s="458"/>
    </row>
    <row r="2540" spans="1:2" x14ac:dyDescent="0.2">
      <c r="A2540" s="458"/>
      <c r="B2540" s="458"/>
    </row>
    <row r="2541" spans="1:2" x14ac:dyDescent="0.2">
      <c r="A2541" s="458"/>
      <c r="B2541" s="458"/>
    </row>
    <row r="2542" spans="1:2" x14ac:dyDescent="0.2">
      <c r="A2542" s="458"/>
      <c r="B2542" s="458"/>
    </row>
    <row r="2543" spans="1:2" x14ac:dyDescent="0.2">
      <c r="A2543" s="458"/>
      <c r="B2543" s="458"/>
    </row>
    <row r="2544" spans="1:2" x14ac:dyDescent="0.2">
      <c r="A2544" s="458"/>
      <c r="B2544" s="458"/>
    </row>
    <row r="2545" spans="1:2" x14ac:dyDescent="0.2">
      <c r="A2545" s="458"/>
      <c r="B2545" s="458"/>
    </row>
    <row r="2546" spans="1:2" x14ac:dyDescent="0.2">
      <c r="A2546" s="458"/>
      <c r="B2546" s="458"/>
    </row>
    <row r="2547" spans="1:2" x14ac:dyDescent="0.2">
      <c r="A2547" s="458"/>
      <c r="B2547" s="458"/>
    </row>
    <row r="2548" spans="1:2" x14ac:dyDescent="0.2">
      <c r="A2548" s="458"/>
      <c r="B2548" s="458"/>
    </row>
    <row r="2549" spans="1:2" x14ac:dyDescent="0.2">
      <c r="A2549" s="458"/>
      <c r="B2549" s="458"/>
    </row>
    <row r="2550" spans="1:2" x14ac:dyDescent="0.2">
      <c r="A2550" s="458"/>
      <c r="B2550" s="458"/>
    </row>
    <row r="2551" spans="1:2" x14ac:dyDescent="0.2">
      <c r="A2551" s="458"/>
      <c r="B2551" s="458"/>
    </row>
    <row r="2552" spans="1:2" x14ac:dyDescent="0.2">
      <c r="A2552" s="458"/>
      <c r="B2552" s="458"/>
    </row>
    <row r="2553" spans="1:2" x14ac:dyDescent="0.2">
      <c r="A2553" s="458"/>
      <c r="B2553" s="458"/>
    </row>
    <row r="2554" spans="1:2" x14ac:dyDescent="0.2">
      <c r="A2554" s="458"/>
      <c r="B2554" s="458"/>
    </row>
    <row r="2555" spans="1:2" x14ac:dyDescent="0.2">
      <c r="A2555" s="458"/>
      <c r="B2555" s="458"/>
    </row>
    <row r="2556" spans="1:2" x14ac:dyDescent="0.2">
      <c r="A2556" s="458"/>
      <c r="B2556" s="458"/>
    </row>
    <row r="2557" spans="1:2" x14ac:dyDescent="0.2">
      <c r="A2557" s="458"/>
      <c r="B2557" s="458"/>
    </row>
    <row r="2558" spans="1:2" x14ac:dyDescent="0.2">
      <c r="A2558" s="458"/>
      <c r="B2558" s="458"/>
    </row>
    <row r="2559" spans="1:2" x14ac:dyDescent="0.2">
      <c r="A2559" s="458"/>
      <c r="B2559" s="458"/>
    </row>
    <row r="2560" spans="1:2" x14ac:dyDescent="0.2">
      <c r="A2560" s="458"/>
      <c r="B2560" s="458"/>
    </row>
    <row r="2561" spans="1:2" x14ac:dyDescent="0.2">
      <c r="A2561" s="458"/>
      <c r="B2561" s="458"/>
    </row>
    <row r="2562" spans="1:2" x14ac:dyDescent="0.2">
      <c r="A2562" s="458"/>
      <c r="B2562" s="458"/>
    </row>
    <row r="2563" spans="1:2" x14ac:dyDescent="0.2">
      <c r="A2563" s="458"/>
      <c r="B2563" s="458"/>
    </row>
    <row r="2564" spans="1:2" x14ac:dyDescent="0.2">
      <c r="A2564" s="458"/>
      <c r="B2564" s="458"/>
    </row>
    <row r="2565" spans="1:2" x14ac:dyDescent="0.2">
      <c r="A2565" s="458"/>
      <c r="B2565" s="458"/>
    </row>
    <row r="2566" spans="1:2" x14ac:dyDescent="0.2">
      <c r="A2566" s="458"/>
      <c r="B2566" s="458"/>
    </row>
    <row r="2567" spans="1:2" x14ac:dyDescent="0.2">
      <c r="A2567" s="458"/>
      <c r="B2567" s="458"/>
    </row>
    <row r="2568" spans="1:2" x14ac:dyDescent="0.2">
      <c r="A2568" s="458"/>
      <c r="B2568" s="458"/>
    </row>
    <row r="2569" spans="1:2" x14ac:dyDescent="0.2">
      <c r="A2569" s="458"/>
      <c r="B2569" s="458"/>
    </row>
    <row r="2570" spans="1:2" x14ac:dyDescent="0.2">
      <c r="A2570" s="458"/>
      <c r="B2570" s="458"/>
    </row>
    <row r="2571" spans="1:2" x14ac:dyDescent="0.2">
      <c r="A2571" s="458"/>
      <c r="B2571" s="458"/>
    </row>
    <row r="2572" spans="1:2" x14ac:dyDescent="0.2">
      <c r="A2572" s="458"/>
      <c r="B2572" s="458"/>
    </row>
    <row r="2573" spans="1:2" x14ac:dyDescent="0.2">
      <c r="A2573" s="458"/>
      <c r="B2573" s="458"/>
    </row>
    <row r="2574" spans="1:2" x14ac:dyDescent="0.2">
      <c r="A2574" s="458"/>
      <c r="B2574" s="458"/>
    </row>
    <row r="2575" spans="1:2" x14ac:dyDescent="0.2">
      <c r="A2575" s="458"/>
      <c r="B2575" s="458"/>
    </row>
    <row r="2576" spans="1:2" x14ac:dyDescent="0.2">
      <c r="A2576" s="458"/>
      <c r="B2576" s="458"/>
    </row>
    <row r="2577" spans="1:2" x14ac:dyDescent="0.2">
      <c r="A2577" s="458"/>
      <c r="B2577" s="458"/>
    </row>
    <row r="2578" spans="1:2" x14ac:dyDescent="0.2">
      <c r="A2578" s="458"/>
      <c r="B2578" s="458"/>
    </row>
    <row r="2579" spans="1:2" x14ac:dyDescent="0.2">
      <c r="A2579" s="458"/>
      <c r="B2579" s="458"/>
    </row>
    <row r="2580" spans="1:2" x14ac:dyDescent="0.2">
      <c r="A2580" s="458"/>
      <c r="B2580" s="458"/>
    </row>
    <row r="2581" spans="1:2" x14ac:dyDescent="0.2">
      <c r="A2581" s="458"/>
      <c r="B2581" s="458"/>
    </row>
    <row r="2582" spans="1:2" x14ac:dyDescent="0.2">
      <c r="A2582" s="458"/>
      <c r="B2582" s="458"/>
    </row>
    <row r="2583" spans="1:2" x14ac:dyDescent="0.2">
      <c r="A2583" s="458"/>
      <c r="B2583" s="458"/>
    </row>
    <row r="2584" spans="1:2" x14ac:dyDescent="0.2">
      <c r="A2584" s="458"/>
      <c r="B2584" s="458"/>
    </row>
    <row r="2585" spans="1:2" x14ac:dyDescent="0.2">
      <c r="A2585" s="458"/>
      <c r="B2585" s="458"/>
    </row>
    <row r="2586" spans="1:2" x14ac:dyDescent="0.2">
      <c r="A2586" s="458"/>
      <c r="B2586" s="458"/>
    </row>
    <row r="2587" spans="1:2" x14ac:dyDescent="0.2">
      <c r="A2587" s="458"/>
      <c r="B2587" s="458"/>
    </row>
    <row r="2588" spans="1:2" x14ac:dyDescent="0.2">
      <c r="A2588" s="458"/>
      <c r="B2588" s="458"/>
    </row>
    <row r="2589" spans="1:2" x14ac:dyDescent="0.2">
      <c r="A2589" s="458"/>
      <c r="B2589" s="458"/>
    </row>
    <row r="2590" spans="1:2" x14ac:dyDescent="0.2">
      <c r="A2590" s="458"/>
      <c r="B2590" s="458"/>
    </row>
    <row r="2591" spans="1:2" x14ac:dyDescent="0.2">
      <c r="A2591" s="458"/>
      <c r="B2591" s="458"/>
    </row>
    <row r="2592" spans="1:2" x14ac:dyDescent="0.2">
      <c r="A2592" s="458"/>
      <c r="B2592" s="458"/>
    </row>
    <row r="2593" spans="1:2" x14ac:dyDescent="0.2">
      <c r="A2593" s="458"/>
      <c r="B2593" s="458"/>
    </row>
    <row r="2594" spans="1:2" x14ac:dyDescent="0.2">
      <c r="A2594" s="458"/>
      <c r="B2594" s="458"/>
    </row>
    <row r="2595" spans="1:2" x14ac:dyDescent="0.2">
      <c r="A2595" s="458"/>
      <c r="B2595" s="458"/>
    </row>
    <row r="2596" spans="1:2" x14ac:dyDescent="0.2">
      <c r="A2596" s="458"/>
      <c r="B2596" s="458"/>
    </row>
    <row r="2597" spans="1:2" x14ac:dyDescent="0.2">
      <c r="A2597" s="458"/>
      <c r="B2597" s="458"/>
    </row>
    <row r="2598" spans="1:2" x14ac:dyDescent="0.2">
      <c r="A2598" s="458"/>
      <c r="B2598" s="458"/>
    </row>
    <row r="2599" spans="1:2" x14ac:dyDescent="0.2">
      <c r="A2599" s="458"/>
      <c r="B2599" s="458"/>
    </row>
    <row r="2600" spans="1:2" x14ac:dyDescent="0.2">
      <c r="A2600" s="458"/>
      <c r="B2600" s="458"/>
    </row>
    <row r="2601" spans="1:2" x14ac:dyDescent="0.2">
      <c r="A2601" s="458"/>
      <c r="B2601" s="458"/>
    </row>
    <row r="2602" spans="1:2" x14ac:dyDescent="0.2">
      <c r="A2602" s="458"/>
      <c r="B2602" s="458"/>
    </row>
    <row r="2603" spans="1:2" x14ac:dyDescent="0.2">
      <c r="A2603" s="458"/>
      <c r="B2603" s="458"/>
    </row>
    <row r="2604" spans="1:2" x14ac:dyDescent="0.2">
      <c r="A2604" s="458"/>
      <c r="B2604" s="458"/>
    </row>
    <row r="2605" spans="1:2" x14ac:dyDescent="0.2">
      <c r="A2605" s="458"/>
      <c r="B2605" s="458"/>
    </row>
    <row r="2606" spans="1:2" x14ac:dyDescent="0.2">
      <c r="A2606" s="458"/>
      <c r="B2606" s="458"/>
    </row>
    <row r="2607" spans="1:2" x14ac:dyDescent="0.2">
      <c r="A2607" s="458"/>
      <c r="B2607" s="458"/>
    </row>
    <row r="2608" spans="1:2" x14ac:dyDescent="0.2">
      <c r="A2608" s="458"/>
      <c r="B2608" s="458"/>
    </row>
    <row r="2609" spans="1:2" x14ac:dyDescent="0.2">
      <c r="A2609" s="458"/>
      <c r="B2609" s="458"/>
    </row>
    <row r="2610" spans="1:2" x14ac:dyDescent="0.2">
      <c r="A2610" s="458"/>
      <c r="B2610" s="458"/>
    </row>
    <row r="2611" spans="1:2" x14ac:dyDescent="0.2">
      <c r="A2611" s="458"/>
      <c r="B2611" s="458"/>
    </row>
    <row r="2612" spans="1:2" x14ac:dyDescent="0.2">
      <c r="A2612" s="458"/>
      <c r="B2612" s="458"/>
    </row>
    <row r="2613" spans="1:2" x14ac:dyDescent="0.2">
      <c r="A2613" s="458"/>
      <c r="B2613" s="458"/>
    </row>
    <row r="2614" spans="1:2" x14ac:dyDescent="0.2">
      <c r="A2614" s="458"/>
      <c r="B2614" s="458"/>
    </row>
    <row r="2615" spans="1:2" x14ac:dyDescent="0.2">
      <c r="A2615" s="458"/>
      <c r="B2615" s="458"/>
    </row>
    <row r="2616" spans="1:2" x14ac:dyDescent="0.2">
      <c r="A2616" s="458"/>
      <c r="B2616" s="458"/>
    </row>
    <row r="2617" spans="1:2" x14ac:dyDescent="0.2">
      <c r="A2617" s="458"/>
      <c r="B2617" s="458"/>
    </row>
    <row r="2618" spans="1:2" x14ac:dyDescent="0.2">
      <c r="A2618" s="458"/>
      <c r="B2618" s="458"/>
    </row>
    <row r="2619" spans="1:2" x14ac:dyDescent="0.2">
      <c r="A2619" s="458"/>
      <c r="B2619" s="458"/>
    </row>
    <row r="2620" spans="1:2" x14ac:dyDescent="0.2">
      <c r="A2620" s="458"/>
      <c r="B2620" s="458"/>
    </row>
    <row r="2621" spans="1:2" x14ac:dyDescent="0.2">
      <c r="A2621" s="458"/>
      <c r="B2621" s="458"/>
    </row>
    <row r="2622" spans="1:2" x14ac:dyDescent="0.2">
      <c r="A2622" s="458"/>
      <c r="B2622" s="458"/>
    </row>
    <row r="2623" spans="1:2" x14ac:dyDescent="0.2">
      <c r="A2623" s="458"/>
      <c r="B2623" s="458"/>
    </row>
    <row r="2624" spans="1:2" x14ac:dyDescent="0.2">
      <c r="A2624" s="458"/>
      <c r="B2624" s="458"/>
    </row>
    <row r="2625" spans="1:2" x14ac:dyDescent="0.2">
      <c r="A2625" s="458"/>
      <c r="B2625" s="458"/>
    </row>
    <row r="2626" spans="1:2" x14ac:dyDescent="0.2">
      <c r="A2626" s="458"/>
      <c r="B2626" s="458"/>
    </row>
    <row r="2627" spans="1:2" x14ac:dyDescent="0.2">
      <c r="A2627" s="458"/>
      <c r="B2627" s="458"/>
    </row>
    <row r="2628" spans="1:2" x14ac:dyDescent="0.2">
      <c r="A2628" s="458"/>
      <c r="B2628" s="458"/>
    </row>
    <row r="2629" spans="1:2" x14ac:dyDescent="0.2">
      <c r="A2629" s="458"/>
      <c r="B2629" s="458"/>
    </row>
    <row r="2630" spans="1:2" x14ac:dyDescent="0.2">
      <c r="A2630" s="458"/>
      <c r="B2630" s="458"/>
    </row>
    <row r="2631" spans="1:2" x14ac:dyDescent="0.2">
      <c r="A2631" s="458"/>
      <c r="B2631" s="458"/>
    </row>
    <row r="2632" spans="1:2" x14ac:dyDescent="0.2">
      <c r="A2632" s="458"/>
      <c r="B2632" s="458"/>
    </row>
    <row r="2633" spans="1:2" x14ac:dyDescent="0.2">
      <c r="A2633" s="458"/>
      <c r="B2633" s="458"/>
    </row>
    <row r="2634" spans="1:2" x14ac:dyDescent="0.2">
      <c r="A2634" s="458"/>
      <c r="B2634" s="458"/>
    </row>
    <row r="2635" spans="1:2" x14ac:dyDescent="0.2">
      <c r="A2635" s="458"/>
      <c r="B2635" s="458"/>
    </row>
    <row r="2636" spans="1:2" x14ac:dyDescent="0.2">
      <c r="A2636" s="458"/>
      <c r="B2636" s="458"/>
    </row>
    <row r="2637" spans="1:2" x14ac:dyDescent="0.2">
      <c r="A2637" s="458"/>
      <c r="B2637" s="458"/>
    </row>
    <row r="2638" spans="1:2" x14ac:dyDescent="0.2">
      <c r="A2638" s="458"/>
      <c r="B2638" s="458"/>
    </row>
    <row r="2639" spans="1:2" x14ac:dyDescent="0.2">
      <c r="A2639" s="458"/>
      <c r="B2639" s="458"/>
    </row>
    <row r="2640" spans="1:2" x14ac:dyDescent="0.2">
      <c r="A2640" s="458"/>
      <c r="B2640" s="458"/>
    </row>
    <row r="2641" spans="1:2" x14ac:dyDescent="0.2">
      <c r="A2641" s="458"/>
      <c r="B2641" s="458"/>
    </row>
    <row r="2642" spans="1:2" x14ac:dyDescent="0.2">
      <c r="A2642" s="458"/>
      <c r="B2642" s="458"/>
    </row>
    <row r="2643" spans="1:2" x14ac:dyDescent="0.2">
      <c r="A2643" s="458"/>
      <c r="B2643" s="458"/>
    </row>
    <row r="2644" spans="1:2" x14ac:dyDescent="0.2">
      <c r="A2644" s="458"/>
      <c r="B2644" s="458"/>
    </row>
    <row r="2645" spans="1:2" x14ac:dyDescent="0.2">
      <c r="A2645" s="458"/>
      <c r="B2645" s="458"/>
    </row>
    <row r="2646" spans="1:2" x14ac:dyDescent="0.2">
      <c r="A2646" s="458"/>
      <c r="B2646" s="458"/>
    </row>
    <row r="2647" spans="1:2" x14ac:dyDescent="0.2">
      <c r="A2647" s="458"/>
      <c r="B2647" s="458"/>
    </row>
    <row r="2648" spans="1:2" x14ac:dyDescent="0.2">
      <c r="A2648" s="458"/>
      <c r="B2648" s="458"/>
    </row>
    <row r="2649" spans="1:2" x14ac:dyDescent="0.2">
      <c r="A2649" s="458"/>
      <c r="B2649" s="458"/>
    </row>
    <row r="2650" spans="1:2" x14ac:dyDescent="0.2">
      <c r="A2650" s="458"/>
      <c r="B2650" s="458"/>
    </row>
    <row r="2651" spans="1:2" x14ac:dyDescent="0.2">
      <c r="A2651" s="458"/>
      <c r="B2651" s="458"/>
    </row>
    <row r="2652" spans="1:2" x14ac:dyDescent="0.2">
      <c r="A2652" s="458"/>
      <c r="B2652" s="458"/>
    </row>
    <row r="2653" spans="1:2" x14ac:dyDescent="0.2">
      <c r="A2653" s="458"/>
      <c r="B2653" s="458"/>
    </row>
    <row r="2654" spans="1:2" x14ac:dyDescent="0.2">
      <c r="A2654" s="458"/>
      <c r="B2654" s="458"/>
    </row>
    <row r="2655" spans="1:2" x14ac:dyDescent="0.2">
      <c r="A2655" s="458"/>
      <c r="B2655" s="458"/>
    </row>
    <row r="2656" spans="1:2" x14ac:dyDescent="0.2">
      <c r="A2656" s="458"/>
      <c r="B2656" s="458"/>
    </row>
    <row r="2657" spans="1:2" x14ac:dyDescent="0.2">
      <c r="A2657" s="458"/>
      <c r="B2657" s="458"/>
    </row>
    <row r="2658" spans="1:2" x14ac:dyDescent="0.2">
      <c r="A2658" s="458"/>
      <c r="B2658" s="458"/>
    </row>
    <row r="2659" spans="1:2" x14ac:dyDescent="0.2">
      <c r="A2659" s="458"/>
      <c r="B2659" s="458"/>
    </row>
    <row r="2660" spans="1:2" x14ac:dyDescent="0.2">
      <c r="A2660" s="458"/>
      <c r="B2660" s="458"/>
    </row>
    <row r="2661" spans="1:2" x14ac:dyDescent="0.2">
      <c r="A2661" s="458"/>
      <c r="B2661" s="458"/>
    </row>
    <row r="2662" spans="1:2" x14ac:dyDescent="0.2">
      <c r="A2662" s="458"/>
      <c r="B2662" s="458"/>
    </row>
    <row r="2663" spans="1:2" x14ac:dyDescent="0.2">
      <c r="A2663" s="458"/>
      <c r="B2663" s="458"/>
    </row>
    <row r="2664" spans="1:2" x14ac:dyDescent="0.2">
      <c r="A2664" s="458"/>
      <c r="B2664" s="458"/>
    </row>
    <row r="2665" spans="1:2" x14ac:dyDescent="0.2">
      <c r="A2665" s="458"/>
      <c r="B2665" s="458"/>
    </row>
    <row r="2666" spans="1:2" x14ac:dyDescent="0.2">
      <c r="A2666" s="458"/>
      <c r="B2666" s="458"/>
    </row>
    <row r="2667" spans="1:2" x14ac:dyDescent="0.2">
      <c r="A2667" s="458"/>
      <c r="B2667" s="458"/>
    </row>
    <row r="2668" spans="1:2" x14ac:dyDescent="0.2">
      <c r="A2668" s="458"/>
      <c r="B2668" s="458"/>
    </row>
    <row r="2669" spans="1:2" x14ac:dyDescent="0.2">
      <c r="A2669" s="458"/>
      <c r="B2669" s="458"/>
    </row>
    <row r="2670" spans="1:2" x14ac:dyDescent="0.2">
      <c r="A2670" s="458"/>
      <c r="B2670" s="458"/>
    </row>
    <row r="2671" spans="1:2" x14ac:dyDescent="0.2">
      <c r="A2671" s="458"/>
      <c r="B2671" s="458"/>
    </row>
    <row r="2672" spans="1:2" x14ac:dyDescent="0.2">
      <c r="A2672" s="458"/>
      <c r="B2672" s="458"/>
    </row>
    <row r="2673" spans="1:2" x14ac:dyDescent="0.2">
      <c r="A2673" s="458"/>
      <c r="B2673" s="458"/>
    </row>
    <row r="2674" spans="1:2" x14ac:dyDescent="0.2">
      <c r="A2674" s="458"/>
      <c r="B2674" s="458"/>
    </row>
    <row r="2675" spans="1:2" x14ac:dyDescent="0.2">
      <c r="A2675" s="458"/>
      <c r="B2675" s="458"/>
    </row>
    <row r="2676" spans="1:2" x14ac:dyDescent="0.2">
      <c r="A2676" s="458"/>
      <c r="B2676" s="458"/>
    </row>
    <row r="2677" spans="1:2" x14ac:dyDescent="0.2">
      <c r="A2677" s="458"/>
      <c r="B2677" s="458"/>
    </row>
    <row r="2678" spans="1:2" x14ac:dyDescent="0.2">
      <c r="A2678" s="458"/>
      <c r="B2678" s="458"/>
    </row>
    <row r="2679" spans="1:2" x14ac:dyDescent="0.2">
      <c r="A2679" s="458"/>
      <c r="B2679" s="458"/>
    </row>
    <row r="2680" spans="1:2" x14ac:dyDescent="0.2">
      <c r="A2680" s="458"/>
      <c r="B2680" s="458"/>
    </row>
    <row r="2681" spans="1:2" x14ac:dyDescent="0.2">
      <c r="A2681" s="458"/>
      <c r="B2681" s="458"/>
    </row>
    <row r="2682" spans="1:2" x14ac:dyDescent="0.2">
      <c r="A2682" s="458"/>
      <c r="B2682" s="458"/>
    </row>
    <row r="2683" spans="1:2" x14ac:dyDescent="0.2">
      <c r="A2683" s="458"/>
      <c r="B2683" s="458"/>
    </row>
    <row r="2684" spans="1:2" x14ac:dyDescent="0.2">
      <c r="A2684" s="458"/>
      <c r="B2684" s="458"/>
    </row>
    <row r="2685" spans="1:2" x14ac:dyDescent="0.2">
      <c r="A2685" s="458"/>
      <c r="B2685" s="458"/>
    </row>
    <row r="2686" spans="1:2" x14ac:dyDescent="0.2">
      <c r="A2686" s="458"/>
      <c r="B2686" s="458"/>
    </row>
    <row r="2687" spans="1:2" x14ac:dyDescent="0.2">
      <c r="A2687" s="458"/>
      <c r="B2687" s="458"/>
    </row>
    <row r="2688" spans="1:2" x14ac:dyDescent="0.2">
      <c r="A2688" s="458"/>
      <c r="B2688" s="458"/>
    </row>
    <row r="2689" spans="1:2" x14ac:dyDescent="0.2">
      <c r="A2689" s="458"/>
      <c r="B2689" s="458"/>
    </row>
    <row r="2690" spans="1:2" x14ac:dyDescent="0.2">
      <c r="A2690" s="458"/>
      <c r="B2690" s="458"/>
    </row>
    <row r="2691" spans="1:2" x14ac:dyDescent="0.2">
      <c r="A2691" s="458"/>
      <c r="B2691" s="458"/>
    </row>
    <row r="2692" spans="1:2" x14ac:dyDescent="0.2">
      <c r="A2692" s="458"/>
      <c r="B2692" s="458"/>
    </row>
    <row r="2693" spans="1:2" x14ac:dyDescent="0.2">
      <c r="A2693" s="458"/>
      <c r="B2693" s="458"/>
    </row>
    <row r="2694" spans="1:2" x14ac:dyDescent="0.2">
      <c r="A2694" s="458"/>
      <c r="B2694" s="458"/>
    </row>
    <row r="2695" spans="1:2" x14ac:dyDescent="0.2">
      <c r="A2695" s="458"/>
      <c r="B2695" s="458"/>
    </row>
    <row r="2696" spans="1:2" x14ac:dyDescent="0.2">
      <c r="A2696" s="458"/>
      <c r="B2696" s="458"/>
    </row>
    <row r="2697" spans="1:2" x14ac:dyDescent="0.2">
      <c r="A2697" s="458"/>
      <c r="B2697" s="458"/>
    </row>
    <row r="2698" spans="1:2" x14ac:dyDescent="0.2">
      <c r="A2698" s="458"/>
      <c r="B2698" s="458"/>
    </row>
    <row r="2699" spans="1:2" x14ac:dyDescent="0.2">
      <c r="A2699" s="458"/>
      <c r="B2699" s="458"/>
    </row>
    <row r="2700" spans="1:2" x14ac:dyDescent="0.2">
      <c r="A2700" s="458"/>
      <c r="B2700" s="458"/>
    </row>
    <row r="2701" spans="1:2" x14ac:dyDescent="0.2">
      <c r="A2701" s="458"/>
      <c r="B2701" s="458"/>
    </row>
    <row r="2702" spans="1:2" x14ac:dyDescent="0.2">
      <c r="A2702" s="458"/>
      <c r="B2702" s="458"/>
    </row>
    <row r="2703" spans="1:2" x14ac:dyDescent="0.2">
      <c r="A2703" s="458"/>
      <c r="B2703" s="458"/>
    </row>
    <row r="2704" spans="1:2" x14ac:dyDescent="0.2">
      <c r="A2704" s="458"/>
      <c r="B2704" s="458"/>
    </row>
    <row r="2705" spans="1:2" x14ac:dyDescent="0.2">
      <c r="A2705" s="458"/>
      <c r="B2705" s="458"/>
    </row>
    <row r="2706" spans="1:2" x14ac:dyDescent="0.2">
      <c r="A2706" s="458"/>
      <c r="B2706" s="458"/>
    </row>
    <row r="2707" spans="1:2" x14ac:dyDescent="0.2">
      <c r="A2707" s="458"/>
      <c r="B2707" s="458"/>
    </row>
    <row r="2708" spans="1:2" x14ac:dyDescent="0.2">
      <c r="A2708" s="458"/>
      <c r="B2708" s="458"/>
    </row>
    <row r="2709" spans="1:2" x14ac:dyDescent="0.2">
      <c r="A2709" s="458"/>
      <c r="B2709" s="458"/>
    </row>
    <row r="2710" spans="1:2" x14ac:dyDescent="0.2">
      <c r="A2710" s="458"/>
      <c r="B2710" s="458"/>
    </row>
    <row r="2711" spans="1:2" x14ac:dyDescent="0.2">
      <c r="A2711" s="458"/>
      <c r="B2711" s="458"/>
    </row>
    <row r="2712" spans="1:2" x14ac:dyDescent="0.2">
      <c r="A2712" s="458"/>
      <c r="B2712" s="458"/>
    </row>
    <row r="2713" spans="1:2" x14ac:dyDescent="0.2">
      <c r="A2713" s="458"/>
      <c r="B2713" s="458"/>
    </row>
    <row r="2714" spans="1:2" x14ac:dyDescent="0.2">
      <c r="A2714" s="458"/>
      <c r="B2714" s="458"/>
    </row>
    <row r="2715" spans="1:2" x14ac:dyDescent="0.2">
      <c r="A2715" s="458"/>
      <c r="B2715" s="458"/>
    </row>
    <row r="2716" spans="1:2" x14ac:dyDescent="0.2">
      <c r="A2716" s="458"/>
      <c r="B2716" s="458"/>
    </row>
    <row r="2717" spans="1:2" x14ac:dyDescent="0.2">
      <c r="A2717" s="458"/>
      <c r="B2717" s="458"/>
    </row>
    <row r="2718" spans="1:2" x14ac:dyDescent="0.2">
      <c r="A2718" s="458"/>
      <c r="B2718" s="458"/>
    </row>
    <row r="2719" spans="1:2" x14ac:dyDescent="0.2">
      <c r="A2719" s="458"/>
      <c r="B2719" s="458"/>
    </row>
    <row r="2720" spans="1:2" x14ac:dyDescent="0.2">
      <c r="A2720" s="458"/>
      <c r="B2720" s="458"/>
    </row>
    <row r="2721" spans="1:2" x14ac:dyDescent="0.2">
      <c r="A2721" s="458"/>
      <c r="B2721" s="458"/>
    </row>
    <row r="2722" spans="1:2" x14ac:dyDescent="0.2">
      <c r="A2722" s="458"/>
      <c r="B2722" s="458"/>
    </row>
    <row r="2723" spans="1:2" x14ac:dyDescent="0.2">
      <c r="A2723" s="458"/>
      <c r="B2723" s="458"/>
    </row>
    <row r="2724" spans="1:2" x14ac:dyDescent="0.2">
      <c r="A2724" s="458"/>
      <c r="B2724" s="458"/>
    </row>
    <row r="2725" spans="1:2" x14ac:dyDescent="0.2">
      <c r="A2725" s="458"/>
      <c r="B2725" s="458"/>
    </row>
    <row r="2726" spans="1:2" x14ac:dyDescent="0.2">
      <c r="A2726" s="458"/>
      <c r="B2726" s="458"/>
    </row>
    <row r="2727" spans="1:2" x14ac:dyDescent="0.2">
      <c r="A2727" s="458"/>
      <c r="B2727" s="458"/>
    </row>
    <row r="2728" spans="1:2" x14ac:dyDescent="0.2">
      <c r="A2728" s="458"/>
      <c r="B2728" s="458"/>
    </row>
    <row r="2729" spans="1:2" x14ac:dyDescent="0.2">
      <c r="A2729" s="458"/>
      <c r="B2729" s="458"/>
    </row>
    <row r="2730" spans="1:2" x14ac:dyDescent="0.2">
      <c r="A2730" s="458"/>
      <c r="B2730" s="458"/>
    </row>
    <row r="2731" spans="1:2" x14ac:dyDescent="0.2">
      <c r="A2731" s="458"/>
      <c r="B2731" s="458"/>
    </row>
    <row r="2732" spans="1:2" x14ac:dyDescent="0.2">
      <c r="A2732" s="458"/>
      <c r="B2732" s="458"/>
    </row>
    <row r="2733" spans="1:2" x14ac:dyDescent="0.2">
      <c r="A2733" s="458"/>
      <c r="B2733" s="458"/>
    </row>
    <row r="2734" spans="1:2" x14ac:dyDescent="0.2">
      <c r="A2734" s="458"/>
      <c r="B2734" s="458"/>
    </row>
    <row r="2735" spans="1:2" x14ac:dyDescent="0.2">
      <c r="A2735" s="458"/>
      <c r="B2735" s="458"/>
    </row>
    <row r="2736" spans="1:2" x14ac:dyDescent="0.2">
      <c r="A2736" s="458"/>
      <c r="B2736" s="458"/>
    </row>
    <row r="2737" spans="1:2" x14ac:dyDescent="0.2">
      <c r="A2737" s="458"/>
      <c r="B2737" s="458"/>
    </row>
    <row r="2738" spans="1:2" x14ac:dyDescent="0.2">
      <c r="A2738" s="458"/>
      <c r="B2738" s="458"/>
    </row>
    <row r="2739" spans="1:2" x14ac:dyDescent="0.2">
      <c r="A2739" s="458"/>
      <c r="B2739" s="458"/>
    </row>
    <row r="2740" spans="1:2" x14ac:dyDescent="0.2">
      <c r="A2740" s="458"/>
      <c r="B2740" s="458"/>
    </row>
    <row r="2741" spans="1:2" x14ac:dyDescent="0.2">
      <c r="A2741" s="458"/>
      <c r="B2741" s="458"/>
    </row>
    <row r="2742" spans="1:2" x14ac:dyDescent="0.2">
      <c r="A2742" s="458"/>
      <c r="B2742" s="458"/>
    </row>
    <row r="2743" spans="1:2" x14ac:dyDescent="0.2">
      <c r="A2743" s="458"/>
      <c r="B2743" s="458"/>
    </row>
    <row r="2744" spans="1:2" x14ac:dyDescent="0.2">
      <c r="A2744" s="458"/>
      <c r="B2744" s="458"/>
    </row>
    <row r="2745" spans="1:2" x14ac:dyDescent="0.2">
      <c r="A2745" s="458"/>
      <c r="B2745" s="458"/>
    </row>
    <row r="2746" spans="1:2" x14ac:dyDescent="0.2">
      <c r="A2746" s="458"/>
      <c r="B2746" s="458"/>
    </row>
    <row r="2747" spans="1:2" x14ac:dyDescent="0.2">
      <c r="A2747" s="458"/>
      <c r="B2747" s="458"/>
    </row>
    <row r="2748" spans="1:2" x14ac:dyDescent="0.2">
      <c r="A2748" s="458"/>
      <c r="B2748" s="458"/>
    </row>
    <row r="2749" spans="1:2" x14ac:dyDescent="0.2">
      <c r="A2749" s="458"/>
      <c r="B2749" s="458"/>
    </row>
    <row r="2750" spans="1:2" x14ac:dyDescent="0.2">
      <c r="A2750" s="458"/>
      <c r="B2750" s="458"/>
    </row>
    <row r="2751" spans="1:2" x14ac:dyDescent="0.2">
      <c r="A2751" s="458"/>
      <c r="B2751" s="458"/>
    </row>
    <row r="2752" spans="1:2" x14ac:dyDescent="0.2">
      <c r="A2752" s="458"/>
      <c r="B2752" s="458"/>
    </row>
    <row r="2753" spans="1:2" x14ac:dyDescent="0.2">
      <c r="A2753" s="458"/>
      <c r="B2753" s="458"/>
    </row>
    <row r="2754" spans="1:2" x14ac:dyDescent="0.2">
      <c r="A2754" s="458"/>
      <c r="B2754" s="458"/>
    </row>
    <row r="2755" spans="1:2" x14ac:dyDescent="0.2">
      <c r="A2755" s="458"/>
      <c r="B2755" s="458"/>
    </row>
    <row r="2756" spans="1:2" x14ac:dyDescent="0.2">
      <c r="A2756" s="458"/>
      <c r="B2756" s="458"/>
    </row>
    <row r="2757" spans="1:2" x14ac:dyDescent="0.2">
      <c r="A2757" s="458"/>
      <c r="B2757" s="458"/>
    </row>
    <row r="2758" spans="1:2" x14ac:dyDescent="0.2">
      <c r="A2758" s="458"/>
      <c r="B2758" s="458"/>
    </row>
    <row r="2759" spans="1:2" x14ac:dyDescent="0.2">
      <c r="A2759" s="458"/>
      <c r="B2759" s="458"/>
    </row>
    <row r="2760" spans="1:2" x14ac:dyDescent="0.2">
      <c r="A2760" s="458"/>
      <c r="B2760" s="458"/>
    </row>
    <row r="2761" spans="1:2" x14ac:dyDescent="0.2">
      <c r="A2761" s="458"/>
      <c r="B2761" s="458"/>
    </row>
    <row r="2762" spans="1:2" x14ac:dyDescent="0.2">
      <c r="A2762" s="458"/>
      <c r="B2762" s="458"/>
    </row>
    <row r="2763" spans="1:2" x14ac:dyDescent="0.2">
      <c r="A2763" s="458"/>
      <c r="B2763" s="458"/>
    </row>
    <row r="2764" spans="1:2" x14ac:dyDescent="0.2">
      <c r="A2764" s="458"/>
      <c r="B2764" s="458"/>
    </row>
    <row r="2765" spans="1:2" x14ac:dyDescent="0.2">
      <c r="A2765" s="458"/>
      <c r="B2765" s="458"/>
    </row>
    <row r="2766" spans="1:2" x14ac:dyDescent="0.2">
      <c r="A2766" s="458"/>
      <c r="B2766" s="458"/>
    </row>
    <row r="2767" spans="1:2" x14ac:dyDescent="0.2">
      <c r="A2767" s="458"/>
      <c r="B2767" s="458"/>
    </row>
    <row r="2768" spans="1:2" x14ac:dyDescent="0.2">
      <c r="A2768" s="458"/>
      <c r="B2768" s="458"/>
    </row>
    <row r="2769" spans="1:2" x14ac:dyDescent="0.2">
      <c r="A2769" s="458"/>
      <c r="B2769" s="458"/>
    </row>
    <row r="2770" spans="1:2" x14ac:dyDescent="0.2">
      <c r="A2770" s="458"/>
      <c r="B2770" s="458"/>
    </row>
    <row r="2771" spans="1:2" x14ac:dyDescent="0.2">
      <c r="A2771" s="458"/>
      <c r="B2771" s="458"/>
    </row>
    <row r="2772" spans="1:2" x14ac:dyDescent="0.2">
      <c r="A2772" s="458"/>
      <c r="B2772" s="458"/>
    </row>
    <row r="2773" spans="1:2" x14ac:dyDescent="0.2">
      <c r="A2773" s="458"/>
      <c r="B2773" s="458"/>
    </row>
    <row r="2774" spans="1:2" x14ac:dyDescent="0.2">
      <c r="A2774" s="458"/>
      <c r="B2774" s="458"/>
    </row>
    <row r="2775" spans="1:2" x14ac:dyDescent="0.2">
      <c r="A2775" s="458"/>
      <c r="B2775" s="458"/>
    </row>
    <row r="2776" spans="1:2" x14ac:dyDescent="0.2">
      <c r="A2776" s="458"/>
      <c r="B2776" s="458"/>
    </row>
    <row r="2777" spans="1:2" x14ac:dyDescent="0.2">
      <c r="A2777" s="458"/>
      <c r="B2777" s="458"/>
    </row>
    <row r="2778" spans="1:2" x14ac:dyDescent="0.2">
      <c r="A2778" s="458"/>
      <c r="B2778" s="458"/>
    </row>
    <row r="2779" spans="1:2" x14ac:dyDescent="0.2">
      <c r="A2779" s="458"/>
      <c r="B2779" s="458"/>
    </row>
    <row r="2780" spans="1:2" x14ac:dyDescent="0.2">
      <c r="A2780" s="458"/>
      <c r="B2780" s="458"/>
    </row>
    <row r="2781" spans="1:2" x14ac:dyDescent="0.2">
      <c r="A2781" s="458"/>
      <c r="B2781" s="458"/>
    </row>
    <row r="2782" spans="1:2" x14ac:dyDescent="0.2">
      <c r="A2782" s="458"/>
      <c r="B2782" s="458"/>
    </row>
    <row r="2783" spans="1:2" x14ac:dyDescent="0.2">
      <c r="A2783" s="458"/>
      <c r="B2783" s="458"/>
    </row>
    <row r="2784" spans="1:2" x14ac:dyDescent="0.2">
      <c r="A2784" s="458"/>
      <c r="B2784" s="458"/>
    </row>
    <row r="2785" spans="1:2" x14ac:dyDescent="0.2">
      <c r="A2785" s="458"/>
      <c r="B2785" s="458"/>
    </row>
    <row r="2786" spans="1:2" x14ac:dyDescent="0.2">
      <c r="A2786" s="458"/>
      <c r="B2786" s="458"/>
    </row>
    <row r="2787" spans="1:2" x14ac:dyDescent="0.2">
      <c r="A2787" s="458"/>
      <c r="B2787" s="458"/>
    </row>
    <row r="2788" spans="1:2" x14ac:dyDescent="0.2">
      <c r="A2788" s="458"/>
      <c r="B2788" s="458"/>
    </row>
    <row r="2789" spans="1:2" x14ac:dyDescent="0.2">
      <c r="A2789" s="458"/>
      <c r="B2789" s="458"/>
    </row>
    <row r="2790" spans="1:2" x14ac:dyDescent="0.2">
      <c r="A2790" s="458"/>
      <c r="B2790" s="458"/>
    </row>
    <row r="2791" spans="1:2" x14ac:dyDescent="0.2">
      <c r="A2791" s="458"/>
      <c r="B2791" s="458"/>
    </row>
    <row r="2792" spans="1:2" x14ac:dyDescent="0.2">
      <c r="A2792" s="458"/>
      <c r="B2792" s="458"/>
    </row>
    <row r="2793" spans="1:2" x14ac:dyDescent="0.2">
      <c r="A2793" s="458"/>
      <c r="B2793" s="458"/>
    </row>
    <row r="2794" spans="1:2" x14ac:dyDescent="0.2">
      <c r="A2794" s="458"/>
      <c r="B2794" s="458"/>
    </row>
    <row r="2795" spans="1:2" x14ac:dyDescent="0.2">
      <c r="A2795" s="458"/>
      <c r="B2795" s="458"/>
    </row>
    <row r="2796" spans="1:2" x14ac:dyDescent="0.2">
      <c r="A2796" s="458"/>
      <c r="B2796" s="458"/>
    </row>
    <row r="2797" spans="1:2" x14ac:dyDescent="0.2">
      <c r="A2797" s="458"/>
      <c r="B2797" s="458"/>
    </row>
    <row r="2798" spans="1:2" x14ac:dyDescent="0.2">
      <c r="A2798" s="458"/>
      <c r="B2798" s="458"/>
    </row>
    <row r="2799" spans="1:2" x14ac:dyDescent="0.2">
      <c r="A2799" s="458"/>
      <c r="B2799" s="458"/>
    </row>
    <row r="2800" spans="1:2" x14ac:dyDescent="0.2">
      <c r="A2800" s="458"/>
      <c r="B2800" s="458"/>
    </row>
    <row r="2801" spans="1:2" x14ac:dyDescent="0.2">
      <c r="A2801" s="458"/>
      <c r="B2801" s="458"/>
    </row>
    <row r="2802" spans="1:2" x14ac:dyDescent="0.2">
      <c r="A2802" s="458"/>
      <c r="B2802" s="458"/>
    </row>
    <row r="2803" spans="1:2" x14ac:dyDescent="0.2">
      <c r="A2803" s="458"/>
      <c r="B2803" s="458"/>
    </row>
    <row r="2804" spans="1:2" x14ac:dyDescent="0.2">
      <c r="A2804" s="458"/>
      <c r="B2804" s="458"/>
    </row>
    <row r="2805" spans="1:2" x14ac:dyDescent="0.2">
      <c r="A2805" s="458"/>
      <c r="B2805" s="458"/>
    </row>
    <row r="2806" spans="1:2" x14ac:dyDescent="0.2">
      <c r="A2806" s="458"/>
      <c r="B2806" s="458"/>
    </row>
    <row r="2807" spans="1:2" x14ac:dyDescent="0.2">
      <c r="A2807" s="458"/>
      <c r="B2807" s="458"/>
    </row>
    <row r="2808" spans="1:2" x14ac:dyDescent="0.2">
      <c r="A2808" s="458"/>
      <c r="B2808" s="458"/>
    </row>
    <row r="2809" spans="1:2" x14ac:dyDescent="0.2">
      <c r="A2809" s="458"/>
      <c r="B2809" s="458"/>
    </row>
    <row r="2810" spans="1:2" x14ac:dyDescent="0.2">
      <c r="A2810" s="458"/>
      <c r="B2810" s="458"/>
    </row>
    <row r="2811" spans="1:2" x14ac:dyDescent="0.2">
      <c r="A2811" s="458"/>
      <c r="B2811" s="458"/>
    </row>
    <row r="2812" spans="1:2" x14ac:dyDescent="0.2">
      <c r="A2812" s="458"/>
      <c r="B2812" s="458"/>
    </row>
    <row r="2813" spans="1:2" x14ac:dyDescent="0.2">
      <c r="A2813" s="458"/>
      <c r="B2813" s="458"/>
    </row>
    <row r="2814" spans="1:2" x14ac:dyDescent="0.2">
      <c r="A2814" s="458"/>
      <c r="B2814" s="458"/>
    </row>
    <row r="2815" spans="1:2" x14ac:dyDescent="0.2">
      <c r="A2815" s="458"/>
      <c r="B2815" s="458"/>
    </row>
    <row r="2816" spans="1:2" x14ac:dyDescent="0.2">
      <c r="A2816" s="458"/>
      <c r="B2816" s="458"/>
    </row>
    <row r="2817" spans="1:2" x14ac:dyDescent="0.2">
      <c r="A2817" s="458"/>
      <c r="B2817" s="458"/>
    </row>
    <row r="2818" spans="1:2" x14ac:dyDescent="0.2">
      <c r="A2818" s="458"/>
      <c r="B2818" s="458"/>
    </row>
    <row r="2819" spans="1:2" x14ac:dyDescent="0.2">
      <c r="A2819" s="458"/>
      <c r="B2819" s="458"/>
    </row>
    <row r="2820" spans="1:2" x14ac:dyDescent="0.2">
      <c r="A2820" s="458"/>
      <c r="B2820" s="458"/>
    </row>
    <row r="2821" spans="1:2" x14ac:dyDescent="0.2">
      <c r="A2821" s="458"/>
      <c r="B2821" s="458"/>
    </row>
    <row r="2822" spans="1:2" x14ac:dyDescent="0.2">
      <c r="A2822" s="458"/>
      <c r="B2822" s="458"/>
    </row>
    <row r="2823" spans="1:2" x14ac:dyDescent="0.2">
      <c r="A2823" s="458"/>
      <c r="B2823" s="458"/>
    </row>
    <row r="2824" spans="1:2" x14ac:dyDescent="0.2">
      <c r="A2824" s="458"/>
      <c r="B2824" s="458"/>
    </row>
    <row r="2825" spans="1:2" x14ac:dyDescent="0.2">
      <c r="A2825" s="458"/>
      <c r="B2825" s="458"/>
    </row>
    <row r="2826" spans="1:2" x14ac:dyDescent="0.2">
      <c r="A2826" s="458"/>
      <c r="B2826" s="458"/>
    </row>
    <row r="2827" spans="1:2" x14ac:dyDescent="0.2">
      <c r="A2827" s="458"/>
      <c r="B2827" s="458"/>
    </row>
    <row r="2828" spans="1:2" x14ac:dyDescent="0.2">
      <c r="A2828" s="458"/>
      <c r="B2828" s="458"/>
    </row>
    <row r="2829" spans="1:2" x14ac:dyDescent="0.2">
      <c r="A2829" s="458"/>
      <c r="B2829" s="458"/>
    </row>
    <row r="2830" spans="1:2" x14ac:dyDescent="0.2">
      <c r="A2830" s="458"/>
      <c r="B2830" s="458"/>
    </row>
    <row r="2831" spans="1:2" x14ac:dyDescent="0.2">
      <c r="A2831" s="458"/>
      <c r="B2831" s="458"/>
    </row>
    <row r="2832" spans="1:2" x14ac:dyDescent="0.2">
      <c r="A2832" s="458"/>
      <c r="B2832" s="458"/>
    </row>
    <row r="2833" spans="1:2" x14ac:dyDescent="0.2">
      <c r="A2833" s="458"/>
      <c r="B2833" s="458"/>
    </row>
    <row r="2834" spans="1:2" x14ac:dyDescent="0.2">
      <c r="A2834" s="458"/>
      <c r="B2834" s="458"/>
    </row>
    <row r="2835" spans="1:2" x14ac:dyDescent="0.2">
      <c r="A2835" s="458"/>
      <c r="B2835" s="458"/>
    </row>
    <row r="2836" spans="1:2" x14ac:dyDescent="0.2">
      <c r="A2836" s="458"/>
      <c r="B2836" s="458"/>
    </row>
    <row r="2837" spans="1:2" x14ac:dyDescent="0.2">
      <c r="A2837" s="458"/>
      <c r="B2837" s="458"/>
    </row>
    <row r="2838" spans="1:2" x14ac:dyDescent="0.2">
      <c r="A2838" s="458"/>
      <c r="B2838" s="458"/>
    </row>
    <row r="2839" spans="1:2" x14ac:dyDescent="0.2">
      <c r="A2839" s="458"/>
      <c r="B2839" s="458"/>
    </row>
    <row r="2840" spans="1:2" x14ac:dyDescent="0.2">
      <c r="A2840" s="458"/>
      <c r="B2840" s="458"/>
    </row>
    <row r="2841" spans="1:2" x14ac:dyDescent="0.2">
      <c r="A2841" s="458"/>
      <c r="B2841" s="458"/>
    </row>
    <row r="2842" spans="1:2" x14ac:dyDescent="0.2">
      <c r="A2842" s="458"/>
      <c r="B2842" s="458"/>
    </row>
    <row r="2843" spans="1:2" x14ac:dyDescent="0.2">
      <c r="A2843" s="458"/>
      <c r="B2843" s="458"/>
    </row>
    <row r="2844" spans="1:2" x14ac:dyDescent="0.2">
      <c r="A2844" s="458"/>
      <c r="B2844" s="458"/>
    </row>
    <row r="2845" spans="1:2" x14ac:dyDescent="0.2">
      <c r="A2845" s="458"/>
      <c r="B2845" s="458"/>
    </row>
    <row r="2846" spans="1:2" x14ac:dyDescent="0.2">
      <c r="A2846" s="458"/>
      <c r="B2846" s="458"/>
    </row>
    <row r="2847" spans="1:2" x14ac:dyDescent="0.2">
      <c r="A2847" s="458"/>
      <c r="B2847" s="458"/>
    </row>
    <row r="2848" spans="1:2" x14ac:dyDescent="0.2">
      <c r="A2848" s="458"/>
      <c r="B2848" s="458"/>
    </row>
    <row r="2849" spans="1:2" x14ac:dyDescent="0.2">
      <c r="A2849" s="458"/>
      <c r="B2849" s="458"/>
    </row>
    <row r="2850" spans="1:2" x14ac:dyDescent="0.2">
      <c r="A2850" s="458"/>
      <c r="B2850" s="458"/>
    </row>
    <row r="2851" spans="1:2" x14ac:dyDescent="0.2">
      <c r="A2851" s="458"/>
      <c r="B2851" s="458"/>
    </row>
    <row r="2852" spans="1:2" x14ac:dyDescent="0.2">
      <c r="A2852" s="458"/>
      <c r="B2852" s="458"/>
    </row>
    <row r="2853" spans="1:2" x14ac:dyDescent="0.2">
      <c r="A2853" s="458"/>
      <c r="B2853" s="458"/>
    </row>
    <row r="2854" spans="1:2" x14ac:dyDescent="0.2">
      <c r="A2854" s="458"/>
      <c r="B2854" s="458"/>
    </row>
    <row r="2855" spans="1:2" x14ac:dyDescent="0.2">
      <c r="A2855" s="458"/>
      <c r="B2855" s="458"/>
    </row>
    <row r="2856" spans="1:2" x14ac:dyDescent="0.2">
      <c r="A2856" s="458"/>
      <c r="B2856" s="458"/>
    </row>
    <row r="2857" spans="1:2" x14ac:dyDescent="0.2">
      <c r="A2857" s="458"/>
      <c r="B2857" s="458"/>
    </row>
    <row r="2858" spans="1:2" x14ac:dyDescent="0.2">
      <c r="A2858" s="458"/>
      <c r="B2858" s="458"/>
    </row>
    <row r="2859" spans="1:2" x14ac:dyDescent="0.2">
      <c r="A2859" s="458"/>
      <c r="B2859" s="458"/>
    </row>
    <row r="2860" spans="1:2" x14ac:dyDescent="0.2">
      <c r="A2860" s="458"/>
      <c r="B2860" s="458"/>
    </row>
    <row r="2861" spans="1:2" x14ac:dyDescent="0.2">
      <c r="A2861" s="458"/>
      <c r="B2861" s="458"/>
    </row>
    <row r="2862" spans="1:2" x14ac:dyDescent="0.2">
      <c r="A2862" s="458"/>
      <c r="B2862" s="458"/>
    </row>
    <row r="2863" spans="1:2" x14ac:dyDescent="0.2">
      <c r="A2863" s="458"/>
      <c r="B2863" s="458"/>
    </row>
    <row r="2864" spans="1:2" x14ac:dyDescent="0.2">
      <c r="A2864" s="458"/>
      <c r="B2864" s="458"/>
    </row>
    <row r="2865" spans="1:2" x14ac:dyDescent="0.2">
      <c r="A2865" s="458"/>
      <c r="B2865" s="458"/>
    </row>
    <row r="2866" spans="1:2" x14ac:dyDescent="0.2">
      <c r="A2866" s="458"/>
      <c r="B2866" s="458"/>
    </row>
    <row r="2867" spans="1:2" x14ac:dyDescent="0.2">
      <c r="A2867" s="458"/>
      <c r="B2867" s="458"/>
    </row>
    <row r="2868" spans="1:2" x14ac:dyDescent="0.2">
      <c r="A2868" s="458"/>
      <c r="B2868" s="458"/>
    </row>
    <row r="2869" spans="1:2" x14ac:dyDescent="0.2">
      <c r="A2869" s="458"/>
      <c r="B2869" s="458"/>
    </row>
    <row r="2870" spans="1:2" x14ac:dyDescent="0.2">
      <c r="A2870" s="458"/>
      <c r="B2870" s="458"/>
    </row>
    <row r="2871" spans="1:2" x14ac:dyDescent="0.2">
      <c r="A2871" s="458"/>
      <c r="B2871" s="458"/>
    </row>
    <row r="2872" spans="1:2" x14ac:dyDescent="0.2">
      <c r="A2872" s="458"/>
      <c r="B2872" s="458"/>
    </row>
    <row r="2873" spans="1:2" x14ac:dyDescent="0.2">
      <c r="A2873" s="458"/>
      <c r="B2873" s="458"/>
    </row>
    <row r="2874" spans="1:2" x14ac:dyDescent="0.2">
      <c r="A2874" s="458"/>
      <c r="B2874" s="458"/>
    </row>
    <row r="2875" spans="1:2" x14ac:dyDescent="0.2">
      <c r="A2875" s="458"/>
      <c r="B2875" s="458"/>
    </row>
    <row r="2876" spans="1:2" x14ac:dyDescent="0.2">
      <c r="A2876" s="458"/>
      <c r="B2876" s="458"/>
    </row>
    <row r="2877" spans="1:2" x14ac:dyDescent="0.2">
      <c r="A2877" s="458"/>
      <c r="B2877" s="458"/>
    </row>
    <row r="2878" spans="1:2" x14ac:dyDescent="0.2">
      <c r="A2878" s="458"/>
      <c r="B2878" s="458"/>
    </row>
    <row r="2879" spans="1:2" x14ac:dyDescent="0.2">
      <c r="A2879" s="458"/>
      <c r="B2879" s="458"/>
    </row>
    <row r="2880" spans="1:2" x14ac:dyDescent="0.2">
      <c r="A2880" s="458"/>
      <c r="B2880" s="458"/>
    </row>
    <row r="2881" spans="1:2" x14ac:dyDescent="0.2">
      <c r="A2881" s="458"/>
      <c r="B2881" s="458"/>
    </row>
    <row r="2882" spans="1:2" x14ac:dyDescent="0.2">
      <c r="A2882" s="458"/>
      <c r="B2882" s="458"/>
    </row>
    <row r="2883" spans="1:2" x14ac:dyDescent="0.2">
      <c r="A2883" s="458"/>
      <c r="B2883" s="458"/>
    </row>
    <row r="2884" spans="1:2" x14ac:dyDescent="0.2">
      <c r="A2884" s="458"/>
      <c r="B2884" s="458"/>
    </row>
    <row r="2885" spans="1:2" x14ac:dyDescent="0.2">
      <c r="A2885" s="458"/>
      <c r="B2885" s="458"/>
    </row>
    <row r="2886" spans="1:2" x14ac:dyDescent="0.2">
      <c r="A2886" s="458"/>
      <c r="B2886" s="458"/>
    </row>
    <row r="2887" spans="1:2" x14ac:dyDescent="0.2">
      <c r="A2887" s="458"/>
      <c r="B2887" s="458"/>
    </row>
    <row r="2888" spans="1:2" x14ac:dyDescent="0.2">
      <c r="A2888" s="458"/>
      <c r="B2888" s="458"/>
    </row>
    <row r="2889" spans="1:2" x14ac:dyDescent="0.2">
      <c r="A2889" s="458"/>
      <c r="B2889" s="458"/>
    </row>
    <row r="2890" spans="1:2" x14ac:dyDescent="0.2">
      <c r="A2890" s="458"/>
      <c r="B2890" s="458"/>
    </row>
    <row r="2891" spans="1:2" x14ac:dyDescent="0.2">
      <c r="A2891" s="458"/>
      <c r="B2891" s="458"/>
    </row>
    <row r="2892" spans="1:2" x14ac:dyDescent="0.2">
      <c r="A2892" s="458"/>
      <c r="B2892" s="458"/>
    </row>
    <row r="2893" spans="1:2" x14ac:dyDescent="0.2">
      <c r="A2893" s="458"/>
      <c r="B2893" s="458"/>
    </row>
    <row r="2894" spans="1:2" x14ac:dyDescent="0.2">
      <c r="A2894" s="458"/>
      <c r="B2894" s="458"/>
    </row>
    <row r="2895" spans="1:2" x14ac:dyDescent="0.2">
      <c r="A2895" s="458"/>
      <c r="B2895" s="458"/>
    </row>
    <row r="2896" spans="1:2" x14ac:dyDescent="0.2">
      <c r="A2896" s="458"/>
      <c r="B2896" s="458"/>
    </row>
    <row r="2897" spans="1:2" x14ac:dyDescent="0.2">
      <c r="A2897" s="458"/>
      <c r="B2897" s="458"/>
    </row>
    <row r="2898" spans="1:2" x14ac:dyDescent="0.2">
      <c r="A2898" s="458"/>
      <c r="B2898" s="458"/>
    </row>
    <row r="2899" spans="1:2" x14ac:dyDescent="0.2">
      <c r="A2899" s="458"/>
      <c r="B2899" s="458"/>
    </row>
    <row r="2900" spans="1:2" x14ac:dyDescent="0.2">
      <c r="A2900" s="458"/>
      <c r="B2900" s="458"/>
    </row>
    <row r="2901" spans="1:2" x14ac:dyDescent="0.2">
      <c r="A2901" s="458"/>
      <c r="B2901" s="458"/>
    </row>
    <row r="2902" spans="1:2" x14ac:dyDescent="0.2">
      <c r="A2902" s="458"/>
      <c r="B2902" s="458"/>
    </row>
    <row r="2903" spans="1:2" x14ac:dyDescent="0.2">
      <c r="A2903" s="458"/>
      <c r="B2903" s="458"/>
    </row>
    <row r="2904" spans="1:2" x14ac:dyDescent="0.2">
      <c r="A2904" s="458"/>
      <c r="B2904" s="458"/>
    </row>
    <row r="2905" spans="1:2" x14ac:dyDescent="0.2">
      <c r="A2905" s="458"/>
      <c r="B2905" s="458"/>
    </row>
    <row r="2906" spans="1:2" x14ac:dyDescent="0.2">
      <c r="A2906" s="458"/>
      <c r="B2906" s="458"/>
    </row>
    <row r="2907" spans="1:2" x14ac:dyDescent="0.2">
      <c r="A2907" s="458"/>
      <c r="B2907" s="458"/>
    </row>
    <row r="2908" spans="1:2" x14ac:dyDescent="0.2">
      <c r="A2908" s="458"/>
      <c r="B2908" s="458"/>
    </row>
    <row r="2909" spans="1:2" x14ac:dyDescent="0.2">
      <c r="A2909" s="458"/>
      <c r="B2909" s="458"/>
    </row>
    <row r="2910" spans="1:2" x14ac:dyDescent="0.2">
      <c r="A2910" s="458"/>
      <c r="B2910" s="458"/>
    </row>
    <row r="2911" spans="1:2" x14ac:dyDescent="0.2">
      <c r="A2911" s="458"/>
      <c r="B2911" s="458"/>
    </row>
    <row r="2912" spans="1:2" x14ac:dyDescent="0.2">
      <c r="A2912" s="458"/>
      <c r="B2912" s="458"/>
    </row>
    <row r="2913" spans="1:2" x14ac:dyDescent="0.2">
      <c r="A2913" s="458"/>
      <c r="B2913" s="458"/>
    </row>
    <row r="2914" spans="1:2" x14ac:dyDescent="0.2">
      <c r="A2914" s="458"/>
      <c r="B2914" s="458"/>
    </row>
    <row r="2915" spans="1:2" x14ac:dyDescent="0.2">
      <c r="A2915" s="458"/>
      <c r="B2915" s="458"/>
    </row>
    <row r="2916" spans="1:2" x14ac:dyDescent="0.2">
      <c r="A2916" s="458"/>
      <c r="B2916" s="458"/>
    </row>
    <row r="2917" spans="1:2" x14ac:dyDescent="0.2">
      <c r="A2917" s="458"/>
      <c r="B2917" s="458"/>
    </row>
    <row r="2918" spans="1:2" x14ac:dyDescent="0.2">
      <c r="A2918" s="458"/>
      <c r="B2918" s="458"/>
    </row>
    <row r="2919" spans="1:2" x14ac:dyDescent="0.2">
      <c r="A2919" s="458"/>
      <c r="B2919" s="458"/>
    </row>
    <row r="2920" spans="1:2" x14ac:dyDescent="0.2">
      <c r="A2920" s="458"/>
      <c r="B2920" s="458"/>
    </row>
    <row r="2921" spans="1:2" x14ac:dyDescent="0.2">
      <c r="A2921" s="458"/>
      <c r="B2921" s="458"/>
    </row>
    <row r="2922" spans="1:2" x14ac:dyDescent="0.2">
      <c r="A2922" s="458"/>
      <c r="B2922" s="458"/>
    </row>
    <row r="2923" spans="1:2" x14ac:dyDescent="0.2">
      <c r="A2923" s="458"/>
      <c r="B2923" s="458"/>
    </row>
    <row r="2924" spans="1:2" x14ac:dyDescent="0.2">
      <c r="A2924" s="458"/>
      <c r="B2924" s="458"/>
    </row>
    <row r="2925" spans="1:2" x14ac:dyDescent="0.2">
      <c r="A2925" s="458"/>
      <c r="B2925" s="458"/>
    </row>
    <row r="2926" spans="1:2" x14ac:dyDescent="0.2">
      <c r="A2926" s="458"/>
      <c r="B2926" s="458"/>
    </row>
    <row r="2927" spans="1:2" x14ac:dyDescent="0.2">
      <c r="A2927" s="458"/>
      <c r="B2927" s="458"/>
    </row>
    <row r="2928" spans="1:2" x14ac:dyDescent="0.2">
      <c r="A2928" s="458"/>
      <c r="B2928" s="458"/>
    </row>
    <row r="2929" spans="1:2" x14ac:dyDescent="0.2">
      <c r="A2929" s="458"/>
      <c r="B2929" s="458"/>
    </row>
    <row r="2930" spans="1:2" x14ac:dyDescent="0.2">
      <c r="A2930" s="458"/>
      <c r="B2930" s="458"/>
    </row>
    <row r="2931" spans="1:2" x14ac:dyDescent="0.2">
      <c r="A2931" s="458"/>
      <c r="B2931" s="458"/>
    </row>
    <row r="2932" spans="1:2" x14ac:dyDescent="0.2">
      <c r="A2932" s="458"/>
      <c r="B2932" s="458"/>
    </row>
    <row r="2933" spans="1:2" x14ac:dyDescent="0.2">
      <c r="A2933" s="458"/>
      <c r="B2933" s="458"/>
    </row>
    <row r="2934" spans="1:2" x14ac:dyDescent="0.2">
      <c r="A2934" s="458"/>
      <c r="B2934" s="458"/>
    </row>
    <row r="2935" spans="1:2" x14ac:dyDescent="0.2">
      <c r="A2935" s="458"/>
      <c r="B2935" s="458"/>
    </row>
    <row r="2936" spans="1:2" x14ac:dyDescent="0.2">
      <c r="A2936" s="458"/>
      <c r="B2936" s="458"/>
    </row>
    <row r="2937" spans="1:2" x14ac:dyDescent="0.2">
      <c r="A2937" s="458"/>
      <c r="B2937" s="458"/>
    </row>
    <row r="2938" spans="1:2" x14ac:dyDescent="0.2">
      <c r="A2938" s="458"/>
      <c r="B2938" s="458"/>
    </row>
    <row r="2939" spans="1:2" x14ac:dyDescent="0.2">
      <c r="A2939" s="458"/>
      <c r="B2939" s="458"/>
    </row>
    <row r="2940" spans="1:2" x14ac:dyDescent="0.2">
      <c r="A2940" s="458"/>
      <c r="B2940" s="458"/>
    </row>
    <row r="2941" spans="1:2" x14ac:dyDescent="0.2">
      <c r="A2941" s="458"/>
      <c r="B2941" s="458"/>
    </row>
    <row r="2942" spans="1:2" x14ac:dyDescent="0.2">
      <c r="A2942" s="458"/>
      <c r="B2942" s="458"/>
    </row>
    <row r="2943" spans="1:2" x14ac:dyDescent="0.2">
      <c r="A2943" s="458"/>
      <c r="B2943" s="458"/>
    </row>
    <row r="2944" spans="1:2" x14ac:dyDescent="0.2">
      <c r="A2944" s="458"/>
      <c r="B2944" s="458"/>
    </row>
    <row r="2945" spans="1:2" x14ac:dyDescent="0.2">
      <c r="A2945" s="458"/>
      <c r="B2945" s="458"/>
    </row>
    <row r="2946" spans="1:2" x14ac:dyDescent="0.2">
      <c r="A2946" s="458"/>
      <c r="B2946" s="458"/>
    </row>
    <row r="2947" spans="1:2" x14ac:dyDescent="0.2">
      <c r="A2947" s="458"/>
      <c r="B2947" s="458"/>
    </row>
    <row r="2948" spans="1:2" x14ac:dyDescent="0.2">
      <c r="A2948" s="458"/>
      <c r="B2948" s="458"/>
    </row>
    <row r="2949" spans="1:2" x14ac:dyDescent="0.2">
      <c r="A2949" s="458"/>
      <c r="B2949" s="458"/>
    </row>
    <row r="2950" spans="1:2" x14ac:dyDescent="0.2">
      <c r="A2950" s="458"/>
      <c r="B2950" s="458"/>
    </row>
    <row r="2951" spans="1:2" x14ac:dyDescent="0.2">
      <c r="A2951" s="458"/>
      <c r="B2951" s="458"/>
    </row>
    <row r="2952" spans="1:2" x14ac:dyDescent="0.2">
      <c r="A2952" s="458"/>
      <c r="B2952" s="458"/>
    </row>
    <row r="2953" spans="1:2" x14ac:dyDescent="0.2">
      <c r="A2953" s="458"/>
      <c r="B2953" s="458"/>
    </row>
    <row r="2954" spans="1:2" x14ac:dyDescent="0.2">
      <c r="A2954" s="458"/>
      <c r="B2954" s="458"/>
    </row>
    <row r="2955" spans="1:2" x14ac:dyDescent="0.2">
      <c r="A2955" s="458"/>
      <c r="B2955" s="458"/>
    </row>
    <row r="2956" spans="1:2" x14ac:dyDescent="0.2">
      <c r="A2956" s="458"/>
      <c r="B2956" s="458"/>
    </row>
    <row r="2957" spans="1:2" x14ac:dyDescent="0.2">
      <c r="A2957" s="458"/>
      <c r="B2957" s="458"/>
    </row>
    <row r="2958" spans="1:2" x14ac:dyDescent="0.2">
      <c r="A2958" s="458"/>
      <c r="B2958" s="458"/>
    </row>
    <row r="2959" spans="1:2" x14ac:dyDescent="0.2">
      <c r="A2959" s="458"/>
      <c r="B2959" s="458"/>
    </row>
    <row r="2960" spans="1:2" x14ac:dyDescent="0.2">
      <c r="A2960" s="458"/>
      <c r="B2960" s="458"/>
    </row>
    <row r="2961" spans="1:2" x14ac:dyDescent="0.2">
      <c r="A2961" s="458"/>
      <c r="B2961" s="458"/>
    </row>
    <row r="2962" spans="1:2" x14ac:dyDescent="0.2">
      <c r="A2962" s="458"/>
      <c r="B2962" s="458"/>
    </row>
    <row r="2963" spans="1:2" x14ac:dyDescent="0.2">
      <c r="A2963" s="458"/>
      <c r="B2963" s="458"/>
    </row>
    <row r="2964" spans="1:2" x14ac:dyDescent="0.2">
      <c r="A2964" s="458"/>
      <c r="B2964" s="458"/>
    </row>
    <row r="2965" spans="1:2" x14ac:dyDescent="0.2">
      <c r="A2965" s="458"/>
      <c r="B2965" s="458"/>
    </row>
    <row r="2966" spans="1:2" x14ac:dyDescent="0.2">
      <c r="A2966" s="458"/>
      <c r="B2966" s="458"/>
    </row>
    <row r="2967" spans="1:2" x14ac:dyDescent="0.2">
      <c r="A2967" s="458"/>
      <c r="B2967" s="458"/>
    </row>
    <row r="2968" spans="1:2" x14ac:dyDescent="0.2">
      <c r="A2968" s="458"/>
      <c r="B2968" s="458"/>
    </row>
    <row r="2969" spans="1:2" x14ac:dyDescent="0.2">
      <c r="A2969" s="458"/>
      <c r="B2969" s="458"/>
    </row>
    <row r="2970" spans="1:2" x14ac:dyDescent="0.2">
      <c r="A2970" s="458"/>
      <c r="B2970" s="458"/>
    </row>
    <row r="2971" spans="1:2" x14ac:dyDescent="0.2">
      <c r="A2971" s="458"/>
      <c r="B2971" s="458"/>
    </row>
    <row r="2972" spans="1:2" x14ac:dyDescent="0.2">
      <c r="A2972" s="458"/>
      <c r="B2972" s="458"/>
    </row>
    <row r="2973" spans="1:2" x14ac:dyDescent="0.2">
      <c r="A2973" s="458"/>
      <c r="B2973" s="458"/>
    </row>
    <row r="2974" spans="1:2" x14ac:dyDescent="0.2">
      <c r="A2974" s="458"/>
      <c r="B2974" s="458"/>
    </row>
    <row r="2975" spans="1:2" x14ac:dyDescent="0.2">
      <c r="A2975" s="458"/>
      <c r="B2975" s="458"/>
    </row>
    <row r="2976" spans="1:2" x14ac:dyDescent="0.2">
      <c r="A2976" s="458"/>
      <c r="B2976" s="458"/>
    </row>
    <row r="2977" spans="1:2" x14ac:dyDescent="0.2">
      <c r="A2977" s="458"/>
      <c r="B2977" s="458"/>
    </row>
    <row r="2978" spans="1:2" x14ac:dyDescent="0.2">
      <c r="A2978" s="458"/>
      <c r="B2978" s="458"/>
    </row>
    <row r="2979" spans="1:2" x14ac:dyDescent="0.2">
      <c r="A2979" s="458"/>
      <c r="B2979" s="458"/>
    </row>
    <row r="2980" spans="1:2" x14ac:dyDescent="0.2">
      <c r="A2980" s="458"/>
      <c r="B2980" s="458"/>
    </row>
    <row r="2981" spans="1:2" x14ac:dyDescent="0.2">
      <c r="A2981" s="458"/>
      <c r="B2981" s="458"/>
    </row>
    <row r="2982" spans="1:2" x14ac:dyDescent="0.2">
      <c r="A2982" s="458"/>
      <c r="B2982" s="458"/>
    </row>
    <row r="2983" spans="1:2" x14ac:dyDescent="0.2">
      <c r="A2983" s="458"/>
      <c r="B2983" s="458"/>
    </row>
    <row r="2984" spans="1:2" x14ac:dyDescent="0.2">
      <c r="A2984" s="458"/>
      <c r="B2984" s="458"/>
    </row>
    <row r="2985" spans="1:2" x14ac:dyDescent="0.2">
      <c r="A2985" s="458"/>
      <c r="B2985" s="458"/>
    </row>
    <row r="2986" spans="1:2" x14ac:dyDescent="0.2">
      <c r="A2986" s="458"/>
      <c r="B2986" s="458"/>
    </row>
    <row r="2987" spans="1:2" x14ac:dyDescent="0.2">
      <c r="A2987" s="458"/>
      <c r="B2987" s="458"/>
    </row>
    <row r="2988" spans="1:2" x14ac:dyDescent="0.2">
      <c r="A2988" s="458"/>
      <c r="B2988" s="458"/>
    </row>
    <row r="2989" spans="1:2" x14ac:dyDescent="0.2">
      <c r="A2989" s="458"/>
      <c r="B2989" s="458"/>
    </row>
    <row r="2990" spans="1:2" x14ac:dyDescent="0.2">
      <c r="A2990" s="458"/>
      <c r="B2990" s="458"/>
    </row>
    <row r="2991" spans="1:2" x14ac:dyDescent="0.2">
      <c r="A2991" s="458"/>
      <c r="B2991" s="458"/>
    </row>
    <row r="2992" spans="1:2" x14ac:dyDescent="0.2">
      <c r="A2992" s="458"/>
      <c r="B2992" s="458"/>
    </row>
    <row r="2993" spans="1:2" x14ac:dyDescent="0.2">
      <c r="A2993" s="458"/>
      <c r="B2993" s="458"/>
    </row>
    <row r="2994" spans="1:2" x14ac:dyDescent="0.2">
      <c r="A2994" s="458"/>
      <c r="B2994" s="458"/>
    </row>
    <row r="2995" spans="1:2" x14ac:dyDescent="0.2">
      <c r="A2995" s="458"/>
      <c r="B2995" s="458"/>
    </row>
    <row r="2996" spans="1:2" x14ac:dyDescent="0.2">
      <c r="A2996" s="458"/>
      <c r="B2996" s="458"/>
    </row>
    <row r="2997" spans="1:2" x14ac:dyDescent="0.2">
      <c r="A2997" s="458"/>
      <c r="B2997" s="458"/>
    </row>
    <row r="2998" spans="1:2" x14ac:dyDescent="0.2">
      <c r="A2998" s="458"/>
      <c r="B2998" s="458"/>
    </row>
    <row r="2999" spans="1:2" x14ac:dyDescent="0.2">
      <c r="A2999" s="458"/>
      <c r="B2999" s="458"/>
    </row>
    <row r="3000" spans="1:2" x14ac:dyDescent="0.2">
      <c r="A3000" s="458"/>
      <c r="B3000" s="458"/>
    </row>
    <row r="3001" spans="1:2" x14ac:dyDescent="0.2">
      <c r="A3001" s="458"/>
      <c r="B3001" s="458"/>
    </row>
    <row r="3002" spans="1:2" x14ac:dyDescent="0.2">
      <c r="A3002" s="458"/>
      <c r="B3002" s="458"/>
    </row>
    <row r="3003" spans="1:2" x14ac:dyDescent="0.2">
      <c r="A3003" s="458"/>
      <c r="B3003" s="458"/>
    </row>
    <row r="3004" spans="1:2" x14ac:dyDescent="0.2">
      <c r="A3004" s="458"/>
      <c r="B3004" s="458"/>
    </row>
    <row r="3005" spans="1:2" x14ac:dyDescent="0.2">
      <c r="A3005" s="458"/>
      <c r="B3005" s="458"/>
    </row>
    <row r="3006" spans="1:2" x14ac:dyDescent="0.2">
      <c r="A3006" s="458"/>
      <c r="B3006" s="458"/>
    </row>
    <row r="3007" spans="1:2" x14ac:dyDescent="0.2">
      <c r="A3007" s="458"/>
      <c r="B3007" s="458"/>
    </row>
    <row r="3008" spans="1:2" x14ac:dyDescent="0.2">
      <c r="A3008" s="458"/>
      <c r="B3008" s="458"/>
    </row>
    <row r="3009" spans="1:2" x14ac:dyDescent="0.2">
      <c r="A3009" s="458"/>
      <c r="B3009" s="458"/>
    </row>
    <row r="3010" spans="1:2" x14ac:dyDescent="0.2">
      <c r="A3010" s="458"/>
      <c r="B3010" s="458"/>
    </row>
    <row r="3011" spans="1:2" x14ac:dyDescent="0.2">
      <c r="A3011" s="458"/>
      <c r="B3011" s="458"/>
    </row>
    <row r="3012" spans="1:2" x14ac:dyDescent="0.2">
      <c r="A3012" s="458"/>
      <c r="B3012" s="458"/>
    </row>
    <row r="3013" spans="1:2" x14ac:dyDescent="0.2">
      <c r="A3013" s="458"/>
      <c r="B3013" s="458"/>
    </row>
    <row r="3014" spans="1:2" x14ac:dyDescent="0.2">
      <c r="A3014" s="458"/>
      <c r="B3014" s="458"/>
    </row>
    <row r="3015" spans="1:2" x14ac:dyDescent="0.2">
      <c r="A3015" s="458"/>
      <c r="B3015" s="458"/>
    </row>
    <row r="3016" spans="1:2" x14ac:dyDescent="0.2">
      <c r="A3016" s="458"/>
      <c r="B3016" s="458"/>
    </row>
    <row r="3017" spans="1:2" x14ac:dyDescent="0.2">
      <c r="A3017" s="458"/>
      <c r="B3017" s="458"/>
    </row>
    <row r="3018" spans="1:2" x14ac:dyDescent="0.2">
      <c r="A3018" s="458"/>
      <c r="B3018" s="458"/>
    </row>
    <row r="3019" spans="1:2" x14ac:dyDescent="0.2">
      <c r="A3019" s="458"/>
      <c r="B3019" s="459"/>
    </row>
    <row r="3020" spans="1:2" x14ac:dyDescent="0.2">
      <c r="A3020" s="458"/>
      <c r="B3020" s="458"/>
    </row>
    <row r="3021" spans="1:2" x14ac:dyDescent="0.2">
      <c r="A3021" s="458"/>
      <c r="B3021" s="458"/>
    </row>
    <row r="3022" spans="1:2" x14ac:dyDescent="0.2">
      <c r="A3022" s="458"/>
      <c r="B3022" s="458"/>
    </row>
    <row r="3023" spans="1:2" x14ac:dyDescent="0.2">
      <c r="A3023" s="458"/>
      <c r="B3023" s="458"/>
    </row>
    <row r="3024" spans="1:2" x14ac:dyDescent="0.2">
      <c r="A3024" s="458"/>
      <c r="B3024" s="458"/>
    </row>
    <row r="3025" spans="1:2" x14ac:dyDescent="0.2">
      <c r="A3025" s="458"/>
      <c r="B3025" s="458"/>
    </row>
    <row r="3026" spans="1:2" x14ac:dyDescent="0.2">
      <c r="A3026" s="458"/>
      <c r="B3026" s="458"/>
    </row>
    <row r="3027" spans="1:2" x14ac:dyDescent="0.2">
      <c r="A3027" s="458"/>
      <c r="B3027" s="458"/>
    </row>
    <row r="3028" spans="1:2" x14ac:dyDescent="0.2">
      <c r="A3028" s="458"/>
      <c r="B3028" s="458"/>
    </row>
    <row r="3029" spans="1:2" x14ac:dyDescent="0.2">
      <c r="A3029" s="458"/>
      <c r="B3029" s="458"/>
    </row>
    <row r="3030" spans="1:2" x14ac:dyDescent="0.2">
      <c r="A3030" s="458"/>
      <c r="B3030" s="458"/>
    </row>
    <row r="3031" spans="1:2" x14ac:dyDescent="0.2">
      <c r="A3031" s="458"/>
      <c r="B3031" s="458"/>
    </row>
    <row r="3032" spans="1:2" x14ac:dyDescent="0.2">
      <c r="A3032" s="458"/>
      <c r="B3032" s="458"/>
    </row>
    <row r="3033" spans="1:2" x14ac:dyDescent="0.2">
      <c r="A3033" s="458"/>
      <c r="B3033" s="458"/>
    </row>
    <row r="3034" spans="1:2" x14ac:dyDescent="0.2">
      <c r="A3034" s="458"/>
      <c r="B3034" s="458"/>
    </row>
    <row r="3035" spans="1:2" x14ac:dyDescent="0.2">
      <c r="A3035" s="458"/>
      <c r="B3035" s="458"/>
    </row>
    <row r="3036" spans="1:2" x14ac:dyDescent="0.2">
      <c r="A3036" s="458"/>
      <c r="B3036" s="458"/>
    </row>
    <row r="3037" spans="1:2" x14ac:dyDescent="0.2">
      <c r="A3037" s="458"/>
      <c r="B3037" s="458"/>
    </row>
    <row r="3038" spans="1:2" x14ac:dyDescent="0.2">
      <c r="A3038" s="458"/>
      <c r="B3038" s="458"/>
    </row>
    <row r="3039" spans="1:2" x14ac:dyDescent="0.2">
      <c r="A3039" s="458"/>
      <c r="B3039" s="458"/>
    </row>
    <row r="3040" spans="1:2" x14ac:dyDescent="0.2">
      <c r="A3040" s="458"/>
      <c r="B3040" s="458"/>
    </row>
    <row r="3041" spans="1:2" x14ac:dyDescent="0.2">
      <c r="A3041" s="458"/>
      <c r="B3041" s="458"/>
    </row>
    <row r="3042" spans="1:2" x14ac:dyDescent="0.2">
      <c r="A3042" s="458"/>
      <c r="B3042" s="458"/>
    </row>
    <row r="3043" spans="1:2" x14ac:dyDescent="0.2">
      <c r="A3043" s="458"/>
      <c r="B3043" s="458"/>
    </row>
    <row r="3044" spans="1:2" x14ac:dyDescent="0.2">
      <c r="A3044" s="458"/>
      <c r="B3044" s="458"/>
    </row>
    <row r="3045" spans="1:2" x14ac:dyDescent="0.2">
      <c r="A3045" s="458"/>
      <c r="B3045" s="458"/>
    </row>
    <row r="3046" spans="1:2" x14ac:dyDescent="0.2">
      <c r="A3046" s="458"/>
      <c r="B3046" s="458"/>
    </row>
    <row r="3047" spans="1:2" x14ac:dyDescent="0.2">
      <c r="A3047" s="458"/>
      <c r="B3047" s="458"/>
    </row>
    <row r="3048" spans="1:2" x14ac:dyDescent="0.2">
      <c r="A3048" s="458"/>
      <c r="B3048" s="458"/>
    </row>
    <row r="3049" spans="1:2" x14ac:dyDescent="0.2">
      <c r="A3049" s="458"/>
      <c r="B3049" s="458"/>
    </row>
    <row r="3050" spans="1:2" x14ac:dyDescent="0.2">
      <c r="A3050" s="458"/>
      <c r="B3050" s="458"/>
    </row>
    <row r="3051" spans="1:2" x14ac:dyDescent="0.2">
      <c r="A3051" s="458"/>
      <c r="B3051" s="458"/>
    </row>
    <row r="3052" spans="1:2" x14ac:dyDescent="0.2">
      <c r="A3052" s="458"/>
      <c r="B3052" s="458"/>
    </row>
    <row r="3053" spans="1:2" x14ac:dyDescent="0.2">
      <c r="A3053" s="458"/>
      <c r="B3053" s="458"/>
    </row>
    <row r="3054" spans="1:2" x14ac:dyDescent="0.2">
      <c r="A3054" s="458"/>
      <c r="B3054" s="458"/>
    </row>
    <row r="3055" spans="1:2" x14ac:dyDescent="0.2">
      <c r="A3055" s="458"/>
      <c r="B3055" s="458"/>
    </row>
    <row r="3056" spans="1:2" x14ac:dyDescent="0.2">
      <c r="A3056" s="458"/>
      <c r="B3056" s="458"/>
    </row>
    <row r="3057" spans="1:2" x14ac:dyDescent="0.2">
      <c r="A3057" s="458"/>
      <c r="B3057" s="458"/>
    </row>
    <row r="3058" spans="1:2" x14ac:dyDescent="0.2">
      <c r="A3058" s="458"/>
      <c r="B3058" s="458"/>
    </row>
    <row r="3059" spans="1:2" x14ac:dyDescent="0.2">
      <c r="A3059" s="458"/>
      <c r="B3059" s="458"/>
    </row>
    <row r="3060" spans="1:2" x14ac:dyDescent="0.2">
      <c r="A3060" s="458"/>
      <c r="B3060" s="458"/>
    </row>
    <row r="3061" spans="1:2" x14ac:dyDescent="0.2">
      <c r="A3061" s="458"/>
      <c r="B3061" s="458"/>
    </row>
    <row r="3062" spans="1:2" x14ac:dyDescent="0.2">
      <c r="A3062" s="458"/>
      <c r="B3062" s="458"/>
    </row>
    <row r="3063" spans="1:2" x14ac:dyDescent="0.2">
      <c r="A3063" s="458"/>
      <c r="B3063" s="458"/>
    </row>
    <row r="3064" spans="1:2" x14ac:dyDescent="0.2">
      <c r="A3064" s="458"/>
      <c r="B3064" s="458"/>
    </row>
    <row r="3065" spans="1:2" x14ac:dyDescent="0.2">
      <c r="A3065" s="458"/>
      <c r="B3065" s="458"/>
    </row>
    <row r="3066" spans="1:2" x14ac:dyDescent="0.2">
      <c r="A3066" s="458"/>
      <c r="B3066" s="458"/>
    </row>
    <row r="3067" spans="1:2" x14ac:dyDescent="0.2">
      <c r="A3067" s="458"/>
      <c r="B3067" s="458"/>
    </row>
    <row r="3068" spans="1:2" x14ac:dyDescent="0.2">
      <c r="A3068" s="458"/>
      <c r="B3068" s="458"/>
    </row>
    <row r="3069" spans="1:2" x14ac:dyDescent="0.2">
      <c r="A3069" s="458"/>
      <c r="B3069" s="458"/>
    </row>
    <row r="3070" spans="1:2" x14ac:dyDescent="0.2">
      <c r="A3070" s="458"/>
      <c r="B3070" s="458"/>
    </row>
    <row r="3071" spans="1:2" x14ac:dyDescent="0.2">
      <c r="A3071" s="458"/>
      <c r="B3071" s="458"/>
    </row>
    <row r="3072" spans="1:2" x14ac:dyDescent="0.2">
      <c r="A3072" s="458"/>
      <c r="B3072" s="458"/>
    </row>
    <row r="3073" spans="1:2" x14ac:dyDescent="0.2">
      <c r="A3073" s="458"/>
      <c r="B3073" s="458"/>
    </row>
    <row r="3074" spans="1:2" x14ac:dyDescent="0.2">
      <c r="A3074" s="458"/>
      <c r="B3074" s="458"/>
    </row>
    <row r="3075" spans="1:2" x14ac:dyDescent="0.2">
      <c r="A3075" s="458"/>
      <c r="B3075" s="458"/>
    </row>
    <row r="3076" spans="1:2" x14ac:dyDescent="0.2">
      <c r="A3076" s="458"/>
      <c r="B3076" s="458"/>
    </row>
    <row r="3077" spans="1:2" x14ac:dyDescent="0.2">
      <c r="A3077" s="458"/>
      <c r="B3077" s="458"/>
    </row>
    <row r="3078" spans="1:2" x14ac:dyDescent="0.2">
      <c r="A3078" s="458"/>
      <c r="B3078" s="458"/>
    </row>
    <row r="3079" spans="1:2" x14ac:dyDescent="0.2">
      <c r="A3079" s="458"/>
      <c r="B3079" s="458"/>
    </row>
    <row r="3080" spans="1:2" x14ac:dyDescent="0.2">
      <c r="A3080" s="458"/>
      <c r="B3080" s="458"/>
    </row>
    <row r="3081" spans="1:2" x14ac:dyDescent="0.2">
      <c r="A3081" s="458"/>
      <c r="B3081" s="458"/>
    </row>
    <row r="3082" spans="1:2" x14ac:dyDescent="0.2">
      <c r="A3082" s="458"/>
      <c r="B3082" s="458"/>
    </row>
    <row r="3083" spans="1:2" x14ac:dyDescent="0.2">
      <c r="A3083" s="458"/>
      <c r="B3083" s="458"/>
    </row>
    <row r="3084" spans="1:2" x14ac:dyDescent="0.2">
      <c r="A3084" s="458"/>
      <c r="B3084" s="458"/>
    </row>
    <row r="3085" spans="1:2" x14ac:dyDescent="0.2">
      <c r="A3085" s="458"/>
      <c r="B3085" s="458"/>
    </row>
    <row r="3086" spans="1:2" x14ac:dyDescent="0.2">
      <c r="A3086" s="458"/>
      <c r="B3086" s="458"/>
    </row>
    <row r="3087" spans="1:2" x14ac:dyDescent="0.2">
      <c r="A3087" s="458"/>
      <c r="B3087" s="458"/>
    </row>
    <row r="3088" spans="1:2" x14ac:dyDescent="0.2">
      <c r="A3088" s="458"/>
      <c r="B3088" s="458"/>
    </row>
    <row r="3089" spans="1:2" x14ac:dyDescent="0.2">
      <c r="A3089" s="458"/>
      <c r="B3089" s="458"/>
    </row>
    <row r="3090" spans="1:2" x14ac:dyDescent="0.2">
      <c r="A3090" s="458"/>
      <c r="B3090" s="458"/>
    </row>
    <row r="3091" spans="1:2" x14ac:dyDescent="0.2">
      <c r="A3091" s="458"/>
      <c r="B3091" s="458"/>
    </row>
    <row r="3092" spans="1:2" x14ac:dyDescent="0.2">
      <c r="A3092" s="458"/>
      <c r="B3092" s="458"/>
    </row>
    <row r="3093" spans="1:2" x14ac:dyDescent="0.2">
      <c r="A3093" s="458"/>
      <c r="B3093" s="458"/>
    </row>
    <row r="3094" spans="1:2" x14ac:dyDescent="0.2">
      <c r="A3094" s="458"/>
      <c r="B3094" s="458"/>
    </row>
    <row r="3095" spans="1:2" x14ac:dyDescent="0.2">
      <c r="A3095" s="458"/>
      <c r="B3095" s="458"/>
    </row>
    <row r="3096" spans="1:2" x14ac:dyDescent="0.2">
      <c r="A3096" s="458"/>
      <c r="B3096" s="458"/>
    </row>
    <row r="3097" spans="1:2" x14ac:dyDescent="0.2">
      <c r="A3097" s="458"/>
      <c r="B3097" s="458"/>
    </row>
    <row r="3098" spans="1:2" x14ac:dyDescent="0.2">
      <c r="A3098" s="458"/>
      <c r="B3098" s="458"/>
    </row>
    <row r="3099" spans="1:2" x14ac:dyDescent="0.2">
      <c r="A3099" s="458"/>
      <c r="B3099" s="458"/>
    </row>
    <row r="3100" spans="1:2" x14ac:dyDescent="0.2">
      <c r="A3100" s="458"/>
      <c r="B3100" s="458"/>
    </row>
    <row r="3101" spans="1:2" x14ac:dyDescent="0.2">
      <c r="A3101" s="458"/>
      <c r="B3101" s="458"/>
    </row>
    <row r="3102" spans="1:2" x14ac:dyDescent="0.2">
      <c r="A3102" s="458"/>
      <c r="B3102" s="458"/>
    </row>
    <row r="3103" spans="1:2" x14ac:dyDescent="0.2">
      <c r="A3103" s="458"/>
      <c r="B3103" s="458"/>
    </row>
    <row r="3104" spans="1:2" x14ac:dyDescent="0.2">
      <c r="A3104" s="458"/>
      <c r="B3104" s="458"/>
    </row>
    <row r="3105" spans="1:2" x14ac:dyDescent="0.2">
      <c r="A3105" s="458"/>
      <c r="B3105" s="458"/>
    </row>
    <row r="3106" spans="1:2" x14ac:dyDescent="0.2">
      <c r="A3106" s="458"/>
      <c r="B3106" s="458"/>
    </row>
    <row r="3107" spans="1:2" x14ac:dyDescent="0.2">
      <c r="A3107" s="458"/>
      <c r="B3107" s="458"/>
    </row>
    <row r="3108" spans="1:2" x14ac:dyDescent="0.2">
      <c r="A3108" s="458"/>
      <c r="B3108" s="458"/>
    </row>
    <row r="3109" spans="1:2" x14ac:dyDescent="0.2">
      <c r="A3109" s="458"/>
      <c r="B3109" s="458"/>
    </row>
    <row r="3110" spans="1:2" x14ac:dyDescent="0.2">
      <c r="A3110" s="458"/>
      <c r="B3110" s="458"/>
    </row>
    <row r="3111" spans="1:2" x14ac:dyDescent="0.2">
      <c r="A3111" s="458"/>
      <c r="B3111" s="458"/>
    </row>
    <row r="3112" spans="1:2" x14ac:dyDescent="0.2">
      <c r="A3112" s="458"/>
      <c r="B3112" s="458"/>
    </row>
    <row r="3113" spans="1:2" x14ac:dyDescent="0.2">
      <c r="A3113" s="458"/>
      <c r="B3113" s="458"/>
    </row>
    <row r="3114" spans="1:2" x14ac:dyDescent="0.2">
      <c r="A3114" s="458"/>
      <c r="B3114" s="458"/>
    </row>
    <row r="3115" spans="1:2" x14ac:dyDescent="0.2">
      <c r="A3115" s="458"/>
      <c r="B3115" s="458"/>
    </row>
    <row r="3116" spans="1:2" x14ac:dyDescent="0.2">
      <c r="A3116" s="458"/>
      <c r="B3116" s="458"/>
    </row>
    <row r="3117" spans="1:2" x14ac:dyDescent="0.2">
      <c r="A3117" s="458"/>
      <c r="B3117" s="458"/>
    </row>
    <row r="3118" spans="1:2" x14ac:dyDescent="0.2">
      <c r="A3118" s="458"/>
      <c r="B3118" s="458"/>
    </row>
    <row r="3119" spans="1:2" x14ac:dyDescent="0.2">
      <c r="A3119" s="458"/>
      <c r="B3119" s="458"/>
    </row>
    <row r="3120" spans="1:2" x14ac:dyDescent="0.2">
      <c r="A3120" s="458"/>
      <c r="B3120" s="458"/>
    </row>
    <row r="3121" spans="1:2" x14ac:dyDescent="0.2">
      <c r="A3121" s="458"/>
      <c r="B3121" s="458"/>
    </row>
    <row r="3122" spans="1:2" x14ac:dyDescent="0.2">
      <c r="A3122" s="458"/>
      <c r="B3122" s="458"/>
    </row>
    <row r="3123" spans="1:2" x14ac:dyDescent="0.2">
      <c r="A3123" s="458"/>
      <c r="B3123" s="458"/>
    </row>
    <row r="3124" spans="1:2" x14ac:dyDescent="0.2">
      <c r="A3124" s="458"/>
      <c r="B3124" s="458"/>
    </row>
    <row r="3125" spans="1:2" x14ac:dyDescent="0.2">
      <c r="A3125" s="458"/>
      <c r="B3125" s="458"/>
    </row>
    <row r="3126" spans="1:2" x14ac:dyDescent="0.2">
      <c r="A3126" s="458"/>
      <c r="B3126" s="458"/>
    </row>
    <row r="3127" spans="1:2" x14ac:dyDescent="0.2">
      <c r="A3127" s="458"/>
      <c r="B3127" s="458"/>
    </row>
    <row r="3128" spans="1:2" x14ac:dyDescent="0.2">
      <c r="A3128" s="458"/>
      <c r="B3128" s="458"/>
    </row>
    <row r="3129" spans="1:2" x14ac:dyDescent="0.2">
      <c r="A3129" s="458"/>
      <c r="B3129" s="458"/>
    </row>
    <row r="3130" spans="1:2" x14ac:dyDescent="0.2">
      <c r="A3130" s="458"/>
      <c r="B3130" s="458"/>
    </row>
    <row r="3131" spans="1:2" x14ac:dyDescent="0.2">
      <c r="A3131" s="458"/>
      <c r="B3131" s="458"/>
    </row>
    <row r="3132" spans="1:2" x14ac:dyDescent="0.2">
      <c r="A3132" s="458"/>
      <c r="B3132" s="458"/>
    </row>
    <row r="3133" spans="1:2" x14ac:dyDescent="0.2">
      <c r="A3133" s="458"/>
      <c r="B3133" s="458"/>
    </row>
    <row r="3134" spans="1:2" x14ac:dyDescent="0.2">
      <c r="A3134" s="458"/>
      <c r="B3134" s="458"/>
    </row>
    <row r="3135" spans="1:2" x14ac:dyDescent="0.2">
      <c r="A3135" s="458"/>
      <c r="B3135" s="458"/>
    </row>
    <row r="3136" spans="1:2" x14ac:dyDescent="0.2">
      <c r="A3136" s="458"/>
      <c r="B3136" s="458"/>
    </row>
    <row r="3137" spans="1:2" x14ac:dyDescent="0.2">
      <c r="A3137" s="458"/>
      <c r="B3137" s="458"/>
    </row>
    <row r="3138" spans="1:2" x14ac:dyDescent="0.2">
      <c r="A3138" s="458"/>
      <c r="B3138" s="458"/>
    </row>
    <row r="3139" spans="1:2" x14ac:dyDescent="0.2">
      <c r="A3139" s="458"/>
      <c r="B3139" s="458"/>
    </row>
    <row r="3140" spans="1:2" x14ac:dyDescent="0.2">
      <c r="A3140" s="458"/>
      <c r="B3140" s="458"/>
    </row>
    <row r="3141" spans="1:2" x14ac:dyDescent="0.2">
      <c r="A3141" s="458"/>
      <c r="B3141" s="458"/>
    </row>
    <row r="3142" spans="1:2" x14ac:dyDescent="0.2">
      <c r="A3142" s="458"/>
      <c r="B3142" s="458"/>
    </row>
    <row r="3143" spans="1:2" x14ac:dyDescent="0.2">
      <c r="A3143" s="458"/>
      <c r="B3143" s="458"/>
    </row>
    <row r="3144" spans="1:2" x14ac:dyDescent="0.2">
      <c r="A3144" s="458"/>
      <c r="B3144" s="458"/>
    </row>
    <row r="3145" spans="1:2" x14ac:dyDescent="0.2">
      <c r="A3145" s="458"/>
      <c r="B3145" s="458"/>
    </row>
    <row r="3146" spans="1:2" x14ac:dyDescent="0.2">
      <c r="A3146" s="458"/>
      <c r="B3146" s="458"/>
    </row>
    <row r="3147" spans="1:2" x14ac:dyDescent="0.2">
      <c r="A3147" s="458"/>
      <c r="B3147" s="458"/>
    </row>
    <row r="3148" spans="1:2" x14ac:dyDescent="0.2">
      <c r="A3148" s="458"/>
      <c r="B3148" s="458"/>
    </row>
    <row r="3149" spans="1:2" x14ac:dyDescent="0.2">
      <c r="A3149" s="458"/>
      <c r="B3149" s="458"/>
    </row>
    <row r="3150" spans="1:2" x14ac:dyDescent="0.2">
      <c r="A3150" s="458"/>
      <c r="B3150" s="458"/>
    </row>
    <row r="3151" spans="1:2" x14ac:dyDescent="0.2">
      <c r="A3151" s="458"/>
      <c r="B3151" s="458"/>
    </row>
    <row r="3152" spans="1:2" x14ac:dyDescent="0.2">
      <c r="A3152" s="458"/>
      <c r="B3152" s="458"/>
    </row>
    <row r="3153" spans="1:2" x14ac:dyDescent="0.2">
      <c r="A3153" s="458"/>
      <c r="B3153" s="458"/>
    </row>
    <row r="3154" spans="1:2" x14ac:dyDescent="0.2">
      <c r="A3154" s="458"/>
      <c r="B3154" s="458"/>
    </row>
    <row r="3155" spans="1:2" x14ac:dyDescent="0.2">
      <c r="A3155" s="458"/>
      <c r="B3155" s="458"/>
    </row>
    <row r="3156" spans="1:2" x14ac:dyDescent="0.2">
      <c r="A3156" s="458"/>
      <c r="B3156" s="458"/>
    </row>
    <row r="3157" spans="1:2" x14ac:dyDescent="0.2">
      <c r="A3157" s="458"/>
      <c r="B3157" s="458"/>
    </row>
    <row r="3158" spans="1:2" x14ac:dyDescent="0.2">
      <c r="A3158" s="458"/>
      <c r="B3158" s="458"/>
    </row>
    <row r="3159" spans="1:2" x14ac:dyDescent="0.2">
      <c r="A3159" s="458"/>
      <c r="B3159" s="458"/>
    </row>
    <row r="3160" spans="1:2" x14ac:dyDescent="0.2">
      <c r="A3160" s="458"/>
      <c r="B3160" s="458"/>
    </row>
    <row r="3161" spans="1:2" x14ac:dyDescent="0.2">
      <c r="A3161" s="458"/>
      <c r="B3161" s="458"/>
    </row>
    <row r="3162" spans="1:2" x14ac:dyDescent="0.2">
      <c r="A3162" s="458"/>
      <c r="B3162" s="458"/>
    </row>
    <row r="3163" spans="1:2" x14ac:dyDescent="0.2">
      <c r="A3163" s="458"/>
      <c r="B3163" s="458"/>
    </row>
    <row r="3164" spans="1:2" x14ac:dyDescent="0.2">
      <c r="A3164" s="458"/>
      <c r="B3164" s="458"/>
    </row>
    <row r="3165" spans="1:2" x14ac:dyDescent="0.2">
      <c r="A3165" s="458"/>
      <c r="B3165" s="458"/>
    </row>
    <row r="3166" spans="1:2" x14ac:dyDescent="0.2">
      <c r="A3166" s="458"/>
      <c r="B3166" s="458"/>
    </row>
    <row r="3167" spans="1:2" x14ac:dyDescent="0.2">
      <c r="A3167" s="458"/>
      <c r="B3167" s="458"/>
    </row>
    <row r="3168" spans="1:2" x14ac:dyDescent="0.2">
      <c r="A3168" s="458"/>
      <c r="B3168" s="458"/>
    </row>
    <row r="3169" spans="1:2" x14ac:dyDescent="0.2">
      <c r="A3169" s="458"/>
      <c r="B3169" s="458"/>
    </row>
    <row r="3170" spans="1:2" x14ac:dyDescent="0.2">
      <c r="A3170" s="458"/>
      <c r="B3170" s="458"/>
    </row>
    <row r="3171" spans="1:2" x14ac:dyDescent="0.2">
      <c r="A3171" s="458"/>
      <c r="B3171" s="458"/>
    </row>
    <row r="3172" spans="1:2" x14ac:dyDescent="0.2">
      <c r="A3172" s="458"/>
      <c r="B3172" s="458"/>
    </row>
    <row r="3173" spans="1:2" x14ac:dyDescent="0.2">
      <c r="A3173" s="458"/>
      <c r="B3173" s="458"/>
    </row>
    <row r="3174" spans="1:2" x14ac:dyDescent="0.2">
      <c r="A3174" s="458"/>
      <c r="B3174" s="458"/>
    </row>
    <row r="3175" spans="1:2" x14ac:dyDescent="0.2">
      <c r="A3175" s="458"/>
      <c r="B3175" s="458"/>
    </row>
    <row r="3176" spans="1:2" x14ac:dyDescent="0.2">
      <c r="A3176" s="458"/>
      <c r="B3176" s="458"/>
    </row>
    <row r="3177" spans="1:2" x14ac:dyDescent="0.2">
      <c r="A3177" s="458"/>
      <c r="B3177" s="458"/>
    </row>
    <row r="3178" spans="1:2" x14ac:dyDescent="0.2">
      <c r="A3178" s="458"/>
      <c r="B3178" s="458"/>
    </row>
    <row r="3179" spans="1:2" x14ac:dyDescent="0.2">
      <c r="A3179" s="458"/>
      <c r="B3179" s="458"/>
    </row>
    <row r="3180" spans="1:2" x14ac:dyDescent="0.2">
      <c r="A3180" s="458"/>
      <c r="B3180" s="458"/>
    </row>
    <row r="3181" spans="1:2" x14ac:dyDescent="0.2">
      <c r="A3181" s="458"/>
      <c r="B3181" s="458"/>
    </row>
    <row r="3182" spans="1:2" x14ac:dyDescent="0.2">
      <c r="A3182" s="458"/>
      <c r="B3182" s="458"/>
    </row>
    <row r="3183" spans="1:2" x14ac:dyDescent="0.2">
      <c r="A3183" s="458"/>
      <c r="B3183" s="458"/>
    </row>
    <row r="3184" spans="1:2" x14ac:dyDescent="0.2">
      <c r="A3184" s="458"/>
      <c r="B3184" s="458"/>
    </row>
    <row r="3185" spans="1:2" x14ac:dyDescent="0.2">
      <c r="A3185" s="458"/>
      <c r="B3185" s="458"/>
    </row>
    <row r="3186" spans="1:2" x14ac:dyDescent="0.2">
      <c r="A3186" s="458"/>
      <c r="B3186" s="458"/>
    </row>
    <row r="3187" spans="1:2" x14ac:dyDescent="0.2">
      <c r="A3187" s="458"/>
      <c r="B3187" s="458"/>
    </row>
    <row r="3188" spans="1:2" x14ac:dyDescent="0.2">
      <c r="A3188" s="458"/>
      <c r="B3188" s="458"/>
    </row>
    <row r="3189" spans="1:2" x14ac:dyDescent="0.2">
      <c r="A3189" s="458"/>
      <c r="B3189" s="458"/>
    </row>
    <row r="3190" spans="1:2" x14ac:dyDescent="0.2">
      <c r="A3190" s="458"/>
      <c r="B3190" s="458"/>
    </row>
    <row r="3191" spans="1:2" x14ac:dyDescent="0.2">
      <c r="A3191" s="458"/>
      <c r="B3191" s="458"/>
    </row>
    <row r="3192" spans="1:2" x14ac:dyDescent="0.2">
      <c r="A3192" s="458"/>
      <c r="B3192" s="458"/>
    </row>
    <row r="3193" spans="1:2" x14ac:dyDescent="0.2">
      <c r="A3193" s="458"/>
      <c r="B3193" s="458"/>
    </row>
    <row r="3194" spans="1:2" x14ac:dyDescent="0.2">
      <c r="A3194" s="458"/>
      <c r="B3194" s="458"/>
    </row>
    <row r="3195" spans="1:2" x14ac:dyDescent="0.2">
      <c r="A3195" s="458"/>
      <c r="B3195" s="458"/>
    </row>
    <row r="3196" spans="1:2" x14ac:dyDescent="0.2">
      <c r="A3196" s="458"/>
      <c r="B3196" s="458"/>
    </row>
    <row r="3197" spans="1:2" x14ac:dyDescent="0.2">
      <c r="A3197" s="458"/>
      <c r="B3197" s="458"/>
    </row>
    <row r="3198" spans="1:2" x14ac:dyDescent="0.2">
      <c r="A3198" s="458"/>
      <c r="B3198" s="458"/>
    </row>
    <row r="3199" spans="1:2" x14ac:dyDescent="0.2">
      <c r="A3199" s="458"/>
      <c r="B3199" s="458"/>
    </row>
    <row r="3200" spans="1:2" x14ac:dyDescent="0.2">
      <c r="A3200" s="458"/>
      <c r="B3200" s="458"/>
    </row>
    <row r="3201" spans="1:2" x14ac:dyDescent="0.2">
      <c r="A3201" s="458"/>
      <c r="B3201" s="458"/>
    </row>
    <row r="3202" spans="1:2" x14ac:dyDescent="0.2">
      <c r="A3202" s="458"/>
      <c r="B3202" s="458"/>
    </row>
    <row r="3203" spans="1:2" x14ac:dyDescent="0.2">
      <c r="A3203" s="458"/>
      <c r="B3203" s="458"/>
    </row>
    <row r="3204" spans="1:2" x14ac:dyDescent="0.2">
      <c r="A3204" s="458"/>
      <c r="B3204" s="458"/>
    </row>
    <row r="3205" spans="1:2" x14ac:dyDescent="0.2">
      <c r="A3205" s="458"/>
      <c r="B3205" s="458"/>
    </row>
    <row r="3206" spans="1:2" x14ac:dyDescent="0.2">
      <c r="A3206" s="458"/>
      <c r="B3206" s="458"/>
    </row>
    <row r="3207" spans="1:2" x14ac:dyDescent="0.2">
      <c r="A3207" s="458"/>
      <c r="B3207" s="458"/>
    </row>
    <row r="3208" spans="1:2" x14ac:dyDescent="0.2">
      <c r="A3208" s="458"/>
      <c r="B3208" s="458"/>
    </row>
    <row r="3209" spans="1:2" x14ac:dyDescent="0.2">
      <c r="A3209" s="458"/>
      <c r="B3209" s="458"/>
    </row>
    <row r="3210" spans="1:2" x14ac:dyDescent="0.2">
      <c r="A3210" s="458"/>
      <c r="B3210" s="458"/>
    </row>
    <row r="3211" spans="1:2" x14ac:dyDescent="0.2">
      <c r="A3211" s="458"/>
      <c r="B3211" s="458"/>
    </row>
    <row r="3212" spans="1:2" x14ac:dyDescent="0.2">
      <c r="A3212" s="458"/>
      <c r="B3212" s="458"/>
    </row>
    <row r="3213" spans="1:2" x14ac:dyDescent="0.2">
      <c r="A3213" s="458"/>
      <c r="B3213" s="458"/>
    </row>
    <row r="3214" spans="1:2" x14ac:dyDescent="0.2">
      <c r="A3214" s="458"/>
      <c r="B3214" s="458"/>
    </row>
    <row r="3215" spans="1:2" x14ac:dyDescent="0.2">
      <c r="A3215" s="458"/>
      <c r="B3215" s="458"/>
    </row>
    <row r="3216" spans="1:2" x14ac:dyDescent="0.2">
      <c r="A3216" s="458"/>
      <c r="B3216" s="458"/>
    </row>
    <row r="3217" spans="1:2" x14ac:dyDescent="0.2">
      <c r="A3217" s="458"/>
      <c r="B3217" s="458"/>
    </row>
    <row r="3218" spans="1:2" x14ac:dyDescent="0.2">
      <c r="A3218" s="458"/>
      <c r="B3218" s="458"/>
    </row>
    <row r="3219" spans="1:2" x14ac:dyDescent="0.2">
      <c r="A3219" s="458"/>
      <c r="B3219" s="458"/>
    </row>
    <row r="3220" spans="1:2" x14ac:dyDescent="0.2">
      <c r="A3220" s="458"/>
      <c r="B3220" s="458"/>
    </row>
    <row r="3221" spans="1:2" x14ac:dyDescent="0.2">
      <c r="A3221" s="458"/>
      <c r="B3221" s="458"/>
    </row>
    <row r="3222" spans="1:2" x14ac:dyDescent="0.2">
      <c r="A3222" s="458"/>
      <c r="B3222" s="458"/>
    </row>
    <row r="3223" spans="1:2" x14ac:dyDescent="0.2">
      <c r="A3223" s="458"/>
      <c r="B3223" s="458"/>
    </row>
    <row r="3224" spans="1:2" x14ac:dyDescent="0.2">
      <c r="A3224" s="458"/>
      <c r="B3224" s="458"/>
    </row>
    <row r="3225" spans="1:2" x14ac:dyDescent="0.2">
      <c r="A3225" s="458"/>
      <c r="B3225" s="458"/>
    </row>
    <row r="3226" spans="1:2" x14ac:dyDescent="0.2">
      <c r="A3226" s="458"/>
      <c r="B3226" s="458"/>
    </row>
    <row r="3227" spans="1:2" x14ac:dyDescent="0.2">
      <c r="A3227" s="458"/>
      <c r="B3227" s="458"/>
    </row>
    <row r="3228" spans="1:2" x14ac:dyDescent="0.2">
      <c r="A3228" s="458"/>
      <c r="B3228" s="458"/>
    </row>
    <row r="3229" spans="1:2" x14ac:dyDescent="0.2">
      <c r="A3229" s="458"/>
      <c r="B3229" s="458"/>
    </row>
    <row r="3230" spans="1:2" x14ac:dyDescent="0.2">
      <c r="A3230" s="458"/>
      <c r="B3230" s="458"/>
    </row>
    <row r="3231" spans="1:2" x14ac:dyDescent="0.2">
      <c r="A3231" s="458"/>
      <c r="B3231" s="458"/>
    </row>
    <row r="3232" spans="1:2" x14ac:dyDescent="0.2">
      <c r="A3232" s="458"/>
      <c r="B3232" s="458"/>
    </row>
    <row r="3233" spans="1:2" x14ac:dyDescent="0.2">
      <c r="A3233" s="458"/>
      <c r="B3233" s="458"/>
    </row>
    <row r="3234" spans="1:2" x14ac:dyDescent="0.2">
      <c r="A3234" s="458"/>
      <c r="B3234" s="458"/>
    </row>
    <row r="3235" spans="1:2" x14ac:dyDescent="0.2">
      <c r="A3235" s="458"/>
      <c r="B3235" s="458"/>
    </row>
    <row r="3236" spans="1:2" x14ac:dyDescent="0.2">
      <c r="A3236" s="458"/>
      <c r="B3236" s="458"/>
    </row>
    <row r="3237" spans="1:2" x14ac:dyDescent="0.2">
      <c r="A3237" s="458"/>
      <c r="B3237" s="458"/>
    </row>
    <row r="3238" spans="1:2" x14ac:dyDescent="0.2">
      <c r="A3238" s="458"/>
      <c r="B3238" s="458"/>
    </row>
    <row r="3239" spans="1:2" x14ac:dyDescent="0.2">
      <c r="A3239" s="458"/>
      <c r="B3239" s="458"/>
    </row>
    <row r="3240" spans="1:2" x14ac:dyDescent="0.2">
      <c r="A3240" s="458"/>
      <c r="B3240" s="458"/>
    </row>
    <row r="3241" spans="1:2" x14ac:dyDescent="0.2">
      <c r="A3241" s="458"/>
      <c r="B3241" s="458"/>
    </row>
    <row r="3242" spans="1:2" x14ac:dyDescent="0.2">
      <c r="A3242" s="458"/>
      <c r="B3242" s="458"/>
    </row>
    <row r="3243" spans="1:2" x14ac:dyDescent="0.2">
      <c r="A3243" s="458"/>
      <c r="B3243" s="458"/>
    </row>
    <row r="3244" spans="1:2" x14ac:dyDescent="0.2">
      <c r="A3244" s="458"/>
      <c r="B3244" s="458"/>
    </row>
    <row r="3245" spans="1:2" x14ac:dyDescent="0.2">
      <c r="A3245" s="458"/>
      <c r="B3245" s="458"/>
    </row>
    <row r="3246" spans="1:2" x14ac:dyDescent="0.2">
      <c r="A3246" s="458"/>
      <c r="B3246" s="458"/>
    </row>
    <row r="3247" spans="1:2" x14ac:dyDescent="0.2">
      <c r="A3247" s="458"/>
      <c r="B3247" s="458"/>
    </row>
    <row r="3248" spans="1:2" x14ac:dyDescent="0.2">
      <c r="A3248" s="458"/>
      <c r="B3248" s="458"/>
    </row>
    <row r="3249" spans="1:2" x14ac:dyDescent="0.2">
      <c r="A3249" s="458"/>
      <c r="B3249" s="458"/>
    </row>
    <row r="3250" spans="1:2" x14ac:dyDescent="0.2">
      <c r="A3250" s="458"/>
      <c r="B3250" s="458"/>
    </row>
    <row r="3251" spans="1:2" x14ac:dyDescent="0.2">
      <c r="A3251" s="458"/>
      <c r="B3251" s="458"/>
    </row>
    <row r="3252" spans="1:2" x14ac:dyDescent="0.2">
      <c r="A3252" s="458"/>
      <c r="B3252" s="458"/>
    </row>
    <row r="3253" spans="1:2" x14ac:dyDescent="0.2">
      <c r="A3253" s="458"/>
      <c r="B3253" s="458"/>
    </row>
    <row r="3254" spans="1:2" x14ac:dyDescent="0.2">
      <c r="A3254" s="458"/>
      <c r="B3254" s="458"/>
    </row>
    <row r="3255" spans="1:2" x14ac:dyDescent="0.2">
      <c r="A3255" s="458"/>
      <c r="B3255" s="458"/>
    </row>
    <row r="3256" spans="1:2" x14ac:dyDescent="0.2">
      <c r="A3256" s="458"/>
      <c r="B3256" s="458"/>
    </row>
    <row r="3257" spans="1:2" x14ac:dyDescent="0.2">
      <c r="A3257" s="458"/>
      <c r="B3257" s="458"/>
    </row>
    <row r="3258" spans="1:2" x14ac:dyDescent="0.2">
      <c r="A3258" s="458"/>
      <c r="B3258" s="458"/>
    </row>
    <row r="3259" spans="1:2" x14ac:dyDescent="0.2">
      <c r="A3259" s="458"/>
      <c r="B3259" s="458"/>
    </row>
    <row r="3260" spans="1:2" x14ac:dyDescent="0.2">
      <c r="A3260" s="458"/>
      <c r="B3260" s="458"/>
    </row>
    <row r="3261" spans="1:2" x14ac:dyDescent="0.2">
      <c r="A3261" s="458"/>
      <c r="B3261" s="458"/>
    </row>
    <row r="3262" spans="1:2" x14ac:dyDescent="0.2">
      <c r="A3262" s="458"/>
      <c r="B3262" s="458"/>
    </row>
    <row r="3263" spans="1:2" x14ac:dyDescent="0.2">
      <c r="A3263" s="458"/>
      <c r="B3263" s="458"/>
    </row>
    <row r="3264" spans="1:2" x14ac:dyDescent="0.2">
      <c r="A3264" s="458"/>
      <c r="B3264" s="458"/>
    </row>
    <row r="3265" spans="1:2" x14ac:dyDescent="0.2">
      <c r="A3265" s="458"/>
      <c r="B3265" s="458"/>
    </row>
    <row r="3266" spans="1:2" x14ac:dyDescent="0.2">
      <c r="A3266" s="458"/>
      <c r="B3266" s="458"/>
    </row>
    <row r="3267" spans="1:2" x14ac:dyDescent="0.2">
      <c r="A3267" s="458"/>
      <c r="B3267" s="458"/>
    </row>
    <row r="3268" spans="1:2" x14ac:dyDescent="0.2">
      <c r="A3268" s="458"/>
      <c r="B3268" s="458"/>
    </row>
    <row r="3269" spans="1:2" x14ac:dyDescent="0.2">
      <c r="A3269" s="458"/>
      <c r="B3269" s="458"/>
    </row>
    <row r="3270" spans="1:2" x14ac:dyDescent="0.2">
      <c r="A3270" s="458"/>
      <c r="B3270" s="458"/>
    </row>
    <row r="3271" spans="1:2" x14ac:dyDescent="0.2">
      <c r="A3271" s="458"/>
      <c r="B3271" s="458"/>
    </row>
    <row r="3272" spans="1:2" x14ac:dyDescent="0.2">
      <c r="A3272" s="458"/>
      <c r="B3272" s="458"/>
    </row>
    <row r="3273" spans="1:2" x14ac:dyDescent="0.2">
      <c r="A3273" s="458"/>
      <c r="B3273" s="458"/>
    </row>
    <row r="3274" spans="1:2" x14ac:dyDescent="0.2">
      <c r="A3274" s="458"/>
      <c r="B3274" s="458"/>
    </row>
    <row r="3275" spans="1:2" x14ac:dyDescent="0.2">
      <c r="A3275" s="458"/>
      <c r="B3275" s="458"/>
    </row>
    <row r="3276" spans="1:2" x14ac:dyDescent="0.2">
      <c r="A3276" s="458"/>
      <c r="B3276" s="458"/>
    </row>
    <row r="3277" spans="1:2" x14ac:dyDescent="0.2">
      <c r="A3277" s="458"/>
      <c r="B3277" s="458"/>
    </row>
    <row r="3278" spans="1:2" x14ac:dyDescent="0.2">
      <c r="A3278" s="458"/>
      <c r="B3278" s="458"/>
    </row>
    <row r="3279" spans="1:2" x14ac:dyDescent="0.2">
      <c r="A3279" s="458"/>
      <c r="B3279" s="458"/>
    </row>
    <row r="3280" spans="1:2" x14ac:dyDescent="0.2">
      <c r="A3280" s="458"/>
      <c r="B3280" s="458"/>
    </row>
    <row r="3281" spans="1:2" x14ac:dyDescent="0.2">
      <c r="A3281" s="458"/>
      <c r="B3281" s="458"/>
    </row>
    <row r="3282" spans="1:2" x14ac:dyDescent="0.2">
      <c r="A3282" s="458"/>
      <c r="B3282" s="458"/>
    </row>
    <row r="3283" spans="1:2" x14ac:dyDescent="0.2">
      <c r="A3283" s="458"/>
      <c r="B3283" s="458"/>
    </row>
    <row r="3284" spans="1:2" x14ac:dyDescent="0.2">
      <c r="A3284" s="458"/>
      <c r="B3284" s="458"/>
    </row>
    <row r="3285" spans="1:2" x14ac:dyDescent="0.2">
      <c r="A3285" s="458"/>
      <c r="B3285" s="458"/>
    </row>
    <row r="3286" spans="1:2" x14ac:dyDescent="0.2">
      <c r="A3286" s="458"/>
      <c r="B3286" s="458"/>
    </row>
    <row r="3287" spans="1:2" x14ac:dyDescent="0.2">
      <c r="A3287" s="458"/>
      <c r="B3287" s="458"/>
    </row>
    <row r="3288" spans="1:2" x14ac:dyDescent="0.2">
      <c r="A3288" s="458"/>
      <c r="B3288" s="458"/>
    </row>
    <row r="3289" spans="1:2" x14ac:dyDescent="0.2">
      <c r="A3289" s="458"/>
      <c r="B3289" s="458"/>
    </row>
    <row r="3290" spans="1:2" x14ac:dyDescent="0.2">
      <c r="A3290" s="458"/>
      <c r="B3290" s="458"/>
    </row>
    <row r="3291" spans="1:2" x14ac:dyDescent="0.2">
      <c r="A3291" s="458"/>
      <c r="B3291" s="458"/>
    </row>
    <row r="3292" spans="1:2" x14ac:dyDescent="0.2">
      <c r="A3292" s="458"/>
      <c r="B3292" s="458"/>
    </row>
    <row r="3293" spans="1:2" x14ac:dyDescent="0.2">
      <c r="A3293" s="458"/>
      <c r="B3293" s="458"/>
    </row>
    <row r="3294" spans="1:2" x14ac:dyDescent="0.2">
      <c r="A3294" s="458"/>
      <c r="B3294" s="458"/>
    </row>
    <row r="3295" spans="1:2" x14ac:dyDescent="0.2">
      <c r="A3295" s="458"/>
      <c r="B3295" s="458"/>
    </row>
    <row r="3296" spans="1:2" x14ac:dyDescent="0.2">
      <c r="A3296" s="458"/>
      <c r="B3296" s="458"/>
    </row>
    <row r="3297" spans="1:2" x14ac:dyDescent="0.2">
      <c r="A3297" s="458"/>
      <c r="B3297" s="458"/>
    </row>
    <row r="3298" spans="1:2" x14ac:dyDescent="0.2">
      <c r="A3298" s="458"/>
      <c r="B3298" s="458"/>
    </row>
    <row r="3299" spans="1:2" x14ac:dyDescent="0.2">
      <c r="A3299" s="458"/>
      <c r="B3299" s="458"/>
    </row>
    <row r="3300" spans="1:2" x14ac:dyDescent="0.2">
      <c r="A3300" s="458"/>
      <c r="B3300" s="458"/>
    </row>
    <row r="3301" spans="1:2" x14ac:dyDescent="0.2">
      <c r="A3301" s="458"/>
      <c r="B3301" s="458"/>
    </row>
    <row r="3302" spans="1:2" x14ac:dyDescent="0.2">
      <c r="A3302" s="458"/>
      <c r="B3302" s="458"/>
    </row>
    <row r="3303" spans="1:2" x14ac:dyDescent="0.2">
      <c r="A3303" s="458"/>
      <c r="B3303" s="458"/>
    </row>
    <row r="3304" spans="1:2" x14ac:dyDescent="0.2">
      <c r="A3304" s="458"/>
      <c r="B3304" s="458"/>
    </row>
    <row r="3305" spans="1:2" x14ac:dyDescent="0.2">
      <c r="A3305" s="458"/>
      <c r="B3305" s="458"/>
    </row>
    <row r="3306" spans="1:2" x14ac:dyDescent="0.2">
      <c r="A3306" s="458"/>
      <c r="B3306" s="458"/>
    </row>
    <row r="3307" spans="1:2" x14ac:dyDescent="0.2">
      <c r="A3307" s="458"/>
      <c r="B3307" s="458"/>
    </row>
    <row r="3308" spans="1:2" x14ac:dyDescent="0.2">
      <c r="A3308" s="458"/>
      <c r="B3308" s="458"/>
    </row>
    <row r="3309" spans="1:2" x14ac:dyDescent="0.2">
      <c r="A3309" s="458"/>
      <c r="B3309" s="458"/>
    </row>
    <row r="3310" spans="1:2" x14ac:dyDescent="0.2">
      <c r="A3310" s="458"/>
      <c r="B3310" s="458"/>
    </row>
    <row r="3311" spans="1:2" x14ac:dyDescent="0.2">
      <c r="A3311" s="458"/>
      <c r="B3311" s="458"/>
    </row>
    <row r="3312" spans="1:2" x14ac:dyDescent="0.2">
      <c r="A3312" s="458"/>
      <c r="B3312" s="458"/>
    </row>
    <row r="3313" spans="1:2" x14ac:dyDescent="0.2">
      <c r="A3313" s="458"/>
      <c r="B3313" s="458"/>
    </row>
    <row r="3314" spans="1:2" x14ac:dyDescent="0.2">
      <c r="A3314" s="458"/>
      <c r="B3314" s="458"/>
    </row>
    <row r="3315" spans="1:2" x14ac:dyDescent="0.2">
      <c r="A3315" s="458"/>
      <c r="B3315" s="458"/>
    </row>
    <row r="3316" spans="1:2" x14ac:dyDescent="0.2">
      <c r="A3316" s="458"/>
      <c r="B3316" s="458"/>
    </row>
    <row r="3317" spans="1:2" x14ac:dyDescent="0.2">
      <c r="A3317" s="458"/>
      <c r="B3317" s="458"/>
    </row>
    <row r="3318" spans="1:2" x14ac:dyDescent="0.2">
      <c r="A3318" s="458"/>
      <c r="B3318" s="458"/>
    </row>
    <row r="3319" spans="1:2" x14ac:dyDescent="0.2">
      <c r="A3319" s="458"/>
      <c r="B3319" s="458"/>
    </row>
    <row r="3320" spans="1:2" x14ac:dyDescent="0.2">
      <c r="A3320" s="458"/>
      <c r="B3320" s="458"/>
    </row>
    <row r="3321" spans="1:2" x14ac:dyDescent="0.2">
      <c r="A3321" s="458"/>
      <c r="B3321" s="458"/>
    </row>
    <row r="3322" spans="1:2" x14ac:dyDescent="0.2">
      <c r="A3322" s="458"/>
      <c r="B3322" s="458"/>
    </row>
    <row r="3323" spans="1:2" x14ac:dyDescent="0.2">
      <c r="A3323" s="458"/>
      <c r="B3323" s="458"/>
    </row>
    <row r="3324" spans="1:2" x14ac:dyDescent="0.2">
      <c r="A3324" s="458"/>
      <c r="B3324" s="458"/>
    </row>
    <row r="3325" spans="1:2" x14ac:dyDescent="0.2">
      <c r="A3325" s="458"/>
      <c r="B3325" s="458"/>
    </row>
    <row r="3326" spans="1:2" x14ac:dyDescent="0.2">
      <c r="A3326" s="458"/>
      <c r="B3326" s="458"/>
    </row>
    <row r="3327" spans="1:2" x14ac:dyDescent="0.2">
      <c r="A3327" s="458"/>
      <c r="B3327" s="458"/>
    </row>
    <row r="3328" spans="1:2" x14ac:dyDescent="0.2">
      <c r="A3328" s="458"/>
      <c r="B3328" s="458"/>
    </row>
    <row r="3329" spans="1:2" x14ac:dyDescent="0.2">
      <c r="A3329" s="458"/>
      <c r="B3329" s="458"/>
    </row>
    <row r="3330" spans="1:2" x14ac:dyDescent="0.2">
      <c r="A3330" s="458"/>
      <c r="B3330" s="458"/>
    </row>
    <row r="3331" spans="1:2" x14ac:dyDescent="0.2">
      <c r="A3331" s="458"/>
      <c r="B3331" s="458"/>
    </row>
    <row r="3332" spans="1:2" x14ac:dyDescent="0.2">
      <c r="A3332" s="458"/>
      <c r="B3332" s="458"/>
    </row>
    <row r="3333" spans="1:2" x14ac:dyDescent="0.2">
      <c r="A3333" s="458"/>
      <c r="B3333" s="458"/>
    </row>
    <row r="3334" spans="1:2" x14ac:dyDescent="0.2">
      <c r="A3334" s="458"/>
      <c r="B3334" s="458"/>
    </row>
    <row r="3335" spans="1:2" x14ac:dyDescent="0.2">
      <c r="A3335" s="458"/>
      <c r="B3335" s="458"/>
    </row>
    <row r="3336" spans="1:2" x14ac:dyDescent="0.2">
      <c r="A3336" s="458"/>
      <c r="B3336" s="458"/>
    </row>
    <row r="3337" spans="1:2" x14ac:dyDescent="0.2">
      <c r="A3337" s="458"/>
      <c r="B3337" s="458"/>
    </row>
    <row r="3338" spans="1:2" x14ac:dyDescent="0.2">
      <c r="A3338" s="458"/>
      <c r="B3338" s="458"/>
    </row>
    <row r="3339" spans="1:2" x14ac:dyDescent="0.2">
      <c r="A3339" s="458"/>
      <c r="B3339" s="458"/>
    </row>
    <row r="3340" spans="1:2" x14ac:dyDescent="0.2">
      <c r="A3340" s="458"/>
      <c r="B3340" s="458"/>
    </row>
    <row r="3341" spans="1:2" x14ac:dyDescent="0.2">
      <c r="A3341" s="458"/>
      <c r="B3341" s="458"/>
    </row>
    <row r="3342" spans="1:2" x14ac:dyDescent="0.2">
      <c r="A3342" s="458"/>
      <c r="B3342" s="458"/>
    </row>
    <row r="3343" spans="1:2" x14ac:dyDescent="0.2">
      <c r="A3343" s="458"/>
      <c r="B3343" s="458"/>
    </row>
    <row r="3344" spans="1:2" x14ac:dyDescent="0.2">
      <c r="A3344" s="458"/>
      <c r="B3344" s="458"/>
    </row>
    <row r="3345" spans="1:2" x14ac:dyDescent="0.2">
      <c r="A3345" s="458"/>
      <c r="B3345" s="458"/>
    </row>
    <row r="3346" spans="1:2" x14ac:dyDescent="0.2">
      <c r="A3346" s="458"/>
      <c r="B3346" s="458"/>
    </row>
    <row r="3347" spans="1:2" x14ac:dyDescent="0.2">
      <c r="A3347" s="458"/>
      <c r="B3347" s="458"/>
    </row>
    <row r="3348" spans="1:2" x14ac:dyDescent="0.2">
      <c r="A3348" s="458"/>
      <c r="B3348" s="458"/>
    </row>
    <row r="3349" spans="1:2" x14ac:dyDescent="0.2">
      <c r="A3349" s="458"/>
      <c r="B3349" s="458"/>
    </row>
    <row r="3350" spans="1:2" x14ac:dyDescent="0.2">
      <c r="A3350" s="458"/>
      <c r="B3350" s="458"/>
    </row>
    <row r="3351" spans="1:2" x14ac:dyDescent="0.2">
      <c r="A3351" s="458"/>
      <c r="B3351" s="458"/>
    </row>
    <row r="3352" spans="1:2" x14ac:dyDescent="0.2">
      <c r="A3352" s="458"/>
      <c r="B3352" s="458"/>
    </row>
    <row r="3353" spans="1:2" x14ac:dyDescent="0.2">
      <c r="A3353" s="458"/>
      <c r="B3353" s="458"/>
    </row>
    <row r="3354" spans="1:2" x14ac:dyDescent="0.2">
      <c r="A3354" s="458"/>
      <c r="B3354" s="458"/>
    </row>
    <row r="3355" spans="1:2" x14ac:dyDescent="0.2">
      <c r="A3355" s="458"/>
      <c r="B3355" s="458"/>
    </row>
    <row r="3356" spans="1:2" x14ac:dyDescent="0.2">
      <c r="A3356" s="458"/>
      <c r="B3356" s="458"/>
    </row>
    <row r="3357" spans="1:2" x14ac:dyDescent="0.2">
      <c r="A3357" s="458"/>
      <c r="B3357" s="458"/>
    </row>
    <row r="3358" spans="1:2" x14ac:dyDescent="0.2">
      <c r="A3358" s="458"/>
      <c r="B3358" s="458"/>
    </row>
    <row r="3359" spans="1:2" x14ac:dyDescent="0.2">
      <c r="A3359" s="458"/>
      <c r="B3359" s="458"/>
    </row>
    <row r="3360" spans="1:2" x14ac:dyDescent="0.2">
      <c r="A3360" s="458"/>
      <c r="B3360" s="458"/>
    </row>
    <row r="3361" spans="1:2" x14ac:dyDescent="0.2">
      <c r="A3361" s="458"/>
      <c r="B3361" s="458"/>
    </row>
    <row r="3362" spans="1:2" x14ac:dyDescent="0.2">
      <c r="A3362" s="458"/>
      <c r="B3362" s="458"/>
    </row>
    <row r="3363" spans="1:2" x14ac:dyDescent="0.2">
      <c r="A3363" s="458"/>
      <c r="B3363" s="458"/>
    </row>
    <row r="3364" spans="1:2" x14ac:dyDescent="0.2">
      <c r="A3364" s="458"/>
      <c r="B3364" s="458"/>
    </row>
    <row r="3365" spans="1:2" x14ac:dyDescent="0.2">
      <c r="A3365" s="458"/>
      <c r="B3365" s="458"/>
    </row>
    <row r="3366" spans="1:2" x14ac:dyDescent="0.2">
      <c r="A3366" s="458"/>
      <c r="B3366" s="458"/>
    </row>
    <row r="3367" spans="1:2" x14ac:dyDescent="0.2">
      <c r="A3367" s="458"/>
      <c r="B3367" s="458"/>
    </row>
    <row r="3368" spans="1:2" x14ac:dyDescent="0.2">
      <c r="A3368" s="458"/>
      <c r="B3368" s="458"/>
    </row>
    <row r="3369" spans="1:2" x14ac:dyDescent="0.2">
      <c r="A3369" s="458"/>
      <c r="B3369" s="458"/>
    </row>
    <row r="3370" spans="1:2" x14ac:dyDescent="0.2">
      <c r="A3370" s="458"/>
      <c r="B3370" s="458"/>
    </row>
    <row r="3371" spans="1:2" x14ac:dyDescent="0.2">
      <c r="A3371" s="458"/>
      <c r="B3371" s="458"/>
    </row>
    <row r="3372" spans="1:2" x14ac:dyDescent="0.2">
      <c r="A3372" s="458"/>
      <c r="B3372" s="458"/>
    </row>
    <row r="3373" spans="1:2" x14ac:dyDescent="0.2">
      <c r="A3373" s="458"/>
      <c r="B3373" s="458"/>
    </row>
    <row r="3374" spans="1:2" x14ac:dyDescent="0.2">
      <c r="A3374" s="458"/>
      <c r="B3374" s="458"/>
    </row>
    <row r="3375" spans="1:2" x14ac:dyDescent="0.2">
      <c r="A3375" s="458"/>
      <c r="B3375" s="458"/>
    </row>
    <row r="3376" spans="1:2" x14ac:dyDescent="0.2">
      <c r="A3376" s="458"/>
      <c r="B3376" s="458"/>
    </row>
    <row r="3377" spans="1:2" x14ac:dyDescent="0.2">
      <c r="A3377" s="458"/>
      <c r="B3377" s="458"/>
    </row>
    <row r="3378" spans="1:2" x14ac:dyDescent="0.2">
      <c r="A3378" s="458"/>
      <c r="B3378" s="458"/>
    </row>
    <row r="3379" spans="1:2" x14ac:dyDescent="0.2">
      <c r="A3379" s="458"/>
      <c r="B3379" s="458"/>
    </row>
    <row r="3380" spans="1:2" x14ac:dyDescent="0.2">
      <c r="A3380" s="458"/>
      <c r="B3380" s="458"/>
    </row>
    <row r="3381" spans="1:2" x14ac:dyDescent="0.2">
      <c r="A3381" s="458"/>
      <c r="B3381" s="458"/>
    </row>
    <row r="3382" spans="1:2" x14ac:dyDescent="0.2">
      <c r="A3382" s="458"/>
      <c r="B3382" s="458"/>
    </row>
    <row r="3383" spans="1:2" x14ac:dyDescent="0.2">
      <c r="A3383" s="458"/>
      <c r="B3383" s="458"/>
    </row>
    <row r="3384" spans="1:2" x14ac:dyDescent="0.2">
      <c r="A3384" s="458"/>
      <c r="B3384" s="458"/>
    </row>
    <row r="3385" spans="1:2" x14ac:dyDescent="0.2">
      <c r="A3385" s="458"/>
      <c r="B3385" s="458"/>
    </row>
    <row r="3386" spans="1:2" x14ac:dyDescent="0.2">
      <c r="A3386" s="458"/>
      <c r="B3386" s="458"/>
    </row>
    <row r="3387" spans="1:2" x14ac:dyDescent="0.2">
      <c r="A3387" s="458"/>
      <c r="B3387" s="458"/>
    </row>
    <row r="3388" spans="1:2" x14ac:dyDescent="0.2">
      <c r="A3388" s="458"/>
      <c r="B3388" s="458"/>
    </row>
    <row r="3389" spans="1:2" x14ac:dyDescent="0.2">
      <c r="A3389" s="458"/>
      <c r="B3389" s="458"/>
    </row>
    <row r="3390" spans="1:2" x14ac:dyDescent="0.2">
      <c r="A3390" s="458"/>
      <c r="B3390" s="458"/>
    </row>
    <row r="3391" spans="1:2" x14ac:dyDescent="0.2">
      <c r="A3391" s="458"/>
      <c r="B3391" s="458"/>
    </row>
    <row r="3392" spans="1:2" x14ac:dyDescent="0.2">
      <c r="A3392" s="458"/>
      <c r="B3392" s="458"/>
    </row>
    <row r="3393" spans="1:2" x14ac:dyDescent="0.2">
      <c r="A3393" s="458"/>
      <c r="B3393" s="458"/>
    </row>
    <row r="3394" spans="1:2" x14ac:dyDescent="0.2">
      <c r="A3394" s="458"/>
      <c r="B3394" s="458"/>
    </row>
    <row r="3395" spans="1:2" x14ac:dyDescent="0.2">
      <c r="A3395" s="458"/>
      <c r="B3395" s="458"/>
    </row>
    <row r="3396" spans="1:2" x14ac:dyDescent="0.2">
      <c r="A3396" s="458"/>
      <c r="B3396" s="458"/>
    </row>
    <row r="3397" spans="1:2" x14ac:dyDescent="0.2">
      <c r="A3397" s="458"/>
      <c r="B3397" s="458"/>
    </row>
    <row r="3398" spans="1:2" x14ac:dyDescent="0.2">
      <c r="A3398" s="458"/>
      <c r="B3398" s="458"/>
    </row>
    <row r="3399" spans="1:2" x14ac:dyDescent="0.2">
      <c r="A3399" s="458"/>
      <c r="B3399" s="458"/>
    </row>
    <row r="3400" spans="1:2" x14ac:dyDescent="0.2">
      <c r="A3400" s="458"/>
      <c r="B3400" s="458"/>
    </row>
    <row r="3401" spans="1:2" x14ac:dyDescent="0.2">
      <c r="A3401" s="458"/>
      <c r="B3401" s="458"/>
    </row>
    <row r="3402" spans="1:2" x14ac:dyDescent="0.2">
      <c r="A3402" s="458"/>
      <c r="B3402" s="458"/>
    </row>
    <row r="3403" spans="1:2" x14ac:dyDescent="0.2">
      <c r="A3403" s="458"/>
      <c r="B3403" s="458"/>
    </row>
    <row r="3404" spans="1:2" x14ac:dyDescent="0.2">
      <c r="A3404" s="458"/>
      <c r="B3404" s="458"/>
    </row>
    <row r="3405" spans="1:2" x14ac:dyDescent="0.2">
      <c r="A3405" s="458"/>
      <c r="B3405" s="458"/>
    </row>
    <row r="3406" spans="1:2" x14ac:dyDescent="0.2">
      <c r="A3406" s="458"/>
      <c r="B3406" s="458"/>
    </row>
    <row r="3407" spans="1:2" x14ac:dyDescent="0.2">
      <c r="A3407" s="458"/>
      <c r="B3407" s="458"/>
    </row>
    <row r="3408" spans="1:2" x14ac:dyDescent="0.2">
      <c r="A3408" s="458"/>
      <c r="B3408" s="458"/>
    </row>
    <row r="3409" spans="1:2" x14ac:dyDescent="0.2">
      <c r="A3409" s="458"/>
      <c r="B3409" s="458"/>
    </row>
    <row r="3410" spans="1:2" x14ac:dyDescent="0.2">
      <c r="A3410" s="458"/>
      <c r="B3410" s="458"/>
    </row>
    <row r="3411" spans="1:2" x14ac:dyDescent="0.2">
      <c r="A3411" s="458"/>
      <c r="B3411" s="458"/>
    </row>
    <row r="3412" spans="1:2" x14ac:dyDescent="0.2">
      <c r="A3412" s="458"/>
      <c r="B3412" s="458"/>
    </row>
    <row r="3413" spans="1:2" x14ac:dyDescent="0.2">
      <c r="A3413" s="458"/>
      <c r="B3413" s="458"/>
    </row>
    <row r="3414" spans="1:2" x14ac:dyDescent="0.2">
      <c r="A3414" s="458"/>
      <c r="B3414" s="458"/>
    </row>
    <row r="3415" spans="1:2" x14ac:dyDescent="0.2">
      <c r="A3415" s="458"/>
      <c r="B3415" s="458"/>
    </row>
    <row r="3416" spans="1:2" x14ac:dyDescent="0.2">
      <c r="A3416" s="458"/>
      <c r="B3416" s="458"/>
    </row>
    <row r="3417" spans="1:2" x14ac:dyDescent="0.2">
      <c r="A3417" s="458"/>
      <c r="B3417" s="458"/>
    </row>
    <row r="3418" spans="1:2" x14ac:dyDescent="0.2">
      <c r="A3418" s="458"/>
      <c r="B3418" s="458"/>
    </row>
    <row r="3419" spans="1:2" x14ac:dyDescent="0.2">
      <c r="A3419" s="458"/>
      <c r="B3419" s="458"/>
    </row>
    <row r="3420" spans="1:2" x14ac:dyDescent="0.2">
      <c r="A3420" s="458"/>
      <c r="B3420" s="458"/>
    </row>
    <row r="3421" spans="1:2" x14ac:dyDescent="0.2">
      <c r="A3421" s="458"/>
      <c r="B3421" s="458"/>
    </row>
    <row r="3422" spans="1:2" x14ac:dyDescent="0.2">
      <c r="A3422" s="458"/>
      <c r="B3422" s="458"/>
    </row>
    <row r="3423" spans="1:2" x14ac:dyDescent="0.2">
      <c r="A3423" s="458"/>
      <c r="B3423" s="458"/>
    </row>
    <row r="3424" spans="1:2" x14ac:dyDescent="0.2">
      <c r="A3424" s="458"/>
      <c r="B3424" s="458"/>
    </row>
    <row r="3425" spans="1:2" x14ac:dyDescent="0.2">
      <c r="A3425" s="458"/>
      <c r="B3425" s="458"/>
    </row>
    <row r="3426" spans="1:2" x14ac:dyDescent="0.2">
      <c r="A3426" s="458"/>
      <c r="B3426" s="458"/>
    </row>
    <row r="3427" spans="1:2" x14ac:dyDescent="0.2">
      <c r="A3427" s="458"/>
      <c r="B3427" s="458"/>
    </row>
    <row r="3428" spans="1:2" x14ac:dyDescent="0.2">
      <c r="A3428" s="458"/>
      <c r="B3428" s="458"/>
    </row>
    <row r="3429" spans="1:2" x14ac:dyDescent="0.2">
      <c r="A3429" s="458"/>
      <c r="B3429" s="458"/>
    </row>
    <row r="3430" spans="1:2" x14ac:dyDescent="0.2">
      <c r="A3430" s="458"/>
      <c r="B3430" s="458"/>
    </row>
    <row r="3431" spans="1:2" x14ac:dyDescent="0.2">
      <c r="A3431" s="458"/>
      <c r="B3431" s="458"/>
    </row>
    <row r="3432" spans="1:2" x14ac:dyDescent="0.2">
      <c r="A3432" s="458"/>
      <c r="B3432" s="458"/>
    </row>
    <row r="3433" spans="1:2" x14ac:dyDescent="0.2">
      <c r="A3433" s="458"/>
      <c r="B3433" s="458"/>
    </row>
    <row r="3434" spans="1:2" x14ac:dyDescent="0.2">
      <c r="A3434" s="458"/>
      <c r="B3434" s="458"/>
    </row>
    <row r="3435" spans="1:2" x14ac:dyDescent="0.2">
      <c r="A3435" s="458"/>
      <c r="B3435" s="458"/>
    </row>
    <row r="3436" spans="1:2" x14ac:dyDescent="0.2">
      <c r="A3436" s="458"/>
      <c r="B3436" s="458"/>
    </row>
    <row r="3437" spans="1:2" x14ac:dyDescent="0.2">
      <c r="A3437" s="458"/>
      <c r="B3437" s="458"/>
    </row>
    <row r="3438" spans="1:2" x14ac:dyDescent="0.2">
      <c r="A3438" s="458"/>
      <c r="B3438" s="458"/>
    </row>
    <row r="3439" spans="1:2" x14ac:dyDescent="0.2">
      <c r="A3439" s="458"/>
      <c r="B3439" s="458"/>
    </row>
    <row r="3440" spans="1:2" x14ac:dyDescent="0.2">
      <c r="A3440" s="458"/>
      <c r="B3440" s="458"/>
    </row>
    <row r="3441" spans="1:2" x14ac:dyDescent="0.2">
      <c r="A3441" s="458"/>
      <c r="B3441" s="458"/>
    </row>
    <row r="3442" spans="1:2" x14ac:dyDescent="0.2">
      <c r="A3442" s="458"/>
      <c r="B3442" s="458"/>
    </row>
    <row r="3443" spans="1:2" x14ac:dyDescent="0.2">
      <c r="A3443" s="458"/>
      <c r="B3443" s="458"/>
    </row>
    <row r="3444" spans="1:2" x14ac:dyDescent="0.2">
      <c r="A3444" s="458"/>
      <c r="B3444" s="458"/>
    </row>
    <row r="3445" spans="1:2" x14ac:dyDescent="0.2">
      <c r="A3445" s="458"/>
      <c r="B3445" s="458"/>
    </row>
    <row r="3446" spans="1:2" x14ac:dyDescent="0.2">
      <c r="A3446" s="458"/>
      <c r="B3446" s="458"/>
    </row>
    <row r="3447" spans="1:2" x14ac:dyDescent="0.2">
      <c r="A3447" s="458"/>
      <c r="B3447" s="458"/>
    </row>
    <row r="3448" spans="1:2" x14ac:dyDescent="0.2">
      <c r="A3448" s="458"/>
      <c r="B3448" s="458"/>
    </row>
    <row r="3449" spans="1:2" x14ac:dyDescent="0.2">
      <c r="A3449" s="458"/>
      <c r="B3449" s="458"/>
    </row>
    <row r="3450" spans="1:2" x14ac:dyDescent="0.2">
      <c r="A3450" s="458"/>
      <c r="B3450" s="458"/>
    </row>
    <row r="3451" spans="1:2" x14ac:dyDescent="0.2">
      <c r="A3451" s="458"/>
      <c r="B3451" s="458"/>
    </row>
    <row r="3452" spans="1:2" x14ac:dyDescent="0.2">
      <c r="A3452" s="458"/>
      <c r="B3452" s="458"/>
    </row>
    <row r="3453" spans="1:2" x14ac:dyDescent="0.2">
      <c r="A3453" s="458"/>
      <c r="B3453" s="458"/>
    </row>
    <row r="3454" spans="1:2" x14ac:dyDescent="0.2">
      <c r="A3454" s="458"/>
      <c r="B3454" s="458"/>
    </row>
    <row r="3455" spans="1:2" x14ac:dyDescent="0.2">
      <c r="A3455" s="458"/>
      <c r="B3455" s="458"/>
    </row>
    <row r="3456" spans="1:2" x14ac:dyDescent="0.2">
      <c r="A3456" s="458"/>
      <c r="B3456" s="458"/>
    </row>
    <row r="3457" spans="1:2" x14ac:dyDescent="0.2">
      <c r="A3457" s="458"/>
      <c r="B3457" s="458"/>
    </row>
    <row r="3458" spans="1:2" x14ac:dyDescent="0.2">
      <c r="A3458" s="458"/>
      <c r="B3458" s="458"/>
    </row>
    <row r="3459" spans="1:2" x14ac:dyDescent="0.2">
      <c r="A3459" s="458"/>
      <c r="B3459" s="458"/>
    </row>
    <row r="3460" spans="1:2" x14ac:dyDescent="0.2">
      <c r="A3460" s="458"/>
      <c r="B3460" s="458"/>
    </row>
    <row r="3461" spans="1:2" x14ac:dyDescent="0.2">
      <c r="A3461" s="458"/>
      <c r="B3461" s="458"/>
    </row>
    <row r="3462" spans="1:2" x14ac:dyDescent="0.2">
      <c r="A3462" s="458"/>
      <c r="B3462" s="458"/>
    </row>
    <row r="3463" spans="1:2" x14ac:dyDescent="0.2">
      <c r="A3463" s="458"/>
      <c r="B3463" s="458"/>
    </row>
    <row r="3464" spans="1:2" x14ac:dyDescent="0.2">
      <c r="A3464" s="458"/>
      <c r="B3464" s="458"/>
    </row>
    <row r="3465" spans="1:2" x14ac:dyDescent="0.2">
      <c r="A3465" s="458"/>
      <c r="B3465" s="458"/>
    </row>
    <row r="3466" spans="1:2" x14ac:dyDescent="0.2">
      <c r="A3466" s="458"/>
      <c r="B3466" s="458"/>
    </row>
    <row r="3467" spans="1:2" x14ac:dyDescent="0.2">
      <c r="A3467" s="458"/>
      <c r="B3467" s="458"/>
    </row>
    <row r="3468" spans="1:2" x14ac:dyDescent="0.2">
      <c r="A3468" s="458"/>
      <c r="B3468" s="458"/>
    </row>
    <row r="3469" spans="1:2" x14ac:dyDescent="0.2">
      <c r="A3469" s="458"/>
      <c r="B3469" s="458"/>
    </row>
    <row r="3470" spans="1:2" x14ac:dyDescent="0.2">
      <c r="A3470" s="458"/>
      <c r="B3470" s="458"/>
    </row>
    <row r="3471" spans="1:2" x14ac:dyDescent="0.2">
      <c r="A3471" s="458"/>
      <c r="B3471" s="458"/>
    </row>
    <row r="3472" spans="1:2" x14ac:dyDescent="0.2">
      <c r="A3472" s="458"/>
      <c r="B3472" s="458"/>
    </row>
    <row r="3473" spans="1:2" x14ac:dyDescent="0.2">
      <c r="A3473" s="458"/>
      <c r="B3473" s="458"/>
    </row>
    <row r="3474" spans="1:2" x14ac:dyDescent="0.2">
      <c r="A3474" s="458"/>
      <c r="B3474" s="458"/>
    </row>
    <row r="3475" spans="1:2" x14ac:dyDescent="0.2">
      <c r="A3475" s="458"/>
      <c r="B3475" s="458"/>
    </row>
    <row r="3476" spans="1:2" x14ac:dyDescent="0.2">
      <c r="A3476" s="458"/>
      <c r="B3476" s="458"/>
    </row>
    <row r="3477" spans="1:2" x14ac:dyDescent="0.2">
      <c r="A3477" s="458"/>
      <c r="B3477" s="458"/>
    </row>
    <row r="3478" spans="1:2" x14ac:dyDescent="0.2">
      <c r="A3478" s="458"/>
      <c r="B3478" s="458"/>
    </row>
    <row r="3479" spans="1:2" x14ac:dyDescent="0.2">
      <c r="A3479" s="458"/>
      <c r="B3479" s="458"/>
    </row>
    <row r="3480" spans="1:2" x14ac:dyDescent="0.2">
      <c r="A3480" s="458"/>
      <c r="B3480" s="458"/>
    </row>
    <row r="3481" spans="1:2" x14ac:dyDescent="0.2">
      <c r="A3481" s="458"/>
      <c r="B3481" s="458"/>
    </row>
    <row r="3482" spans="1:2" x14ac:dyDescent="0.2">
      <c r="A3482" s="458"/>
      <c r="B3482" s="458"/>
    </row>
    <row r="3483" spans="1:2" x14ac:dyDescent="0.2">
      <c r="A3483" s="458"/>
      <c r="B3483" s="458"/>
    </row>
    <row r="3484" spans="1:2" x14ac:dyDescent="0.2">
      <c r="A3484" s="458"/>
      <c r="B3484" s="458"/>
    </row>
    <row r="3485" spans="1:2" x14ac:dyDescent="0.2">
      <c r="A3485" s="458"/>
      <c r="B3485" s="458"/>
    </row>
    <row r="3486" spans="1:2" x14ac:dyDescent="0.2">
      <c r="A3486" s="458"/>
      <c r="B3486" s="458"/>
    </row>
    <row r="3487" spans="1:2" x14ac:dyDescent="0.2">
      <c r="A3487" s="458"/>
      <c r="B3487" s="458"/>
    </row>
    <row r="3488" spans="1:2" x14ac:dyDescent="0.2">
      <c r="A3488" s="458"/>
      <c r="B3488" s="458"/>
    </row>
    <row r="3489" spans="1:2" x14ac:dyDescent="0.2">
      <c r="A3489" s="458"/>
      <c r="B3489" s="458"/>
    </row>
    <row r="3490" spans="1:2" x14ac:dyDescent="0.2">
      <c r="A3490" s="458"/>
      <c r="B3490" s="458"/>
    </row>
    <row r="3491" spans="1:2" x14ac:dyDescent="0.2">
      <c r="A3491" s="458"/>
      <c r="B3491" s="458"/>
    </row>
    <row r="3492" spans="1:2" x14ac:dyDescent="0.2">
      <c r="A3492" s="458"/>
      <c r="B3492" s="458"/>
    </row>
    <row r="3493" spans="1:2" x14ac:dyDescent="0.2">
      <c r="A3493" s="458"/>
      <c r="B3493" s="458"/>
    </row>
    <row r="3494" spans="1:2" x14ac:dyDescent="0.2">
      <c r="A3494" s="458"/>
      <c r="B3494" s="458"/>
    </row>
    <row r="3495" spans="1:2" x14ac:dyDescent="0.2">
      <c r="A3495" s="458"/>
      <c r="B3495" s="458"/>
    </row>
    <row r="3496" spans="1:2" x14ac:dyDescent="0.2">
      <c r="A3496" s="458"/>
      <c r="B3496" s="458"/>
    </row>
    <row r="3497" spans="1:2" x14ac:dyDescent="0.2">
      <c r="A3497" s="458"/>
      <c r="B3497" s="458"/>
    </row>
    <row r="3498" spans="1:2" x14ac:dyDescent="0.2">
      <c r="A3498" s="458"/>
      <c r="B3498" s="458"/>
    </row>
    <row r="3499" spans="1:2" x14ac:dyDescent="0.2">
      <c r="A3499" s="458"/>
      <c r="B3499" s="458"/>
    </row>
    <row r="3500" spans="1:2" x14ac:dyDescent="0.2">
      <c r="A3500" s="458"/>
      <c r="B3500" s="458"/>
    </row>
    <row r="3501" spans="1:2" x14ac:dyDescent="0.2">
      <c r="A3501" s="458"/>
      <c r="B3501" s="458"/>
    </row>
    <row r="3502" spans="1:2" x14ac:dyDescent="0.2">
      <c r="A3502" s="458"/>
      <c r="B3502" s="458"/>
    </row>
    <row r="3503" spans="1:2" x14ac:dyDescent="0.2">
      <c r="A3503" s="458"/>
      <c r="B3503" s="458"/>
    </row>
    <row r="3504" spans="1:2" x14ac:dyDescent="0.2">
      <c r="A3504" s="458"/>
      <c r="B3504" s="458"/>
    </row>
    <row r="3505" spans="1:2" x14ac:dyDescent="0.2">
      <c r="A3505" s="458"/>
      <c r="B3505" s="458"/>
    </row>
    <row r="3506" spans="1:2" x14ac:dyDescent="0.2">
      <c r="A3506" s="458"/>
      <c r="B3506" s="458"/>
    </row>
    <row r="3507" spans="1:2" x14ac:dyDescent="0.2">
      <c r="A3507" s="458"/>
      <c r="B3507" s="458"/>
    </row>
    <row r="3508" spans="1:2" x14ac:dyDescent="0.2">
      <c r="A3508" s="458"/>
      <c r="B3508" s="458"/>
    </row>
    <row r="3509" spans="1:2" x14ac:dyDescent="0.2">
      <c r="A3509" s="458"/>
      <c r="B3509" s="458"/>
    </row>
    <row r="3510" spans="1:2" x14ac:dyDescent="0.2">
      <c r="A3510" s="458"/>
      <c r="B3510" s="458"/>
    </row>
    <row r="3511" spans="1:2" x14ac:dyDescent="0.2">
      <c r="A3511" s="458"/>
      <c r="B3511" s="458"/>
    </row>
    <row r="3512" spans="1:2" x14ac:dyDescent="0.2">
      <c r="A3512" s="458"/>
      <c r="B3512" s="458"/>
    </row>
    <row r="3513" spans="1:2" x14ac:dyDescent="0.2">
      <c r="A3513" s="458"/>
      <c r="B3513" s="458"/>
    </row>
    <row r="3514" spans="1:2" x14ac:dyDescent="0.2">
      <c r="A3514" s="458"/>
      <c r="B3514" s="458"/>
    </row>
    <row r="3515" spans="1:2" x14ac:dyDescent="0.2">
      <c r="A3515" s="458"/>
      <c r="B3515" s="458"/>
    </row>
    <row r="3516" spans="1:2" x14ac:dyDescent="0.2">
      <c r="A3516" s="458"/>
      <c r="B3516" s="458"/>
    </row>
    <row r="3517" spans="1:2" x14ac:dyDescent="0.2">
      <c r="A3517" s="458"/>
      <c r="B3517" s="458"/>
    </row>
    <row r="3518" spans="1:2" x14ac:dyDescent="0.2">
      <c r="A3518" s="458"/>
      <c r="B3518" s="458"/>
    </row>
    <row r="3519" spans="1:2" x14ac:dyDescent="0.2">
      <c r="A3519" s="458"/>
      <c r="B3519" s="458"/>
    </row>
    <row r="3520" spans="1:2" x14ac:dyDescent="0.2">
      <c r="A3520" s="458"/>
      <c r="B3520" s="458"/>
    </row>
    <row r="3521" spans="1:2" x14ac:dyDescent="0.2">
      <c r="A3521" s="458"/>
      <c r="B3521" s="458"/>
    </row>
    <row r="3522" spans="1:2" x14ac:dyDescent="0.2">
      <c r="A3522" s="458"/>
      <c r="B3522" s="458"/>
    </row>
    <row r="3523" spans="1:2" x14ac:dyDescent="0.2">
      <c r="A3523" s="458"/>
      <c r="B3523" s="458"/>
    </row>
    <row r="3524" spans="1:2" x14ac:dyDescent="0.2">
      <c r="A3524" s="458"/>
      <c r="B3524" s="458"/>
    </row>
    <row r="3525" spans="1:2" x14ac:dyDescent="0.2">
      <c r="A3525" s="458"/>
      <c r="B3525" s="458"/>
    </row>
    <row r="3526" spans="1:2" x14ac:dyDescent="0.2">
      <c r="A3526" s="458"/>
      <c r="B3526" s="458"/>
    </row>
    <row r="3527" spans="1:2" x14ac:dyDescent="0.2">
      <c r="A3527" s="458"/>
      <c r="B3527" s="458"/>
    </row>
    <row r="3528" spans="1:2" x14ac:dyDescent="0.2">
      <c r="A3528" s="458"/>
      <c r="B3528" s="458"/>
    </row>
    <row r="3529" spans="1:2" x14ac:dyDescent="0.2">
      <c r="A3529" s="458"/>
      <c r="B3529" s="458"/>
    </row>
    <row r="3530" spans="1:2" x14ac:dyDescent="0.2">
      <c r="A3530" s="458"/>
      <c r="B3530" s="458"/>
    </row>
    <row r="3531" spans="1:2" x14ac:dyDescent="0.2">
      <c r="A3531" s="458"/>
      <c r="B3531" s="458"/>
    </row>
    <row r="3532" spans="1:2" x14ac:dyDescent="0.2">
      <c r="A3532" s="458"/>
      <c r="B3532" s="458"/>
    </row>
    <row r="3533" spans="1:2" x14ac:dyDescent="0.2">
      <c r="A3533" s="458"/>
      <c r="B3533" s="458"/>
    </row>
    <row r="3534" spans="1:2" x14ac:dyDescent="0.2">
      <c r="A3534" s="458"/>
      <c r="B3534" s="458"/>
    </row>
    <row r="3535" spans="1:2" x14ac:dyDescent="0.2">
      <c r="A3535" s="458"/>
      <c r="B3535" s="458"/>
    </row>
    <row r="3536" spans="1:2" x14ac:dyDescent="0.2">
      <c r="A3536" s="458"/>
      <c r="B3536" s="458"/>
    </row>
    <row r="3537" spans="1:2" x14ac:dyDescent="0.2">
      <c r="A3537" s="458"/>
      <c r="B3537" s="458"/>
    </row>
    <row r="3538" spans="1:2" x14ac:dyDescent="0.2">
      <c r="A3538" s="458"/>
      <c r="B3538" s="458"/>
    </row>
    <row r="3539" spans="1:2" x14ac:dyDescent="0.2">
      <c r="A3539" s="458"/>
      <c r="B3539" s="458"/>
    </row>
    <row r="3540" spans="1:2" x14ac:dyDescent="0.2">
      <c r="A3540" s="458"/>
      <c r="B3540" s="458"/>
    </row>
    <row r="3541" spans="1:2" x14ac:dyDescent="0.2">
      <c r="A3541" s="458"/>
      <c r="B3541" s="458"/>
    </row>
    <row r="3542" spans="1:2" x14ac:dyDescent="0.2">
      <c r="A3542" s="458"/>
      <c r="B3542" s="458"/>
    </row>
    <row r="3543" spans="1:2" x14ac:dyDescent="0.2">
      <c r="A3543" s="458"/>
      <c r="B3543" s="458"/>
    </row>
    <row r="3544" spans="1:2" x14ac:dyDescent="0.2">
      <c r="A3544" s="458"/>
      <c r="B3544" s="458"/>
    </row>
    <row r="3545" spans="1:2" x14ac:dyDescent="0.2">
      <c r="A3545" s="458"/>
      <c r="B3545" s="458"/>
    </row>
    <row r="3546" spans="1:2" x14ac:dyDescent="0.2">
      <c r="A3546" s="458"/>
      <c r="B3546" s="458"/>
    </row>
    <row r="3547" spans="1:2" x14ac:dyDescent="0.2">
      <c r="A3547" s="458"/>
      <c r="B3547" s="458"/>
    </row>
    <row r="3548" spans="1:2" x14ac:dyDescent="0.2">
      <c r="A3548" s="458"/>
      <c r="B3548" s="458"/>
    </row>
    <row r="3549" spans="1:2" x14ac:dyDescent="0.2">
      <c r="A3549" s="458"/>
      <c r="B3549" s="458"/>
    </row>
    <row r="3550" spans="1:2" x14ac:dyDescent="0.2">
      <c r="A3550" s="458"/>
      <c r="B3550" s="458"/>
    </row>
    <row r="3551" spans="1:2" x14ac:dyDescent="0.2">
      <c r="A3551" s="458"/>
      <c r="B3551" s="458"/>
    </row>
    <row r="3552" spans="1:2" x14ac:dyDescent="0.2">
      <c r="A3552" s="458"/>
      <c r="B3552" s="458"/>
    </row>
    <row r="3553" spans="1:2" x14ac:dyDescent="0.2">
      <c r="A3553" s="458"/>
      <c r="B3553" s="458"/>
    </row>
    <row r="3554" spans="1:2" x14ac:dyDescent="0.2">
      <c r="A3554" s="458"/>
      <c r="B3554" s="458"/>
    </row>
    <row r="3555" spans="1:2" x14ac:dyDescent="0.2">
      <c r="A3555" s="458"/>
      <c r="B3555" s="458"/>
    </row>
    <row r="3556" spans="1:2" x14ac:dyDescent="0.2">
      <c r="A3556" s="458"/>
      <c r="B3556" s="458"/>
    </row>
    <row r="3557" spans="1:2" x14ac:dyDescent="0.2">
      <c r="A3557" s="458"/>
      <c r="B3557" s="458"/>
    </row>
    <row r="3558" spans="1:2" x14ac:dyDescent="0.2">
      <c r="A3558" s="458"/>
      <c r="B3558" s="458"/>
    </row>
    <row r="3559" spans="1:2" x14ac:dyDescent="0.2">
      <c r="A3559" s="458"/>
      <c r="B3559" s="458"/>
    </row>
    <row r="3560" spans="1:2" x14ac:dyDescent="0.2">
      <c r="A3560" s="458"/>
      <c r="B3560" s="458"/>
    </row>
    <row r="3561" spans="1:2" x14ac:dyDescent="0.2">
      <c r="A3561" s="458"/>
      <c r="B3561" s="458"/>
    </row>
    <row r="3562" spans="1:2" x14ac:dyDescent="0.2">
      <c r="A3562" s="458"/>
      <c r="B3562" s="458"/>
    </row>
    <row r="3563" spans="1:2" x14ac:dyDescent="0.2">
      <c r="A3563" s="458"/>
      <c r="B3563" s="458"/>
    </row>
    <row r="3564" spans="1:2" x14ac:dyDescent="0.2">
      <c r="A3564" s="458"/>
      <c r="B3564" s="458"/>
    </row>
    <row r="3565" spans="1:2" x14ac:dyDescent="0.2">
      <c r="A3565" s="458"/>
      <c r="B3565" s="458"/>
    </row>
    <row r="3566" spans="1:2" x14ac:dyDescent="0.2">
      <c r="A3566" s="458"/>
      <c r="B3566" s="458"/>
    </row>
    <row r="3567" spans="1:2" x14ac:dyDescent="0.2">
      <c r="A3567" s="458"/>
      <c r="B3567" s="458"/>
    </row>
    <row r="3568" spans="1:2" x14ac:dyDescent="0.2">
      <c r="A3568" s="458"/>
      <c r="B3568" s="458"/>
    </row>
    <row r="3569" spans="1:2" x14ac:dyDescent="0.2">
      <c r="A3569" s="458"/>
      <c r="B3569" s="458"/>
    </row>
    <row r="3570" spans="1:2" x14ac:dyDescent="0.2">
      <c r="A3570" s="458"/>
      <c r="B3570" s="458"/>
    </row>
    <row r="3571" spans="1:2" x14ac:dyDescent="0.2">
      <c r="A3571" s="458"/>
      <c r="B3571" s="458"/>
    </row>
    <row r="3572" spans="1:2" x14ac:dyDescent="0.2">
      <c r="A3572" s="458"/>
      <c r="B3572" s="458"/>
    </row>
    <row r="3573" spans="1:2" x14ac:dyDescent="0.2">
      <c r="A3573" s="458"/>
      <c r="B3573" s="458"/>
    </row>
    <row r="3574" spans="1:2" x14ac:dyDescent="0.2">
      <c r="A3574" s="458"/>
      <c r="B3574" s="458"/>
    </row>
    <row r="3575" spans="1:2" x14ac:dyDescent="0.2">
      <c r="A3575" s="458"/>
      <c r="B3575" s="458"/>
    </row>
    <row r="3576" spans="1:2" x14ac:dyDescent="0.2">
      <c r="A3576" s="458"/>
      <c r="B3576" s="458"/>
    </row>
    <row r="3577" spans="1:2" x14ac:dyDescent="0.2">
      <c r="A3577" s="458"/>
      <c r="B3577" s="458"/>
    </row>
    <row r="3578" spans="1:2" x14ac:dyDescent="0.2">
      <c r="A3578" s="458"/>
      <c r="B3578" s="458"/>
    </row>
    <row r="3579" spans="1:2" x14ac:dyDescent="0.2">
      <c r="A3579" s="458"/>
      <c r="B3579" s="458"/>
    </row>
    <row r="3580" spans="1:2" x14ac:dyDescent="0.2">
      <c r="A3580" s="458"/>
      <c r="B3580" s="458"/>
    </row>
    <row r="3581" spans="1:2" x14ac:dyDescent="0.2">
      <c r="A3581" s="458"/>
      <c r="B3581" s="458"/>
    </row>
    <row r="3582" spans="1:2" x14ac:dyDescent="0.2">
      <c r="A3582" s="458"/>
      <c r="B3582" s="458"/>
    </row>
    <row r="3583" spans="1:2" x14ac:dyDescent="0.2">
      <c r="A3583" s="458"/>
      <c r="B3583" s="458"/>
    </row>
    <row r="3584" spans="1:2" x14ac:dyDescent="0.2">
      <c r="A3584" s="458"/>
      <c r="B3584" s="458"/>
    </row>
    <row r="3585" spans="1:2" x14ac:dyDescent="0.2">
      <c r="A3585" s="458"/>
      <c r="B3585" s="458"/>
    </row>
    <row r="3586" spans="1:2" x14ac:dyDescent="0.2">
      <c r="A3586" s="458"/>
      <c r="B3586" s="458"/>
    </row>
    <row r="3587" spans="1:2" x14ac:dyDescent="0.2">
      <c r="A3587" s="458"/>
      <c r="B3587" s="458"/>
    </row>
    <row r="3588" spans="1:2" x14ac:dyDescent="0.2">
      <c r="A3588" s="458"/>
      <c r="B3588" s="458"/>
    </row>
    <row r="3589" spans="1:2" x14ac:dyDescent="0.2">
      <c r="A3589" s="458"/>
      <c r="B3589" s="458"/>
    </row>
    <row r="3590" spans="1:2" x14ac:dyDescent="0.2">
      <c r="A3590" s="458"/>
      <c r="B3590" s="458"/>
    </row>
    <row r="3591" spans="1:2" x14ac:dyDescent="0.2">
      <c r="A3591" s="458"/>
      <c r="B3591" s="458"/>
    </row>
    <row r="3592" spans="1:2" x14ac:dyDescent="0.2">
      <c r="A3592" s="458"/>
      <c r="B3592" s="458"/>
    </row>
    <row r="3593" spans="1:2" x14ac:dyDescent="0.2">
      <c r="A3593" s="458"/>
      <c r="B3593" s="458"/>
    </row>
    <row r="3594" spans="1:2" x14ac:dyDescent="0.2">
      <c r="A3594" s="458"/>
      <c r="B3594" s="458"/>
    </row>
    <row r="3595" spans="1:2" x14ac:dyDescent="0.2">
      <c r="A3595" s="458"/>
      <c r="B3595" s="458"/>
    </row>
    <row r="3596" spans="1:2" x14ac:dyDescent="0.2">
      <c r="A3596" s="458"/>
      <c r="B3596" s="458"/>
    </row>
    <row r="3597" spans="1:2" x14ac:dyDescent="0.2">
      <c r="A3597" s="458"/>
      <c r="B3597" s="458"/>
    </row>
    <row r="3598" spans="1:2" x14ac:dyDescent="0.2">
      <c r="A3598" s="458"/>
      <c r="B3598" s="458"/>
    </row>
    <row r="3599" spans="1:2" x14ac:dyDescent="0.2">
      <c r="A3599" s="458"/>
      <c r="B3599" s="458"/>
    </row>
    <row r="3600" spans="1:2" x14ac:dyDescent="0.2">
      <c r="A3600" s="458"/>
      <c r="B3600" s="458"/>
    </row>
    <row r="3601" spans="1:2" x14ac:dyDescent="0.2">
      <c r="A3601" s="458"/>
      <c r="B3601" s="458"/>
    </row>
    <row r="3602" spans="1:2" x14ac:dyDescent="0.2">
      <c r="A3602" s="458"/>
      <c r="B3602" s="458"/>
    </row>
    <row r="3603" spans="1:2" x14ac:dyDescent="0.2">
      <c r="A3603" s="458"/>
      <c r="B3603" s="458"/>
    </row>
    <row r="3604" spans="1:2" x14ac:dyDescent="0.2">
      <c r="A3604" s="458"/>
      <c r="B3604" s="458"/>
    </row>
    <row r="3605" spans="1:2" x14ac:dyDescent="0.2">
      <c r="A3605" s="458"/>
      <c r="B3605" s="458"/>
    </row>
    <row r="3606" spans="1:2" x14ac:dyDescent="0.2">
      <c r="A3606" s="458"/>
      <c r="B3606" s="458"/>
    </row>
    <row r="3607" spans="1:2" x14ac:dyDescent="0.2">
      <c r="A3607" s="458"/>
      <c r="B3607" s="458"/>
    </row>
    <row r="3608" spans="1:2" x14ac:dyDescent="0.2">
      <c r="A3608" s="458"/>
      <c r="B3608" s="458"/>
    </row>
    <row r="3609" spans="1:2" x14ac:dyDescent="0.2">
      <c r="A3609" s="458"/>
      <c r="B3609" s="458"/>
    </row>
    <row r="3610" spans="1:2" x14ac:dyDescent="0.2">
      <c r="A3610" s="458"/>
      <c r="B3610" s="458"/>
    </row>
    <row r="3611" spans="1:2" x14ac:dyDescent="0.2">
      <c r="A3611" s="458"/>
      <c r="B3611" s="458"/>
    </row>
    <row r="3612" spans="1:2" x14ac:dyDescent="0.2">
      <c r="A3612" s="458"/>
      <c r="B3612" s="458"/>
    </row>
    <row r="3613" spans="1:2" x14ac:dyDescent="0.2">
      <c r="A3613" s="458"/>
      <c r="B3613" s="458"/>
    </row>
    <row r="3614" spans="1:2" x14ac:dyDescent="0.2">
      <c r="A3614" s="458"/>
      <c r="B3614" s="458"/>
    </row>
    <row r="3615" spans="1:2" x14ac:dyDescent="0.2">
      <c r="A3615" s="458"/>
      <c r="B3615" s="458"/>
    </row>
    <row r="3616" spans="1:2" x14ac:dyDescent="0.2">
      <c r="A3616" s="458"/>
      <c r="B3616" s="458"/>
    </row>
    <row r="3617" spans="1:2" x14ac:dyDescent="0.2">
      <c r="A3617" s="458"/>
      <c r="B3617" s="458"/>
    </row>
    <row r="3618" spans="1:2" x14ac:dyDescent="0.2">
      <c r="A3618" s="458"/>
      <c r="B3618" s="458"/>
    </row>
    <row r="3619" spans="1:2" x14ac:dyDescent="0.2">
      <c r="A3619" s="458"/>
      <c r="B3619" s="458"/>
    </row>
    <row r="3620" spans="1:2" x14ac:dyDescent="0.2">
      <c r="A3620" s="458"/>
      <c r="B3620" s="458"/>
    </row>
    <row r="3621" spans="1:2" x14ac:dyDescent="0.2">
      <c r="A3621" s="458"/>
      <c r="B3621" s="458"/>
    </row>
    <row r="3622" spans="1:2" x14ac:dyDescent="0.2">
      <c r="A3622" s="458"/>
      <c r="B3622" s="458"/>
    </row>
    <row r="3623" spans="1:2" x14ac:dyDescent="0.2">
      <c r="A3623" s="458"/>
      <c r="B3623" s="458"/>
    </row>
    <row r="3624" spans="1:2" x14ac:dyDescent="0.2">
      <c r="A3624" s="458"/>
      <c r="B3624" s="458"/>
    </row>
    <row r="3625" spans="1:2" x14ac:dyDescent="0.2">
      <c r="A3625" s="458"/>
      <c r="B3625" s="458"/>
    </row>
    <row r="3626" spans="1:2" x14ac:dyDescent="0.2">
      <c r="A3626" s="458"/>
      <c r="B3626" s="458"/>
    </row>
    <row r="3627" spans="1:2" x14ac:dyDescent="0.2">
      <c r="A3627" s="458"/>
      <c r="B3627" s="458"/>
    </row>
    <row r="3628" spans="1:2" x14ac:dyDescent="0.2">
      <c r="A3628" s="458"/>
      <c r="B3628" s="458"/>
    </row>
    <row r="3629" spans="1:2" x14ac:dyDescent="0.2">
      <c r="A3629" s="458"/>
      <c r="B3629" s="458"/>
    </row>
    <row r="3630" spans="1:2" x14ac:dyDescent="0.2">
      <c r="A3630" s="458"/>
      <c r="B3630" s="458"/>
    </row>
    <row r="3631" spans="1:2" x14ac:dyDescent="0.2">
      <c r="A3631" s="458"/>
      <c r="B3631" s="458"/>
    </row>
    <row r="3632" spans="1:2" x14ac:dyDescent="0.2">
      <c r="A3632" s="458"/>
      <c r="B3632" s="458"/>
    </row>
    <row r="3633" spans="1:2" x14ac:dyDescent="0.2">
      <c r="A3633" s="458"/>
      <c r="B3633" s="458"/>
    </row>
    <row r="3634" spans="1:2" x14ac:dyDescent="0.2">
      <c r="A3634" s="458"/>
      <c r="B3634" s="458"/>
    </row>
    <row r="3635" spans="1:2" x14ac:dyDescent="0.2">
      <c r="A3635" s="458"/>
      <c r="B3635" s="458"/>
    </row>
    <row r="3636" spans="1:2" x14ac:dyDescent="0.2">
      <c r="A3636" s="458"/>
      <c r="B3636" s="458"/>
    </row>
    <row r="3637" spans="1:2" x14ac:dyDescent="0.2">
      <c r="A3637" s="458"/>
      <c r="B3637" s="458"/>
    </row>
    <row r="3638" spans="1:2" x14ac:dyDescent="0.2">
      <c r="A3638" s="458"/>
      <c r="B3638" s="458"/>
    </row>
    <row r="3639" spans="1:2" x14ac:dyDescent="0.2">
      <c r="A3639" s="458"/>
      <c r="B3639" s="458"/>
    </row>
    <row r="3640" spans="1:2" x14ac:dyDescent="0.2">
      <c r="A3640" s="458"/>
      <c r="B3640" s="458"/>
    </row>
    <row r="3641" spans="1:2" x14ac:dyDescent="0.2">
      <c r="A3641" s="458"/>
      <c r="B3641" s="458"/>
    </row>
    <row r="3642" spans="1:2" x14ac:dyDescent="0.2">
      <c r="A3642" s="458"/>
      <c r="B3642" s="458"/>
    </row>
    <row r="3643" spans="1:2" x14ac:dyDescent="0.2">
      <c r="A3643" s="458"/>
      <c r="B3643" s="458"/>
    </row>
    <row r="3644" spans="1:2" x14ac:dyDescent="0.2">
      <c r="A3644" s="458"/>
      <c r="B3644" s="458"/>
    </row>
    <row r="3645" spans="1:2" x14ac:dyDescent="0.2">
      <c r="A3645" s="458"/>
      <c r="B3645" s="458"/>
    </row>
    <row r="3646" spans="1:2" x14ac:dyDescent="0.2">
      <c r="A3646" s="458"/>
      <c r="B3646" s="458"/>
    </row>
    <row r="3647" spans="1:2" x14ac:dyDescent="0.2">
      <c r="A3647" s="458"/>
      <c r="B3647" s="458"/>
    </row>
    <row r="3648" spans="1:2" x14ac:dyDescent="0.2">
      <c r="A3648" s="458"/>
      <c r="B3648" s="458"/>
    </row>
    <row r="3649" spans="1:2" x14ac:dyDescent="0.2">
      <c r="A3649" s="458"/>
      <c r="B3649" s="458"/>
    </row>
    <row r="3650" spans="1:2" x14ac:dyDescent="0.2">
      <c r="A3650" s="458"/>
      <c r="B3650" s="458"/>
    </row>
    <row r="3651" spans="1:2" x14ac:dyDescent="0.2">
      <c r="A3651" s="458"/>
      <c r="B3651" s="458"/>
    </row>
    <row r="3652" spans="1:2" x14ac:dyDescent="0.2">
      <c r="A3652" s="458"/>
      <c r="B3652" s="458"/>
    </row>
    <row r="3653" spans="1:2" x14ac:dyDescent="0.2">
      <c r="A3653" s="458"/>
      <c r="B3653" s="458"/>
    </row>
    <row r="3654" spans="1:2" x14ac:dyDescent="0.2">
      <c r="A3654" s="458"/>
      <c r="B3654" s="458"/>
    </row>
    <row r="3655" spans="1:2" x14ac:dyDescent="0.2">
      <c r="A3655" s="458"/>
      <c r="B3655" s="458"/>
    </row>
    <row r="3656" spans="1:2" x14ac:dyDescent="0.2">
      <c r="A3656" s="458"/>
      <c r="B3656" s="458"/>
    </row>
    <row r="3657" spans="1:2" x14ac:dyDescent="0.2">
      <c r="A3657" s="458"/>
      <c r="B3657" s="458"/>
    </row>
    <row r="3658" spans="1:2" x14ac:dyDescent="0.2">
      <c r="A3658" s="458"/>
      <c r="B3658" s="458"/>
    </row>
    <row r="3659" spans="1:2" x14ac:dyDescent="0.2">
      <c r="A3659" s="458"/>
      <c r="B3659" s="458"/>
    </row>
    <row r="3660" spans="1:2" x14ac:dyDescent="0.2">
      <c r="A3660" s="458"/>
      <c r="B3660" s="458"/>
    </row>
    <row r="3661" spans="1:2" x14ac:dyDescent="0.2">
      <c r="A3661" s="458"/>
      <c r="B3661" s="458"/>
    </row>
    <row r="3662" spans="1:2" x14ac:dyDescent="0.2">
      <c r="A3662" s="458"/>
      <c r="B3662" s="458"/>
    </row>
    <row r="3663" spans="1:2" x14ac:dyDescent="0.2">
      <c r="A3663" s="458"/>
      <c r="B3663" s="458"/>
    </row>
    <row r="3664" spans="1:2" x14ac:dyDescent="0.2">
      <c r="A3664" s="458"/>
      <c r="B3664" s="458"/>
    </row>
    <row r="3665" spans="1:2" x14ac:dyDescent="0.2">
      <c r="A3665" s="458"/>
      <c r="B3665" s="458"/>
    </row>
    <row r="3666" spans="1:2" x14ac:dyDescent="0.2">
      <c r="A3666" s="458"/>
      <c r="B3666" s="458"/>
    </row>
    <row r="3667" spans="1:2" x14ac:dyDescent="0.2">
      <c r="A3667" s="458"/>
      <c r="B3667" s="458"/>
    </row>
    <row r="3668" spans="1:2" x14ac:dyDescent="0.2">
      <c r="A3668" s="458"/>
      <c r="B3668" s="458"/>
    </row>
    <row r="3669" spans="1:2" x14ac:dyDescent="0.2">
      <c r="A3669" s="458"/>
      <c r="B3669" s="458"/>
    </row>
    <row r="3670" spans="1:2" x14ac:dyDescent="0.2">
      <c r="A3670" s="458"/>
      <c r="B3670" s="458"/>
    </row>
    <row r="3671" spans="1:2" x14ac:dyDescent="0.2">
      <c r="A3671" s="458"/>
      <c r="B3671" s="458"/>
    </row>
    <row r="3672" spans="1:2" x14ac:dyDescent="0.2">
      <c r="A3672" s="458"/>
      <c r="B3672" s="458"/>
    </row>
    <row r="3673" spans="1:2" x14ac:dyDescent="0.2">
      <c r="A3673" s="458"/>
      <c r="B3673" s="458"/>
    </row>
    <row r="3674" spans="1:2" x14ac:dyDescent="0.2">
      <c r="A3674" s="458"/>
      <c r="B3674" s="458"/>
    </row>
    <row r="3675" spans="1:2" x14ac:dyDescent="0.2">
      <c r="A3675" s="458"/>
      <c r="B3675" s="458"/>
    </row>
    <row r="3676" spans="1:2" x14ac:dyDescent="0.2">
      <c r="A3676" s="458"/>
      <c r="B3676" s="458"/>
    </row>
    <row r="3677" spans="1:2" x14ac:dyDescent="0.2">
      <c r="A3677" s="458"/>
      <c r="B3677" s="458"/>
    </row>
    <row r="3678" spans="1:2" x14ac:dyDescent="0.2">
      <c r="A3678" s="458"/>
      <c r="B3678" s="458"/>
    </row>
    <row r="3679" spans="1:2" x14ac:dyDescent="0.2">
      <c r="A3679" s="458"/>
      <c r="B3679" s="458"/>
    </row>
    <row r="3680" spans="1:2" x14ac:dyDescent="0.2">
      <c r="A3680" s="458"/>
      <c r="B3680" s="458"/>
    </row>
    <row r="3681" spans="1:2" x14ac:dyDescent="0.2">
      <c r="A3681" s="458"/>
      <c r="B3681" s="458"/>
    </row>
    <row r="3682" spans="1:2" x14ac:dyDescent="0.2">
      <c r="A3682" s="458"/>
      <c r="B3682" s="458"/>
    </row>
    <row r="3683" spans="1:2" x14ac:dyDescent="0.2">
      <c r="A3683" s="458"/>
      <c r="B3683" s="458"/>
    </row>
    <row r="3684" spans="1:2" x14ac:dyDescent="0.2">
      <c r="A3684" s="458"/>
      <c r="B3684" s="458"/>
    </row>
    <row r="3685" spans="1:2" x14ac:dyDescent="0.2">
      <c r="A3685" s="458"/>
      <c r="B3685" s="458"/>
    </row>
    <row r="3686" spans="1:2" x14ac:dyDescent="0.2">
      <c r="A3686" s="458"/>
      <c r="B3686" s="458"/>
    </row>
    <row r="3687" spans="1:2" x14ac:dyDescent="0.2">
      <c r="A3687" s="458"/>
      <c r="B3687" s="458"/>
    </row>
    <row r="3688" spans="1:2" x14ac:dyDescent="0.2">
      <c r="A3688" s="458"/>
      <c r="B3688" s="458"/>
    </row>
    <row r="3689" spans="1:2" x14ac:dyDescent="0.2">
      <c r="A3689" s="458"/>
      <c r="B3689" s="458"/>
    </row>
    <row r="3690" spans="1:2" x14ac:dyDescent="0.2">
      <c r="A3690" s="458"/>
      <c r="B3690" s="458"/>
    </row>
    <row r="3691" spans="1:2" x14ac:dyDescent="0.2">
      <c r="A3691" s="458"/>
      <c r="B3691" s="458"/>
    </row>
    <row r="3692" spans="1:2" x14ac:dyDescent="0.2">
      <c r="A3692" s="458"/>
      <c r="B3692" s="458"/>
    </row>
    <row r="3693" spans="1:2" x14ac:dyDescent="0.2">
      <c r="A3693" s="458"/>
      <c r="B3693" s="458"/>
    </row>
    <row r="3694" spans="1:2" x14ac:dyDescent="0.2">
      <c r="A3694" s="458"/>
      <c r="B3694" s="458"/>
    </row>
    <row r="3695" spans="1:2" x14ac:dyDescent="0.2">
      <c r="A3695" s="458"/>
      <c r="B3695" s="458"/>
    </row>
    <row r="3696" spans="1:2" x14ac:dyDescent="0.2">
      <c r="A3696" s="458"/>
      <c r="B3696" s="458"/>
    </row>
    <row r="3697" spans="1:2" x14ac:dyDescent="0.2">
      <c r="A3697" s="458"/>
      <c r="B3697" s="458"/>
    </row>
    <row r="3698" spans="1:2" x14ac:dyDescent="0.2">
      <c r="A3698" s="458"/>
      <c r="B3698" s="458"/>
    </row>
    <row r="3699" spans="1:2" x14ac:dyDescent="0.2">
      <c r="A3699" s="458"/>
      <c r="B3699" s="458"/>
    </row>
    <row r="3700" spans="1:2" x14ac:dyDescent="0.2">
      <c r="A3700" s="458"/>
      <c r="B3700" s="458"/>
    </row>
    <row r="3701" spans="1:2" x14ac:dyDescent="0.2">
      <c r="A3701" s="458"/>
      <c r="B3701" s="458"/>
    </row>
    <row r="3702" spans="1:2" x14ac:dyDescent="0.2">
      <c r="A3702" s="458"/>
      <c r="B3702" s="458"/>
    </row>
    <row r="3703" spans="1:2" x14ac:dyDescent="0.2">
      <c r="A3703" s="458"/>
      <c r="B3703" s="458"/>
    </row>
    <row r="3704" spans="1:2" x14ac:dyDescent="0.2">
      <c r="A3704" s="458"/>
      <c r="B3704" s="458"/>
    </row>
    <row r="3705" spans="1:2" x14ac:dyDescent="0.2">
      <c r="A3705" s="458"/>
      <c r="B3705" s="458"/>
    </row>
    <row r="3706" spans="1:2" x14ac:dyDescent="0.2">
      <c r="A3706" s="458"/>
      <c r="B3706" s="458"/>
    </row>
    <row r="3707" spans="1:2" x14ac:dyDescent="0.2">
      <c r="A3707" s="458"/>
      <c r="B3707" s="458"/>
    </row>
    <row r="3708" spans="1:2" x14ac:dyDescent="0.2">
      <c r="A3708" s="458"/>
      <c r="B3708" s="458"/>
    </row>
    <row r="3709" spans="1:2" x14ac:dyDescent="0.2">
      <c r="A3709" s="458"/>
      <c r="B3709" s="458"/>
    </row>
    <row r="3710" spans="1:2" x14ac:dyDescent="0.2">
      <c r="A3710" s="458"/>
      <c r="B3710" s="458"/>
    </row>
    <row r="3711" spans="1:2" x14ac:dyDescent="0.2">
      <c r="A3711" s="458"/>
      <c r="B3711" s="458"/>
    </row>
    <row r="3712" spans="1:2" x14ac:dyDescent="0.2">
      <c r="A3712" s="458"/>
      <c r="B3712" s="458"/>
    </row>
    <row r="3713" spans="1:2" x14ac:dyDescent="0.2">
      <c r="A3713" s="458"/>
      <c r="B3713" s="458"/>
    </row>
    <row r="3714" spans="1:2" x14ac:dyDescent="0.2">
      <c r="A3714" s="458"/>
      <c r="B3714" s="458"/>
    </row>
    <row r="3715" spans="1:2" x14ac:dyDescent="0.2">
      <c r="A3715" s="458"/>
      <c r="B3715" s="458"/>
    </row>
    <row r="3716" spans="1:2" x14ac:dyDescent="0.2">
      <c r="A3716" s="458"/>
      <c r="B3716" s="458"/>
    </row>
    <row r="3717" spans="1:2" x14ac:dyDescent="0.2">
      <c r="A3717" s="458"/>
      <c r="B3717" s="458"/>
    </row>
    <row r="3718" spans="1:2" x14ac:dyDescent="0.2">
      <c r="A3718" s="458"/>
      <c r="B3718" s="458"/>
    </row>
    <row r="3719" spans="1:2" x14ac:dyDescent="0.2">
      <c r="A3719" s="458"/>
      <c r="B3719" s="458"/>
    </row>
    <row r="3720" spans="1:2" x14ac:dyDescent="0.2">
      <c r="A3720" s="458"/>
      <c r="B3720" s="458"/>
    </row>
    <row r="3721" spans="1:2" x14ac:dyDescent="0.2">
      <c r="A3721" s="458"/>
      <c r="B3721" s="458"/>
    </row>
    <row r="3722" spans="1:2" x14ac:dyDescent="0.2">
      <c r="A3722" s="458"/>
      <c r="B3722" s="458"/>
    </row>
    <row r="3723" spans="1:2" x14ac:dyDescent="0.2">
      <c r="A3723" s="458"/>
      <c r="B3723" s="458"/>
    </row>
    <row r="3724" spans="1:2" x14ac:dyDescent="0.2">
      <c r="A3724" s="458"/>
      <c r="B3724" s="458"/>
    </row>
    <row r="3725" spans="1:2" x14ac:dyDescent="0.2">
      <c r="A3725" s="458"/>
      <c r="B3725" s="458"/>
    </row>
    <row r="3726" spans="1:2" x14ac:dyDescent="0.2">
      <c r="A3726" s="458"/>
      <c r="B3726" s="458"/>
    </row>
    <row r="3727" spans="1:2" x14ac:dyDescent="0.2">
      <c r="A3727" s="458"/>
      <c r="B3727" s="458"/>
    </row>
    <row r="3728" spans="1:2" x14ac:dyDescent="0.2">
      <c r="A3728" s="458"/>
      <c r="B3728" s="458"/>
    </row>
    <row r="3729" spans="1:2" x14ac:dyDescent="0.2">
      <c r="A3729" s="458"/>
      <c r="B3729" s="458"/>
    </row>
    <row r="3730" spans="1:2" x14ac:dyDescent="0.2">
      <c r="A3730" s="458"/>
      <c r="B3730" s="458"/>
    </row>
    <row r="3731" spans="1:2" x14ac:dyDescent="0.2">
      <c r="A3731" s="458"/>
      <c r="B3731" s="458"/>
    </row>
    <row r="3732" spans="1:2" x14ac:dyDescent="0.2">
      <c r="A3732" s="458"/>
      <c r="B3732" s="458"/>
    </row>
    <row r="3733" spans="1:2" x14ac:dyDescent="0.2">
      <c r="A3733" s="458"/>
      <c r="B3733" s="458"/>
    </row>
    <row r="3734" spans="1:2" x14ac:dyDescent="0.2">
      <c r="A3734" s="458"/>
      <c r="B3734" s="458"/>
    </row>
    <row r="3735" spans="1:2" x14ac:dyDescent="0.2">
      <c r="A3735" s="458"/>
      <c r="B3735" s="458"/>
    </row>
    <row r="3736" spans="1:2" x14ac:dyDescent="0.2">
      <c r="A3736" s="458"/>
      <c r="B3736" s="458"/>
    </row>
    <row r="3737" spans="1:2" x14ac:dyDescent="0.2">
      <c r="A3737" s="458"/>
      <c r="B3737" s="458"/>
    </row>
    <row r="3738" spans="1:2" x14ac:dyDescent="0.2">
      <c r="A3738" s="458"/>
      <c r="B3738" s="458"/>
    </row>
    <row r="3739" spans="1:2" x14ac:dyDescent="0.2">
      <c r="A3739" s="458"/>
      <c r="B3739" s="458"/>
    </row>
    <row r="3740" spans="1:2" x14ac:dyDescent="0.2">
      <c r="A3740" s="458"/>
      <c r="B3740" s="458"/>
    </row>
    <row r="3741" spans="1:2" x14ac:dyDescent="0.2">
      <c r="A3741" s="458"/>
      <c r="B3741" s="458"/>
    </row>
    <row r="3742" spans="1:2" x14ac:dyDescent="0.2">
      <c r="A3742" s="458"/>
      <c r="B3742" s="458"/>
    </row>
    <row r="3743" spans="1:2" x14ac:dyDescent="0.2">
      <c r="A3743" s="458"/>
      <c r="B3743" s="458"/>
    </row>
    <row r="3744" spans="1:2" x14ac:dyDescent="0.2">
      <c r="A3744" s="458"/>
      <c r="B3744" s="458"/>
    </row>
    <row r="3745" spans="1:2" x14ac:dyDescent="0.2">
      <c r="A3745" s="458"/>
      <c r="B3745" s="458"/>
    </row>
    <row r="3746" spans="1:2" x14ac:dyDescent="0.2">
      <c r="A3746" s="458"/>
      <c r="B3746" s="458"/>
    </row>
    <row r="3747" spans="1:2" x14ac:dyDescent="0.2">
      <c r="A3747" s="458"/>
      <c r="B3747" s="458"/>
    </row>
    <row r="3748" spans="1:2" x14ac:dyDescent="0.2">
      <c r="A3748" s="458"/>
      <c r="B3748" s="458"/>
    </row>
    <row r="3749" spans="1:2" x14ac:dyDescent="0.2">
      <c r="A3749" s="458"/>
      <c r="B3749" s="458"/>
    </row>
    <row r="3750" spans="1:2" x14ac:dyDescent="0.2">
      <c r="A3750" s="458"/>
      <c r="B3750" s="458"/>
    </row>
    <row r="3751" spans="1:2" x14ac:dyDescent="0.2">
      <c r="A3751" s="458"/>
      <c r="B3751" s="458"/>
    </row>
    <row r="3752" spans="1:2" x14ac:dyDescent="0.2">
      <c r="A3752" s="458"/>
      <c r="B3752" s="458"/>
    </row>
    <row r="3753" spans="1:2" x14ac:dyDescent="0.2">
      <c r="A3753" s="458"/>
      <c r="B3753" s="458"/>
    </row>
    <row r="3754" spans="1:2" x14ac:dyDescent="0.2">
      <c r="A3754" s="458"/>
      <c r="B3754" s="458"/>
    </row>
    <row r="3755" spans="1:2" x14ac:dyDescent="0.2">
      <c r="A3755" s="458"/>
      <c r="B3755" s="458"/>
    </row>
    <row r="3756" spans="1:2" x14ac:dyDescent="0.2">
      <c r="A3756" s="458"/>
      <c r="B3756" s="458"/>
    </row>
    <row r="3757" spans="1:2" x14ac:dyDescent="0.2">
      <c r="A3757" s="458"/>
      <c r="B3757" s="458"/>
    </row>
    <row r="3758" spans="1:2" x14ac:dyDescent="0.2">
      <c r="A3758" s="458"/>
      <c r="B3758" s="458"/>
    </row>
    <row r="3759" spans="1:2" x14ac:dyDescent="0.2">
      <c r="A3759" s="458"/>
      <c r="B3759" s="458"/>
    </row>
    <row r="3760" spans="1:2" x14ac:dyDescent="0.2">
      <c r="A3760" s="458"/>
      <c r="B3760" s="458"/>
    </row>
    <row r="3761" spans="1:2" x14ac:dyDescent="0.2">
      <c r="A3761" s="458"/>
      <c r="B3761" s="458"/>
    </row>
    <row r="3762" spans="1:2" x14ac:dyDescent="0.2">
      <c r="A3762" s="458"/>
      <c r="B3762" s="458"/>
    </row>
    <row r="3763" spans="1:2" x14ac:dyDescent="0.2">
      <c r="A3763" s="458"/>
      <c r="B3763" s="458"/>
    </row>
    <row r="3764" spans="1:2" x14ac:dyDescent="0.2">
      <c r="A3764" s="458"/>
      <c r="B3764" s="458"/>
    </row>
    <row r="3765" spans="1:2" x14ac:dyDescent="0.2">
      <c r="A3765" s="458"/>
      <c r="B3765" s="458"/>
    </row>
    <row r="3766" spans="1:2" x14ac:dyDescent="0.2">
      <c r="A3766" s="458"/>
      <c r="B3766" s="458"/>
    </row>
    <row r="3767" spans="1:2" x14ac:dyDescent="0.2">
      <c r="A3767" s="458"/>
      <c r="B3767" s="458"/>
    </row>
    <row r="3768" spans="1:2" x14ac:dyDescent="0.2">
      <c r="A3768" s="458"/>
      <c r="B3768" s="458"/>
    </row>
    <row r="3769" spans="1:2" x14ac:dyDescent="0.2">
      <c r="A3769" s="458"/>
      <c r="B3769" s="458"/>
    </row>
    <row r="3770" spans="1:2" x14ac:dyDescent="0.2">
      <c r="A3770" s="458"/>
      <c r="B3770" s="458"/>
    </row>
    <row r="3771" spans="1:2" x14ac:dyDescent="0.2">
      <c r="A3771" s="458"/>
      <c r="B3771" s="458"/>
    </row>
    <row r="3772" spans="1:2" x14ac:dyDescent="0.2">
      <c r="A3772" s="458"/>
      <c r="B3772" s="458"/>
    </row>
    <row r="3773" spans="1:2" x14ac:dyDescent="0.2">
      <c r="A3773" s="458"/>
      <c r="B3773" s="458"/>
    </row>
    <row r="3774" spans="1:2" x14ac:dyDescent="0.2">
      <c r="A3774" s="458"/>
      <c r="B3774" s="458"/>
    </row>
    <row r="3775" spans="1:2" x14ac:dyDescent="0.2">
      <c r="A3775" s="458"/>
      <c r="B3775" s="458"/>
    </row>
    <row r="3776" spans="1:2" x14ac:dyDescent="0.2">
      <c r="A3776" s="458"/>
      <c r="B3776" s="458"/>
    </row>
    <row r="3777" spans="1:2" x14ac:dyDescent="0.2">
      <c r="A3777" s="458"/>
      <c r="B3777" s="458"/>
    </row>
    <row r="3778" spans="1:2" x14ac:dyDescent="0.2">
      <c r="A3778" s="458"/>
      <c r="B3778" s="458"/>
    </row>
    <row r="3779" spans="1:2" x14ac:dyDescent="0.2">
      <c r="A3779" s="458"/>
      <c r="B3779" s="458"/>
    </row>
    <row r="3780" spans="1:2" x14ac:dyDescent="0.2">
      <c r="A3780" s="458"/>
      <c r="B3780" s="458"/>
    </row>
    <row r="3781" spans="1:2" x14ac:dyDescent="0.2">
      <c r="A3781" s="458"/>
      <c r="B3781" s="458"/>
    </row>
    <row r="3782" spans="1:2" x14ac:dyDescent="0.2">
      <c r="A3782" s="458"/>
      <c r="B3782" s="458"/>
    </row>
    <row r="3783" spans="1:2" x14ac:dyDescent="0.2">
      <c r="A3783" s="458"/>
      <c r="B3783" s="458"/>
    </row>
    <row r="3784" spans="1:2" x14ac:dyDescent="0.2">
      <c r="A3784" s="458"/>
      <c r="B3784" s="458"/>
    </row>
    <row r="3785" spans="1:2" x14ac:dyDescent="0.2">
      <c r="A3785" s="458"/>
      <c r="B3785" s="458"/>
    </row>
    <row r="3786" spans="1:2" x14ac:dyDescent="0.2">
      <c r="A3786" s="458"/>
      <c r="B3786" s="458"/>
    </row>
    <row r="3787" spans="1:2" x14ac:dyDescent="0.2">
      <c r="A3787" s="458"/>
      <c r="B3787" s="458"/>
    </row>
    <row r="3788" spans="1:2" x14ac:dyDescent="0.2">
      <c r="A3788" s="458"/>
      <c r="B3788" s="458"/>
    </row>
    <row r="3789" spans="1:2" x14ac:dyDescent="0.2">
      <c r="A3789" s="458"/>
      <c r="B3789" s="458"/>
    </row>
    <row r="3790" spans="1:2" x14ac:dyDescent="0.2">
      <c r="A3790" s="458"/>
      <c r="B3790" s="458"/>
    </row>
    <row r="3791" spans="1:2" x14ac:dyDescent="0.2">
      <c r="A3791" s="458"/>
      <c r="B3791" s="458"/>
    </row>
    <row r="3792" spans="1:2" x14ac:dyDescent="0.2">
      <c r="A3792" s="458"/>
      <c r="B3792" s="458"/>
    </row>
    <row r="3793" spans="1:2" x14ac:dyDescent="0.2">
      <c r="A3793" s="458"/>
      <c r="B3793" s="458"/>
    </row>
    <row r="3794" spans="1:2" x14ac:dyDescent="0.2">
      <c r="A3794" s="458"/>
      <c r="B3794" s="458"/>
    </row>
    <row r="3795" spans="1:2" x14ac:dyDescent="0.2">
      <c r="A3795" s="458"/>
      <c r="B3795" s="458"/>
    </row>
    <row r="3796" spans="1:2" x14ac:dyDescent="0.2">
      <c r="A3796" s="458"/>
      <c r="B3796" s="458"/>
    </row>
    <row r="3797" spans="1:2" x14ac:dyDescent="0.2">
      <c r="A3797" s="458"/>
      <c r="B3797" s="458"/>
    </row>
    <row r="3798" spans="1:2" x14ac:dyDescent="0.2">
      <c r="A3798" s="458"/>
      <c r="B3798" s="458"/>
    </row>
    <row r="3799" spans="1:2" x14ac:dyDescent="0.2">
      <c r="A3799" s="458"/>
      <c r="B3799" s="458"/>
    </row>
    <row r="3800" spans="1:2" x14ac:dyDescent="0.2">
      <c r="A3800" s="458"/>
      <c r="B3800" s="458"/>
    </row>
    <row r="3801" spans="1:2" x14ac:dyDescent="0.2">
      <c r="A3801" s="458"/>
      <c r="B3801" s="458"/>
    </row>
    <row r="3802" spans="1:2" x14ac:dyDescent="0.2">
      <c r="A3802" s="458"/>
      <c r="B3802" s="458"/>
    </row>
    <row r="3803" spans="1:2" x14ac:dyDescent="0.2">
      <c r="A3803" s="458"/>
      <c r="B3803" s="458"/>
    </row>
    <row r="3804" spans="1:2" x14ac:dyDescent="0.2">
      <c r="A3804" s="458"/>
      <c r="B3804" s="458"/>
    </row>
    <row r="3805" spans="1:2" x14ac:dyDescent="0.2">
      <c r="A3805" s="458"/>
      <c r="B3805" s="458"/>
    </row>
    <row r="3806" spans="1:2" x14ac:dyDescent="0.2">
      <c r="A3806" s="458"/>
      <c r="B3806" s="458"/>
    </row>
    <row r="3807" spans="1:2" x14ac:dyDescent="0.2">
      <c r="A3807" s="458"/>
      <c r="B3807" s="458"/>
    </row>
    <row r="3808" spans="1:2" x14ac:dyDescent="0.2">
      <c r="A3808" s="458"/>
      <c r="B3808" s="458"/>
    </row>
    <row r="3809" spans="1:2" x14ac:dyDescent="0.2">
      <c r="A3809" s="458"/>
      <c r="B3809" s="458"/>
    </row>
    <row r="3810" spans="1:2" x14ac:dyDescent="0.2">
      <c r="A3810" s="458"/>
      <c r="B3810" s="458"/>
    </row>
    <row r="3811" spans="1:2" x14ac:dyDescent="0.2">
      <c r="A3811" s="458"/>
      <c r="B3811" s="458"/>
    </row>
    <row r="3812" spans="1:2" x14ac:dyDescent="0.2">
      <c r="A3812" s="458"/>
      <c r="B3812" s="458"/>
    </row>
    <row r="3813" spans="1:2" x14ac:dyDescent="0.2">
      <c r="A3813" s="458"/>
      <c r="B3813" s="458"/>
    </row>
    <row r="3814" spans="1:2" x14ac:dyDescent="0.2">
      <c r="A3814" s="458"/>
      <c r="B3814" s="458"/>
    </row>
    <row r="3815" spans="1:2" x14ac:dyDescent="0.2">
      <c r="A3815" s="458"/>
      <c r="B3815" s="458"/>
    </row>
    <row r="3816" spans="1:2" x14ac:dyDescent="0.2">
      <c r="A3816" s="458"/>
      <c r="B3816" s="458"/>
    </row>
    <row r="3817" spans="1:2" x14ac:dyDescent="0.2">
      <c r="A3817" s="458"/>
      <c r="B3817" s="458"/>
    </row>
    <row r="3818" spans="1:2" x14ac:dyDescent="0.2">
      <c r="A3818" s="458"/>
      <c r="B3818" s="458"/>
    </row>
    <row r="3819" spans="1:2" x14ac:dyDescent="0.2">
      <c r="A3819" s="458"/>
      <c r="B3819" s="458"/>
    </row>
    <row r="3820" spans="1:2" x14ac:dyDescent="0.2">
      <c r="A3820" s="458"/>
      <c r="B3820" s="458"/>
    </row>
    <row r="3821" spans="1:2" x14ac:dyDescent="0.2">
      <c r="A3821" s="458"/>
      <c r="B3821" s="458"/>
    </row>
    <row r="3822" spans="1:2" x14ac:dyDescent="0.2">
      <c r="A3822" s="458"/>
      <c r="B3822" s="458"/>
    </row>
    <row r="3823" spans="1:2" x14ac:dyDescent="0.2">
      <c r="A3823" s="458"/>
      <c r="B3823" s="458"/>
    </row>
    <row r="3824" spans="1:2" x14ac:dyDescent="0.2">
      <c r="A3824" s="458"/>
      <c r="B3824" s="458"/>
    </row>
    <row r="3825" spans="1:2" x14ac:dyDescent="0.2">
      <c r="A3825" s="458"/>
      <c r="B3825" s="458"/>
    </row>
    <row r="3826" spans="1:2" x14ac:dyDescent="0.2">
      <c r="A3826" s="458"/>
      <c r="B3826" s="458"/>
    </row>
    <row r="3827" spans="1:2" x14ac:dyDescent="0.2">
      <c r="A3827" s="458"/>
      <c r="B3827" s="458"/>
    </row>
    <row r="3828" spans="1:2" x14ac:dyDescent="0.2">
      <c r="A3828" s="458"/>
      <c r="B3828" s="458"/>
    </row>
    <row r="3829" spans="1:2" x14ac:dyDescent="0.2">
      <c r="A3829" s="458"/>
      <c r="B3829" s="458"/>
    </row>
    <row r="3830" spans="1:2" x14ac:dyDescent="0.2">
      <c r="A3830" s="458"/>
      <c r="B3830" s="458"/>
    </row>
    <row r="3831" spans="1:2" x14ac:dyDescent="0.2">
      <c r="A3831" s="458"/>
      <c r="B3831" s="458"/>
    </row>
    <row r="3832" spans="1:2" x14ac:dyDescent="0.2">
      <c r="A3832" s="458"/>
      <c r="B3832" s="458"/>
    </row>
    <row r="3833" spans="1:2" x14ac:dyDescent="0.2">
      <c r="A3833" s="458"/>
      <c r="B3833" s="458"/>
    </row>
    <row r="3834" spans="1:2" x14ac:dyDescent="0.2">
      <c r="A3834" s="458"/>
      <c r="B3834" s="458"/>
    </row>
    <row r="3835" spans="1:2" x14ac:dyDescent="0.2">
      <c r="A3835" s="458"/>
      <c r="B3835" s="458"/>
    </row>
    <row r="3836" spans="1:2" x14ac:dyDescent="0.2">
      <c r="A3836" s="458"/>
      <c r="B3836" s="458"/>
    </row>
    <row r="3837" spans="1:2" x14ac:dyDescent="0.2">
      <c r="A3837" s="458"/>
      <c r="B3837" s="458"/>
    </row>
    <row r="3838" spans="1:2" x14ac:dyDescent="0.2">
      <c r="A3838" s="458"/>
      <c r="B3838" s="458"/>
    </row>
    <row r="3839" spans="1:2" x14ac:dyDescent="0.2">
      <c r="A3839" s="458"/>
      <c r="B3839" s="458"/>
    </row>
    <row r="3840" spans="1:2" x14ac:dyDescent="0.2">
      <c r="A3840" s="458"/>
      <c r="B3840" s="458"/>
    </row>
    <row r="3841" spans="1:2" x14ac:dyDescent="0.2">
      <c r="A3841" s="458"/>
      <c r="B3841" s="458"/>
    </row>
    <row r="3842" spans="1:2" x14ac:dyDescent="0.2">
      <c r="A3842" s="458"/>
      <c r="B3842" s="458"/>
    </row>
    <row r="3843" spans="1:2" x14ac:dyDescent="0.2">
      <c r="A3843" s="458"/>
      <c r="B3843" s="458"/>
    </row>
    <row r="3844" spans="1:2" x14ac:dyDescent="0.2">
      <c r="A3844" s="458"/>
      <c r="B3844" s="458"/>
    </row>
    <row r="3845" spans="1:2" x14ac:dyDescent="0.2">
      <c r="A3845" s="458"/>
      <c r="B3845" s="458"/>
    </row>
    <row r="3846" spans="1:2" x14ac:dyDescent="0.2">
      <c r="A3846" s="458"/>
      <c r="B3846" s="458"/>
    </row>
    <row r="3847" spans="1:2" x14ac:dyDescent="0.2">
      <c r="A3847" s="458"/>
      <c r="B3847" s="458"/>
    </row>
    <row r="3848" spans="1:2" x14ac:dyDescent="0.2">
      <c r="A3848" s="458"/>
      <c r="B3848" s="458"/>
    </row>
    <row r="3849" spans="1:2" x14ac:dyDescent="0.2">
      <c r="A3849" s="458"/>
      <c r="B3849" s="458"/>
    </row>
    <row r="3850" spans="1:2" x14ac:dyDescent="0.2">
      <c r="A3850" s="458"/>
      <c r="B3850" s="458"/>
    </row>
    <row r="3851" spans="1:2" x14ac:dyDescent="0.2">
      <c r="A3851" s="458"/>
      <c r="B3851" s="458"/>
    </row>
    <row r="3852" spans="1:2" x14ac:dyDescent="0.2">
      <c r="A3852" s="458"/>
      <c r="B3852" s="458"/>
    </row>
    <row r="3853" spans="1:2" x14ac:dyDescent="0.2">
      <c r="A3853" s="458"/>
      <c r="B3853" s="458"/>
    </row>
    <row r="3854" spans="1:2" x14ac:dyDescent="0.2">
      <c r="A3854" s="458"/>
      <c r="B3854" s="458"/>
    </row>
    <row r="3855" spans="1:2" x14ac:dyDescent="0.2">
      <c r="A3855" s="458"/>
      <c r="B3855" s="458"/>
    </row>
    <row r="3856" spans="1:2" x14ac:dyDescent="0.2">
      <c r="A3856" s="458"/>
      <c r="B3856" s="458"/>
    </row>
    <row r="3857" spans="1:2" x14ac:dyDescent="0.2">
      <c r="A3857" s="458"/>
      <c r="B3857" s="458"/>
    </row>
    <row r="3858" spans="1:2" x14ac:dyDescent="0.2">
      <c r="A3858" s="458"/>
      <c r="B3858" s="458"/>
    </row>
    <row r="3859" spans="1:2" x14ac:dyDescent="0.2">
      <c r="A3859" s="458"/>
      <c r="B3859" s="458"/>
    </row>
    <row r="3860" spans="1:2" x14ac:dyDescent="0.2">
      <c r="A3860" s="458"/>
      <c r="B3860" s="458"/>
    </row>
    <row r="3861" spans="1:2" x14ac:dyDescent="0.2">
      <c r="A3861" s="458"/>
      <c r="B3861" s="458"/>
    </row>
    <row r="3862" spans="1:2" x14ac:dyDescent="0.2">
      <c r="A3862" s="458"/>
      <c r="B3862" s="458"/>
    </row>
    <row r="3863" spans="1:2" x14ac:dyDescent="0.2">
      <c r="A3863" s="458"/>
      <c r="B3863" s="458"/>
    </row>
    <row r="3864" spans="1:2" x14ac:dyDescent="0.2">
      <c r="A3864" s="458"/>
      <c r="B3864" s="458"/>
    </row>
    <row r="3865" spans="1:2" x14ac:dyDescent="0.2">
      <c r="A3865" s="458"/>
      <c r="B3865" s="458"/>
    </row>
    <row r="3866" spans="1:2" x14ac:dyDescent="0.2">
      <c r="A3866" s="458"/>
      <c r="B3866" s="458"/>
    </row>
    <row r="3867" spans="1:2" x14ac:dyDescent="0.2">
      <c r="A3867" s="458"/>
      <c r="B3867" s="458"/>
    </row>
    <row r="3868" spans="1:2" x14ac:dyDescent="0.2">
      <c r="A3868" s="458"/>
      <c r="B3868" s="458"/>
    </row>
    <row r="3869" spans="1:2" x14ac:dyDescent="0.2">
      <c r="A3869" s="458"/>
      <c r="B3869" s="458"/>
    </row>
    <row r="3870" spans="1:2" x14ac:dyDescent="0.2">
      <c r="A3870" s="458"/>
      <c r="B3870" s="458"/>
    </row>
    <row r="3871" spans="1:2" x14ac:dyDescent="0.2">
      <c r="A3871" s="458"/>
      <c r="B3871" s="458"/>
    </row>
    <row r="3872" spans="1:2" x14ac:dyDescent="0.2">
      <c r="A3872" s="458"/>
      <c r="B3872" s="458"/>
    </row>
    <row r="3873" spans="1:2" x14ac:dyDescent="0.2">
      <c r="A3873" s="458"/>
      <c r="B3873" s="458"/>
    </row>
    <row r="3874" spans="1:2" x14ac:dyDescent="0.2">
      <c r="A3874" s="458"/>
      <c r="B3874" s="458"/>
    </row>
    <row r="3875" spans="1:2" x14ac:dyDescent="0.2">
      <c r="A3875" s="458"/>
      <c r="B3875" s="458"/>
    </row>
    <row r="3876" spans="1:2" x14ac:dyDescent="0.2">
      <c r="A3876" s="458"/>
      <c r="B3876" s="458"/>
    </row>
    <row r="3877" spans="1:2" x14ac:dyDescent="0.2">
      <c r="A3877" s="458"/>
      <c r="B3877" s="458"/>
    </row>
    <row r="3878" spans="1:2" x14ac:dyDescent="0.2">
      <c r="A3878" s="458"/>
      <c r="B3878" s="458"/>
    </row>
    <row r="3879" spans="1:2" x14ac:dyDescent="0.2">
      <c r="A3879" s="458"/>
      <c r="B3879" s="458"/>
    </row>
    <row r="3880" spans="1:2" x14ac:dyDescent="0.2">
      <c r="A3880" s="458"/>
      <c r="B3880" s="458"/>
    </row>
    <row r="3881" spans="1:2" x14ac:dyDescent="0.2">
      <c r="A3881" s="458"/>
      <c r="B3881" s="458"/>
    </row>
    <row r="3882" spans="1:2" x14ac:dyDescent="0.2">
      <c r="A3882" s="458"/>
      <c r="B3882" s="458"/>
    </row>
    <row r="3883" spans="1:2" x14ac:dyDescent="0.2">
      <c r="A3883" s="458"/>
      <c r="B3883" s="458"/>
    </row>
    <row r="3884" spans="1:2" x14ac:dyDescent="0.2">
      <c r="A3884" s="458"/>
      <c r="B3884" s="458"/>
    </row>
    <row r="3885" spans="1:2" x14ac:dyDescent="0.2">
      <c r="A3885" s="458"/>
      <c r="B3885" s="458"/>
    </row>
    <row r="3886" spans="1:2" x14ac:dyDescent="0.2">
      <c r="A3886" s="458"/>
      <c r="B3886" s="458"/>
    </row>
    <row r="3887" spans="1:2" x14ac:dyDescent="0.2">
      <c r="A3887" s="458"/>
      <c r="B3887" s="458"/>
    </row>
    <row r="3888" spans="1:2" x14ac:dyDescent="0.2">
      <c r="A3888" s="458"/>
      <c r="B3888" s="458"/>
    </row>
    <row r="3889" spans="1:2" x14ac:dyDescent="0.2">
      <c r="A3889" s="458"/>
      <c r="B3889" s="458"/>
    </row>
    <row r="3890" spans="1:2" x14ac:dyDescent="0.2">
      <c r="A3890" s="458"/>
      <c r="B3890" s="458"/>
    </row>
    <row r="3891" spans="1:2" x14ac:dyDescent="0.2">
      <c r="A3891" s="458"/>
      <c r="B3891" s="458"/>
    </row>
    <row r="3892" spans="1:2" x14ac:dyDescent="0.2">
      <c r="A3892" s="458"/>
      <c r="B3892" s="458"/>
    </row>
    <row r="3893" spans="1:2" x14ac:dyDescent="0.2">
      <c r="A3893" s="458"/>
      <c r="B3893" s="458"/>
    </row>
    <row r="3894" spans="1:2" x14ac:dyDescent="0.2">
      <c r="A3894" s="458"/>
      <c r="B3894" s="458"/>
    </row>
    <row r="3895" spans="1:2" x14ac:dyDescent="0.2">
      <c r="A3895" s="458"/>
      <c r="B3895" s="458"/>
    </row>
    <row r="3896" spans="1:2" x14ac:dyDescent="0.2">
      <c r="A3896" s="458"/>
      <c r="B3896" s="458"/>
    </row>
    <row r="3897" spans="1:2" x14ac:dyDescent="0.2">
      <c r="A3897" s="458"/>
      <c r="B3897" s="458"/>
    </row>
    <row r="3898" spans="1:2" x14ac:dyDescent="0.2">
      <c r="A3898" s="458"/>
      <c r="B3898" s="458"/>
    </row>
    <row r="3899" spans="1:2" x14ac:dyDescent="0.2">
      <c r="A3899" s="458"/>
      <c r="B3899" s="458"/>
    </row>
    <row r="3900" spans="1:2" x14ac:dyDescent="0.2">
      <c r="A3900" s="458"/>
      <c r="B3900" s="458"/>
    </row>
    <row r="3901" spans="1:2" x14ac:dyDescent="0.2">
      <c r="A3901" s="458"/>
      <c r="B3901" s="458"/>
    </row>
    <row r="3902" spans="1:2" x14ac:dyDescent="0.2">
      <c r="A3902" s="458"/>
      <c r="B3902" s="458"/>
    </row>
    <row r="3903" spans="1:2" x14ac:dyDescent="0.2">
      <c r="A3903" s="458"/>
      <c r="B3903" s="458"/>
    </row>
    <row r="3904" spans="1:2" x14ac:dyDescent="0.2">
      <c r="A3904" s="458"/>
      <c r="B3904" s="458"/>
    </row>
    <row r="3905" spans="1:2" x14ac:dyDescent="0.2">
      <c r="A3905" s="458"/>
      <c r="B3905" s="458"/>
    </row>
    <row r="3906" spans="1:2" x14ac:dyDescent="0.2">
      <c r="A3906" s="458"/>
      <c r="B3906" s="458"/>
    </row>
    <row r="3907" spans="1:2" x14ac:dyDescent="0.2">
      <c r="A3907" s="458"/>
      <c r="B3907" s="458"/>
    </row>
    <row r="3908" spans="1:2" x14ac:dyDescent="0.2">
      <c r="A3908" s="458"/>
      <c r="B3908" s="458"/>
    </row>
    <row r="3909" spans="1:2" x14ac:dyDescent="0.2">
      <c r="A3909" s="458"/>
      <c r="B3909" s="458"/>
    </row>
    <row r="3910" spans="1:2" x14ac:dyDescent="0.2">
      <c r="A3910" s="458"/>
      <c r="B3910" s="458"/>
    </row>
    <row r="3911" spans="1:2" x14ac:dyDescent="0.2">
      <c r="A3911" s="458"/>
      <c r="B3911" s="458"/>
    </row>
    <row r="3912" spans="1:2" x14ac:dyDescent="0.2">
      <c r="A3912" s="458"/>
      <c r="B3912" s="458"/>
    </row>
    <row r="3913" spans="1:2" x14ac:dyDescent="0.2">
      <c r="A3913" s="458"/>
      <c r="B3913" s="458"/>
    </row>
    <row r="3914" spans="1:2" x14ac:dyDescent="0.2">
      <c r="A3914" s="458"/>
      <c r="B3914" s="458"/>
    </row>
    <row r="3915" spans="1:2" x14ac:dyDescent="0.2">
      <c r="A3915" s="458"/>
      <c r="B3915" s="458"/>
    </row>
    <row r="3916" spans="1:2" x14ac:dyDescent="0.2">
      <c r="A3916" s="458"/>
      <c r="B3916" s="458"/>
    </row>
    <row r="3917" spans="1:2" x14ac:dyDescent="0.2">
      <c r="A3917" s="458"/>
      <c r="B3917" s="458"/>
    </row>
    <row r="3918" spans="1:2" x14ac:dyDescent="0.2">
      <c r="A3918" s="458"/>
      <c r="B3918" s="458"/>
    </row>
    <row r="3919" spans="1:2" x14ac:dyDescent="0.2">
      <c r="A3919" s="458"/>
      <c r="B3919" s="458"/>
    </row>
    <row r="3920" spans="1:2" x14ac:dyDescent="0.2">
      <c r="A3920" s="458"/>
      <c r="B3920" s="458"/>
    </row>
    <row r="3921" spans="1:2" x14ac:dyDescent="0.2">
      <c r="A3921" s="458"/>
      <c r="B3921" s="458"/>
    </row>
    <row r="3922" spans="1:2" x14ac:dyDescent="0.2">
      <c r="A3922" s="458"/>
      <c r="B3922" s="458"/>
    </row>
    <row r="3923" spans="1:2" x14ac:dyDescent="0.2">
      <c r="A3923" s="458"/>
      <c r="B3923" s="458"/>
    </row>
    <row r="3924" spans="1:2" x14ac:dyDescent="0.2">
      <c r="A3924" s="458"/>
      <c r="B3924" s="458"/>
    </row>
    <row r="3925" spans="1:2" x14ac:dyDescent="0.2">
      <c r="A3925" s="458"/>
      <c r="B3925" s="458"/>
    </row>
    <row r="3926" spans="1:2" x14ac:dyDescent="0.2">
      <c r="A3926" s="458"/>
      <c r="B3926" s="458"/>
    </row>
    <row r="3927" spans="1:2" x14ac:dyDescent="0.2">
      <c r="A3927" s="458"/>
      <c r="B3927" s="458"/>
    </row>
    <row r="3928" spans="1:2" x14ac:dyDescent="0.2">
      <c r="A3928" s="458"/>
      <c r="B3928" s="458"/>
    </row>
    <row r="3929" spans="1:2" x14ac:dyDescent="0.2">
      <c r="A3929" s="458"/>
      <c r="B3929" s="458"/>
    </row>
    <row r="3930" spans="1:2" x14ac:dyDescent="0.2">
      <c r="A3930" s="458"/>
      <c r="B3930" s="458"/>
    </row>
    <row r="3931" spans="1:2" x14ac:dyDescent="0.2">
      <c r="A3931" s="458"/>
      <c r="B3931" s="458"/>
    </row>
    <row r="3932" spans="1:2" x14ac:dyDescent="0.2">
      <c r="A3932" s="458"/>
      <c r="B3932" s="458"/>
    </row>
    <row r="3933" spans="1:2" x14ac:dyDescent="0.2">
      <c r="A3933" s="458"/>
      <c r="B3933" s="458"/>
    </row>
    <row r="3934" spans="1:2" x14ac:dyDescent="0.2">
      <c r="A3934" s="458"/>
      <c r="B3934" s="458"/>
    </row>
    <row r="3935" spans="1:2" x14ac:dyDescent="0.2">
      <c r="A3935" s="458"/>
      <c r="B3935" s="458"/>
    </row>
    <row r="3936" spans="1:2" x14ac:dyDescent="0.2">
      <c r="A3936" s="458"/>
      <c r="B3936" s="458"/>
    </row>
    <row r="3937" spans="1:2" x14ac:dyDescent="0.2">
      <c r="A3937" s="458"/>
      <c r="B3937" s="458"/>
    </row>
    <row r="3938" spans="1:2" x14ac:dyDescent="0.2">
      <c r="A3938" s="458"/>
      <c r="B3938" s="458"/>
    </row>
    <row r="3939" spans="1:2" x14ac:dyDescent="0.2">
      <c r="A3939" s="458"/>
      <c r="B3939" s="458"/>
    </row>
    <row r="3940" spans="1:2" x14ac:dyDescent="0.2">
      <c r="A3940" s="458"/>
      <c r="B3940" s="458"/>
    </row>
    <row r="3941" spans="1:2" x14ac:dyDescent="0.2">
      <c r="A3941" s="458"/>
      <c r="B3941" s="458"/>
    </row>
    <row r="3942" spans="1:2" x14ac:dyDescent="0.2">
      <c r="A3942" s="458"/>
      <c r="B3942" s="458"/>
    </row>
    <row r="3943" spans="1:2" x14ac:dyDescent="0.2">
      <c r="A3943" s="458"/>
      <c r="B3943" s="458"/>
    </row>
    <row r="3944" spans="1:2" x14ac:dyDescent="0.2">
      <c r="A3944" s="458"/>
      <c r="B3944" s="458"/>
    </row>
    <row r="3945" spans="1:2" x14ac:dyDescent="0.2">
      <c r="A3945" s="458"/>
      <c r="B3945" s="458"/>
    </row>
    <row r="3946" spans="1:2" x14ac:dyDescent="0.2">
      <c r="A3946" s="458"/>
      <c r="B3946" s="458"/>
    </row>
    <row r="3947" spans="1:2" x14ac:dyDescent="0.2">
      <c r="A3947" s="458"/>
      <c r="B3947" s="458"/>
    </row>
    <row r="3948" spans="1:2" x14ac:dyDescent="0.2">
      <c r="A3948" s="458"/>
      <c r="B3948" s="458"/>
    </row>
    <row r="3949" spans="1:2" x14ac:dyDescent="0.2">
      <c r="A3949" s="458"/>
      <c r="B3949" s="458"/>
    </row>
    <row r="3950" spans="1:2" x14ac:dyDescent="0.2">
      <c r="A3950" s="458"/>
      <c r="B3950" s="458"/>
    </row>
    <row r="3951" spans="1:2" x14ac:dyDescent="0.2">
      <c r="A3951" s="458"/>
      <c r="B3951" s="458"/>
    </row>
    <row r="3952" spans="1:2" x14ac:dyDescent="0.2">
      <c r="A3952" s="458"/>
      <c r="B3952" s="458"/>
    </row>
    <row r="3953" spans="1:2" x14ac:dyDescent="0.2">
      <c r="A3953" s="458"/>
      <c r="B3953" s="458"/>
    </row>
    <row r="3954" spans="1:2" x14ac:dyDescent="0.2">
      <c r="A3954" s="458"/>
      <c r="B3954" s="458"/>
    </row>
    <row r="3955" spans="1:2" x14ac:dyDescent="0.2">
      <c r="A3955" s="458"/>
      <c r="B3955" s="458"/>
    </row>
    <row r="3956" spans="1:2" x14ac:dyDescent="0.2">
      <c r="A3956" s="458"/>
      <c r="B3956" s="458"/>
    </row>
    <row r="3957" spans="1:2" x14ac:dyDescent="0.2">
      <c r="A3957" s="458"/>
      <c r="B3957" s="458"/>
    </row>
    <row r="3958" spans="1:2" x14ac:dyDescent="0.2">
      <c r="A3958" s="458"/>
      <c r="B3958" s="458"/>
    </row>
    <row r="3959" spans="1:2" x14ac:dyDescent="0.2">
      <c r="A3959" s="458"/>
      <c r="B3959" s="458"/>
    </row>
    <row r="3960" spans="1:2" x14ac:dyDescent="0.2">
      <c r="A3960" s="458"/>
      <c r="B3960" s="458"/>
    </row>
    <row r="3961" spans="1:2" x14ac:dyDescent="0.2">
      <c r="A3961" s="458"/>
      <c r="B3961" s="458"/>
    </row>
    <row r="3962" spans="1:2" x14ac:dyDescent="0.2">
      <c r="A3962" s="458"/>
      <c r="B3962" s="458"/>
    </row>
    <row r="3963" spans="1:2" x14ac:dyDescent="0.2">
      <c r="A3963" s="458"/>
      <c r="B3963" s="458"/>
    </row>
    <row r="3964" spans="1:2" x14ac:dyDescent="0.2">
      <c r="A3964" s="458"/>
      <c r="B3964" s="458"/>
    </row>
    <row r="3965" spans="1:2" x14ac:dyDescent="0.2">
      <c r="A3965" s="458"/>
      <c r="B3965" s="458"/>
    </row>
    <row r="3966" spans="1:2" x14ac:dyDescent="0.2">
      <c r="A3966" s="458"/>
      <c r="B3966" s="458"/>
    </row>
    <row r="3967" spans="1:2" x14ac:dyDescent="0.2">
      <c r="A3967" s="458"/>
      <c r="B3967" s="458"/>
    </row>
    <row r="3968" spans="1:2" x14ac:dyDescent="0.2">
      <c r="A3968" s="458"/>
      <c r="B3968" s="458"/>
    </row>
    <row r="3969" spans="1:2" x14ac:dyDescent="0.2">
      <c r="A3969" s="458"/>
      <c r="B3969" s="458"/>
    </row>
    <row r="3970" spans="1:2" x14ac:dyDescent="0.2">
      <c r="A3970" s="458"/>
      <c r="B3970" s="458"/>
    </row>
    <row r="3971" spans="1:2" x14ac:dyDescent="0.2">
      <c r="A3971" s="458"/>
      <c r="B3971" s="458"/>
    </row>
    <row r="3972" spans="1:2" x14ac:dyDescent="0.2">
      <c r="A3972" s="458"/>
      <c r="B3972" s="458"/>
    </row>
    <row r="3973" spans="1:2" x14ac:dyDescent="0.2">
      <c r="A3973" s="458"/>
      <c r="B3973" s="458"/>
    </row>
    <row r="3974" spans="1:2" x14ac:dyDescent="0.2">
      <c r="A3974" s="458"/>
      <c r="B3974" s="458"/>
    </row>
    <row r="3975" spans="1:2" x14ac:dyDescent="0.2">
      <c r="A3975" s="458"/>
      <c r="B3975" s="458"/>
    </row>
    <row r="3976" spans="1:2" x14ac:dyDescent="0.2">
      <c r="A3976" s="458"/>
      <c r="B3976" s="458"/>
    </row>
    <row r="3977" spans="1:2" x14ac:dyDescent="0.2">
      <c r="A3977" s="458"/>
      <c r="B3977" s="458"/>
    </row>
    <row r="3978" spans="1:2" x14ac:dyDescent="0.2">
      <c r="A3978" s="458"/>
      <c r="B3978" s="458"/>
    </row>
    <row r="3979" spans="1:2" x14ac:dyDescent="0.2">
      <c r="A3979" s="458"/>
      <c r="B3979" s="458"/>
    </row>
    <row r="3980" spans="1:2" x14ac:dyDescent="0.2">
      <c r="A3980" s="458"/>
      <c r="B3980" s="458"/>
    </row>
    <row r="3981" spans="1:2" x14ac:dyDescent="0.2">
      <c r="A3981" s="458"/>
      <c r="B3981" s="458"/>
    </row>
    <row r="3982" spans="1:2" x14ac:dyDescent="0.2">
      <c r="A3982" s="458"/>
      <c r="B3982" s="458"/>
    </row>
    <row r="3983" spans="1:2" x14ac:dyDescent="0.2">
      <c r="A3983" s="458"/>
      <c r="B3983" s="458"/>
    </row>
    <row r="3984" spans="1:2" x14ac:dyDescent="0.2">
      <c r="A3984" s="458"/>
      <c r="B3984" s="458"/>
    </row>
    <row r="3985" spans="1:2" x14ac:dyDescent="0.2">
      <c r="A3985" s="458"/>
      <c r="B3985" s="458"/>
    </row>
    <row r="3986" spans="1:2" x14ac:dyDescent="0.2">
      <c r="A3986" s="458"/>
      <c r="B3986" s="458"/>
    </row>
    <row r="3987" spans="1:2" x14ac:dyDescent="0.2">
      <c r="A3987" s="458"/>
      <c r="B3987" s="458"/>
    </row>
    <row r="3988" spans="1:2" x14ac:dyDescent="0.2">
      <c r="A3988" s="458"/>
      <c r="B3988" s="458"/>
    </row>
    <row r="3989" spans="1:2" x14ac:dyDescent="0.2">
      <c r="A3989" s="458"/>
      <c r="B3989" s="458"/>
    </row>
    <row r="3990" spans="1:2" x14ac:dyDescent="0.2">
      <c r="A3990" s="458"/>
      <c r="B3990" s="458"/>
    </row>
    <row r="3991" spans="1:2" x14ac:dyDescent="0.2">
      <c r="A3991" s="458"/>
      <c r="B3991" s="458"/>
    </row>
    <row r="3992" spans="1:2" x14ac:dyDescent="0.2">
      <c r="A3992" s="458"/>
      <c r="B3992" s="458"/>
    </row>
    <row r="3993" spans="1:2" x14ac:dyDescent="0.2">
      <c r="A3993" s="458"/>
      <c r="B3993" s="458"/>
    </row>
    <row r="3994" spans="1:2" x14ac:dyDescent="0.2">
      <c r="A3994" s="458"/>
      <c r="B3994" s="458"/>
    </row>
    <row r="3995" spans="1:2" x14ac:dyDescent="0.2">
      <c r="A3995" s="458"/>
      <c r="B3995" s="458"/>
    </row>
    <row r="3996" spans="1:2" x14ac:dyDescent="0.2">
      <c r="A3996" s="458"/>
      <c r="B3996" s="458"/>
    </row>
    <row r="3997" spans="1:2" x14ac:dyDescent="0.2">
      <c r="A3997" s="458"/>
      <c r="B3997" s="458"/>
    </row>
    <row r="3998" spans="1:2" x14ac:dyDescent="0.2">
      <c r="A3998" s="458"/>
      <c r="B3998" s="458"/>
    </row>
    <row r="3999" spans="1:2" x14ac:dyDescent="0.2">
      <c r="A3999" s="458"/>
      <c r="B3999" s="458"/>
    </row>
    <row r="4000" spans="1:2" x14ac:dyDescent="0.2">
      <c r="A4000" s="458"/>
      <c r="B4000" s="458"/>
    </row>
    <row r="4001" spans="1:2" x14ac:dyDescent="0.2">
      <c r="A4001" s="458"/>
      <c r="B4001" s="458"/>
    </row>
    <row r="4002" spans="1:2" x14ac:dyDescent="0.2">
      <c r="A4002" s="458"/>
      <c r="B4002" s="458"/>
    </row>
    <row r="4003" spans="1:2" x14ac:dyDescent="0.2">
      <c r="A4003" s="458"/>
      <c r="B4003" s="458"/>
    </row>
    <row r="4004" spans="1:2" x14ac:dyDescent="0.2">
      <c r="A4004" s="458"/>
      <c r="B4004" s="458"/>
    </row>
    <row r="4005" spans="1:2" x14ac:dyDescent="0.2">
      <c r="A4005" s="458"/>
      <c r="B4005" s="458"/>
    </row>
    <row r="4006" spans="1:2" x14ac:dyDescent="0.2">
      <c r="A4006" s="458"/>
      <c r="B4006" s="458"/>
    </row>
    <row r="4007" spans="1:2" x14ac:dyDescent="0.2">
      <c r="A4007" s="458"/>
      <c r="B4007" s="458"/>
    </row>
    <row r="4008" spans="1:2" x14ac:dyDescent="0.2">
      <c r="A4008" s="458"/>
      <c r="B4008" s="458"/>
    </row>
    <row r="4009" spans="1:2" x14ac:dyDescent="0.2">
      <c r="A4009" s="458"/>
      <c r="B4009" s="458"/>
    </row>
    <row r="4010" spans="1:2" x14ac:dyDescent="0.2">
      <c r="A4010" s="458"/>
      <c r="B4010" s="458"/>
    </row>
    <row r="4011" spans="1:2" x14ac:dyDescent="0.2">
      <c r="A4011" s="458"/>
      <c r="B4011" s="458"/>
    </row>
    <row r="4012" spans="1:2" x14ac:dyDescent="0.2">
      <c r="A4012" s="458"/>
      <c r="B4012" s="458"/>
    </row>
    <row r="4013" spans="1:2" x14ac:dyDescent="0.2">
      <c r="A4013" s="458"/>
      <c r="B4013" s="458"/>
    </row>
    <row r="4014" spans="1:2" x14ac:dyDescent="0.2">
      <c r="A4014" s="458"/>
      <c r="B4014" s="458"/>
    </row>
    <row r="4015" spans="1:2" x14ac:dyDescent="0.2">
      <c r="A4015" s="458"/>
      <c r="B4015" s="458"/>
    </row>
    <row r="4016" spans="1:2" x14ac:dyDescent="0.2">
      <c r="A4016" s="458"/>
      <c r="B4016" s="458"/>
    </row>
    <row r="4017" spans="1:2" x14ac:dyDescent="0.2">
      <c r="A4017" s="458"/>
      <c r="B4017" s="458"/>
    </row>
    <row r="4018" spans="1:2" x14ac:dyDescent="0.2">
      <c r="A4018" s="458"/>
      <c r="B4018" s="458"/>
    </row>
    <row r="4019" spans="1:2" x14ac:dyDescent="0.2">
      <c r="A4019" s="458"/>
      <c r="B4019" s="458"/>
    </row>
    <row r="4020" spans="1:2" x14ac:dyDescent="0.2">
      <c r="A4020" s="458"/>
      <c r="B4020" s="458"/>
    </row>
    <row r="4021" spans="1:2" x14ac:dyDescent="0.2">
      <c r="A4021" s="458"/>
      <c r="B4021" s="458"/>
    </row>
    <row r="4022" spans="1:2" x14ac:dyDescent="0.2">
      <c r="A4022" s="458"/>
      <c r="B4022" s="458"/>
    </row>
    <row r="4023" spans="1:2" x14ac:dyDescent="0.2">
      <c r="A4023" s="458"/>
      <c r="B4023" s="458"/>
    </row>
    <row r="4024" spans="1:2" x14ac:dyDescent="0.2">
      <c r="A4024" s="458"/>
      <c r="B4024" s="458"/>
    </row>
    <row r="4025" spans="1:2" x14ac:dyDescent="0.2">
      <c r="A4025" s="458"/>
      <c r="B4025" s="458"/>
    </row>
    <row r="4026" spans="1:2" x14ac:dyDescent="0.2">
      <c r="A4026" s="458"/>
      <c r="B4026" s="458"/>
    </row>
    <row r="4027" spans="1:2" x14ac:dyDescent="0.2">
      <c r="A4027" s="458"/>
      <c r="B4027" s="458"/>
    </row>
    <row r="4028" spans="1:2" x14ac:dyDescent="0.2">
      <c r="A4028" s="458"/>
      <c r="B4028" s="458"/>
    </row>
    <row r="4029" spans="1:2" x14ac:dyDescent="0.2">
      <c r="A4029" s="458"/>
      <c r="B4029" s="458"/>
    </row>
    <row r="4030" spans="1:2" x14ac:dyDescent="0.2">
      <c r="A4030" s="458"/>
      <c r="B4030" s="458"/>
    </row>
    <row r="4031" spans="1:2" x14ac:dyDescent="0.2">
      <c r="A4031" s="458"/>
      <c r="B4031" s="458"/>
    </row>
    <row r="4032" spans="1:2" x14ac:dyDescent="0.2">
      <c r="A4032" s="458"/>
      <c r="B4032" s="458"/>
    </row>
    <row r="4033" spans="1:2" x14ac:dyDescent="0.2">
      <c r="A4033" s="458"/>
      <c r="B4033" s="458"/>
    </row>
    <row r="4034" spans="1:2" x14ac:dyDescent="0.2">
      <c r="A4034" s="458"/>
      <c r="B4034" s="458"/>
    </row>
    <row r="4035" spans="1:2" x14ac:dyDescent="0.2">
      <c r="A4035" s="458"/>
      <c r="B4035" s="458"/>
    </row>
    <row r="4036" spans="1:2" x14ac:dyDescent="0.2">
      <c r="A4036" s="458"/>
      <c r="B4036" s="458"/>
    </row>
    <row r="4037" spans="1:2" x14ac:dyDescent="0.2">
      <c r="A4037" s="458"/>
      <c r="B4037" s="458"/>
    </row>
    <row r="4038" spans="1:2" x14ac:dyDescent="0.2">
      <c r="A4038" s="458"/>
      <c r="B4038" s="458"/>
    </row>
    <row r="4039" spans="1:2" x14ac:dyDescent="0.2">
      <c r="A4039" s="458"/>
      <c r="B4039" s="458"/>
    </row>
    <row r="4040" spans="1:2" x14ac:dyDescent="0.2">
      <c r="A4040" s="458"/>
      <c r="B4040" s="458"/>
    </row>
    <row r="4041" spans="1:2" x14ac:dyDescent="0.2">
      <c r="A4041" s="458"/>
      <c r="B4041" s="458"/>
    </row>
    <row r="4042" spans="1:2" x14ac:dyDescent="0.2">
      <c r="A4042" s="458"/>
      <c r="B4042" s="458"/>
    </row>
    <row r="4043" spans="1:2" x14ac:dyDescent="0.2">
      <c r="A4043" s="458"/>
      <c r="B4043" s="458"/>
    </row>
    <row r="4044" spans="1:2" x14ac:dyDescent="0.2">
      <c r="A4044" s="458"/>
      <c r="B4044" s="458"/>
    </row>
    <row r="4045" spans="1:2" x14ac:dyDescent="0.2">
      <c r="A4045" s="458"/>
      <c r="B4045" s="458"/>
    </row>
    <row r="4046" spans="1:2" x14ac:dyDescent="0.2">
      <c r="A4046" s="458"/>
      <c r="B4046" s="458"/>
    </row>
    <row r="4047" spans="1:2" x14ac:dyDescent="0.2">
      <c r="A4047" s="458"/>
      <c r="B4047" s="458"/>
    </row>
    <row r="4048" spans="1:2" x14ac:dyDescent="0.2">
      <c r="A4048" s="458"/>
      <c r="B4048" s="458"/>
    </row>
    <row r="4049" spans="1:2" x14ac:dyDescent="0.2">
      <c r="A4049" s="458"/>
      <c r="B4049" s="458"/>
    </row>
    <row r="4050" spans="1:2" x14ac:dyDescent="0.2">
      <c r="A4050" s="458"/>
      <c r="B4050" s="458"/>
    </row>
    <row r="4051" spans="1:2" x14ac:dyDescent="0.2">
      <c r="A4051" s="458"/>
      <c r="B4051" s="458"/>
    </row>
    <row r="4052" spans="1:2" x14ac:dyDescent="0.2">
      <c r="A4052" s="458"/>
      <c r="B4052" s="458"/>
    </row>
    <row r="4053" spans="1:2" x14ac:dyDescent="0.2">
      <c r="A4053" s="458"/>
      <c r="B4053" s="458"/>
    </row>
    <row r="4054" spans="1:2" x14ac:dyDescent="0.2">
      <c r="A4054" s="458"/>
      <c r="B4054" s="458"/>
    </row>
    <row r="4055" spans="1:2" x14ac:dyDescent="0.2">
      <c r="A4055" s="458"/>
      <c r="B4055" s="458"/>
    </row>
    <row r="4056" spans="1:2" x14ac:dyDescent="0.2">
      <c r="A4056" s="458"/>
      <c r="B4056" s="458"/>
    </row>
    <row r="4057" spans="1:2" x14ac:dyDescent="0.2">
      <c r="A4057" s="458"/>
      <c r="B4057" s="458"/>
    </row>
    <row r="4058" spans="1:2" x14ac:dyDescent="0.2">
      <c r="A4058" s="458"/>
      <c r="B4058" s="458"/>
    </row>
    <row r="4059" spans="1:2" x14ac:dyDescent="0.2">
      <c r="A4059" s="458"/>
      <c r="B4059" s="458"/>
    </row>
    <row r="4060" spans="1:2" x14ac:dyDescent="0.2">
      <c r="A4060" s="458"/>
      <c r="B4060" s="458"/>
    </row>
    <row r="4061" spans="1:2" x14ac:dyDescent="0.2">
      <c r="A4061" s="458"/>
      <c r="B4061" s="458"/>
    </row>
    <row r="4062" spans="1:2" x14ac:dyDescent="0.2">
      <c r="A4062" s="458"/>
      <c r="B4062" s="458"/>
    </row>
    <row r="4063" spans="1:2" x14ac:dyDescent="0.2">
      <c r="A4063" s="458"/>
      <c r="B4063" s="458"/>
    </row>
    <row r="4064" spans="1:2" x14ac:dyDescent="0.2">
      <c r="A4064" s="458"/>
      <c r="B4064" s="458"/>
    </row>
    <row r="4065" spans="1:2" x14ac:dyDescent="0.2">
      <c r="A4065" s="458"/>
      <c r="B4065" s="458"/>
    </row>
    <row r="4066" spans="1:2" x14ac:dyDescent="0.2">
      <c r="A4066" s="458"/>
      <c r="B4066" s="458"/>
    </row>
    <row r="4067" spans="1:2" x14ac:dyDescent="0.2">
      <c r="A4067" s="458"/>
      <c r="B4067" s="458"/>
    </row>
    <row r="4068" spans="1:2" x14ac:dyDescent="0.2">
      <c r="A4068" s="458"/>
      <c r="B4068" s="458"/>
    </row>
    <row r="4069" spans="1:2" x14ac:dyDescent="0.2">
      <c r="A4069" s="458"/>
      <c r="B4069" s="458"/>
    </row>
    <row r="4070" spans="1:2" x14ac:dyDescent="0.2">
      <c r="A4070" s="458"/>
      <c r="B4070" s="458"/>
    </row>
    <row r="4071" spans="1:2" x14ac:dyDescent="0.2">
      <c r="A4071" s="458"/>
      <c r="B4071" s="458"/>
    </row>
    <row r="4072" spans="1:2" x14ac:dyDescent="0.2">
      <c r="A4072" s="458"/>
      <c r="B4072" s="458"/>
    </row>
    <row r="4073" spans="1:2" x14ac:dyDescent="0.2">
      <c r="A4073" s="458"/>
      <c r="B4073" s="458"/>
    </row>
    <row r="4074" spans="1:2" x14ac:dyDescent="0.2">
      <c r="A4074" s="458"/>
      <c r="B4074" s="458"/>
    </row>
    <row r="4075" spans="1:2" x14ac:dyDescent="0.2">
      <c r="A4075" s="458"/>
      <c r="B4075" s="458"/>
    </row>
    <row r="4076" spans="1:2" x14ac:dyDescent="0.2">
      <c r="A4076" s="458"/>
      <c r="B4076" s="458"/>
    </row>
    <row r="4077" spans="1:2" x14ac:dyDescent="0.2">
      <c r="A4077" s="458"/>
      <c r="B4077" s="458"/>
    </row>
    <row r="4078" spans="1:2" x14ac:dyDescent="0.2">
      <c r="A4078" s="458"/>
      <c r="B4078" s="458"/>
    </row>
    <row r="4079" spans="1:2" x14ac:dyDescent="0.2">
      <c r="A4079" s="458"/>
      <c r="B4079" s="458"/>
    </row>
    <row r="4080" spans="1:2" x14ac:dyDescent="0.2">
      <c r="A4080" s="458"/>
      <c r="B4080" s="458"/>
    </row>
    <row r="4081" spans="1:2" x14ac:dyDescent="0.2">
      <c r="A4081" s="458"/>
      <c r="B4081" s="458"/>
    </row>
    <row r="4082" spans="1:2" x14ac:dyDescent="0.2">
      <c r="A4082" s="458"/>
      <c r="B4082" s="458"/>
    </row>
    <row r="4083" spans="1:2" x14ac:dyDescent="0.2">
      <c r="A4083" s="458"/>
      <c r="B4083" s="458"/>
    </row>
    <row r="4084" spans="1:2" x14ac:dyDescent="0.2">
      <c r="A4084" s="458"/>
      <c r="B4084" s="458"/>
    </row>
    <row r="4085" spans="1:2" x14ac:dyDescent="0.2">
      <c r="A4085" s="458"/>
      <c r="B4085" s="458"/>
    </row>
    <row r="4086" spans="1:2" x14ac:dyDescent="0.2">
      <c r="A4086" s="458"/>
      <c r="B4086" s="458"/>
    </row>
    <row r="4087" spans="1:2" x14ac:dyDescent="0.2">
      <c r="A4087" s="458"/>
      <c r="B4087" s="458"/>
    </row>
    <row r="4088" spans="1:2" x14ac:dyDescent="0.2">
      <c r="A4088" s="458"/>
      <c r="B4088" s="458"/>
    </row>
    <row r="4089" spans="1:2" x14ac:dyDescent="0.2">
      <c r="A4089" s="458"/>
      <c r="B4089" s="458"/>
    </row>
    <row r="4090" spans="1:2" x14ac:dyDescent="0.2">
      <c r="A4090" s="458"/>
      <c r="B4090" s="458"/>
    </row>
    <row r="4091" spans="1:2" x14ac:dyDescent="0.2">
      <c r="A4091" s="458"/>
      <c r="B4091" s="458"/>
    </row>
    <row r="4092" spans="1:2" x14ac:dyDescent="0.2">
      <c r="A4092" s="458"/>
      <c r="B4092" s="458"/>
    </row>
    <row r="4093" spans="1:2" x14ac:dyDescent="0.2">
      <c r="A4093" s="458"/>
      <c r="B4093" s="458"/>
    </row>
    <row r="4094" spans="1:2" x14ac:dyDescent="0.2">
      <c r="A4094" s="458"/>
      <c r="B4094" s="458"/>
    </row>
    <row r="4095" spans="1:2" x14ac:dyDescent="0.2">
      <c r="A4095" s="458"/>
      <c r="B4095" s="458"/>
    </row>
    <row r="4096" spans="1:2" x14ac:dyDescent="0.2">
      <c r="A4096" s="458"/>
      <c r="B4096" s="458"/>
    </row>
    <row r="4097" spans="1:2" x14ac:dyDescent="0.2">
      <c r="A4097" s="458"/>
      <c r="B4097" s="458"/>
    </row>
    <row r="4098" spans="1:2" x14ac:dyDescent="0.2">
      <c r="A4098" s="458"/>
      <c r="B4098" s="458"/>
    </row>
    <row r="4099" spans="1:2" x14ac:dyDescent="0.2">
      <c r="A4099" s="458"/>
      <c r="B4099" s="458"/>
    </row>
    <row r="4100" spans="1:2" x14ac:dyDescent="0.2">
      <c r="A4100" s="458"/>
      <c r="B4100" s="458"/>
    </row>
    <row r="4101" spans="1:2" x14ac:dyDescent="0.2">
      <c r="A4101" s="458"/>
      <c r="B4101" s="458"/>
    </row>
    <row r="4102" spans="1:2" x14ac:dyDescent="0.2">
      <c r="A4102" s="458"/>
      <c r="B4102" s="458"/>
    </row>
    <row r="4103" spans="1:2" x14ac:dyDescent="0.2">
      <c r="A4103" s="458"/>
      <c r="B4103" s="458"/>
    </row>
    <row r="4104" spans="1:2" x14ac:dyDescent="0.2">
      <c r="A4104" s="458"/>
      <c r="B4104" s="458"/>
    </row>
    <row r="4105" spans="1:2" x14ac:dyDescent="0.2">
      <c r="A4105" s="458"/>
      <c r="B4105" s="458"/>
    </row>
    <row r="4106" spans="1:2" x14ac:dyDescent="0.2">
      <c r="A4106" s="458"/>
      <c r="B4106" s="458"/>
    </row>
    <row r="4107" spans="1:2" x14ac:dyDescent="0.2">
      <c r="A4107" s="458"/>
      <c r="B4107" s="458"/>
    </row>
    <row r="4108" spans="1:2" x14ac:dyDescent="0.2">
      <c r="A4108" s="458"/>
      <c r="B4108" s="458"/>
    </row>
    <row r="4109" spans="1:2" x14ac:dyDescent="0.2">
      <c r="A4109" s="458"/>
      <c r="B4109" s="458"/>
    </row>
    <row r="4110" spans="1:2" x14ac:dyDescent="0.2">
      <c r="A4110" s="458"/>
      <c r="B4110" s="458"/>
    </row>
    <row r="4111" spans="1:2" x14ac:dyDescent="0.2">
      <c r="A4111" s="458"/>
      <c r="B4111" s="458"/>
    </row>
    <row r="4112" spans="1:2" x14ac:dyDescent="0.2">
      <c r="A4112" s="458"/>
      <c r="B4112" s="458"/>
    </row>
    <row r="4113" spans="1:2" x14ac:dyDescent="0.2">
      <c r="A4113" s="458"/>
      <c r="B4113" s="458"/>
    </row>
    <row r="4114" spans="1:2" x14ac:dyDescent="0.2">
      <c r="A4114" s="458"/>
      <c r="B4114" s="458"/>
    </row>
    <row r="4115" spans="1:2" x14ac:dyDescent="0.2">
      <c r="A4115" s="458"/>
      <c r="B4115" s="458"/>
    </row>
    <row r="4116" spans="1:2" x14ac:dyDescent="0.2">
      <c r="A4116" s="458"/>
      <c r="B4116" s="458"/>
    </row>
    <row r="4117" spans="1:2" x14ac:dyDescent="0.2">
      <c r="A4117" s="458"/>
      <c r="B4117" s="458"/>
    </row>
    <row r="4118" spans="1:2" x14ac:dyDescent="0.2">
      <c r="A4118" s="458"/>
      <c r="B4118" s="458"/>
    </row>
    <row r="4119" spans="1:2" x14ac:dyDescent="0.2">
      <c r="A4119" s="458"/>
      <c r="B4119" s="458"/>
    </row>
    <row r="4120" spans="1:2" x14ac:dyDescent="0.2">
      <c r="A4120" s="458"/>
      <c r="B4120" s="458"/>
    </row>
    <row r="4121" spans="1:2" x14ac:dyDescent="0.2">
      <c r="A4121" s="458"/>
      <c r="B4121" s="458"/>
    </row>
    <row r="4122" spans="1:2" x14ac:dyDescent="0.2">
      <c r="A4122" s="458"/>
      <c r="B4122" s="458"/>
    </row>
    <row r="4123" spans="1:2" x14ac:dyDescent="0.2">
      <c r="A4123" s="458"/>
      <c r="B4123" s="458"/>
    </row>
    <row r="4124" spans="1:2" x14ac:dyDescent="0.2">
      <c r="A4124" s="458"/>
      <c r="B4124" s="458"/>
    </row>
    <row r="4125" spans="1:2" x14ac:dyDescent="0.2">
      <c r="A4125" s="458"/>
      <c r="B4125" s="458"/>
    </row>
    <row r="4126" spans="1:2" x14ac:dyDescent="0.2">
      <c r="A4126" s="458"/>
      <c r="B4126" s="458"/>
    </row>
    <row r="4127" spans="1:2" x14ac:dyDescent="0.2">
      <c r="A4127" s="458"/>
      <c r="B4127" s="458"/>
    </row>
    <row r="4128" spans="1:2" x14ac:dyDescent="0.2">
      <c r="A4128" s="458"/>
      <c r="B4128" s="458"/>
    </row>
    <row r="4129" spans="1:2" x14ac:dyDescent="0.2">
      <c r="A4129" s="458"/>
      <c r="B4129" s="458"/>
    </row>
    <row r="4130" spans="1:2" x14ac:dyDescent="0.2">
      <c r="A4130" s="458"/>
      <c r="B4130" s="458"/>
    </row>
    <row r="4131" spans="1:2" x14ac:dyDescent="0.2">
      <c r="A4131" s="458"/>
      <c r="B4131" s="458"/>
    </row>
    <row r="4132" spans="1:2" x14ac:dyDescent="0.2">
      <c r="A4132" s="458"/>
      <c r="B4132" s="458"/>
    </row>
    <row r="4133" spans="1:2" x14ac:dyDescent="0.2">
      <c r="A4133" s="458"/>
      <c r="B4133" s="458"/>
    </row>
    <row r="4134" spans="1:2" x14ac:dyDescent="0.2">
      <c r="A4134" s="458"/>
      <c r="B4134" s="458"/>
    </row>
    <row r="4135" spans="1:2" x14ac:dyDescent="0.2">
      <c r="A4135" s="458"/>
      <c r="B4135" s="458"/>
    </row>
    <row r="4136" spans="1:2" x14ac:dyDescent="0.2">
      <c r="A4136" s="458"/>
      <c r="B4136" s="458"/>
    </row>
    <row r="4137" spans="1:2" x14ac:dyDescent="0.2">
      <c r="A4137" s="458"/>
      <c r="B4137" s="458"/>
    </row>
    <row r="4138" spans="1:2" x14ac:dyDescent="0.2">
      <c r="A4138" s="458"/>
      <c r="B4138" s="458"/>
    </row>
    <row r="4139" spans="1:2" x14ac:dyDescent="0.2">
      <c r="A4139" s="458"/>
      <c r="B4139" s="458"/>
    </row>
    <row r="4140" spans="1:2" x14ac:dyDescent="0.2">
      <c r="A4140" s="458"/>
      <c r="B4140" s="458"/>
    </row>
    <row r="4141" spans="1:2" x14ac:dyDescent="0.2">
      <c r="A4141" s="458"/>
      <c r="B4141" s="458"/>
    </row>
    <row r="4142" spans="1:2" x14ac:dyDescent="0.2">
      <c r="A4142" s="458"/>
      <c r="B4142" s="458"/>
    </row>
    <row r="4143" spans="1:2" x14ac:dyDescent="0.2">
      <c r="A4143" s="458"/>
      <c r="B4143" s="458"/>
    </row>
    <row r="4144" spans="1:2" x14ac:dyDescent="0.2">
      <c r="A4144" s="458"/>
      <c r="B4144" s="458"/>
    </row>
    <row r="4145" spans="1:2" x14ac:dyDescent="0.2">
      <c r="A4145" s="458"/>
      <c r="B4145" s="458"/>
    </row>
    <row r="4146" spans="1:2" x14ac:dyDescent="0.2">
      <c r="A4146" s="458"/>
      <c r="B4146" s="458"/>
    </row>
    <row r="4147" spans="1:2" x14ac:dyDescent="0.2">
      <c r="A4147" s="458"/>
      <c r="B4147" s="458"/>
    </row>
    <row r="4148" spans="1:2" x14ac:dyDescent="0.2">
      <c r="A4148" s="458"/>
      <c r="B4148" s="458"/>
    </row>
    <row r="4149" spans="1:2" x14ac:dyDescent="0.2">
      <c r="A4149" s="458"/>
      <c r="B4149" s="458"/>
    </row>
    <row r="4150" spans="1:2" x14ac:dyDescent="0.2">
      <c r="A4150" s="458"/>
      <c r="B4150" s="458"/>
    </row>
    <row r="4151" spans="1:2" x14ac:dyDescent="0.2">
      <c r="A4151" s="458"/>
      <c r="B4151" s="458"/>
    </row>
    <row r="4152" spans="1:2" x14ac:dyDescent="0.2">
      <c r="A4152" s="458"/>
      <c r="B4152" s="458"/>
    </row>
    <row r="4153" spans="1:2" x14ac:dyDescent="0.2">
      <c r="A4153" s="458"/>
      <c r="B4153" s="458"/>
    </row>
    <row r="4154" spans="1:2" x14ac:dyDescent="0.2">
      <c r="A4154" s="458"/>
      <c r="B4154" s="458"/>
    </row>
    <row r="4155" spans="1:2" x14ac:dyDescent="0.2">
      <c r="A4155" s="458"/>
      <c r="B4155" s="458"/>
    </row>
    <row r="4156" spans="1:2" x14ac:dyDescent="0.2">
      <c r="A4156" s="458"/>
      <c r="B4156" s="458"/>
    </row>
    <row r="4157" spans="1:2" x14ac:dyDescent="0.2">
      <c r="A4157" s="458"/>
      <c r="B4157" s="458"/>
    </row>
    <row r="4158" spans="1:2" x14ac:dyDescent="0.2">
      <c r="A4158" s="458"/>
      <c r="B4158" s="458"/>
    </row>
    <row r="4159" spans="1:2" x14ac:dyDescent="0.2">
      <c r="A4159" s="458"/>
      <c r="B4159" s="458"/>
    </row>
    <row r="4160" spans="1:2" x14ac:dyDescent="0.2">
      <c r="A4160" s="458"/>
      <c r="B4160" s="458"/>
    </row>
    <row r="4161" spans="1:2" x14ac:dyDescent="0.2">
      <c r="A4161" s="458"/>
      <c r="B4161" s="458"/>
    </row>
    <row r="4162" spans="1:2" x14ac:dyDescent="0.2">
      <c r="A4162" s="458"/>
      <c r="B4162" s="458"/>
    </row>
    <row r="4163" spans="1:2" x14ac:dyDescent="0.2">
      <c r="A4163" s="458"/>
      <c r="B4163" s="458"/>
    </row>
    <row r="4164" spans="1:2" x14ac:dyDescent="0.2">
      <c r="A4164" s="458"/>
      <c r="B4164" s="458"/>
    </row>
    <row r="4165" spans="1:2" x14ac:dyDescent="0.2">
      <c r="A4165" s="458"/>
      <c r="B4165" s="458"/>
    </row>
    <row r="4166" spans="1:2" x14ac:dyDescent="0.2">
      <c r="A4166" s="458"/>
      <c r="B4166" s="458"/>
    </row>
    <row r="4167" spans="1:2" x14ac:dyDescent="0.2">
      <c r="A4167" s="458"/>
      <c r="B4167" s="458"/>
    </row>
    <row r="4168" spans="1:2" x14ac:dyDescent="0.2">
      <c r="A4168" s="458"/>
      <c r="B4168" s="458"/>
    </row>
    <row r="4169" spans="1:2" x14ac:dyDescent="0.2">
      <c r="A4169" s="458"/>
      <c r="B4169" s="458"/>
    </row>
    <row r="4170" spans="1:2" x14ac:dyDescent="0.2">
      <c r="A4170" s="458"/>
      <c r="B4170" s="458"/>
    </row>
    <row r="4171" spans="1:2" x14ac:dyDescent="0.2">
      <c r="A4171" s="458"/>
      <c r="B4171" s="458"/>
    </row>
    <row r="4172" spans="1:2" x14ac:dyDescent="0.2">
      <c r="A4172" s="458"/>
      <c r="B4172" s="458"/>
    </row>
    <row r="4173" spans="1:2" x14ac:dyDescent="0.2">
      <c r="A4173" s="458"/>
      <c r="B4173" s="458"/>
    </row>
    <row r="4174" spans="1:2" x14ac:dyDescent="0.2">
      <c r="A4174" s="458"/>
      <c r="B4174" s="458"/>
    </row>
    <row r="4175" spans="1:2" x14ac:dyDescent="0.2">
      <c r="A4175" s="458"/>
      <c r="B4175" s="458"/>
    </row>
    <row r="4176" spans="1:2" x14ac:dyDescent="0.2">
      <c r="A4176" s="458"/>
      <c r="B4176" s="458"/>
    </row>
    <row r="4177" spans="1:2" x14ac:dyDescent="0.2">
      <c r="A4177" s="458"/>
      <c r="B4177" s="458"/>
    </row>
    <row r="4178" spans="1:2" x14ac:dyDescent="0.2">
      <c r="A4178" s="458"/>
      <c r="B4178" s="458"/>
    </row>
    <row r="4179" spans="1:2" x14ac:dyDescent="0.2">
      <c r="A4179" s="458"/>
      <c r="B4179" s="458"/>
    </row>
    <row r="4180" spans="1:2" x14ac:dyDescent="0.2">
      <c r="A4180" s="458"/>
      <c r="B4180" s="458"/>
    </row>
    <row r="4181" spans="1:2" x14ac:dyDescent="0.2">
      <c r="A4181" s="458"/>
      <c r="B4181" s="458"/>
    </row>
    <row r="4182" spans="1:2" x14ac:dyDescent="0.2">
      <c r="A4182" s="458"/>
      <c r="B4182" s="458"/>
    </row>
    <row r="4183" spans="1:2" x14ac:dyDescent="0.2">
      <c r="A4183" s="458"/>
      <c r="B4183" s="458"/>
    </row>
    <row r="4184" spans="1:2" x14ac:dyDescent="0.2">
      <c r="A4184" s="458"/>
      <c r="B4184" s="458"/>
    </row>
    <row r="4185" spans="1:2" x14ac:dyDescent="0.2">
      <c r="A4185" s="458"/>
      <c r="B4185" s="458"/>
    </row>
    <row r="4186" spans="1:2" x14ac:dyDescent="0.2">
      <c r="A4186" s="458"/>
      <c r="B4186" s="458"/>
    </row>
    <row r="4187" spans="1:2" x14ac:dyDescent="0.2">
      <c r="A4187" s="458"/>
      <c r="B4187" s="458"/>
    </row>
    <row r="4188" spans="1:2" x14ac:dyDescent="0.2">
      <c r="A4188" s="458"/>
      <c r="B4188" s="458"/>
    </row>
    <row r="4189" spans="1:2" x14ac:dyDescent="0.2">
      <c r="A4189" s="458"/>
      <c r="B4189" s="458"/>
    </row>
    <row r="4190" spans="1:2" x14ac:dyDescent="0.2">
      <c r="A4190" s="458"/>
      <c r="B4190" s="458"/>
    </row>
    <row r="4191" spans="1:2" x14ac:dyDescent="0.2">
      <c r="A4191" s="458"/>
      <c r="B4191" s="458"/>
    </row>
    <row r="4192" spans="1:2" x14ac:dyDescent="0.2">
      <c r="A4192" s="458"/>
      <c r="B4192" s="458"/>
    </row>
    <row r="4193" spans="1:2" x14ac:dyDescent="0.2">
      <c r="A4193" s="458"/>
      <c r="B4193" s="458"/>
    </row>
    <row r="4194" spans="1:2" x14ac:dyDescent="0.2">
      <c r="A4194" s="458"/>
      <c r="B4194" s="458"/>
    </row>
    <row r="4195" spans="1:2" x14ac:dyDescent="0.2">
      <c r="A4195" s="458"/>
      <c r="B4195" s="458"/>
    </row>
    <row r="4196" spans="1:2" x14ac:dyDescent="0.2">
      <c r="A4196" s="458"/>
      <c r="B4196" s="458"/>
    </row>
    <row r="4197" spans="1:2" x14ac:dyDescent="0.2">
      <c r="A4197" s="458"/>
      <c r="B4197" s="458"/>
    </row>
    <row r="4198" spans="1:2" x14ac:dyDescent="0.2">
      <c r="A4198" s="458"/>
      <c r="B4198" s="458"/>
    </row>
    <row r="4199" spans="1:2" x14ac:dyDescent="0.2">
      <c r="A4199" s="458"/>
      <c r="B4199" s="458"/>
    </row>
    <row r="4200" spans="1:2" x14ac:dyDescent="0.2">
      <c r="A4200" s="458"/>
      <c r="B4200" s="458"/>
    </row>
    <row r="4201" spans="1:2" x14ac:dyDescent="0.2">
      <c r="A4201" s="458"/>
      <c r="B4201" s="458"/>
    </row>
    <row r="4202" spans="1:2" x14ac:dyDescent="0.2">
      <c r="A4202" s="458"/>
      <c r="B4202" s="458"/>
    </row>
    <row r="4203" spans="1:2" x14ac:dyDescent="0.2">
      <c r="A4203" s="458"/>
      <c r="B4203" s="458"/>
    </row>
    <row r="4204" spans="1:2" x14ac:dyDescent="0.2">
      <c r="A4204" s="458"/>
      <c r="B4204" s="458"/>
    </row>
    <row r="4205" spans="1:2" x14ac:dyDescent="0.2">
      <c r="A4205" s="458"/>
      <c r="B4205" s="458"/>
    </row>
    <row r="4206" spans="1:2" x14ac:dyDescent="0.2">
      <c r="A4206" s="458"/>
      <c r="B4206" s="458"/>
    </row>
    <row r="4207" spans="1:2" x14ac:dyDescent="0.2">
      <c r="A4207" s="458"/>
      <c r="B4207" s="458"/>
    </row>
    <row r="4208" spans="1:2" x14ac:dyDescent="0.2">
      <c r="A4208" s="458"/>
      <c r="B4208" s="458"/>
    </row>
    <row r="4209" spans="1:2" x14ac:dyDescent="0.2">
      <c r="A4209" s="458"/>
      <c r="B4209" s="458"/>
    </row>
    <row r="4210" spans="1:2" x14ac:dyDescent="0.2">
      <c r="A4210" s="458"/>
      <c r="B4210" s="458"/>
    </row>
    <row r="4211" spans="1:2" x14ac:dyDescent="0.2">
      <c r="A4211" s="458"/>
      <c r="B4211" s="458"/>
    </row>
    <row r="4212" spans="1:2" x14ac:dyDescent="0.2">
      <c r="A4212" s="458"/>
      <c r="B4212" s="458"/>
    </row>
    <row r="4213" spans="1:2" x14ac:dyDescent="0.2">
      <c r="A4213" s="458"/>
      <c r="B4213" s="458"/>
    </row>
    <row r="4214" spans="1:2" x14ac:dyDescent="0.2">
      <c r="A4214" s="458"/>
      <c r="B4214" s="458"/>
    </row>
    <row r="4215" spans="1:2" x14ac:dyDescent="0.2">
      <c r="A4215" s="458"/>
      <c r="B4215" s="458"/>
    </row>
    <row r="4216" spans="1:2" x14ac:dyDescent="0.2">
      <c r="A4216" s="458"/>
      <c r="B4216" s="458"/>
    </row>
    <row r="4217" spans="1:2" x14ac:dyDescent="0.2">
      <c r="A4217" s="458"/>
      <c r="B4217" s="458"/>
    </row>
    <row r="4218" spans="1:2" x14ac:dyDescent="0.2">
      <c r="A4218" s="458"/>
      <c r="B4218" s="458"/>
    </row>
    <row r="4219" spans="1:2" x14ac:dyDescent="0.2">
      <c r="A4219" s="458"/>
      <c r="B4219" s="458"/>
    </row>
    <row r="4220" spans="1:2" x14ac:dyDescent="0.2">
      <c r="A4220" s="458"/>
      <c r="B4220" s="458"/>
    </row>
    <row r="4221" spans="1:2" x14ac:dyDescent="0.2">
      <c r="A4221" s="458"/>
      <c r="B4221" s="458"/>
    </row>
    <row r="4222" spans="1:2" x14ac:dyDescent="0.2">
      <c r="A4222" s="458"/>
      <c r="B4222" s="458"/>
    </row>
    <row r="4223" spans="1:2" x14ac:dyDescent="0.2">
      <c r="A4223" s="458"/>
      <c r="B4223" s="458"/>
    </row>
    <row r="4224" spans="1:2" x14ac:dyDescent="0.2">
      <c r="A4224" s="458"/>
      <c r="B4224" s="458"/>
    </row>
    <row r="4225" spans="1:2" x14ac:dyDescent="0.2">
      <c r="A4225" s="458"/>
      <c r="B4225" s="458"/>
    </row>
    <row r="4226" spans="1:2" x14ac:dyDescent="0.2">
      <c r="A4226" s="458"/>
      <c r="B4226" s="458"/>
    </row>
    <row r="4227" spans="1:2" x14ac:dyDescent="0.2">
      <c r="A4227" s="458"/>
      <c r="B4227" s="458"/>
    </row>
    <row r="4228" spans="1:2" x14ac:dyDescent="0.2">
      <c r="A4228" s="458"/>
      <c r="B4228" s="458"/>
    </row>
    <row r="4229" spans="1:2" x14ac:dyDescent="0.2">
      <c r="A4229" s="458"/>
      <c r="B4229" s="458"/>
    </row>
    <row r="4230" spans="1:2" x14ac:dyDescent="0.2">
      <c r="A4230" s="458"/>
      <c r="B4230" s="458"/>
    </row>
    <row r="4231" spans="1:2" x14ac:dyDescent="0.2">
      <c r="A4231" s="458"/>
      <c r="B4231" s="458"/>
    </row>
    <row r="4232" spans="1:2" x14ac:dyDescent="0.2">
      <c r="A4232" s="458"/>
      <c r="B4232" s="458"/>
    </row>
    <row r="4233" spans="1:2" x14ac:dyDescent="0.2">
      <c r="A4233" s="458"/>
      <c r="B4233" s="458"/>
    </row>
    <row r="4234" spans="1:2" x14ac:dyDescent="0.2">
      <c r="A4234" s="458"/>
      <c r="B4234" s="458"/>
    </row>
    <row r="4235" spans="1:2" x14ac:dyDescent="0.2">
      <c r="A4235" s="458"/>
      <c r="B4235" s="458"/>
    </row>
    <row r="4236" spans="1:2" x14ac:dyDescent="0.2">
      <c r="A4236" s="458"/>
      <c r="B4236" s="458"/>
    </row>
    <row r="4237" spans="1:2" x14ac:dyDescent="0.2">
      <c r="A4237" s="458"/>
      <c r="B4237" s="458"/>
    </row>
    <row r="4238" spans="1:2" x14ac:dyDescent="0.2">
      <c r="A4238" s="458"/>
      <c r="B4238" s="458"/>
    </row>
    <row r="4239" spans="1:2" x14ac:dyDescent="0.2">
      <c r="A4239" s="458"/>
      <c r="B4239" s="458"/>
    </row>
    <row r="4240" spans="1:2" x14ac:dyDescent="0.2">
      <c r="A4240" s="458"/>
      <c r="B4240" s="458"/>
    </row>
    <row r="4241" spans="1:2" x14ac:dyDescent="0.2">
      <c r="A4241" s="458"/>
      <c r="B4241" s="458"/>
    </row>
    <row r="4242" spans="1:2" x14ac:dyDescent="0.2">
      <c r="A4242" s="458"/>
      <c r="B4242" s="458"/>
    </row>
    <row r="4243" spans="1:2" x14ac:dyDescent="0.2">
      <c r="A4243" s="458"/>
      <c r="B4243" s="458"/>
    </row>
    <row r="4244" spans="1:2" x14ac:dyDescent="0.2">
      <c r="A4244" s="458"/>
      <c r="B4244" s="458"/>
    </row>
    <row r="4245" spans="1:2" x14ac:dyDescent="0.2">
      <c r="A4245" s="458"/>
      <c r="B4245" s="458"/>
    </row>
    <row r="4246" spans="1:2" x14ac:dyDescent="0.2">
      <c r="A4246" s="458"/>
      <c r="B4246" s="458"/>
    </row>
    <row r="4247" spans="1:2" x14ac:dyDescent="0.2">
      <c r="A4247" s="458"/>
      <c r="B4247" s="458"/>
    </row>
    <row r="4248" spans="1:2" x14ac:dyDescent="0.2">
      <c r="A4248" s="458"/>
      <c r="B4248" s="458"/>
    </row>
    <row r="4249" spans="1:2" x14ac:dyDescent="0.2">
      <c r="A4249" s="458"/>
      <c r="B4249" s="458"/>
    </row>
    <row r="4250" spans="1:2" x14ac:dyDescent="0.2">
      <c r="A4250" s="458"/>
      <c r="B4250" s="458"/>
    </row>
    <row r="4251" spans="1:2" x14ac:dyDescent="0.2">
      <c r="A4251" s="458"/>
      <c r="B4251" s="458"/>
    </row>
    <row r="4252" spans="1:2" x14ac:dyDescent="0.2">
      <c r="A4252" s="458"/>
      <c r="B4252" s="458"/>
    </row>
    <row r="4253" spans="1:2" x14ac:dyDescent="0.2">
      <c r="A4253" s="458"/>
      <c r="B4253" s="458"/>
    </row>
    <row r="4254" spans="1:2" x14ac:dyDescent="0.2">
      <c r="A4254" s="458"/>
      <c r="B4254" s="458"/>
    </row>
    <row r="4255" spans="1:2" x14ac:dyDescent="0.2">
      <c r="A4255" s="458"/>
      <c r="B4255" s="458"/>
    </row>
    <row r="4256" spans="1:2" x14ac:dyDescent="0.2">
      <c r="A4256" s="458"/>
      <c r="B4256" s="458"/>
    </row>
    <row r="4257" spans="1:2" x14ac:dyDescent="0.2">
      <c r="A4257" s="458"/>
      <c r="B4257" s="458"/>
    </row>
    <row r="4258" spans="1:2" x14ac:dyDescent="0.2">
      <c r="A4258" s="458"/>
      <c r="B4258" s="458"/>
    </row>
    <row r="4259" spans="1:2" x14ac:dyDescent="0.2">
      <c r="A4259" s="458"/>
      <c r="B4259" s="458"/>
    </row>
    <row r="4260" spans="1:2" x14ac:dyDescent="0.2">
      <c r="A4260" s="458"/>
      <c r="B4260" s="458"/>
    </row>
    <row r="4261" spans="1:2" x14ac:dyDescent="0.2">
      <c r="A4261" s="458"/>
      <c r="B4261" s="458"/>
    </row>
    <row r="4262" spans="1:2" x14ac:dyDescent="0.2">
      <c r="A4262" s="458"/>
      <c r="B4262" s="458"/>
    </row>
    <row r="4263" spans="1:2" x14ac:dyDescent="0.2">
      <c r="A4263" s="458"/>
      <c r="B4263" s="458"/>
    </row>
    <row r="4264" spans="1:2" x14ac:dyDescent="0.2">
      <c r="A4264" s="458"/>
      <c r="B4264" s="458"/>
    </row>
    <row r="4265" spans="1:2" x14ac:dyDescent="0.2">
      <c r="A4265" s="458"/>
      <c r="B4265" s="458"/>
    </row>
    <row r="4266" spans="1:2" x14ac:dyDescent="0.2">
      <c r="A4266" s="458"/>
      <c r="B4266" s="458"/>
    </row>
    <row r="4267" spans="1:2" x14ac:dyDescent="0.2">
      <c r="A4267" s="458"/>
      <c r="B4267" s="458"/>
    </row>
    <row r="4268" spans="1:2" x14ac:dyDescent="0.2">
      <c r="A4268" s="458"/>
      <c r="B4268" s="458"/>
    </row>
    <row r="4269" spans="1:2" x14ac:dyDescent="0.2">
      <c r="A4269" s="458"/>
      <c r="B4269" s="458"/>
    </row>
    <row r="4270" spans="1:2" x14ac:dyDescent="0.2">
      <c r="A4270" s="458"/>
      <c r="B4270" s="458"/>
    </row>
    <row r="4271" spans="1:2" x14ac:dyDescent="0.2">
      <c r="A4271" s="458"/>
      <c r="B4271" s="458"/>
    </row>
    <row r="4272" spans="1:2" x14ac:dyDescent="0.2">
      <c r="A4272" s="458"/>
      <c r="B4272" s="458"/>
    </row>
    <row r="4273" spans="1:2" x14ac:dyDescent="0.2">
      <c r="A4273" s="458"/>
      <c r="B4273" s="458"/>
    </row>
    <row r="4274" spans="1:2" x14ac:dyDescent="0.2">
      <c r="A4274" s="458"/>
      <c r="B4274" s="458"/>
    </row>
    <row r="4275" spans="1:2" x14ac:dyDescent="0.2">
      <c r="A4275" s="458"/>
      <c r="B4275" s="458"/>
    </row>
    <row r="4276" spans="1:2" x14ac:dyDescent="0.2">
      <c r="A4276" s="458"/>
      <c r="B4276" s="458"/>
    </row>
    <row r="4277" spans="1:2" x14ac:dyDescent="0.2">
      <c r="A4277" s="458"/>
      <c r="B4277" s="458"/>
    </row>
    <row r="4278" spans="1:2" x14ac:dyDescent="0.2">
      <c r="A4278" s="458"/>
      <c r="B4278" s="458"/>
    </row>
    <row r="4279" spans="1:2" x14ac:dyDescent="0.2">
      <c r="A4279" s="458"/>
      <c r="B4279" s="458"/>
    </row>
    <row r="4280" spans="1:2" x14ac:dyDescent="0.2">
      <c r="A4280" s="458"/>
      <c r="B4280" s="458"/>
    </row>
    <row r="4281" spans="1:2" x14ac:dyDescent="0.2">
      <c r="A4281" s="458"/>
      <c r="B4281" s="458"/>
    </row>
    <row r="4282" spans="1:2" x14ac:dyDescent="0.2">
      <c r="A4282" s="458"/>
      <c r="B4282" s="458"/>
    </row>
    <row r="4283" spans="1:2" x14ac:dyDescent="0.2">
      <c r="A4283" s="458"/>
      <c r="B4283" s="458"/>
    </row>
    <row r="4284" spans="1:2" x14ac:dyDescent="0.2">
      <c r="A4284" s="458"/>
      <c r="B4284" s="458"/>
    </row>
    <row r="4285" spans="1:2" x14ac:dyDescent="0.2">
      <c r="A4285" s="458"/>
      <c r="B4285" s="458"/>
    </row>
    <row r="4286" spans="1:2" x14ac:dyDescent="0.2">
      <c r="A4286" s="458"/>
      <c r="B4286" s="458"/>
    </row>
    <row r="4287" spans="1:2" x14ac:dyDescent="0.2">
      <c r="A4287" s="458"/>
      <c r="B4287" s="458"/>
    </row>
    <row r="4288" spans="1:2" x14ac:dyDescent="0.2">
      <c r="A4288" s="458"/>
      <c r="B4288" s="458"/>
    </row>
    <row r="4289" spans="1:2" x14ac:dyDescent="0.2">
      <c r="A4289" s="458"/>
      <c r="B4289" s="458"/>
    </row>
    <row r="4290" spans="1:2" x14ac:dyDescent="0.2">
      <c r="A4290" s="458"/>
      <c r="B4290" s="458"/>
    </row>
    <row r="4291" spans="1:2" x14ac:dyDescent="0.2">
      <c r="A4291" s="458"/>
      <c r="B4291" s="458"/>
    </row>
    <row r="4292" spans="1:2" x14ac:dyDescent="0.2">
      <c r="A4292" s="458"/>
      <c r="B4292" s="458"/>
    </row>
    <row r="4293" spans="1:2" x14ac:dyDescent="0.2">
      <c r="A4293" s="458"/>
      <c r="B4293" s="458"/>
    </row>
    <row r="4294" spans="1:2" x14ac:dyDescent="0.2">
      <c r="A4294" s="458"/>
      <c r="B4294" s="458"/>
    </row>
    <row r="4295" spans="1:2" x14ac:dyDescent="0.2">
      <c r="A4295" s="458"/>
      <c r="B4295" s="458"/>
    </row>
    <row r="4296" spans="1:2" x14ac:dyDescent="0.2">
      <c r="A4296" s="458"/>
      <c r="B4296" s="458"/>
    </row>
    <row r="4297" spans="1:2" x14ac:dyDescent="0.2">
      <c r="A4297" s="458"/>
      <c r="B4297" s="458"/>
    </row>
    <row r="4298" spans="1:2" x14ac:dyDescent="0.2">
      <c r="A4298" s="458"/>
      <c r="B4298" s="458"/>
    </row>
    <row r="4299" spans="1:2" x14ac:dyDescent="0.2">
      <c r="A4299" s="458"/>
      <c r="B4299" s="458"/>
    </row>
    <row r="4300" spans="1:2" x14ac:dyDescent="0.2">
      <c r="A4300" s="458"/>
      <c r="B4300" s="458"/>
    </row>
    <row r="4301" spans="1:2" x14ac:dyDescent="0.2">
      <c r="A4301" s="458"/>
      <c r="B4301" s="458"/>
    </row>
    <row r="4302" spans="1:2" x14ac:dyDescent="0.2">
      <c r="A4302" s="458"/>
      <c r="B4302" s="458"/>
    </row>
    <row r="4303" spans="1:2" x14ac:dyDescent="0.2">
      <c r="A4303" s="458"/>
      <c r="B4303" s="458"/>
    </row>
    <row r="4304" spans="1:2" x14ac:dyDescent="0.2">
      <c r="A4304" s="458"/>
      <c r="B4304" s="458"/>
    </row>
    <row r="4305" spans="1:2" x14ac:dyDescent="0.2">
      <c r="A4305" s="458"/>
      <c r="B4305" s="458"/>
    </row>
    <row r="4306" spans="1:2" x14ac:dyDescent="0.2">
      <c r="A4306" s="458"/>
      <c r="B4306" s="458"/>
    </row>
    <row r="4307" spans="1:2" x14ac:dyDescent="0.2">
      <c r="A4307" s="458"/>
      <c r="B4307" s="458"/>
    </row>
    <row r="4308" spans="1:2" x14ac:dyDescent="0.2">
      <c r="A4308" s="458"/>
      <c r="B4308" s="458"/>
    </row>
    <row r="4309" spans="1:2" x14ac:dyDescent="0.2">
      <c r="A4309" s="458"/>
      <c r="B4309" s="458"/>
    </row>
    <row r="4310" spans="1:2" x14ac:dyDescent="0.2">
      <c r="A4310" s="458"/>
      <c r="B4310" s="458"/>
    </row>
    <row r="4311" spans="1:2" x14ac:dyDescent="0.2">
      <c r="A4311" s="458"/>
      <c r="B4311" s="458"/>
    </row>
    <row r="4312" spans="1:2" x14ac:dyDescent="0.2">
      <c r="A4312" s="458"/>
      <c r="B4312" s="458"/>
    </row>
    <row r="4313" spans="1:2" x14ac:dyDescent="0.2">
      <c r="A4313" s="458"/>
      <c r="B4313" s="458"/>
    </row>
    <row r="4314" spans="1:2" x14ac:dyDescent="0.2">
      <c r="A4314" s="458"/>
      <c r="B4314" s="458"/>
    </row>
    <row r="4315" spans="1:2" x14ac:dyDescent="0.2">
      <c r="A4315" s="458"/>
      <c r="B4315" s="458"/>
    </row>
    <row r="4316" spans="1:2" x14ac:dyDescent="0.2">
      <c r="A4316" s="458"/>
      <c r="B4316" s="458"/>
    </row>
    <row r="4317" spans="1:2" x14ac:dyDescent="0.2">
      <c r="A4317" s="458"/>
      <c r="B4317" s="458"/>
    </row>
    <row r="4318" spans="1:2" x14ac:dyDescent="0.2">
      <c r="A4318" s="458"/>
      <c r="B4318" s="458"/>
    </row>
    <row r="4319" spans="1:2" x14ac:dyDescent="0.2">
      <c r="A4319" s="458"/>
      <c r="B4319" s="458"/>
    </row>
    <row r="4320" spans="1:2" x14ac:dyDescent="0.2">
      <c r="A4320" s="458"/>
      <c r="B4320" s="458"/>
    </row>
    <row r="4321" spans="1:2" x14ac:dyDescent="0.2">
      <c r="A4321" s="458"/>
      <c r="B4321" s="458"/>
    </row>
    <row r="4322" spans="1:2" x14ac:dyDescent="0.2">
      <c r="A4322" s="458"/>
      <c r="B4322" s="458"/>
    </row>
    <row r="4323" spans="1:2" x14ac:dyDescent="0.2">
      <c r="A4323" s="458"/>
      <c r="B4323" s="458"/>
    </row>
    <row r="4324" spans="1:2" x14ac:dyDescent="0.2">
      <c r="A4324" s="458"/>
      <c r="B4324" s="458"/>
    </row>
    <row r="4325" spans="1:2" x14ac:dyDescent="0.2">
      <c r="A4325" s="458"/>
      <c r="B4325" s="458"/>
    </row>
    <row r="4326" spans="1:2" x14ac:dyDescent="0.2">
      <c r="A4326" s="458"/>
      <c r="B4326" s="458"/>
    </row>
    <row r="4327" spans="1:2" x14ac:dyDescent="0.2">
      <c r="A4327" s="458"/>
      <c r="B4327" s="458"/>
    </row>
    <row r="4328" spans="1:2" x14ac:dyDescent="0.2">
      <c r="A4328" s="458"/>
      <c r="B4328" s="458"/>
    </row>
    <row r="4329" spans="1:2" x14ac:dyDescent="0.2">
      <c r="A4329" s="458"/>
      <c r="B4329" s="458"/>
    </row>
    <row r="4330" spans="1:2" x14ac:dyDescent="0.2">
      <c r="A4330" s="458"/>
      <c r="B4330" s="458"/>
    </row>
    <row r="4331" spans="1:2" x14ac:dyDescent="0.2">
      <c r="A4331" s="458"/>
      <c r="B4331" s="458"/>
    </row>
    <row r="4332" spans="1:2" x14ac:dyDescent="0.2">
      <c r="A4332" s="458"/>
      <c r="B4332" s="458"/>
    </row>
    <row r="4333" spans="1:2" x14ac:dyDescent="0.2">
      <c r="A4333" s="458"/>
      <c r="B4333" s="458"/>
    </row>
    <row r="4334" spans="1:2" x14ac:dyDescent="0.2">
      <c r="A4334" s="458"/>
      <c r="B4334" s="458"/>
    </row>
  </sheetData>
  <sheetProtection selectLockedCells="1"/>
  <customSheetViews>
    <customSheetView guid="{3D0BF824-B70B-411D-8F8F-CCBEF08DF0BD}" hiddenRows="1" hiddenColumns="1">
      <selection activeCell="A5" sqref="A5"/>
      <pageMargins left="0.511811024" right="0.511811024" top="0.78740157499999996" bottom="0.78740157499999996" header="0.31496062000000002" footer="0.31496062000000002"/>
    </customSheetView>
  </customSheetViews>
  <pageMargins left="0.511811024" right="0.511811024" top="0.78740157499999996" bottom="0.78740157499999996" header="0.31496062000000002" footer="0.31496062000000002"/>
  <pageSetup paperSize="9" scale="83" orientation="portrait" r:id="rId1"/>
  <colBreaks count="1" manualBreakCount="1">
    <brk id="1515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2">
    <tabColor rgb="FFFF0000"/>
    <pageSetUpPr fitToPage="1"/>
  </sheetPr>
  <dimension ref="A1:Q50"/>
  <sheetViews>
    <sheetView tabSelected="1" zoomScale="80" zoomScaleNormal="80" workbookViewId="0">
      <selection activeCell="O50" sqref="O50:Q50"/>
    </sheetView>
  </sheetViews>
  <sheetFormatPr defaultColWidth="0" defaultRowHeight="12.75" zeroHeight="1" x14ac:dyDescent="0.2"/>
  <cols>
    <col min="1" max="1" width="9.140625" style="462" customWidth="1"/>
    <col min="2" max="17" width="9.140625" style="305" customWidth="1"/>
    <col min="18" max="16384" width="0" style="305" hidden="1"/>
  </cols>
  <sheetData>
    <row r="1" spans="4:13" x14ac:dyDescent="0.2">
      <c r="D1" s="475" t="s">
        <v>3132</v>
      </c>
      <c r="E1" s="475"/>
      <c r="F1" s="475"/>
      <c r="G1" s="475"/>
      <c r="H1" s="475"/>
      <c r="I1" s="475"/>
      <c r="J1" s="475"/>
      <c r="K1" s="475"/>
      <c r="L1" s="475"/>
      <c r="M1" s="475"/>
    </row>
    <row r="2" spans="4:13" x14ac:dyDescent="0.2">
      <c r="D2" s="475"/>
      <c r="E2" s="475"/>
      <c r="F2" s="475"/>
      <c r="G2" s="475"/>
      <c r="H2" s="475"/>
      <c r="I2" s="475"/>
      <c r="J2" s="475"/>
      <c r="K2" s="475"/>
      <c r="L2" s="475"/>
      <c r="M2" s="475"/>
    </row>
    <row r="3" spans="4:13" x14ac:dyDescent="0.2">
      <c r="D3" s="475"/>
      <c r="E3" s="475"/>
      <c r="F3" s="475"/>
      <c r="G3" s="475"/>
      <c r="H3" s="475"/>
      <c r="I3" s="475"/>
      <c r="J3" s="475"/>
      <c r="K3" s="475"/>
      <c r="L3" s="475"/>
      <c r="M3" s="475"/>
    </row>
    <row r="4" spans="4:13" x14ac:dyDescent="0.2">
      <c r="D4" s="475"/>
      <c r="E4" s="475"/>
      <c r="F4" s="475"/>
      <c r="G4" s="475"/>
      <c r="H4" s="475"/>
      <c r="I4" s="475"/>
      <c r="J4" s="475"/>
      <c r="K4" s="475"/>
      <c r="L4" s="475"/>
      <c r="M4" s="475"/>
    </row>
    <row r="5" spans="4:13" x14ac:dyDescent="0.2">
      <c r="D5" s="475"/>
      <c r="E5" s="475"/>
      <c r="F5" s="475"/>
      <c r="G5" s="475"/>
      <c r="H5" s="475"/>
      <c r="I5" s="475"/>
      <c r="J5" s="475"/>
      <c r="K5" s="475"/>
      <c r="L5" s="475"/>
      <c r="M5" s="475"/>
    </row>
    <row r="6" spans="4:13" x14ac:dyDescent="0.2">
      <c r="D6" s="475"/>
      <c r="E6" s="475"/>
      <c r="F6" s="475"/>
      <c r="G6" s="475"/>
      <c r="H6" s="475"/>
      <c r="I6" s="475"/>
      <c r="J6" s="475"/>
      <c r="K6" s="475"/>
      <c r="L6" s="475"/>
      <c r="M6" s="475"/>
    </row>
    <row r="7" spans="4:13" x14ac:dyDescent="0.2">
      <c r="D7" s="475"/>
      <c r="E7" s="475"/>
      <c r="F7" s="475"/>
      <c r="G7" s="475"/>
      <c r="H7" s="475"/>
      <c r="I7" s="475"/>
      <c r="J7" s="475"/>
      <c r="K7" s="475"/>
      <c r="L7" s="475"/>
      <c r="M7" s="475"/>
    </row>
    <row r="8" spans="4:13" x14ac:dyDescent="0.2"/>
    <row r="9" spans="4:13" x14ac:dyDescent="0.2"/>
    <row r="10" spans="4:13" x14ac:dyDescent="0.2"/>
    <row r="11" spans="4:13" x14ac:dyDescent="0.2"/>
    <row r="12" spans="4:13" x14ac:dyDescent="0.2"/>
    <row r="13" spans="4:13" x14ac:dyDescent="0.2"/>
    <row r="14" spans="4:13" x14ac:dyDescent="0.2"/>
    <row r="15" spans="4:13" x14ac:dyDescent="0.2"/>
    <row r="16" spans="4:13" x14ac:dyDescent="0.2"/>
    <row r="17" spans="1:14" x14ac:dyDescent="0.2"/>
    <row r="18" spans="1:14" x14ac:dyDescent="0.2"/>
    <row r="19" spans="1:14" x14ac:dyDescent="0.2"/>
    <row r="20" spans="1:14" x14ac:dyDescent="0.2"/>
    <row r="21" spans="1:14" x14ac:dyDescent="0.2"/>
    <row r="22" spans="1:14" x14ac:dyDescent="0.2"/>
    <row r="23" spans="1:14" x14ac:dyDescent="0.2"/>
    <row r="24" spans="1:14" x14ac:dyDescent="0.2"/>
    <row r="25" spans="1:14" ht="13.5" customHeight="1" x14ac:dyDescent="0.2"/>
    <row r="26" spans="1:14" ht="20.25" customHeight="1" x14ac:dyDescent="0.2">
      <c r="B26" s="480" t="str">
        <f>IF(A40&gt;0,"CORRIGIR:","")</f>
        <v>CORRIGIR:</v>
      </c>
      <c r="C26" s="480"/>
      <c r="D26" s="479" t="str">
        <f>IF(CENTRO_DE_MEDIÇÃO!H10=0,"",VLOOKUP(A40,'Check List'!$A$1:$B$145,2,FALSE))</f>
        <v/>
      </c>
      <c r="E26" s="479"/>
      <c r="F26" s="479"/>
      <c r="G26" s="479"/>
      <c r="H26" s="479"/>
      <c r="I26" s="479"/>
      <c r="J26" s="479"/>
      <c r="K26" s="479"/>
      <c r="L26" s="479"/>
      <c r="M26" s="479"/>
      <c r="N26" s="479"/>
    </row>
    <row r="27" spans="1:14" ht="18" customHeight="1" x14ac:dyDescent="0.2">
      <c r="B27" s="480"/>
      <c r="C27" s="480"/>
      <c r="D27" s="479"/>
      <c r="E27" s="479"/>
      <c r="F27" s="479"/>
      <c r="G27" s="479"/>
      <c r="H27" s="479"/>
      <c r="I27" s="479"/>
      <c r="J27" s="479"/>
      <c r="K27" s="479"/>
      <c r="L27" s="479"/>
      <c r="M27" s="479"/>
      <c r="N27" s="479"/>
    </row>
    <row r="28" spans="1:14" ht="17.25" customHeight="1" x14ac:dyDescent="0.2"/>
    <row r="29" spans="1:14" x14ac:dyDescent="0.2"/>
    <row r="30" spans="1:14" x14ac:dyDescent="0.2"/>
    <row r="31" spans="1:14" x14ac:dyDescent="0.2">
      <c r="A31" s="462">
        <f>MEMORIAL!D28</f>
        <v>0</v>
      </c>
      <c r="B31" s="484">
        <f>IF(A31="X","Favor abrir ordem de venda após a aprovação do projeto",0)</f>
        <v>0</v>
      </c>
      <c r="C31" s="485"/>
      <c r="D31" s="485"/>
      <c r="E31" s="485"/>
      <c r="F31" s="485"/>
      <c r="G31" s="485"/>
      <c r="H31" s="485"/>
      <c r="I31" s="485"/>
      <c r="J31" s="485"/>
      <c r="K31" s="485"/>
    </row>
    <row r="32" spans="1:14" x14ac:dyDescent="0.2"/>
    <row r="33" spans="1:9" x14ac:dyDescent="0.2"/>
    <row r="34" spans="1:9" ht="13.5" thickBot="1" x14ac:dyDescent="0.25"/>
    <row r="35" spans="1:9" ht="13.5" customHeight="1" thickBot="1" x14ac:dyDescent="0.25">
      <c r="B35" s="481" t="s">
        <v>163</v>
      </c>
      <c r="C35" s="482"/>
      <c r="D35" s="482"/>
      <c r="E35" s="482"/>
      <c r="F35" s="483"/>
      <c r="G35" s="314"/>
      <c r="H35" s="314"/>
      <c r="I35" s="314"/>
    </row>
    <row r="36" spans="1:9" ht="13.5" customHeight="1" thickBot="1" x14ac:dyDescent="0.25">
      <c r="B36" s="313">
        <f>IF(OR($B$40&gt;60,$B$40=0),0,11)</f>
        <v>0</v>
      </c>
      <c r="C36" s="478" t="s">
        <v>164</v>
      </c>
      <c r="D36" s="478"/>
      <c r="E36" s="478"/>
      <c r="F36" s="478"/>
      <c r="G36" s="315"/>
      <c r="H36" s="315"/>
      <c r="I36" s="315"/>
    </row>
    <row r="37" spans="1:9" ht="13.5" customHeight="1" thickBot="1" x14ac:dyDescent="0.25">
      <c r="B37" s="313">
        <f>IF(OR($C$40&lt;61,$C$40&gt;83,$C$40=0),0,11)</f>
        <v>11</v>
      </c>
      <c r="C37" s="478" t="s">
        <v>165</v>
      </c>
      <c r="D37" s="478"/>
      <c r="E37" s="478"/>
      <c r="F37" s="478"/>
      <c r="G37" s="315"/>
      <c r="H37" s="315"/>
      <c r="I37" s="315"/>
    </row>
    <row r="38" spans="1:9" ht="13.5" customHeight="1" thickBot="1" x14ac:dyDescent="0.25">
      <c r="B38" s="313">
        <f>IF(OR($D$40&lt;84,$D$40=0,D40&gt;113),0,11)</f>
        <v>11</v>
      </c>
      <c r="C38" s="478" t="s">
        <v>166</v>
      </c>
      <c r="D38" s="478"/>
      <c r="E38" s="478"/>
      <c r="F38" s="478"/>
      <c r="G38" s="315"/>
      <c r="H38" s="315"/>
      <c r="I38" s="315"/>
    </row>
    <row r="39" spans="1:9" ht="13.5" thickBot="1" x14ac:dyDescent="0.25">
      <c r="B39" s="313">
        <f>IF(OR($E$40&lt;114,$E$40=0),0,11)</f>
        <v>11</v>
      </c>
      <c r="C39" s="478" t="s">
        <v>1833</v>
      </c>
      <c r="D39" s="478"/>
      <c r="E39" s="478"/>
      <c r="F39" s="478"/>
    </row>
    <row r="40" spans="1:9" s="462" customFormat="1" x14ac:dyDescent="0.2">
      <c r="A40" s="462">
        <f>LARGE(B40:E40,1)</f>
        <v>116</v>
      </c>
      <c r="B40" s="463">
        <f>IF('Check List'!F2&gt;0,'Check List'!F2,0)</f>
        <v>0</v>
      </c>
      <c r="C40" s="463">
        <f>IF('Check List'!E2&gt;0,'Check List'!E2,0)</f>
        <v>72</v>
      </c>
      <c r="D40" s="463">
        <f>IF('Check List'!D2&gt;0,'Check List'!D2,0)</f>
        <v>113</v>
      </c>
      <c r="E40" s="463">
        <f>IF('Check List'!C2&gt;0,'Check List'!C2,0)</f>
        <v>116</v>
      </c>
    </row>
    <row r="41" spans="1:9" x14ac:dyDescent="0.2"/>
    <row r="42" spans="1:9" x14ac:dyDescent="0.2"/>
    <row r="43" spans="1:9" x14ac:dyDescent="0.2"/>
    <row r="44" spans="1:9" x14ac:dyDescent="0.2"/>
    <row r="45" spans="1:9" x14ac:dyDescent="0.2"/>
    <row r="46" spans="1:9" x14ac:dyDescent="0.2"/>
    <row r="47" spans="1:9" x14ac:dyDescent="0.2"/>
    <row r="48" spans="1:9" x14ac:dyDescent="0.2"/>
    <row r="49" spans="12:17" x14ac:dyDescent="0.2"/>
    <row r="50" spans="12:17" x14ac:dyDescent="0.2">
      <c r="L50" s="476" t="s">
        <v>3133</v>
      </c>
      <c r="M50" s="476"/>
      <c r="N50" s="476"/>
      <c r="O50" s="477">
        <v>43977</v>
      </c>
      <c r="P50" s="476"/>
      <c r="Q50" s="476"/>
    </row>
  </sheetData>
  <sheetProtection algorithmName="SHA-512" hashValue="xerzz/rmnCpp0ArpUwTAptfzOgIcSqhabHGBsobuToqpmphJ4Zgzt8k010jfBtpEQnOrO4Po1H8M2QlCH1ojJw==" saltValue="gwX6SCUWFXoCSIkxhcjCUw==" spinCount="100000" sheet="1" selectLockedCells="1"/>
  <customSheetViews>
    <customSheetView guid="{3D0BF824-B70B-411D-8F8F-CCBEF08DF0BD}" scale="90" hiddenRows="1" hiddenColumns="1">
      <selection activeCell="G33" sqref="G33"/>
      <pageMargins left="0.511811024" right="0.511811024" top="0.78740157499999996" bottom="0.78740157499999996" header="0.31496062000000002" footer="0.31496062000000002"/>
      <pageSetup paperSize="9" orientation="portrait" r:id="rId1"/>
    </customSheetView>
  </customSheetViews>
  <mergeCells count="11">
    <mergeCell ref="D1:M7"/>
    <mergeCell ref="L50:N50"/>
    <mergeCell ref="O50:Q50"/>
    <mergeCell ref="C39:F39"/>
    <mergeCell ref="D26:N27"/>
    <mergeCell ref="C36:F36"/>
    <mergeCell ref="C37:F37"/>
    <mergeCell ref="C38:F38"/>
    <mergeCell ref="B26:C27"/>
    <mergeCell ref="B35:F35"/>
    <mergeCell ref="B31:K31"/>
  </mergeCells>
  <conditionalFormatting sqref="B36:B38">
    <cfRule type="iconSet" priority="10">
      <iconSet iconSet="3Symbols" showValue="0" reverse="1">
        <cfvo type="percent" val="0"/>
        <cfvo type="num" val="0" gte="0"/>
        <cfvo type="num" val="10" gte="0"/>
      </iconSet>
    </cfRule>
  </conditionalFormatting>
  <conditionalFormatting sqref="B37">
    <cfRule type="iconSet" priority="8">
      <iconSet iconSet="3Symbols" showValue="0" reverse="1">
        <cfvo type="percent" val="0"/>
        <cfvo type="num" val="0" gte="0"/>
        <cfvo type="num" val="10" gte="0"/>
      </iconSet>
    </cfRule>
  </conditionalFormatting>
  <conditionalFormatting sqref="B38">
    <cfRule type="iconSet" priority="7">
      <iconSet iconSet="3Symbols" showValue="0" reverse="1">
        <cfvo type="percent" val="0"/>
        <cfvo type="num" val="0" gte="0"/>
        <cfvo type="num" val="10" gte="0"/>
      </iconSet>
    </cfRule>
  </conditionalFormatting>
  <conditionalFormatting sqref="D26:N27 B26">
    <cfRule type="expression" dxfId="74" priority="5">
      <formula>AND($D$26&lt;&gt;0,$D$26&lt;&gt;"")</formula>
    </cfRule>
  </conditionalFormatting>
  <conditionalFormatting sqref="B31">
    <cfRule type="expression" dxfId="73" priority="3">
      <formula>$A$31&lt;&gt;"X"</formula>
    </cfRule>
  </conditionalFormatting>
  <conditionalFormatting sqref="B39">
    <cfRule type="iconSet" priority="2">
      <iconSet iconSet="3Symbols" showValue="0" reverse="1">
        <cfvo type="percent" val="0"/>
        <cfvo type="num" val="0" gte="0"/>
        <cfvo type="num" val="10" gte="0"/>
      </iconSet>
    </cfRule>
  </conditionalFormatting>
  <pageMargins left="0.511811024" right="0.511811024" top="0.78740157499999996" bottom="0.78740157499999996" header="0.31496062000000002" footer="0.31496062000000002"/>
  <pageSetup paperSize="9" scale="74"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3">
    <tabColor rgb="FFFF0000"/>
    <pageSetUpPr fitToPage="1"/>
  </sheetPr>
  <dimension ref="A1:IU65537"/>
  <sheetViews>
    <sheetView showGridLines="0" zoomScale="90" zoomScaleNormal="90" workbookViewId="0">
      <pane xSplit="1" ySplit="4" topLeftCell="B5" activePane="bottomRight" state="frozen"/>
      <selection activeCell="O50" sqref="O50:Q50"/>
      <selection pane="topRight" activeCell="O50" sqref="O50:Q50"/>
      <selection pane="bottomLeft" activeCell="O50" sqref="O50:Q50"/>
      <selection pane="bottomRight" activeCell="I1" sqref="I1:M1"/>
    </sheetView>
  </sheetViews>
  <sheetFormatPr defaultColWidth="0" defaultRowHeight="12.75" zeroHeight="1" x14ac:dyDescent="0.2"/>
  <cols>
    <col min="1" max="1" width="19.28515625" style="165" customWidth="1"/>
    <col min="2" max="2" width="4.5703125" style="166" bestFit="1" customWidth="1"/>
    <col min="3" max="3" width="5.42578125" style="163" customWidth="1"/>
    <col min="4" max="4" width="8.42578125" style="163" customWidth="1"/>
    <col min="5" max="5" width="4.5703125" style="167" bestFit="1" customWidth="1"/>
    <col min="6" max="6" width="4.5703125" style="164" bestFit="1" customWidth="1"/>
    <col min="7" max="7" width="9.140625" style="164" customWidth="1"/>
    <col min="8" max="8" width="4.85546875" style="166" bestFit="1" customWidth="1"/>
    <col min="9" max="9" width="4.28515625" style="163" customWidth="1"/>
    <col min="10" max="10" width="10.7109375" style="163" customWidth="1"/>
    <col min="11" max="11" width="5.5703125" style="166" bestFit="1" customWidth="1"/>
    <col min="12" max="12" width="4.85546875" style="164" bestFit="1" customWidth="1"/>
    <col min="13" max="13" width="10" style="164" customWidth="1"/>
    <col min="14" max="14" width="4.85546875" style="166" bestFit="1" customWidth="1"/>
    <col min="15" max="15" width="4.5703125" style="164" bestFit="1" customWidth="1"/>
    <col min="16" max="16" width="8.42578125" style="164" customWidth="1"/>
    <col min="17" max="17" width="4.5703125" style="162" bestFit="1" customWidth="1"/>
    <col min="18" max="18" width="5.85546875" style="164" customWidth="1"/>
    <col min="19" max="19" width="7" style="164" customWidth="1"/>
    <col min="20" max="20" width="4.5703125" style="162" bestFit="1" customWidth="1"/>
    <col min="21" max="21" width="4.140625" style="163" customWidth="1"/>
    <col min="22" max="22" width="8.28515625" style="163" customWidth="1"/>
    <col min="23" max="23" width="4.5703125" style="162" bestFit="1" customWidth="1"/>
    <col min="24" max="24" width="4.140625" style="164" customWidth="1"/>
    <col min="25" max="25" width="8.140625" style="164" customWidth="1"/>
    <col min="26" max="26" width="4.5703125" style="162" bestFit="1" customWidth="1"/>
    <col min="27" max="27" width="4.140625" style="163" customWidth="1"/>
    <col min="28" max="28" width="8.140625" style="163" customWidth="1"/>
    <col min="29" max="29" width="5.5703125" style="162" bestFit="1" customWidth="1"/>
    <col min="30" max="30" width="4.140625" style="164" customWidth="1"/>
    <col min="31" max="31" width="7.5703125" style="164" customWidth="1"/>
    <col min="32" max="32" width="5.5703125" style="162" bestFit="1" customWidth="1"/>
    <col min="33" max="33" width="4.140625" style="163" customWidth="1"/>
    <col min="34" max="34" width="8.5703125" style="163" customWidth="1"/>
    <col min="35" max="35" width="5.5703125" style="145" bestFit="1" customWidth="1"/>
    <col min="36" max="36" width="4" style="145" customWidth="1"/>
    <col min="37" max="37" width="8.28515625" style="145" customWidth="1"/>
    <col min="38" max="38" width="6.28515625" style="145" hidden="1" customWidth="1"/>
    <col min="39" max="39" width="4.7109375" style="145" hidden="1" customWidth="1"/>
    <col min="40" max="40" width="7.85546875" style="168" hidden="1" customWidth="1"/>
    <col min="41" max="41" width="3.7109375" style="169" hidden="1" customWidth="1"/>
    <col min="42" max="42" width="18.7109375" style="169" hidden="1" customWidth="1"/>
    <col min="43" max="43" width="7.5703125" style="168" hidden="1" customWidth="1"/>
    <col min="44" max="44" width="6.42578125" style="146" hidden="1" customWidth="1"/>
    <col min="45" max="247" width="9.140625" style="146" hidden="1" customWidth="1"/>
    <col min="248" max="248" width="12.5703125" style="146" hidden="1" customWidth="1"/>
    <col min="249" max="249" width="6.7109375" style="146" hidden="1" customWidth="1"/>
    <col min="250" max="250" width="37.42578125" style="145" hidden="1" customWidth="1"/>
    <col min="251" max="253" width="9.140625" style="145" hidden="1" customWidth="1"/>
    <col min="254" max="254" width="12.5703125" style="145" hidden="1" customWidth="1"/>
    <col min="255" max="255" width="6.7109375" style="145" hidden="1" customWidth="1"/>
    <col min="256" max="16384" width="37.42578125" style="145" hidden="1"/>
  </cols>
  <sheetData>
    <row r="1" spans="1:250" ht="39" customHeight="1" thickBot="1" x14ac:dyDescent="0.55000000000000004">
      <c r="A1" s="544" t="s">
        <v>9</v>
      </c>
      <c r="B1" s="545"/>
      <c r="C1" s="545"/>
      <c r="D1" s="545"/>
      <c r="E1" s="545"/>
      <c r="F1" s="545"/>
      <c r="G1" s="545"/>
      <c r="H1" s="545"/>
      <c r="I1" s="546"/>
      <c r="J1" s="546"/>
      <c r="K1" s="546"/>
      <c r="L1" s="546"/>
      <c r="M1" s="547"/>
      <c r="N1" s="265"/>
      <c r="O1" s="269" t="s">
        <v>21</v>
      </c>
      <c r="P1" s="269" t="s">
        <v>20</v>
      </c>
      <c r="Q1" s="269" t="s">
        <v>22</v>
      </c>
      <c r="R1" s="269" t="s">
        <v>23</v>
      </c>
      <c r="S1" s="269" t="s">
        <v>19</v>
      </c>
      <c r="T1" s="265"/>
      <c r="U1" s="265"/>
      <c r="V1" s="265"/>
      <c r="W1" s="169"/>
      <c r="X1" s="169"/>
      <c r="Y1" s="169"/>
      <c r="Z1" s="271">
        <f>I1</f>
        <v>0</v>
      </c>
      <c r="AA1" s="169"/>
      <c r="AB1" s="169"/>
      <c r="AC1" s="169"/>
      <c r="AD1" s="169"/>
      <c r="AE1" s="169"/>
      <c r="AF1" s="169"/>
      <c r="AG1" s="169"/>
      <c r="AH1" s="169"/>
      <c r="AI1" s="169"/>
      <c r="AJ1" s="169"/>
      <c r="AK1" s="169"/>
      <c r="AL1" s="169"/>
      <c r="AM1" s="169"/>
      <c r="AN1" s="169"/>
      <c r="IP1" s="145" t="s">
        <v>1586</v>
      </c>
    </row>
    <row r="2" spans="1:250" ht="12.75" customHeight="1" x14ac:dyDescent="0.2">
      <c r="A2" s="548" t="s">
        <v>76</v>
      </c>
      <c r="B2" s="542" t="s">
        <v>102</v>
      </c>
      <c r="C2" s="529"/>
      <c r="D2" s="530"/>
      <c r="E2" s="514" t="s">
        <v>102</v>
      </c>
      <c r="F2" s="529"/>
      <c r="G2" s="530"/>
      <c r="H2" s="514" t="s">
        <v>102</v>
      </c>
      <c r="I2" s="529"/>
      <c r="J2" s="530"/>
      <c r="K2" s="514" t="s">
        <v>102</v>
      </c>
      <c r="L2" s="529"/>
      <c r="M2" s="530"/>
      <c r="N2" s="514" t="s">
        <v>102</v>
      </c>
      <c r="O2" s="529"/>
      <c r="P2" s="530"/>
      <c r="Q2" s="542" t="s">
        <v>102</v>
      </c>
      <c r="R2" s="529"/>
      <c r="S2" s="530"/>
      <c r="T2" s="514" t="s">
        <v>102</v>
      </c>
      <c r="U2" s="529"/>
      <c r="V2" s="530"/>
      <c r="W2" s="514" t="s">
        <v>102</v>
      </c>
      <c r="X2" s="529"/>
      <c r="Y2" s="530"/>
      <c r="Z2" s="514" t="s">
        <v>102</v>
      </c>
      <c r="AA2" s="529"/>
      <c r="AB2" s="530"/>
      <c r="AC2" s="542" t="s">
        <v>102</v>
      </c>
      <c r="AD2" s="529"/>
      <c r="AE2" s="530"/>
      <c r="AF2" s="514" t="s">
        <v>102</v>
      </c>
      <c r="AG2" s="529"/>
      <c r="AH2" s="530"/>
      <c r="AI2" s="514" t="s">
        <v>102</v>
      </c>
      <c r="AJ2" s="529"/>
      <c r="AK2" s="530"/>
      <c r="AL2" s="514"/>
      <c r="AM2" s="534"/>
      <c r="AN2" s="535"/>
      <c r="BB2" s="145"/>
      <c r="BC2" s="145"/>
      <c r="BD2" s="145"/>
      <c r="BE2" s="145"/>
      <c r="BF2" s="145"/>
      <c r="BG2" s="145"/>
      <c r="BH2" s="514"/>
      <c r="BI2" s="525"/>
      <c r="BJ2" s="526"/>
      <c r="BK2" s="145"/>
      <c r="BL2" s="145"/>
      <c r="BM2" s="510"/>
      <c r="BN2" s="511"/>
      <c r="BO2" s="511"/>
      <c r="BP2" s="511"/>
    </row>
    <row r="3" spans="1:250" ht="33" customHeight="1" thickBot="1" x14ac:dyDescent="0.25">
      <c r="A3" s="549"/>
      <c r="B3" s="543"/>
      <c r="C3" s="531"/>
      <c r="D3" s="532"/>
      <c r="E3" s="515"/>
      <c r="F3" s="531"/>
      <c r="G3" s="532"/>
      <c r="H3" s="515"/>
      <c r="I3" s="531"/>
      <c r="J3" s="532"/>
      <c r="K3" s="515"/>
      <c r="L3" s="531"/>
      <c r="M3" s="532"/>
      <c r="N3" s="515"/>
      <c r="O3" s="531"/>
      <c r="P3" s="532"/>
      <c r="Q3" s="543"/>
      <c r="R3" s="531"/>
      <c r="S3" s="532"/>
      <c r="T3" s="515"/>
      <c r="U3" s="531"/>
      <c r="V3" s="532"/>
      <c r="W3" s="515"/>
      <c r="X3" s="531"/>
      <c r="Y3" s="532"/>
      <c r="Z3" s="515"/>
      <c r="AA3" s="531"/>
      <c r="AB3" s="532"/>
      <c r="AC3" s="543"/>
      <c r="AD3" s="531"/>
      <c r="AE3" s="532"/>
      <c r="AF3" s="515"/>
      <c r="AG3" s="531"/>
      <c r="AH3" s="532"/>
      <c r="AI3" s="515"/>
      <c r="AJ3" s="531"/>
      <c r="AK3" s="532"/>
      <c r="AL3" s="515"/>
      <c r="AM3" s="536"/>
      <c r="AN3" s="537"/>
      <c r="BB3" s="145"/>
      <c r="BC3" s="145"/>
      <c r="BD3" s="145"/>
      <c r="BE3" s="145"/>
      <c r="BF3" s="145"/>
      <c r="BG3" s="145"/>
      <c r="BH3" s="515"/>
      <c r="BI3" s="527"/>
      <c r="BJ3" s="528"/>
      <c r="BK3" s="145"/>
      <c r="BL3" s="145"/>
      <c r="BM3" s="510"/>
      <c r="BN3" s="511"/>
      <c r="BO3" s="511"/>
      <c r="BP3" s="511"/>
    </row>
    <row r="4" spans="1:250" ht="13.5" thickBot="1" x14ac:dyDescent="0.25">
      <c r="A4" s="550"/>
      <c r="B4" s="543"/>
      <c r="C4" s="538" t="s">
        <v>31</v>
      </c>
      <c r="D4" s="539"/>
      <c r="E4" s="516"/>
      <c r="F4" s="512" t="s">
        <v>32</v>
      </c>
      <c r="G4" s="513"/>
      <c r="H4" s="516"/>
      <c r="I4" s="512" t="s">
        <v>33</v>
      </c>
      <c r="J4" s="513"/>
      <c r="K4" s="516"/>
      <c r="L4" s="512" t="s">
        <v>34</v>
      </c>
      <c r="M4" s="513"/>
      <c r="N4" s="516"/>
      <c r="O4" s="512" t="s">
        <v>1544</v>
      </c>
      <c r="P4" s="513"/>
      <c r="Q4" s="543"/>
      <c r="R4" s="538" t="s">
        <v>35</v>
      </c>
      <c r="S4" s="539"/>
      <c r="T4" s="516"/>
      <c r="U4" s="512" t="s">
        <v>36</v>
      </c>
      <c r="V4" s="513"/>
      <c r="W4" s="516"/>
      <c r="X4" s="512" t="s">
        <v>37</v>
      </c>
      <c r="Y4" s="513"/>
      <c r="Z4" s="516"/>
      <c r="AA4" s="512" t="s">
        <v>64</v>
      </c>
      <c r="AB4" s="513"/>
      <c r="AC4" s="543"/>
      <c r="AD4" s="538" t="s">
        <v>65</v>
      </c>
      <c r="AE4" s="539"/>
      <c r="AF4" s="516"/>
      <c r="AG4" s="512" t="s">
        <v>66</v>
      </c>
      <c r="AH4" s="513"/>
      <c r="AI4" s="516"/>
      <c r="AJ4" s="512" t="s">
        <v>67</v>
      </c>
      <c r="AK4" s="513"/>
      <c r="AL4" s="516"/>
      <c r="AM4" s="512"/>
      <c r="AN4" s="513"/>
      <c r="BB4" s="145"/>
      <c r="BC4" s="145"/>
      <c r="BD4" s="145"/>
      <c r="BE4" s="145"/>
      <c r="BF4" s="145"/>
      <c r="BG4" s="145"/>
      <c r="BH4" s="516"/>
      <c r="BI4" s="512"/>
      <c r="BJ4" s="513"/>
      <c r="BK4" s="145"/>
      <c r="BL4" s="145"/>
      <c r="BM4" s="510"/>
      <c r="BN4" s="511"/>
      <c r="BO4" s="511"/>
      <c r="BP4" s="511"/>
      <c r="IP4" s="145" t="s">
        <v>1586</v>
      </c>
    </row>
    <row r="5" spans="1:250" x14ac:dyDescent="0.2">
      <c r="A5" s="245" t="s">
        <v>39</v>
      </c>
      <c r="B5" s="281">
        <v>1</v>
      </c>
      <c r="C5" s="517">
        <v>0</v>
      </c>
      <c r="D5" s="518"/>
      <c r="E5" s="281">
        <v>1</v>
      </c>
      <c r="F5" s="517">
        <v>0</v>
      </c>
      <c r="G5" s="518"/>
      <c r="H5" s="281">
        <v>1</v>
      </c>
      <c r="I5" s="517">
        <v>0</v>
      </c>
      <c r="J5" s="518"/>
      <c r="K5" s="281">
        <v>1</v>
      </c>
      <c r="L5" s="517">
        <v>0</v>
      </c>
      <c r="M5" s="518"/>
      <c r="N5" s="281">
        <v>1</v>
      </c>
      <c r="O5" s="517">
        <v>0</v>
      </c>
      <c r="P5" s="518"/>
      <c r="Q5" s="281">
        <v>1</v>
      </c>
      <c r="R5" s="517">
        <v>0</v>
      </c>
      <c r="S5" s="518"/>
      <c r="T5" s="281">
        <v>1</v>
      </c>
      <c r="U5" s="517">
        <v>0</v>
      </c>
      <c r="V5" s="518"/>
      <c r="W5" s="281">
        <v>1</v>
      </c>
      <c r="X5" s="517">
        <v>0</v>
      </c>
      <c r="Y5" s="518"/>
      <c r="Z5" s="281">
        <v>1</v>
      </c>
      <c r="AA5" s="517">
        <v>0</v>
      </c>
      <c r="AB5" s="518"/>
      <c r="AC5" s="410">
        <v>1</v>
      </c>
      <c r="AD5" s="517">
        <v>0</v>
      </c>
      <c r="AE5" s="518"/>
      <c r="AF5" s="281">
        <v>1</v>
      </c>
      <c r="AG5" s="517">
        <v>0</v>
      </c>
      <c r="AH5" s="518"/>
      <c r="AI5" s="246">
        <v>1</v>
      </c>
      <c r="AJ5" s="519">
        <v>0</v>
      </c>
      <c r="AK5" s="495"/>
      <c r="AL5" s="281"/>
      <c r="AM5" s="520"/>
      <c r="AN5" s="521"/>
      <c r="BB5" s="145"/>
      <c r="BC5" s="145"/>
      <c r="BD5" s="145"/>
      <c r="BE5" s="145"/>
      <c r="BF5" s="145"/>
      <c r="BG5" s="145"/>
      <c r="BH5" s="246"/>
      <c r="BI5" s="523"/>
      <c r="BJ5" s="493"/>
      <c r="BK5" s="145"/>
      <c r="BL5" s="145"/>
      <c r="BM5" s="510"/>
      <c r="BN5" s="511"/>
      <c r="BO5" s="511"/>
      <c r="BP5" s="188"/>
      <c r="IP5" s="145" t="s">
        <v>68</v>
      </c>
    </row>
    <row r="6" spans="1:250" x14ac:dyDescent="0.2">
      <c r="A6" s="245" t="s">
        <v>1810</v>
      </c>
      <c r="B6" s="282">
        <v>1</v>
      </c>
      <c r="C6" s="494">
        <v>0</v>
      </c>
      <c r="D6" s="495"/>
      <c r="E6" s="282">
        <v>1</v>
      </c>
      <c r="F6" s="494">
        <v>0</v>
      </c>
      <c r="G6" s="495"/>
      <c r="H6" s="282">
        <v>1</v>
      </c>
      <c r="I6" s="494">
        <v>0</v>
      </c>
      <c r="J6" s="495"/>
      <c r="K6" s="282">
        <v>1</v>
      </c>
      <c r="L6" s="494">
        <v>0</v>
      </c>
      <c r="M6" s="495"/>
      <c r="N6" s="282">
        <v>1</v>
      </c>
      <c r="O6" s="494">
        <v>0</v>
      </c>
      <c r="P6" s="495"/>
      <c r="Q6" s="282">
        <v>1</v>
      </c>
      <c r="R6" s="494">
        <v>0</v>
      </c>
      <c r="S6" s="495"/>
      <c r="T6" s="282">
        <v>1</v>
      </c>
      <c r="U6" s="494">
        <v>0</v>
      </c>
      <c r="V6" s="495"/>
      <c r="W6" s="282">
        <v>1</v>
      </c>
      <c r="X6" s="494">
        <v>0</v>
      </c>
      <c r="Y6" s="495"/>
      <c r="Z6" s="282">
        <v>1</v>
      </c>
      <c r="AA6" s="494">
        <v>0</v>
      </c>
      <c r="AB6" s="495"/>
      <c r="AC6" s="282">
        <v>1</v>
      </c>
      <c r="AD6" s="494">
        <v>0</v>
      </c>
      <c r="AE6" s="495"/>
      <c r="AF6" s="282">
        <v>1</v>
      </c>
      <c r="AG6" s="494">
        <v>0</v>
      </c>
      <c r="AH6" s="495"/>
      <c r="AI6" s="280">
        <v>1</v>
      </c>
      <c r="AJ6" s="522">
        <v>0</v>
      </c>
      <c r="AK6" s="522"/>
      <c r="AL6" s="284"/>
      <c r="AM6" s="496"/>
      <c r="AN6" s="497"/>
      <c r="BB6" s="145"/>
      <c r="BC6" s="145"/>
      <c r="BD6" s="145"/>
      <c r="BE6" s="145"/>
      <c r="BF6" s="145"/>
      <c r="BG6" s="145"/>
      <c r="BH6" s="247"/>
      <c r="BI6" s="524"/>
      <c r="BJ6" s="497"/>
      <c r="BK6" s="145"/>
      <c r="BL6" s="145"/>
      <c r="BM6" s="510"/>
      <c r="BN6" s="511"/>
      <c r="BO6" s="511"/>
      <c r="BP6" s="188"/>
      <c r="IP6" s="145" t="s">
        <v>115</v>
      </c>
    </row>
    <row r="7" spans="1:250" x14ac:dyDescent="0.2">
      <c r="A7" s="132" t="s">
        <v>1811</v>
      </c>
      <c r="B7" s="283">
        <v>1</v>
      </c>
      <c r="C7" s="494">
        <v>0</v>
      </c>
      <c r="D7" s="495"/>
      <c r="E7" s="283">
        <v>1</v>
      </c>
      <c r="F7" s="494">
        <v>0</v>
      </c>
      <c r="G7" s="495"/>
      <c r="H7" s="269">
        <v>1</v>
      </c>
      <c r="I7" s="494">
        <v>0</v>
      </c>
      <c r="J7" s="495"/>
      <c r="K7" s="269">
        <v>1</v>
      </c>
      <c r="L7" s="494">
        <v>0</v>
      </c>
      <c r="M7" s="495"/>
      <c r="N7" s="269">
        <v>1</v>
      </c>
      <c r="O7" s="494">
        <v>0</v>
      </c>
      <c r="P7" s="495"/>
      <c r="Q7" s="269">
        <v>1</v>
      </c>
      <c r="R7" s="494">
        <v>0</v>
      </c>
      <c r="S7" s="495"/>
      <c r="T7" s="269">
        <v>1</v>
      </c>
      <c r="U7" s="494">
        <v>0</v>
      </c>
      <c r="V7" s="495"/>
      <c r="W7" s="269">
        <v>1</v>
      </c>
      <c r="X7" s="494">
        <v>0</v>
      </c>
      <c r="Y7" s="495"/>
      <c r="Z7" s="269">
        <v>1</v>
      </c>
      <c r="AA7" s="522">
        <v>0</v>
      </c>
      <c r="AB7" s="522"/>
      <c r="AC7" s="269">
        <v>1</v>
      </c>
      <c r="AD7" s="522">
        <v>0</v>
      </c>
      <c r="AE7" s="522"/>
      <c r="AF7" s="269">
        <v>1</v>
      </c>
      <c r="AG7" s="522">
        <v>0</v>
      </c>
      <c r="AH7" s="522"/>
      <c r="AI7" s="269">
        <v>1</v>
      </c>
      <c r="AJ7" s="522">
        <v>0</v>
      </c>
      <c r="AK7" s="522"/>
      <c r="AL7" s="432"/>
      <c r="AM7" s="496"/>
      <c r="AN7" s="497"/>
      <c r="BB7" s="145"/>
      <c r="BC7" s="145"/>
      <c r="BD7" s="145"/>
      <c r="BE7" s="145"/>
      <c r="BF7" s="145"/>
      <c r="BG7" s="145"/>
      <c r="BH7" s="355"/>
      <c r="BI7" s="496"/>
      <c r="BJ7" s="497"/>
      <c r="BK7" s="145"/>
      <c r="BL7" s="145"/>
      <c r="BM7" s="188"/>
      <c r="BN7" s="533"/>
      <c r="BO7" s="533"/>
      <c r="BP7" s="188"/>
      <c r="IP7" s="145" t="s">
        <v>116</v>
      </c>
    </row>
    <row r="8" spans="1:250" x14ac:dyDescent="0.2">
      <c r="A8" s="132" t="s">
        <v>1812</v>
      </c>
      <c r="B8" s="345">
        <v>1</v>
      </c>
      <c r="C8" s="494">
        <v>0</v>
      </c>
      <c r="D8" s="495"/>
      <c r="E8" s="345">
        <v>1</v>
      </c>
      <c r="F8" s="494">
        <v>0</v>
      </c>
      <c r="G8" s="495"/>
      <c r="H8" s="295">
        <v>1</v>
      </c>
      <c r="I8" s="494">
        <v>0</v>
      </c>
      <c r="J8" s="495"/>
      <c r="K8" s="295">
        <v>1</v>
      </c>
      <c r="L8" s="494">
        <v>0</v>
      </c>
      <c r="M8" s="495"/>
      <c r="N8" s="295">
        <v>1</v>
      </c>
      <c r="O8" s="494">
        <v>0</v>
      </c>
      <c r="P8" s="495"/>
      <c r="Q8" s="295">
        <v>1</v>
      </c>
      <c r="R8" s="494">
        <v>0</v>
      </c>
      <c r="S8" s="495"/>
      <c r="T8" s="295">
        <v>1</v>
      </c>
      <c r="U8" s="494">
        <v>0</v>
      </c>
      <c r="V8" s="495"/>
      <c r="W8" s="295">
        <v>1</v>
      </c>
      <c r="X8" s="494">
        <v>0</v>
      </c>
      <c r="Y8" s="495"/>
      <c r="Z8" s="295">
        <v>1</v>
      </c>
      <c r="AA8" s="494">
        <v>0</v>
      </c>
      <c r="AB8" s="495"/>
      <c r="AC8" s="295">
        <v>1</v>
      </c>
      <c r="AD8" s="494">
        <v>0</v>
      </c>
      <c r="AE8" s="495"/>
      <c r="AF8" s="295">
        <v>1</v>
      </c>
      <c r="AG8" s="494">
        <v>0</v>
      </c>
      <c r="AH8" s="495"/>
      <c r="AI8" s="295">
        <v>1</v>
      </c>
      <c r="AJ8" s="494">
        <v>0</v>
      </c>
      <c r="AK8" s="495"/>
      <c r="AL8" s="355"/>
      <c r="AM8" s="496"/>
      <c r="AN8" s="497"/>
      <c r="BB8" s="145"/>
      <c r="BC8" s="145"/>
      <c r="BD8" s="145"/>
      <c r="BE8" s="145"/>
      <c r="BF8" s="145"/>
      <c r="BG8" s="145"/>
      <c r="BH8" s="355"/>
      <c r="BI8" s="496"/>
      <c r="BJ8" s="497"/>
      <c r="BK8" s="145"/>
      <c r="BL8" s="145"/>
      <c r="BM8" s="188"/>
      <c r="BN8" s="208"/>
      <c r="BO8" s="208"/>
      <c r="BP8" s="188"/>
      <c r="IP8" s="145" t="s">
        <v>117</v>
      </c>
    </row>
    <row r="9" spans="1:250" x14ac:dyDescent="0.2">
      <c r="A9" s="132" t="s">
        <v>1812</v>
      </c>
      <c r="B9" s="345">
        <v>1</v>
      </c>
      <c r="C9" s="494">
        <v>0</v>
      </c>
      <c r="D9" s="495"/>
      <c r="E9" s="345">
        <v>1</v>
      </c>
      <c r="F9" s="494">
        <v>0</v>
      </c>
      <c r="G9" s="495"/>
      <c r="H9" s="345">
        <v>1</v>
      </c>
      <c r="I9" s="494">
        <v>0</v>
      </c>
      <c r="J9" s="495"/>
      <c r="K9" s="345">
        <v>1</v>
      </c>
      <c r="L9" s="494">
        <v>0</v>
      </c>
      <c r="M9" s="495"/>
      <c r="N9" s="345">
        <v>1</v>
      </c>
      <c r="O9" s="494">
        <v>0</v>
      </c>
      <c r="P9" s="495"/>
      <c r="Q9" s="345">
        <v>1</v>
      </c>
      <c r="R9" s="494">
        <v>0</v>
      </c>
      <c r="S9" s="495"/>
      <c r="T9" s="345">
        <v>1</v>
      </c>
      <c r="U9" s="494">
        <v>0</v>
      </c>
      <c r="V9" s="495"/>
      <c r="W9" s="345">
        <v>1</v>
      </c>
      <c r="X9" s="494">
        <v>0</v>
      </c>
      <c r="Y9" s="495"/>
      <c r="Z9" s="345">
        <v>1</v>
      </c>
      <c r="AA9" s="494">
        <v>0</v>
      </c>
      <c r="AB9" s="495"/>
      <c r="AC9" s="345">
        <v>1</v>
      </c>
      <c r="AD9" s="494">
        <v>0</v>
      </c>
      <c r="AE9" s="495"/>
      <c r="AF9" s="345">
        <v>1</v>
      </c>
      <c r="AG9" s="494">
        <v>0</v>
      </c>
      <c r="AH9" s="495"/>
      <c r="AI9" s="345">
        <v>1</v>
      </c>
      <c r="AJ9" s="494">
        <v>0</v>
      </c>
      <c r="AK9" s="495"/>
      <c r="AL9" s="355"/>
      <c r="AM9" s="496"/>
      <c r="AN9" s="497"/>
      <c r="BB9" s="145"/>
      <c r="BC9" s="145"/>
      <c r="BD9" s="145"/>
      <c r="BE9" s="145"/>
      <c r="BF9" s="145"/>
      <c r="BG9" s="145"/>
      <c r="BH9" s="355"/>
      <c r="BI9" s="496"/>
      <c r="BJ9" s="497"/>
      <c r="BK9" s="145"/>
      <c r="BL9" s="145"/>
      <c r="BM9" s="188"/>
      <c r="BN9" s="131"/>
      <c r="BO9" s="131"/>
      <c r="BP9" s="188"/>
      <c r="IP9" s="145" t="s">
        <v>118</v>
      </c>
    </row>
    <row r="10" spans="1:250" x14ac:dyDescent="0.2">
      <c r="A10" s="132" t="s">
        <v>1812</v>
      </c>
      <c r="B10" s="345">
        <v>1</v>
      </c>
      <c r="C10" s="494">
        <v>0</v>
      </c>
      <c r="D10" s="495"/>
      <c r="E10" s="345">
        <v>1</v>
      </c>
      <c r="F10" s="494">
        <v>0</v>
      </c>
      <c r="G10" s="495"/>
      <c r="H10" s="345">
        <v>1</v>
      </c>
      <c r="I10" s="494">
        <v>0</v>
      </c>
      <c r="J10" s="495"/>
      <c r="K10" s="345">
        <v>1</v>
      </c>
      <c r="L10" s="494">
        <v>0</v>
      </c>
      <c r="M10" s="495"/>
      <c r="N10" s="345">
        <v>1</v>
      </c>
      <c r="O10" s="494">
        <v>0</v>
      </c>
      <c r="P10" s="495"/>
      <c r="Q10" s="345">
        <v>1</v>
      </c>
      <c r="R10" s="494">
        <v>0</v>
      </c>
      <c r="S10" s="495"/>
      <c r="T10" s="345">
        <v>1</v>
      </c>
      <c r="U10" s="494">
        <v>0</v>
      </c>
      <c r="V10" s="495"/>
      <c r="W10" s="345">
        <v>1</v>
      </c>
      <c r="X10" s="494">
        <v>0</v>
      </c>
      <c r="Y10" s="495"/>
      <c r="Z10" s="345">
        <v>1</v>
      </c>
      <c r="AA10" s="494">
        <v>0</v>
      </c>
      <c r="AB10" s="495"/>
      <c r="AC10" s="345">
        <v>1</v>
      </c>
      <c r="AD10" s="494">
        <v>0</v>
      </c>
      <c r="AE10" s="495"/>
      <c r="AF10" s="345">
        <v>1</v>
      </c>
      <c r="AG10" s="494">
        <v>0</v>
      </c>
      <c r="AH10" s="495"/>
      <c r="AI10" s="345">
        <v>1</v>
      </c>
      <c r="AJ10" s="494">
        <v>0</v>
      </c>
      <c r="AK10" s="495"/>
      <c r="AL10" s="355"/>
      <c r="AM10" s="496"/>
      <c r="AN10" s="497"/>
      <c r="BB10" s="145"/>
      <c r="BC10" s="145"/>
      <c r="BD10" s="145"/>
      <c r="BE10" s="145"/>
      <c r="BF10" s="145"/>
      <c r="BG10" s="145"/>
      <c r="BH10" s="355"/>
      <c r="BI10" s="496"/>
      <c r="BJ10" s="497"/>
      <c r="BK10" s="145"/>
      <c r="BL10" s="145"/>
      <c r="BM10" s="188"/>
      <c r="BN10" s="131"/>
      <c r="BO10" s="140"/>
      <c r="BP10" s="188"/>
      <c r="IP10" s="145" t="s">
        <v>119</v>
      </c>
    </row>
    <row r="11" spans="1:250" ht="13.5" thickBot="1" x14ac:dyDescent="0.25">
      <c r="A11" s="248" t="s">
        <v>1813</v>
      </c>
      <c r="B11" s="446">
        <v>1</v>
      </c>
      <c r="C11" s="506">
        <v>0</v>
      </c>
      <c r="D11" s="507"/>
      <c r="E11" s="447" t="str">
        <f>IF(AND(C11&lt;2.5,C2="Residência"),1,"")</f>
        <v/>
      </c>
      <c r="F11" s="506">
        <v>0</v>
      </c>
      <c r="G11" s="507"/>
      <c r="H11" s="447" t="str">
        <f>IF(AND(F11&lt;2.5,F2="Residência"),1,"")</f>
        <v/>
      </c>
      <c r="I11" s="506">
        <v>0</v>
      </c>
      <c r="J11" s="507"/>
      <c r="K11" s="447" t="str">
        <f>IF(AND(I11&lt;2.5,I2="Residência"),1,"")</f>
        <v/>
      </c>
      <c r="L11" s="506">
        <v>0</v>
      </c>
      <c r="M11" s="507"/>
      <c r="N11" s="447" t="str">
        <f>IF(AND(L11&lt;2.5,L2="Residência"),1,"")</f>
        <v/>
      </c>
      <c r="O11" s="506">
        <v>0</v>
      </c>
      <c r="P11" s="507"/>
      <c r="Q11" s="447" t="str">
        <f>IF(AND(O11&lt;2.5,O2="Residência"),1,"")</f>
        <v/>
      </c>
      <c r="R11" s="506">
        <v>0</v>
      </c>
      <c r="S11" s="507"/>
      <c r="T11" s="447" t="str">
        <f>IF(AND(R11&lt;2.5,R2="Residência"),1,"")</f>
        <v/>
      </c>
      <c r="U11" s="506">
        <v>0</v>
      </c>
      <c r="V11" s="507"/>
      <c r="W11" s="447" t="str">
        <f>IF(AND(U11&lt;2.5,U2="Residência"),1,"")</f>
        <v/>
      </c>
      <c r="X11" s="506">
        <v>0</v>
      </c>
      <c r="Y11" s="507"/>
      <c r="Z11" s="447" t="str">
        <f>IF(AND(X11&lt;2.5,X2="Residência"),1,"")</f>
        <v/>
      </c>
      <c r="AA11" s="506">
        <v>0</v>
      </c>
      <c r="AB11" s="507"/>
      <c r="AC11" s="447" t="str">
        <f>IF(AND(AA11&lt;2.5,AA2="Residência"),1,"")</f>
        <v/>
      </c>
      <c r="AD11" s="506">
        <v>0</v>
      </c>
      <c r="AE11" s="507"/>
      <c r="AF11" s="447" t="str">
        <f>IF(AND(AD11&lt;2.5,AD2="Residência"),1,"")</f>
        <v/>
      </c>
      <c r="AG11" s="506">
        <v>0</v>
      </c>
      <c r="AH11" s="507"/>
      <c r="AI11" s="447" t="str">
        <f>IF(AND(AG11&lt;2.5,AG2="Residência"),1,"")</f>
        <v/>
      </c>
      <c r="AJ11" s="499">
        <v>0</v>
      </c>
      <c r="AK11" s="500"/>
      <c r="AL11" s="265"/>
      <c r="AM11" s="501"/>
      <c r="AN11" s="502"/>
      <c r="AR11" s="265" t="str">
        <f>IF(AND(AJ11&lt;2.5,AJ2="Residência"),1,"")</f>
        <v/>
      </c>
      <c r="BB11" s="145"/>
      <c r="BC11" s="145"/>
      <c r="BD11" s="145"/>
      <c r="BE11" s="145"/>
      <c r="BF11" s="145"/>
      <c r="BG11" s="145"/>
      <c r="BH11" s="265"/>
      <c r="BI11" s="557"/>
      <c r="BJ11" s="558"/>
      <c r="BK11" s="145"/>
      <c r="BL11" s="145"/>
      <c r="BM11" s="265"/>
      <c r="BN11" s="347"/>
      <c r="BO11" s="346"/>
      <c r="BP11" s="188"/>
      <c r="IP11" s="145" t="s">
        <v>120</v>
      </c>
    </row>
    <row r="12" spans="1:250" x14ac:dyDescent="0.2">
      <c r="A12" s="254"/>
      <c r="B12" s="269"/>
      <c r="C12" s="284"/>
      <c r="D12" s="284"/>
      <c r="E12" s="265"/>
      <c r="F12" s="284"/>
      <c r="G12" s="284"/>
      <c r="H12" s="265"/>
      <c r="I12" s="284">
        <v>5</v>
      </c>
      <c r="J12" s="284"/>
      <c r="K12" s="265"/>
      <c r="L12" s="284"/>
      <c r="M12" s="284"/>
      <c r="N12" s="265"/>
      <c r="O12" s="284"/>
      <c r="P12" s="284"/>
      <c r="Q12" s="269"/>
      <c r="R12" s="284"/>
      <c r="S12" s="284"/>
      <c r="T12" s="265"/>
      <c r="U12" s="284"/>
      <c r="V12" s="284"/>
      <c r="W12" s="265"/>
      <c r="X12" s="284"/>
      <c r="Y12" s="284"/>
      <c r="Z12" s="265"/>
      <c r="AA12" s="284"/>
      <c r="AB12" s="284"/>
      <c r="AC12" s="269"/>
      <c r="AD12" s="284"/>
      <c r="AE12" s="284"/>
      <c r="AF12" s="265"/>
      <c r="AG12" s="284"/>
      <c r="AH12" s="284"/>
      <c r="AI12" s="265"/>
      <c r="AJ12" s="255"/>
      <c r="AK12" s="255"/>
      <c r="AL12" s="265"/>
      <c r="AM12" s="284"/>
      <c r="AN12" s="284"/>
      <c r="BB12" s="145"/>
      <c r="BC12" s="145"/>
      <c r="BD12" s="145"/>
      <c r="BE12" s="145"/>
      <c r="BF12" s="145"/>
      <c r="BG12" s="145"/>
      <c r="BH12" s="265"/>
      <c r="BI12" s="255"/>
      <c r="BJ12" s="255"/>
      <c r="BK12" s="145"/>
      <c r="BL12" s="145"/>
      <c r="BM12" s="265"/>
      <c r="BN12" s="347"/>
      <c r="BO12" s="346"/>
      <c r="BP12" s="188"/>
      <c r="IP12" s="146" t="s">
        <v>121</v>
      </c>
    </row>
    <row r="13" spans="1:250" ht="13.5" thickBot="1" x14ac:dyDescent="0.25">
      <c r="A13" s="133" t="s">
        <v>167</v>
      </c>
      <c r="B13" s="269"/>
      <c r="C13" s="249" t="s">
        <v>38</v>
      </c>
      <c r="D13" s="250" t="s">
        <v>1814</v>
      </c>
      <c r="E13" s="265"/>
      <c r="F13" s="251" t="s">
        <v>38</v>
      </c>
      <c r="G13" s="252" t="s">
        <v>1814</v>
      </c>
      <c r="H13" s="265"/>
      <c r="I13" s="249" t="s">
        <v>38</v>
      </c>
      <c r="J13" s="253" t="s">
        <v>1814</v>
      </c>
      <c r="K13" s="265"/>
      <c r="L13" s="253" t="s">
        <v>38</v>
      </c>
      <c r="M13" s="253" t="s">
        <v>1814</v>
      </c>
      <c r="N13" s="282"/>
      <c r="O13" s="253" t="s">
        <v>38</v>
      </c>
      <c r="P13" s="253" t="s">
        <v>1814</v>
      </c>
      <c r="Q13" s="282"/>
      <c r="R13" s="249" t="s">
        <v>38</v>
      </c>
      <c r="S13" s="250" t="s">
        <v>1814</v>
      </c>
      <c r="T13" s="282"/>
      <c r="U13" s="251" t="s">
        <v>38</v>
      </c>
      <c r="V13" s="252" t="s">
        <v>1814</v>
      </c>
      <c r="W13" s="282"/>
      <c r="X13" s="249" t="s">
        <v>38</v>
      </c>
      <c r="Y13" s="253" t="s">
        <v>1814</v>
      </c>
      <c r="Z13" s="282"/>
      <c r="AA13" s="253" t="s">
        <v>38</v>
      </c>
      <c r="AB13" s="253" t="s">
        <v>1814</v>
      </c>
      <c r="AC13" s="282"/>
      <c r="AD13" s="249" t="s">
        <v>38</v>
      </c>
      <c r="AE13" s="250" t="s">
        <v>1814</v>
      </c>
      <c r="AF13" s="282"/>
      <c r="AG13" s="251" t="s">
        <v>38</v>
      </c>
      <c r="AH13" s="252" t="s">
        <v>1814</v>
      </c>
      <c r="AI13" s="282"/>
      <c r="AJ13" s="249" t="s">
        <v>38</v>
      </c>
      <c r="AK13" s="253" t="s">
        <v>1814</v>
      </c>
      <c r="AL13" s="265"/>
      <c r="AM13" s="253"/>
      <c r="AN13" s="253"/>
      <c r="BB13" s="145"/>
      <c r="BC13" s="145"/>
      <c r="BD13" s="145"/>
      <c r="BE13" s="145"/>
      <c r="BF13" s="145"/>
      <c r="BG13" s="145"/>
      <c r="BH13" s="265"/>
      <c r="BI13" s="253"/>
      <c r="BJ13" s="253"/>
      <c r="BK13" s="145"/>
      <c r="BL13" s="145"/>
      <c r="BM13" s="265"/>
      <c r="BN13" s="347"/>
      <c r="BO13" s="346"/>
      <c r="BP13" s="188"/>
      <c r="IP13" s="145" t="s">
        <v>122</v>
      </c>
    </row>
    <row r="14" spans="1:250" x14ac:dyDescent="0.2">
      <c r="A14" s="135" t="s">
        <v>42</v>
      </c>
      <c r="B14" s="269"/>
      <c r="C14" s="242">
        <v>0</v>
      </c>
      <c r="D14" s="243">
        <v>0</v>
      </c>
      <c r="E14" s="265" t="str">
        <f>IF(AND(D14&lt;5.4,C14&gt;0),1,"")</f>
        <v/>
      </c>
      <c r="F14" s="242">
        <v>0</v>
      </c>
      <c r="G14" s="243">
        <v>0</v>
      </c>
      <c r="H14" s="265" t="str">
        <f>IF(AND(G14&lt;5.4,F14&gt;0),1,"")</f>
        <v/>
      </c>
      <c r="I14" s="242">
        <v>0</v>
      </c>
      <c r="J14" s="243">
        <v>0</v>
      </c>
      <c r="K14" s="282" t="str">
        <f>IF(AND(J14&lt;5.4,I14&gt;0),1,"")</f>
        <v/>
      </c>
      <c r="L14" s="242">
        <v>0</v>
      </c>
      <c r="M14" s="243">
        <v>0</v>
      </c>
      <c r="N14" s="282" t="str">
        <f>IF(AND(M14&lt;5.4,L14&gt;0),1,"")</f>
        <v/>
      </c>
      <c r="O14" s="242">
        <v>0</v>
      </c>
      <c r="P14" s="243">
        <v>0</v>
      </c>
      <c r="Q14" s="282" t="str">
        <f>IF(AND(P14&lt;5.4,O14&gt;0),1,"")</f>
        <v/>
      </c>
      <c r="R14" s="242">
        <v>0</v>
      </c>
      <c r="S14" s="243">
        <v>0</v>
      </c>
      <c r="T14" s="282" t="str">
        <f>IF(AND(S14&lt;5.4,R14&gt;0),1,"")</f>
        <v/>
      </c>
      <c r="U14" s="242">
        <v>0</v>
      </c>
      <c r="V14" s="243">
        <v>0</v>
      </c>
      <c r="W14" s="282" t="str">
        <f>IF(AND(V14&lt;5.4,U14&gt;0),1,"")</f>
        <v/>
      </c>
      <c r="X14" s="242">
        <v>0</v>
      </c>
      <c r="Y14" s="243">
        <v>0</v>
      </c>
      <c r="Z14" s="282" t="str">
        <f>IF(AND(Y14&lt;5.4,X14&gt;0),1,"")</f>
        <v/>
      </c>
      <c r="AA14" s="242">
        <v>0</v>
      </c>
      <c r="AB14" s="243">
        <v>0</v>
      </c>
      <c r="AC14" s="282" t="str">
        <f>IF(AND(AB14&lt;5.4,AA14&gt;0),1,"")</f>
        <v/>
      </c>
      <c r="AD14" s="242">
        <v>0</v>
      </c>
      <c r="AE14" s="243">
        <v>0</v>
      </c>
      <c r="AF14" s="282" t="str">
        <f>IF(AND(AE14&lt;5.4,AD14&gt;0),1,"")</f>
        <v/>
      </c>
      <c r="AG14" s="242">
        <v>0</v>
      </c>
      <c r="AH14" s="243">
        <v>0</v>
      </c>
      <c r="AI14" s="282" t="str">
        <f>IF(AND(AH14&lt;5.4,AG14&gt;0),1,"")</f>
        <v/>
      </c>
      <c r="AJ14" s="242">
        <v>0</v>
      </c>
      <c r="AK14" s="243">
        <v>0</v>
      </c>
      <c r="AL14" s="265"/>
      <c r="AM14" s="356"/>
      <c r="AN14" s="357"/>
      <c r="AR14" s="265" t="str">
        <f>IF(AND(AK14&lt;5.4,AJ14&gt;0),1,"")</f>
        <v/>
      </c>
      <c r="BB14" s="145"/>
      <c r="BC14" s="145"/>
      <c r="BD14" s="145"/>
      <c r="BE14" s="145"/>
      <c r="BF14" s="145"/>
      <c r="BG14" s="145"/>
      <c r="BH14" s="265"/>
      <c r="BI14" s="356"/>
      <c r="BJ14" s="357"/>
      <c r="BK14" s="145"/>
      <c r="BL14" s="145"/>
      <c r="BM14" s="265"/>
      <c r="BN14" s="347"/>
      <c r="BO14" s="346"/>
      <c r="BP14" s="188"/>
      <c r="IP14" s="145" t="s">
        <v>123</v>
      </c>
    </row>
    <row r="15" spans="1:250" ht="13.5" thickBot="1" x14ac:dyDescent="0.25">
      <c r="A15" s="132" t="s">
        <v>43</v>
      </c>
      <c r="B15" s="269"/>
      <c r="C15" s="242">
        <v>0</v>
      </c>
      <c r="D15" s="244">
        <v>0</v>
      </c>
      <c r="E15" s="265" t="str">
        <f>IF(AND(D15&lt;3,C15&gt;0),1,"")</f>
        <v/>
      </c>
      <c r="F15" s="242">
        <v>0</v>
      </c>
      <c r="G15" s="244">
        <v>0</v>
      </c>
      <c r="H15" s="265" t="str">
        <f>IF(AND(G15&lt;3,F15&gt;0),1,"")</f>
        <v/>
      </c>
      <c r="I15" s="242">
        <v>0</v>
      </c>
      <c r="J15" s="244">
        <v>0</v>
      </c>
      <c r="K15" s="282" t="str">
        <f>IF(AND(J15&lt;3,I15&gt;0),1,"")</f>
        <v/>
      </c>
      <c r="L15" s="242">
        <v>0</v>
      </c>
      <c r="M15" s="244">
        <v>0</v>
      </c>
      <c r="N15" s="282" t="str">
        <f>IF(AND(M15&lt;3.4,L15&gt;0),1,"")</f>
        <v/>
      </c>
      <c r="O15" s="242">
        <v>0</v>
      </c>
      <c r="P15" s="244">
        <v>0</v>
      </c>
      <c r="Q15" s="282" t="str">
        <f>IF(AND(P15&lt;3.4,O15&gt;0),1,"")</f>
        <v/>
      </c>
      <c r="R15" s="242">
        <v>0</v>
      </c>
      <c r="S15" s="244">
        <v>0</v>
      </c>
      <c r="T15" s="282" t="str">
        <f>IF(AND(S15&lt;3,R15&gt;0),1,"")</f>
        <v/>
      </c>
      <c r="U15" s="242">
        <v>0</v>
      </c>
      <c r="V15" s="244">
        <v>0</v>
      </c>
      <c r="W15" s="282" t="str">
        <f>IF(AND(V15&lt;3,U15&gt;0),1,"")</f>
        <v/>
      </c>
      <c r="X15" s="242">
        <v>0</v>
      </c>
      <c r="Y15" s="244">
        <v>0</v>
      </c>
      <c r="Z15" s="282" t="str">
        <f>IF(AND(Y15&lt;3,X15&gt;0),1,"")</f>
        <v/>
      </c>
      <c r="AA15" s="242">
        <v>0</v>
      </c>
      <c r="AB15" s="244">
        <v>0</v>
      </c>
      <c r="AC15" s="282" t="str">
        <f>IF(AND(AB15&lt;3.4,AA15&gt;0),1,"")</f>
        <v/>
      </c>
      <c r="AD15" s="242">
        <v>0</v>
      </c>
      <c r="AE15" s="244">
        <v>0</v>
      </c>
      <c r="AF15" s="282" t="str">
        <f>IF(AND(AE15&lt;3,AD15&gt;0),1,"")</f>
        <v/>
      </c>
      <c r="AG15" s="242">
        <v>0</v>
      </c>
      <c r="AH15" s="244">
        <v>0</v>
      </c>
      <c r="AI15" s="282" t="str">
        <f>IF(AND(AH15&lt;3,AG15&gt;0),1,"")</f>
        <v/>
      </c>
      <c r="AJ15" s="242">
        <v>0</v>
      </c>
      <c r="AK15" s="244">
        <v>0</v>
      </c>
      <c r="AL15" s="265"/>
      <c r="AM15" s="358"/>
      <c r="AN15" s="359"/>
      <c r="AR15" s="265" t="str">
        <f>IF(AND(AK15&lt;3.4,AJ15&gt;0),1,"")</f>
        <v/>
      </c>
      <c r="BB15" s="145"/>
      <c r="BC15" s="145"/>
      <c r="BD15" s="145"/>
      <c r="BE15" s="145"/>
      <c r="BF15" s="145"/>
      <c r="BG15" s="145"/>
      <c r="BH15" s="265"/>
      <c r="BI15" s="358"/>
      <c r="BJ15" s="359"/>
      <c r="BK15" s="145"/>
      <c r="BL15" s="145"/>
      <c r="BM15" s="265"/>
      <c r="BN15" s="347"/>
      <c r="BO15" s="346"/>
      <c r="BP15" s="188"/>
      <c r="IP15" s="145" t="s">
        <v>69</v>
      </c>
    </row>
    <row r="16" spans="1:250" ht="12.75" customHeight="1" thickBot="1" x14ac:dyDescent="0.25">
      <c r="A16" s="132" t="s">
        <v>44</v>
      </c>
      <c r="B16" s="269"/>
      <c r="C16" s="242">
        <v>0</v>
      </c>
      <c r="D16" s="243">
        <v>0</v>
      </c>
      <c r="E16" s="265"/>
      <c r="F16" s="242">
        <v>0</v>
      </c>
      <c r="G16" s="243">
        <v>0</v>
      </c>
      <c r="H16" s="282"/>
      <c r="I16" s="242">
        <v>0</v>
      </c>
      <c r="J16" s="243">
        <v>0</v>
      </c>
      <c r="K16" s="282"/>
      <c r="L16" s="242">
        <v>0</v>
      </c>
      <c r="M16" s="243">
        <v>0</v>
      </c>
      <c r="N16" s="282"/>
      <c r="O16" s="242">
        <v>0</v>
      </c>
      <c r="P16" s="243">
        <v>0</v>
      </c>
      <c r="Q16" s="282"/>
      <c r="R16" s="242">
        <v>0</v>
      </c>
      <c r="S16" s="243">
        <v>0</v>
      </c>
      <c r="T16" s="282"/>
      <c r="U16" s="242">
        <v>0</v>
      </c>
      <c r="V16" s="243">
        <v>0</v>
      </c>
      <c r="W16" s="282"/>
      <c r="X16" s="242">
        <v>0</v>
      </c>
      <c r="Y16" s="243">
        <v>0</v>
      </c>
      <c r="Z16" s="282"/>
      <c r="AA16" s="242">
        <v>0</v>
      </c>
      <c r="AB16" s="243">
        <v>0</v>
      </c>
      <c r="AC16" s="282"/>
      <c r="AD16" s="242">
        <v>0</v>
      </c>
      <c r="AE16" s="243">
        <v>0</v>
      </c>
      <c r="AF16" s="282"/>
      <c r="AG16" s="242">
        <v>0</v>
      </c>
      <c r="AH16" s="243">
        <v>0</v>
      </c>
      <c r="AI16" s="282"/>
      <c r="AJ16" s="242">
        <v>0</v>
      </c>
      <c r="AK16" s="243">
        <v>0</v>
      </c>
      <c r="AL16" s="265"/>
      <c r="AM16" s="358"/>
      <c r="AN16" s="357"/>
      <c r="BB16" s="145"/>
      <c r="BC16" s="145"/>
      <c r="BD16" s="145"/>
      <c r="BE16" s="145"/>
      <c r="BF16" s="145"/>
      <c r="BG16" s="145"/>
      <c r="BH16" s="265"/>
      <c r="BI16" s="358"/>
      <c r="BJ16" s="357"/>
      <c r="BK16" s="145"/>
      <c r="BL16" s="145"/>
      <c r="BM16" s="265"/>
      <c r="BN16" s="508"/>
      <c r="BO16" s="509"/>
      <c r="BP16" s="188"/>
    </row>
    <row r="17" spans="1:68" ht="15.75" customHeight="1" thickBot="1" x14ac:dyDescent="0.25">
      <c r="A17" s="132" t="s">
        <v>45</v>
      </c>
      <c r="B17" s="269"/>
      <c r="C17" s="242">
        <v>0</v>
      </c>
      <c r="D17" s="244">
        <v>0</v>
      </c>
      <c r="E17" s="265" t="str">
        <f>IF(AND(D17&lt;2,C17&gt;0),1,"")</f>
        <v/>
      </c>
      <c r="F17" s="242">
        <v>0</v>
      </c>
      <c r="G17" s="244">
        <v>0</v>
      </c>
      <c r="H17" s="282" t="str">
        <f>IF(AND(G17&lt;2,F17&gt;0),1,"")</f>
        <v/>
      </c>
      <c r="I17" s="242">
        <v>0</v>
      </c>
      <c r="J17" s="244">
        <v>0</v>
      </c>
      <c r="K17" s="282" t="str">
        <f>IF(AND(J17&lt;2,I17&gt;0),1,"")</f>
        <v/>
      </c>
      <c r="L17" s="242">
        <v>0</v>
      </c>
      <c r="M17" s="244">
        <v>0</v>
      </c>
      <c r="N17" s="282" t="str">
        <f>IF(AND(M17&lt;2,L17&gt;0),1,"")</f>
        <v/>
      </c>
      <c r="O17" s="242">
        <v>0</v>
      </c>
      <c r="P17" s="244">
        <v>0</v>
      </c>
      <c r="Q17" s="282" t="str">
        <f>IF(AND(P17&lt;2,O17&gt;0),1,"")</f>
        <v/>
      </c>
      <c r="R17" s="242">
        <v>0</v>
      </c>
      <c r="S17" s="244">
        <v>0</v>
      </c>
      <c r="T17" s="282" t="str">
        <f>IF(AND(S17&lt;2,R17&gt;0),1,"")</f>
        <v/>
      </c>
      <c r="U17" s="242">
        <v>0</v>
      </c>
      <c r="V17" s="244">
        <v>0</v>
      </c>
      <c r="W17" s="282" t="str">
        <f>IF(AND(V17&lt;2,U17&gt;0),1,"")</f>
        <v/>
      </c>
      <c r="X17" s="242">
        <v>0</v>
      </c>
      <c r="Y17" s="244">
        <v>0</v>
      </c>
      <c r="Z17" s="282" t="str">
        <f>IF(AND(Y17&lt;2,X17&gt;0),1,"")</f>
        <v/>
      </c>
      <c r="AA17" s="242">
        <v>0</v>
      </c>
      <c r="AB17" s="244">
        <v>0</v>
      </c>
      <c r="AC17" s="282"/>
      <c r="AD17" s="242">
        <v>0</v>
      </c>
      <c r="AE17" s="244">
        <v>0</v>
      </c>
      <c r="AF17" s="282" t="str">
        <f>IF(AND(AE17&lt;2,AD17&gt;0),1,"")</f>
        <v/>
      </c>
      <c r="AG17" s="242">
        <v>0</v>
      </c>
      <c r="AH17" s="244">
        <v>0</v>
      </c>
      <c r="AI17" s="282" t="str">
        <f>IF(AND(AH17&lt;2,AG17&gt;0),1,"")</f>
        <v/>
      </c>
      <c r="AJ17" s="242">
        <v>0</v>
      </c>
      <c r="AK17" s="244">
        <v>0</v>
      </c>
      <c r="AL17" s="265"/>
      <c r="AM17" s="356"/>
      <c r="AN17" s="359"/>
      <c r="BB17" s="145"/>
      <c r="BC17" s="145"/>
      <c r="BD17" s="145"/>
      <c r="BE17" s="145"/>
      <c r="BF17" s="145"/>
      <c r="BG17" s="145"/>
      <c r="BH17" s="265"/>
      <c r="BI17" s="356"/>
      <c r="BJ17" s="359"/>
      <c r="BK17" s="145"/>
      <c r="BL17" s="145"/>
      <c r="BM17" s="265"/>
      <c r="BN17" s="214"/>
      <c r="BO17" s="215"/>
      <c r="BP17" s="188"/>
    </row>
    <row r="18" spans="1:68" ht="12.75" customHeight="1" thickBot="1" x14ac:dyDescent="0.25">
      <c r="A18" s="132" t="s">
        <v>46</v>
      </c>
      <c r="B18" s="269"/>
      <c r="C18" s="242">
        <v>0</v>
      </c>
      <c r="D18" s="243">
        <v>0</v>
      </c>
      <c r="E18" s="265"/>
      <c r="F18" s="242">
        <v>0</v>
      </c>
      <c r="G18" s="243">
        <v>0</v>
      </c>
      <c r="H18" s="282"/>
      <c r="I18" s="242">
        <v>0</v>
      </c>
      <c r="J18" s="243">
        <v>0</v>
      </c>
      <c r="K18" s="282"/>
      <c r="L18" s="242">
        <v>0</v>
      </c>
      <c r="M18" s="243">
        <v>0</v>
      </c>
      <c r="N18" s="282"/>
      <c r="O18" s="242">
        <v>0</v>
      </c>
      <c r="P18" s="243">
        <v>0</v>
      </c>
      <c r="Q18" s="282"/>
      <c r="R18" s="242">
        <v>0</v>
      </c>
      <c r="S18" s="243">
        <v>0</v>
      </c>
      <c r="T18" s="282"/>
      <c r="U18" s="242">
        <v>0</v>
      </c>
      <c r="V18" s="243">
        <v>0</v>
      </c>
      <c r="W18" s="282"/>
      <c r="X18" s="242">
        <v>0</v>
      </c>
      <c r="Y18" s="243">
        <v>0</v>
      </c>
      <c r="Z18" s="282"/>
      <c r="AA18" s="242">
        <v>0</v>
      </c>
      <c r="AB18" s="243">
        <v>0</v>
      </c>
      <c r="AC18" s="282"/>
      <c r="AD18" s="242">
        <v>0</v>
      </c>
      <c r="AE18" s="243">
        <v>0</v>
      </c>
      <c r="AF18" s="282"/>
      <c r="AG18" s="242">
        <v>0</v>
      </c>
      <c r="AH18" s="243">
        <v>0</v>
      </c>
      <c r="AI18" s="282"/>
      <c r="AJ18" s="242">
        <v>0</v>
      </c>
      <c r="AK18" s="243">
        <v>0</v>
      </c>
      <c r="AL18" s="265"/>
      <c r="AM18" s="358"/>
      <c r="AN18" s="357"/>
      <c r="BB18" s="145"/>
      <c r="BC18" s="145"/>
      <c r="BD18" s="145"/>
      <c r="BE18" s="145"/>
      <c r="BF18" s="145"/>
      <c r="BG18" s="145"/>
      <c r="BH18" s="265"/>
      <c r="BI18" s="358"/>
      <c r="BJ18" s="357"/>
      <c r="BK18" s="145"/>
      <c r="BL18" s="145"/>
      <c r="BM18" s="265"/>
      <c r="BN18" s="214"/>
      <c r="BO18" s="215"/>
      <c r="BP18" s="188"/>
    </row>
    <row r="19" spans="1:68" ht="15" customHeight="1" thickBot="1" x14ac:dyDescent="0.25">
      <c r="A19" s="132" t="s">
        <v>47</v>
      </c>
      <c r="B19" s="269"/>
      <c r="C19" s="242">
        <v>0</v>
      </c>
      <c r="D19" s="244">
        <v>0</v>
      </c>
      <c r="E19" s="265"/>
      <c r="F19" s="242">
        <v>0</v>
      </c>
      <c r="G19" s="244">
        <v>0</v>
      </c>
      <c r="H19" s="282"/>
      <c r="I19" s="242">
        <v>0</v>
      </c>
      <c r="J19" s="244">
        <v>0</v>
      </c>
      <c r="K19" s="282"/>
      <c r="L19" s="242">
        <v>0</v>
      </c>
      <c r="M19" s="244">
        <v>0</v>
      </c>
      <c r="N19" s="282"/>
      <c r="O19" s="242">
        <v>0</v>
      </c>
      <c r="P19" s="244">
        <v>0</v>
      </c>
      <c r="Q19" s="282"/>
      <c r="R19" s="242">
        <v>0</v>
      </c>
      <c r="S19" s="244">
        <v>0</v>
      </c>
      <c r="T19" s="282"/>
      <c r="U19" s="242">
        <v>0</v>
      </c>
      <c r="V19" s="244">
        <v>0</v>
      </c>
      <c r="W19" s="282"/>
      <c r="X19" s="242">
        <v>0</v>
      </c>
      <c r="Y19" s="244">
        <v>0</v>
      </c>
      <c r="Z19" s="282"/>
      <c r="AA19" s="242">
        <v>0</v>
      </c>
      <c r="AB19" s="244">
        <v>0</v>
      </c>
      <c r="AC19" s="282"/>
      <c r="AD19" s="242">
        <v>0</v>
      </c>
      <c r="AE19" s="244">
        <v>0</v>
      </c>
      <c r="AF19" s="282"/>
      <c r="AG19" s="242">
        <v>0</v>
      </c>
      <c r="AH19" s="244">
        <v>0</v>
      </c>
      <c r="AI19" s="282"/>
      <c r="AJ19" s="242">
        <v>0</v>
      </c>
      <c r="AK19" s="244">
        <v>0</v>
      </c>
      <c r="AL19" s="265"/>
      <c r="AM19" s="358"/>
      <c r="AN19" s="359"/>
      <c r="BB19" s="145"/>
      <c r="BC19" s="145"/>
      <c r="BD19" s="145"/>
      <c r="BE19" s="145"/>
      <c r="BF19" s="145"/>
      <c r="BG19" s="145"/>
      <c r="BH19" s="265"/>
      <c r="BI19" s="358"/>
      <c r="BJ19" s="359"/>
      <c r="BK19" s="145"/>
      <c r="BL19" s="145"/>
      <c r="BM19" s="265"/>
      <c r="BN19" s="214"/>
      <c r="BO19" s="215"/>
      <c r="BP19" s="188"/>
    </row>
    <row r="20" spans="1:68" x14ac:dyDescent="0.2">
      <c r="A20" s="132" t="s">
        <v>1798</v>
      </c>
      <c r="B20" s="269"/>
      <c r="C20" s="242">
        <v>0</v>
      </c>
      <c r="D20" s="243">
        <v>0</v>
      </c>
      <c r="E20" s="265"/>
      <c r="F20" s="242">
        <v>0</v>
      </c>
      <c r="G20" s="243">
        <v>0</v>
      </c>
      <c r="H20" s="282"/>
      <c r="I20" s="242">
        <v>0</v>
      </c>
      <c r="J20" s="243">
        <v>0</v>
      </c>
      <c r="K20" s="282"/>
      <c r="L20" s="242">
        <v>0</v>
      </c>
      <c r="M20" s="243">
        <v>0</v>
      </c>
      <c r="N20" s="282"/>
      <c r="O20" s="242">
        <v>0</v>
      </c>
      <c r="P20" s="243">
        <v>0</v>
      </c>
      <c r="Q20" s="282"/>
      <c r="R20" s="242">
        <v>0</v>
      </c>
      <c r="S20" s="243">
        <v>0</v>
      </c>
      <c r="T20" s="282"/>
      <c r="U20" s="242">
        <v>0</v>
      </c>
      <c r="V20" s="243">
        <v>0</v>
      </c>
      <c r="W20" s="282"/>
      <c r="X20" s="242">
        <v>0</v>
      </c>
      <c r="Y20" s="243">
        <v>0</v>
      </c>
      <c r="Z20" s="282"/>
      <c r="AA20" s="242">
        <v>0</v>
      </c>
      <c r="AB20" s="243">
        <v>0</v>
      </c>
      <c r="AC20" s="282"/>
      <c r="AD20" s="242">
        <v>0</v>
      </c>
      <c r="AE20" s="243">
        <v>0</v>
      </c>
      <c r="AF20" s="282"/>
      <c r="AG20" s="242">
        <v>0</v>
      </c>
      <c r="AH20" s="243">
        <v>0</v>
      </c>
      <c r="AI20" s="282"/>
      <c r="AJ20" s="242">
        <v>0</v>
      </c>
      <c r="AK20" s="243">
        <v>0</v>
      </c>
      <c r="AL20" s="265"/>
      <c r="AM20" s="356"/>
      <c r="AN20" s="357"/>
      <c r="BB20" s="145"/>
      <c r="BC20" s="145"/>
      <c r="BD20" s="145"/>
      <c r="BE20" s="145"/>
      <c r="BF20" s="145"/>
      <c r="BG20" s="145"/>
      <c r="BH20" s="265"/>
      <c r="BI20" s="356"/>
      <c r="BJ20" s="357"/>
      <c r="BK20" s="145"/>
      <c r="BL20" s="145"/>
      <c r="BM20" s="265"/>
      <c r="BN20" s="189"/>
      <c r="BO20" s="189"/>
      <c r="BP20" s="188"/>
    </row>
    <row r="21" spans="1:68" x14ac:dyDescent="0.2">
      <c r="A21" s="132" t="s">
        <v>1619</v>
      </c>
      <c r="B21" s="269"/>
      <c r="C21" s="242">
        <v>0</v>
      </c>
      <c r="D21" s="244">
        <v>0</v>
      </c>
      <c r="E21" s="265" t="str">
        <f>IF(AND(D21&lt;1.5,C21&gt;0),1,"")</f>
        <v/>
      </c>
      <c r="F21" s="242">
        <v>0</v>
      </c>
      <c r="G21" s="244">
        <v>0</v>
      </c>
      <c r="H21" s="282" t="str">
        <f>IF(AND(G21&lt;1.5,F21&gt;0),1,"")</f>
        <v/>
      </c>
      <c r="I21" s="242">
        <v>0</v>
      </c>
      <c r="J21" s="244">
        <v>0</v>
      </c>
      <c r="K21" s="282" t="str">
        <f>IF(AND(J21&lt;1.5,I21&gt;0),1,"")</f>
        <v/>
      </c>
      <c r="L21" s="242">
        <v>0</v>
      </c>
      <c r="M21" s="244">
        <v>0</v>
      </c>
      <c r="N21" s="282" t="str">
        <f>IF(AND(M21&lt;1.5,L21&gt;0),1,"")</f>
        <v/>
      </c>
      <c r="O21" s="242">
        <v>0</v>
      </c>
      <c r="P21" s="244">
        <v>0</v>
      </c>
      <c r="Q21" s="282" t="str">
        <f>IF(AND(P21&lt;1.5,O21&gt;0),1,"")</f>
        <v/>
      </c>
      <c r="R21" s="242">
        <v>0</v>
      </c>
      <c r="S21" s="244">
        <v>0</v>
      </c>
      <c r="T21" s="282" t="str">
        <f>IF(AND(S21&lt;1.5,R21&gt;0),1,"")</f>
        <v/>
      </c>
      <c r="U21" s="242">
        <v>0</v>
      </c>
      <c r="V21" s="244">
        <v>0</v>
      </c>
      <c r="W21" s="282" t="str">
        <f>IF(AND(V21&lt;1.5,U21&gt;0),1,"")</f>
        <v/>
      </c>
      <c r="X21" s="242">
        <v>0</v>
      </c>
      <c r="Y21" s="244">
        <v>0</v>
      </c>
      <c r="Z21" s="282" t="str">
        <f>IF(AND(Y21&lt;1.5,X21&gt;0),1,"")</f>
        <v/>
      </c>
      <c r="AA21" s="242">
        <v>0</v>
      </c>
      <c r="AB21" s="244">
        <v>0</v>
      </c>
      <c r="AC21" s="282"/>
      <c r="AD21" s="242">
        <v>0</v>
      </c>
      <c r="AE21" s="244">
        <v>0</v>
      </c>
      <c r="AF21" s="282" t="str">
        <f>IF(AND(AE21&lt;1.5,AD21&gt;0),1,"")</f>
        <v/>
      </c>
      <c r="AG21" s="242">
        <v>0</v>
      </c>
      <c r="AH21" s="244">
        <v>0</v>
      </c>
      <c r="AI21" s="282" t="str">
        <f>IF(AND(AH21&lt;1.5,AG21&gt;0),1,"")</f>
        <v/>
      </c>
      <c r="AJ21" s="242">
        <v>0</v>
      </c>
      <c r="AK21" s="244">
        <v>0</v>
      </c>
      <c r="AL21" s="265"/>
      <c r="AM21" s="358"/>
      <c r="AN21" s="359"/>
      <c r="BB21" s="145"/>
      <c r="BC21" s="145"/>
      <c r="BD21" s="145"/>
      <c r="BE21" s="145"/>
      <c r="BF21" s="145"/>
      <c r="BG21" s="145"/>
      <c r="BH21" s="265"/>
      <c r="BI21" s="358"/>
      <c r="BJ21" s="359"/>
      <c r="BK21" s="145"/>
      <c r="BL21" s="145"/>
      <c r="BM21" s="265"/>
      <c r="BN21" s="541"/>
      <c r="BO21" s="541"/>
      <c r="BP21" s="188"/>
    </row>
    <row r="22" spans="1:68" x14ac:dyDescent="0.2">
      <c r="A22" s="132" t="s">
        <v>50</v>
      </c>
      <c r="B22" s="269"/>
      <c r="C22" s="242">
        <v>0</v>
      </c>
      <c r="D22" s="243">
        <v>0</v>
      </c>
      <c r="E22" s="282" t="str">
        <f>IF(AND(D22&lt;2.5,C22&gt;0),"1","")</f>
        <v/>
      </c>
      <c r="F22" s="242">
        <v>0</v>
      </c>
      <c r="G22" s="243">
        <v>0</v>
      </c>
      <c r="H22" s="282" t="str">
        <f>IF(AND(G22&lt;2.5,F22&gt;0),"1","")</f>
        <v/>
      </c>
      <c r="I22" s="242">
        <v>0</v>
      </c>
      <c r="J22" s="243">
        <v>0</v>
      </c>
      <c r="K22" s="282" t="str">
        <f>IF(AND(J22&lt;2.5,I22&gt;0),"1","")</f>
        <v/>
      </c>
      <c r="L22" s="242">
        <v>0</v>
      </c>
      <c r="M22" s="243">
        <v>0</v>
      </c>
      <c r="N22" s="282" t="str">
        <f>IF(AND(M22&lt;2.5,L22&gt;0),"1","")</f>
        <v/>
      </c>
      <c r="O22" s="242">
        <v>0</v>
      </c>
      <c r="P22" s="243">
        <v>0</v>
      </c>
      <c r="Q22" s="282"/>
      <c r="R22" s="242">
        <v>0</v>
      </c>
      <c r="S22" s="243">
        <v>0</v>
      </c>
      <c r="T22" s="282" t="str">
        <f>IF(AND(S22&lt;2.5,R22&gt;0),"1","")</f>
        <v/>
      </c>
      <c r="U22" s="242">
        <v>0</v>
      </c>
      <c r="V22" s="243">
        <v>0</v>
      </c>
      <c r="W22" s="282" t="str">
        <f>IF(AND(V22&lt;2.5,U22&gt;0),"1","")</f>
        <v/>
      </c>
      <c r="X22" s="242">
        <v>0</v>
      </c>
      <c r="Y22" s="243">
        <v>0</v>
      </c>
      <c r="Z22" s="282" t="str">
        <f>IF(AND(Y22&lt;2.5,X22&gt;0),"1","")</f>
        <v/>
      </c>
      <c r="AA22" s="242">
        <v>0</v>
      </c>
      <c r="AB22" s="243">
        <v>0</v>
      </c>
      <c r="AC22" s="282"/>
      <c r="AD22" s="242">
        <v>0</v>
      </c>
      <c r="AE22" s="243">
        <v>0</v>
      </c>
      <c r="AF22" s="282" t="str">
        <f>IF(AND(AE22&lt;2.5,AD22&gt;0),"1","")</f>
        <v/>
      </c>
      <c r="AG22" s="242">
        <v>0</v>
      </c>
      <c r="AH22" s="243">
        <v>0</v>
      </c>
      <c r="AI22" s="282" t="str">
        <f>IF(AND(AH22&lt;2.5,AG22&gt;0),"1","")</f>
        <v/>
      </c>
      <c r="AJ22" s="242">
        <v>0</v>
      </c>
      <c r="AK22" s="243">
        <v>0</v>
      </c>
      <c r="AL22" s="265"/>
      <c r="AM22" s="358"/>
      <c r="AN22" s="357"/>
      <c r="BB22" s="145"/>
      <c r="BC22" s="145"/>
      <c r="BD22" s="145"/>
      <c r="BE22" s="145"/>
      <c r="BF22" s="145"/>
      <c r="BG22" s="145"/>
      <c r="BH22" s="265"/>
      <c r="BI22" s="358"/>
      <c r="BJ22" s="357"/>
      <c r="BK22" s="145"/>
      <c r="BL22" s="145"/>
      <c r="BM22" s="265"/>
      <c r="BN22" s="541"/>
      <c r="BO22" s="541"/>
      <c r="BP22" s="188"/>
    </row>
    <row r="23" spans="1:68" x14ac:dyDescent="0.2">
      <c r="A23" s="132" t="s">
        <v>51</v>
      </c>
      <c r="B23" s="269"/>
      <c r="C23" s="242">
        <v>0</v>
      </c>
      <c r="D23" s="244">
        <v>0</v>
      </c>
      <c r="E23" s="265"/>
      <c r="F23" s="242">
        <v>0</v>
      </c>
      <c r="G23" s="244">
        <v>0</v>
      </c>
      <c r="H23" s="282"/>
      <c r="I23" s="242">
        <v>0</v>
      </c>
      <c r="J23" s="244">
        <v>0</v>
      </c>
      <c r="K23" s="282"/>
      <c r="L23" s="242">
        <v>0</v>
      </c>
      <c r="M23" s="244">
        <v>0</v>
      </c>
      <c r="N23" s="282"/>
      <c r="O23" s="242">
        <v>0</v>
      </c>
      <c r="P23" s="244">
        <v>0</v>
      </c>
      <c r="Q23" s="282"/>
      <c r="R23" s="242">
        <v>0</v>
      </c>
      <c r="S23" s="244">
        <v>0</v>
      </c>
      <c r="T23" s="282"/>
      <c r="U23" s="242">
        <v>0</v>
      </c>
      <c r="V23" s="244">
        <v>0</v>
      </c>
      <c r="W23" s="282"/>
      <c r="X23" s="242">
        <v>0</v>
      </c>
      <c r="Y23" s="244">
        <v>0</v>
      </c>
      <c r="Z23" s="282"/>
      <c r="AA23" s="242">
        <v>0</v>
      </c>
      <c r="AB23" s="244">
        <v>0</v>
      </c>
      <c r="AC23" s="282"/>
      <c r="AD23" s="242">
        <v>0</v>
      </c>
      <c r="AE23" s="244">
        <v>0</v>
      </c>
      <c r="AF23" s="282"/>
      <c r="AG23" s="242">
        <v>0</v>
      </c>
      <c r="AH23" s="244">
        <v>0</v>
      </c>
      <c r="AI23" s="282"/>
      <c r="AJ23" s="242">
        <v>0</v>
      </c>
      <c r="AK23" s="244">
        <v>0</v>
      </c>
      <c r="AL23" s="265"/>
      <c r="AM23" s="356"/>
      <c r="AN23" s="359"/>
      <c r="BB23" s="145"/>
      <c r="BC23" s="145"/>
      <c r="BD23" s="145"/>
      <c r="BE23" s="145"/>
      <c r="BF23" s="145"/>
      <c r="BG23" s="145"/>
      <c r="BH23" s="265"/>
      <c r="BI23" s="356"/>
      <c r="BJ23" s="359"/>
      <c r="BK23" s="145"/>
      <c r="BL23" s="145"/>
      <c r="BM23" s="265"/>
      <c r="BN23" s="541"/>
      <c r="BO23" s="541"/>
      <c r="BP23" s="188"/>
    </row>
    <row r="24" spans="1:68" x14ac:dyDescent="0.2">
      <c r="A24" s="132" t="s">
        <v>52</v>
      </c>
      <c r="B24" s="269"/>
      <c r="C24" s="242">
        <v>0</v>
      </c>
      <c r="D24" s="243">
        <v>0</v>
      </c>
      <c r="E24" s="265"/>
      <c r="F24" s="242">
        <v>0</v>
      </c>
      <c r="G24" s="243">
        <v>0</v>
      </c>
      <c r="H24" s="282"/>
      <c r="I24" s="242">
        <v>0</v>
      </c>
      <c r="J24" s="243">
        <v>0</v>
      </c>
      <c r="K24" s="282"/>
      <c r="L24" s="242">
        <v>0</v>
      </c>
      <c r="M24" s="243">
        <v>0</v>
      </c>
      <c r="N24" s="282"/>
      <c r="O24" s="242">
        <v>0</v>
      </c>
      <c r="P24" s="243">
        <v>0</v>
      </c>
      <c r="Q24" s="282"/>
      <c r="R24" s="242">
        <v>0</v>
      </c>
      <c r="S24" s="243">
        <v>0</v>
      </c>
      <c r="T24" s="282"/>
      <c r="U24" s="242">
        <v>0</v>
      </c>
      <c r="V24" s="243">
        <v>0</v>
      </c>
      <c r="W24" s="282"/>
      <c r="X24" s="242">
        <v>0</v>
      </c>
      <c r="Y24" s="243">
        <v>0</v>
      </c>
      <c r="Z24" s="282"/>
      <c r="AA24" s="242">
        <v>0</v>
      </c>
      <c r="AB24" s="243">
        <v>0</v>
      </c>
      <c r="AC24" s="282"/>
      <c r="AD24" s="242">
        <v>0</v>
      </c>
      <c r="AE24" s="243">
        <v>0</v>
      </c>
      <c r="AF24" s="282"/>
      <c r="AG24" s="242">
        <v>0</v>
      </c>
      <c r="AH24" s="243">
        <v>0</v>
      </c>
      <c r="AI24" s="282"/>
      <c r="AJ24" s="242">
        <v>0</v>
      </c>
      <c r="AK24" s="243">
        <v>0</v>
      </c>
      <c r="AL24" s="265"/>
      <c r="AM24" s="358"/>
      <c r="AN24" s="357"/>
      <c r="BB24" s="145"/>
      <c r="BC24" s="145"/>
      <c r="BD24" s="145"/>
      <c r="BE24" s="145"/>
      <c r="BF24" s="145"/>
      <c r="BG24" s="145"/>
      <c r="BH24" s="265"/>
      <c r="BI24" s="358"/>
      <c r="BJ24" s="357"/>
      <c r="BK24" s="145"/>
      <c r="BL24" s="145"/>
      <c r="BM24" s="265"/>
      <c r="BN24" s="541"/>
      <c r="BO24" s="541"/>
      <c r="BP24" s="188"/>
    </row>
    <row r="25" spans="1:68" x14ac:dyDescent="0.2">
      <c r="A25" s="132" t="s">
        <v>1676</v>
      </c>
      <c r="B25" s="269"/>
      <c r="C25" s="242">
        <v>0</v>
      </c>
      <c r="D25" s="244">
        <v>0</v>
      </c>
      <c r="E25" s="265" t="str">
        <f>IF(AND(D25&lt;1,C25&gt;0),1,"")</f>
        <v/>
      </c>
      <c r="F25" s="242">
        <v>0</v>
      </c>
      <c r="G25" s="244">
        <v>0</v>
      </c>
      <c r="H25" s="282" t="str">
        <f>IF(AND(G25&lt;1,F25&gt;0),1,"")</f>
        <v/>
      </c>
      <c r="I25" s="242">
        <v>0</v>
      </c>
      <c r="J25" s="244">
        <v>0</v>
      </c>
      <c r="K25" s="282" t="str">
        <f>IF(AND(J25&lt;1,I25&gt;0),1,"")</f>
        <v/>
      </c>
      <c r="L25" s="242">
        <v>0</v>
      </c>
      <c r="M25" s="244">
        <v>0</v>
      </c>
      <c r="N25" s="282" t="str">
        <f>IF(AND(M25&lt;1,L25&gt;0),1,"")</f>
        <v/>
      </c>
      <c r="O25" s="242">
        <v>0</v>
      </c>
      <c r="P25" s="244">
        <v>0</v>
      </c>
      <c r="Q25" s="282"/>
      <c r="R25" s="242">
        <v>0</v>
      </c>
      <c r="S25" s="244">
        <v>0</v>
      </c>
      <c r="T25" s="282" t="str">
        <f>IF(AND(S25&lt;1,R25&gt;0),1,"")</f>
        <v/>
      </c>
      <c r="U25" s="242">
        <v>0</v>
      </c>
      <c r="V25" s="244">
        <v>0</v>
      </c>
      <c r="W25" s="282" t="str">
        <f>IF(AND(V25&lt;1,U25&gt;0),1,"")</f>
        <v/>
      </c>
      <c r="X25" s="242">
        <v>0</v>
      </c>
      <c r="Y25" s="244">
        <v>0</v>
      </c>
      <c r="Z25" s="282" t="str">
        <f>IF(AND(Y25&lt;1,X25&gt;0),1,"")</f>
        <v/>
      </c>
      <c r="AA25" s="242">
        <v>0</v>
      </c>
      <c r="AB25" s="244">
        <v>0</v>
      </c>
      <c r="AC25" s="282"/>
      <c r="AD25" s="242">
        <v>0</v>
      </c>
      <c r="AE25" s="244">
        <v>0</v>
      </c>
      <c r="AF25" s="282" t="str">
        <f>IF(AND(AE25&lt;1,AD25&gt;0),1,"")</f>
        <v/>
      </c>
      <c r="AG25" s="242">
        <v>0</v>
      </c>
      <c r="AH25" s="244">
        <v>0</v>
      </c>
      <c r="AI25" s="282" t="str">
        <f>IF(AND(AH25&lt;1,AG25&gt;0),1,"")</f>
        <v/>
      </c>
      <c r="AJ25" s="242">
        <v>0</v>
      </c>
      <c r="AK25" s="244">
        <v>0</v>
      </c>
      <c r="AL25" s="265"/>
      <c r="AM25" s="358"/>
      <c r="AN25" s="359"/>
      <c r="BB25" s="145"/>
      <c r="BC25" s="145"/>
      <c r="BD25" s="145"/>
      <c r="BE25" s="145"/>
      <c r="BF25" s="145"/>
      <c r="BG25" s="145"/>
      <c r="BH25" s="265"/>
      <c r="BI25" s="358"/>
      <c r="BJ25" s="359"/>
      <c r="BK25" s="145"/>
      <c r="BL25" s="145"/>
      <c r="BM25" s="265"/>
      <c r="BN25" s="541"/>
      <c r="BO25" s="541"/>
      <c r="BP25" s="188"/>
    </row>
    <row r="26" spans="1:68" x14ac:dyDescent="0.2">
      <c r="A26" s="132" t="s">
        <v>54</v>
      </c>
      <c r="B26" s="269"/>
      <c r="C26" s="242">
        <v>0</v>
      </c>
      <c r="D26" s="243">
        <v>0</v>
      </c>
      <c r="E26" s="265"/>
      <c r="F26" s="242">
        <v>0</v>
      </c>
      <c r="G26" s="243">
        <v>0</v>
      </c>
      <c r="H26" s="282"/>
      <c r="I26" s="242">
        <v>0</v>
      </c>
      <c r="J26" s="243">
        <v>0</v>
      </c>
      <c r="K26" s="282"/>
      <c r="L26" s="242">
        <v>0</v>
      </c>
      <c r="M26" s="243">
        <v>0</v>
      </c>
      <c r="N26" s="282"/>
      <c r="O26" s="242">
        <v>0</v>
      </c>
      <c r="P26" s="243">
        <v>0</v>
      </c>
      <c r="Q26" s="282"/>
      <c r="R26" s="242">
        <v>0</v>
      </c>
      <c r="S26" s="243">
        <v>0</v>
      </c>
      <c r="T26" s="282"/>
      <c r="U26" s="242">
        <v>0</v>
      </c>
      <c r="V26" s="243">
        <v>0</v>
      </c>
      <c r="W26" s="282"/>
      <c r="X26" s="242">
        <v>0</v>
      </c>
      <c r="Y26" s="243">
        <v>0</v>
      </c>
      <c r="Z26" s="282"/>
      <c r="AA26" s="242">
        <v>0</v>
      </c>
      <c r="AB26" s="243">
        <v>0</v>
      </c>
      <c r="AC26" s="282"/>
      <c r="AD26" s="242">
        <v>0</v>
      </c>
      <c r="AE26" s="243">
        <v>0</v>
      </c>
      <c r="AF26" s="282"/>
      <c r="AG26" s="242">
        <v>0</v>
      </c>
      <c r="AH26" s="243">
        <v>0</v>
      </c>
      <c r="AI26" s="282"/>
      <c r="AJ26" s="242">
        <v>0</v>
      </c>
      <c r="AK26" s="243">
        <v>0</v>
      </c>
      <c r="AL26" s="265"/>
      <c r="AM26" s="356"/>
      <c r="AN26" s="357"/>
      <c r="BB26" s="145"/>
      <c r="BC26" s="145"/>
      <c r="BD26" s="145"/>
      <c r="BE26" s="145"/>
      <c r="BF26" s="145"/>
      <c r="BG26" s="145"/>
      <c r="BH26" s="265"/>
      <c r="BI26" s="356"/>
      <c r="BJ26" s="357"/>
      <c r="BK26" s="145"/>
      <c r="BL26" s="145"/>
      <c r="BM26" s="265"/>
      <c r="BN26" s="541"/>
      <c r="BO26" s="541"/>
      <c r="BP26" s="188"/>
    </row>
    <row r="27" spans="1:68" x14ac:dyDescent="0.2">
      <c r="A27" s="132" t="s">
        <v>55</v>
      </c>
      <c r="B27" s="269"/>
      <c r="C27" s="242">
        <v>0</v>
      </c>
      <c r="D27" s="244">
        <v>0</v>
      </c>
      <c r="E27" s="265"/>
      <c r="F27" s="242">
        <v>0</v>
      </c>
      <c r="G27" s="244">
        <v>0</v>
      </c>
      <c r="H27" s="282"/>
      <c r="I27" s="242">
        <v>0</v>
      </c>
      <c r="J27" s="244">
        <v>0</v>
      </c>
      <c r="K27" s="282"/>
      <c r="L27" s="242">
        <v>0</v>
      </c>
      <c r="M27" s="244">
        <v>0</v>
      </c>
      <c r="N27" s="282"/>
      <c r="O27" s="242">
        <v>0</v>
      </c>
      <c r="P27" s="244">
        <v>0</v>
      </c>
      <c r="Q27" s="282"/>
      <c r="R27" s="242">
        <v>0</v>
      </c>
      <c r="S27" s="244">
        <v>0</v>
      </c>
      <c r="T27" s="282"/>
      <c r="U27" s="242">
        <v>0</v>
      </c>
      <c r="V27" s="244">
        <v>0</v>
      </c>
      <c r="W27" s="282"/>
      <c r="X27" s="242">
        <v>0</v>
      </c>
      <c r="Y27" s="244">
        <v>0</v>
      </c>
      <c r="Z27" s="282"/>
      <c r="AA27" s="242">
        <v>0</v>
      </c>
      <c r="AB27" s="244">
        <v>0</v>
      </c>
      <c r="AC27" s="282"/>
      <c r="AD27" s="242">
        <v>0</v>
      </c>
      <c r="AE27" s="244">
        <v>0</v>
      </c>
      <c r="AF27" s="282"/>
      <c r="AG27" s="242">
        <v>0</v>
      </c>
      <c r="AH27" s="244">
        <v>0</v>
      </c>
      <c r="AI27" s="282"/>
      <c r="AJ27" s="242">
        <v>0</v>
      </c>
      <c r="AK27" s="244">
        <v>0</v>
      </c>
      <c r="AL27" s="265"/>
      <c r="AM27" s="358"/>
      <c r="AN27" s="359"/>
      <c r="BB27" s="145"/>
      <c r="BC27" s="145"/>
      <c r="BD27" s="145"/>
      <c r="BE27" s="145"/>
      <c r="BF27" s="145"/>
      <c r="BG27" s="145"/>
      <c r="BH27" s="265"/>
      <c r="BI27" s="358"/>
      <c r="BJ27" s="359"/>
      <c r="BK27" s="145"/>
      <c r="BL27" s="145"/>
      <c r="BM27" s="265"/>
      <c r="BN27" s="541"/>
      <c r="BO27" s="541"/>
      <c r="BP27" s="188"/>
    </row>
    <row r="28" spans="1:68" x14ac:dyDescent="0.2">
      <c r="A28" s="132" t="s">
        <v>1794</v>
      </c>
      <c r="B28" s="269"/>
      <c r="C28" s="242">
        <v>0</v>
      </c>
      <c r="D28" s="243">
        <v>0</v>
      </c>
      <c r="E28" s="265"/>
      <c r="F28" s="242">
        <v>0</v>
      </c>
      <c r="G28" s="243">
        <v>0</v>
      </c>
      <c r="H28" s="282"/>
      <c r="I28" s="242">
        <v>0</v>
      </c>
      <c r="J28" s="243">
        <v>0</v>
      </c>
      <c r="K28" s="282"/>
      <c r="L28" s="242">
        <v>0</v>
      </c>
      <c r="M28" s="243">
        <v>0</v>
      </c>
      <c r="N28" s="282"/>
      <c r="O28" s="242">
        <v>0</v>
      </c>
      <c r="P28" s="243">
        <v>0</v>
      </c>
      <c r="Q28" s="282"/>
      <c r="R28" s="242">
        <v>0</v>
      </c>
      <c r="S28" s="243">
        <v>0</v>
      </c>
      <c r="T28" s="282"/>
      <c r="U28" s="242">
        <v>0</v>
      </c>
      <c r="V28" s="243">
        <v>0</v>
      </c>
      <c r="W28" s="282"/>
      <c r="X28" s="242">
        <v>0</v>
      </c>
      <c r="Y28" s="243">
        <v>0</v>
      </c>
      <c r="Z28" s="282"/>
      <c r="AA28" s="242">
        <v>0</v>
      </c>
      <c r="AB28" s="243">
        <v>0</v>
      </c>
      <c r="AC28" s="282"/>
      <c r="AD28" s="242">
        <v>0</v>
      </c>
      <c r="AE28" s="243">
        <v>0</v>
      </c>
      <c r="AF28" s="282"/>
      <c r="AG28" s="242">
        <v>0</v>
      </c>
      <c r="AH28" s="243">
        <v>0</v>
      </c>
      <c r="AI28" s="282"/>
      <c r="AJ28" s="242">
        <v>0</v>
      </c>
      <c r="AK28" s="243">
        <v>0</v>
      </c>
      <c r="AL28" s="265"/>
      <c r="AM28" s="358"/>
      <c r="AN28" s="357"/>
      <c r="BB28" s="145"/>
      <c r="BC28" s="145"/>
      <c r="BD28" s="145"/>
      <c r="BE28" s="145"/>
      <c r="BF28" s="145"/>
      <c r="BG28" s="145"/>
      <c r="BH28" s="265"/>
      <c r="BI28" s="358"/>
      <c r="BJ28" s="357"/>
      <c r="BK28" s="145"/>
      <c r="BL28" s="145"/>
      <c r="BM28" s="265"/>
      <c r="BN28" s="541"/>
      <c r="BO28" s="541"/>
      <c r="BP28" s="188"/>
    </row>
    <row r="29" spans="1:68" x14ac:dyDescent="0.2">
      <c r="A29" s="136" t="s">
        <v>1795</v>
      </c>
      <c r="B29" s="269"/>
      <c r="C29" s="242">
        <v>0</v>
      </c>
      <c r="D29" s="244">
        <v>0</v>
      </c>
      <c r="E29" s="266"/>
      <c r="F29" s="242">
        <v>0</v>
      </c>
      <c r="G29" s="244">
        <v>0</v>
      </c>
      <c r="H29" s="282"/>
      <c r="I29" s="242">
        <v>0</v>
      </c>
      <c r="J29" s="244">
        <v>0</v>
      </c>
      <c r="K29" s="282"/>
      <c r="L29" s="242">
        <v>0</v>
      </c>
      <c r="M29" s="244">
        <v>0</v>
      </c>
      <c r="N29" s="282"/>
      <c r="O29" s="242">
        <v>0</v>
      </c>
      <c r="P29" s="244">
        <v>0</v>
      </c>
      <c r="Q29" s="282"/>
      <c r="R29" s="242">
        <v>0</v>
      </c>
      <c r="S29" s="244">
        <v>0</v>
      </c>
      <c r="T29" s="282"/>
      <c r="U29" s="242">
        <v>0</v>
      </c>
      <c r="V29" s="244">
        <v>0</v>
      </c>
      <c r="W29" s="282"/>
      <c r="X29" s="242">
        <v>0</v>
      </c>
      <c r="Y29" s="244">
        <v>0</v>
      </c>
      <c r="Z29" s="282"/>
      <c r="AA29" s="242">
        <v>0</v>
      </c>
      <c r="AB29" s="244">
        <v>0</v>
      </c>
      <c r="AC29" s="282"/>
      <c r="AD29" s="242">
        <v>0</v>
      </c>
      <c r="AE29" s="244">
        <v>0</v>
      </c>
      <c r="AF29" s="282"/>
      <c r="AG29" s="242">
        <v>0</v>
      </c>
      <c r="AH29" s="244">
        <v>0</v>
      </c>
      <c r="AI29" s="282"/>
      <c r="AJ29" s="242">
        <v>0</v>
      </c>
      <c r="AK29" s="244">
        <v>0</v>
      </c>
      <c r="AL29" s="266"/>
      <c r="AM29" s="356"/>
      <c r="AN29" s="359"/>
      <c r="BB29" s="145"/>
      <c r="BC29" s="145"/>
      <c r="BD29" s="145"/>
      <c r="BE29" s="145"/>
      <c r="BF29" s="145"/>
      <c r="BG29" s="145"/>
      <c r="BH29" s="266"/>
      <c r="BI29" s="356"/>
      <c r="BJ29" s="359"/>
      <c r="BK29" s="145"/>
      <c r="BL29" s="145"/>
      <c r="BM29" s="267"/>
      <c r="BN29" s="541"/>
      <c r="BO29" s="541"/>
      <c r="BP29" s="141"/>
    </row>
    <row r="30" spans="1:68" x14ac:dyDescent="0.2">
      <c r="A30" s="136" t="s">
        <v>1796</v>
      </c>
      <c r="B30" s="269">
        <v>1</v>
      </c>
      <c r="C30" s="242">
        <v>0</v>
      </c>
      <c r="D30" s="243">
        <v>0</v>
      </c>
      <c r="E30" s="269">
        <v>1</v>
      </c>
      <c r="F30" s="242">
        <v>0</v>
      </c>
      <c r="G30" s="243">
        <v>0</v>
      </c>
      <c r="H30" s="269">
        <v>1</v>
      </c>
      <c r="I30" s="242">
        <v>0</v>
      </c>
      <c r="J30" s="243">
        <v>0</v>
      </c>
      <c r="K30" s="282">
        <v>1</v>
      </c>
      <c r="L30" s="242">
        <v>0</v>
      </c>
      <c r="M30" s="243">
        <v>0</v>
      </c>
      <c r="N30" s="282">
        <v>1</v>
      </c>
      <c r="O30" s="242">
        <v>0</v>
      </c>
      <c r="P30" s="243">
        <v>0</v>
      </c>
      <c r="Q30" s="282">
        <v>1</v>
      </c>
      <c r="R30" s="242">
        <v>0</v>
      </c>
      <c r="S30" s="243">
        <v>0</v>
      </c>
      <c r="T30" s="282">
        <v>1</v>
      </c>
      <c r="U30" s="242">
        <v>0</v>
      </c>
      <c r="V30" s="243">
        <v>0</v>
      </c>
      <c r="W30" s="282">
        <v>1</v>
      </c>
      <c r="X30" s="242">
        <v>0</v>
      </c>
      <c r="Y30" s="243">
        <v>0</v>
      </c>
      <c r="Z30" s="282">
        <v>1</v>
      </c>
      <c r="AA30" s="242">
        <v>0</v>
      </c>
      <c r="AB30" s="243">
        <v>0</v>
      </c>
      <c r="AC30" s="282">
        <v>1</v>
      </c>
      <c r="AD30" s="242">
        <v>0</v>
      </c>
      <c r="AE30" s="243">
        <v>0</v>
      </c>
      <c r="AF30" s="282">
        <v>1</v>
      </c>
      <c r="AG30" s="242">
        <v>0</v>
      </c>
      <c r="AH30" s="243">
        <v>0</v>
      </c>
      <c r="AI30" s="282">
        <v>1</v>
      </c>
      <c r="AJ30" s="242">
        <v>0</v>
      </c>
      <c r="AK30" s="243">
        <v>0</v>
      </c>
      <c r="AL30" s="269"/>
      <c r="AM30" s="358"/>
      <c r="AN30" s="357"/>
      <c r="BB30" s="145"/>
      <c r="BC30" s="145"/>
      <c r="BD30" s="145"/>
      <c r="BE30" s="145"/>
      <c r="BF30" s="145"/>
      <c r="BG30" s="145"/>
      <c r="BH30" s="269"/>
      <c r="BI30" s="358"/>
      <c r="BJ30" s="357"/>
      <c r="BK30" s="145"/>
      <c r="BL30" s="145"/>
      <c r="BM30" s="131"/>
      <c r="BN30" s="541"/>
      <c r="BO30" s="541"/>
      <c r="BP30" s="131"/>
    </row>
    <row r="31" spans="1:68" x14ac:dyDescent="0.2">
      <c r="A31" s="136" t="s">
        <v>59</v>
      </c>
      <c r="B31" s="269">
        <v>1</v>
      </c>
      <c r="C31" s="242">
        <v>0</v>
      </c>
      <c r="D31" s="244">
        <v>0</v>
      </c>
      <c r="E31" s="269">
        <v>1</v>
      </c>
      <c r="F31" s="242">
        <v>0</v>
      </c>
      <c r="G31" s="244">
        <v>0</v>
      </c>
      <c r="H31" s="269">
        <v>1</v>
      </c>
      <c r="I31" s="242">
        <v>0</v>
      </c>
      <c r="J31" s="244">
        <v>0</v>
      </c>
      <c r="K31" s="282">
        <v>1</v>
      </c>
      <c r="L31" s="242">
        <v>0</v>
      </c>
      <c r="M31" s="244">
        <v>0</v>
      </c>
      <c r="N31" s="282">
        <v>1</v>
      </c>
      <c r="O31" s="242">
        <v>0</v>
      </c>
      <c r="P31" s="244">
        <v>0</v>
      </c>
      <c r="Q31" s="282">
        <v>1</v>
      </c>
      <c r="R31" s="242">
        <v>0</v>
      </c>
      <c r="S31" s="244">
        <v>0</v>
      </c>
      <c r="T31" s="282">
        <v>1</v>
      </c>
      <c r="U31" s="242">
        <v>0</v>
      </c>
      <c r="V31" s="244">
        <v>0</v>
      </c>
      <c r="W31" s="282">
        <v>1</v>
      </c>
      <c r="X31" s="242">
        <v>0</v>
      </c>
      <c r="Y31" s="244">
        <v>0</v>
      </c>
      <c r="Z31" s="282">
        <v>1</v>
      </c>
      <c r="AA31" s="242">
        <v>0</v>
      </c>
      <c r="AB31" s="244">
        <v>0</v>
      </c>
      <c r="AC31" s="282">
        <v>1</v>
      </c>
      <c r="AD31" s="242">
        <v>0</v>
      </c>
      <c r="AE31" s="244">
        <v>0</v>
      </c>
      <c r="AF31" s="282">
        <v>1</v>
      </c>
      <c r="AG31" s="242">
        <v>0</v>
      </c>
      <c r="AH31" s="244">
        <v>0</v>
      </c>
      <c r="AI31" s="282">
        <v>1</v>
      </c>
      <c r="AJ31" s="242">
        <v>0</v>
      </c>
      <c r="AK31" s="244">
        <v>0</v>
      </c>
      <c r="AL31" s="269"/>
      <c r="AM31" s="356"/>
      <c r="AN31" s="359"/>
      <c r="BB31" s="145"/>
      <c r="BC31" s="145"/>
      <c r="BD31" s="145"/>
      <c r="BE31" s="145"/>
      <c r="BF31" s="145"/>
      <c r="BG31" s="145"/>
      <c r="BH31" s="269"/>
      <c r="BI31" s="356"/>
      <c r="BJ31" s="359"/>
      <c r="BK31" s="145"/>
      <c r="BL31" s="145"/>
      <c r="BM31" s="142"/>
      <c r="BN31" s="541"/>
      <c r="BO31" s="541"/>
      <c r="BP31" s="142"/>
    </row>
    <row r="32" spans="1:68" ht="13.5" thickBot="1" x14ac:dyDescent="0.25">
      <c r="A32" s="269"/>
      <c r="B32" s="269"/>
      <c r="C32" s="269"/>
      <c r="D32" s="269"/>
      <c r="E32" s="269"/>
      <c r="F32" s="269"/>
      <c r="G32" s="269"/>
      <c r="H32" s="269"/>
      <c r="I32" s="269"/>
      <c r="J32" s="269"/>
      <c r="K32" s="269"/>
      <c r="L32" s="360">
        <v>0</v>
      </c>
      <c r="M32" s="360">
        <v>0</v>
      </c>
      <c r="N32" s="269"/>
      <c r="O32" s="269"/>
      <c r="P32" s="269"/>
      <c r="Q32" s="269"/>
      <c r="R32" s="269">
        <v>1</v>
      </c>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BB32" s="145"/>
      <c r="BC32" s="145"/>
      <c r="BD32" s="145"/>
      <c r="BE32" s="145"/>
      <c r="BF32" s="145"/>
      <c r="BG32" s="145"/>
      <c r="BH32" s="269"/>
      <c r="BI32" s="269"/>
      <c r="BJ32" s="269"/>
      <c r="BK32" s="145"/>
      <c r="BL32" s="145"/>
      <c r="BM32" s="142"/>
      <c r="BN32" s="541"/>
      <c r="BO32" s="541"/>
      <c r="BP32" s="142"/>
    </row>
    <row r="33" spans="1:68" ht="13.5" thickBot="1" x14ac:dyDescent="0.25">
      <c r="A33" s="134" t="s">
        <v>60</v>
      </c>
      <c r="B33" s="503" t="s">
        <v>75</v>
      </c>
      <c r="C33" s="504"/>
      <c r="D33" s="504"/>
      <c r="E33" s="504"/>
      <c r="F33" s="504"/>
      <c r="G33" s="504"/>
      <c r="H33" s="504"/>
      <c r="I33" s="504"/>
      <c r="J33" s="504"/>
      <c r="K33" s="504"/>
      <c r="L33" s="504"/>
      <c r="M33" s="505"/>
      <c r="N33" s="269"/>
      <c r="O33" s="503" t="s">
        <v>75</v>
      </c>
      <c r="P33" s="504"/>
      <c r="Q33" s="504"/>
      <c r="R33" s="504"/>
      <c r="S33" s="504"/>
      <c r="T33" s="504"/>
      <c r="U33" s="504"/>
      <c r="V33" s="504"/>
      <c r="W33" s="504"/>
      <c r="X33" s="504"/>
      <c r="Y33" s="505"/>
      <c r="Z33" s="269"/>
      <c r="AA33" s="503" t="s">
        <v>75</v>
      </c>
      <c r="AB33" s="504"/>
      <c r="AC33" s="504"/>
      <c r="AD33" s="504"/>
      <c r="AE33" s="504"/>
      <c r="AF33" s="504"/>
      <c r="AG33" s="504"/>
      <c r="AH33" s="504"/>
      <c r="AI33" s="504"/>
      <c r="AJ33" s="504"/>
      <c r="AK33" s="505"/>
      <c r="AL33" s="194"/>
      <c r="AM33" s="194"/>
      <c r="AN33" s="323"/>
      <c r="BB33" s="145"/>
      <c r="BC33" s="145"/>
      <c r="BD33" s="145"/>
      <c r="BE33" s="145"/>
      <c r="BF33" s="145"/>
      <c r="BG33" s="145"/>
      <c r="BH33" s="156"/>
      <c r="BI33" s="348"/>
      <c r="BJ33" s="349"/>
      <c r="BK33" s="145"/>
      <c r="BL33" s="145"/>
      <c r="BM33" s="142"/>
      <c r="BN33" s="540"/>
      <c r="BO33" s="540"/>
      <c r="BP33" s="142"/>
    </row>
    <row r="34" spans="1:68" x14ac:dyDescent="0.2">
      <c r="A34" s="218">
        <v>0.33333333333333298</v>
      </c>
      <c r="B34" s="269">
        <v>1</v>
      </c>
      <c r="C34" s="498">
        <v>0</v>
      </c>
      <c r="D34" s="498"/>
      <c r="E34" s="269">
        <v>1</v>
      </c>
      <c r="F34" s="488">
        <v>0</v>
      </c>
      <c r="G34" s="489"/>
      <c r="H34" s="269">
        <v>1</v>
      </c>
      <c r="I34" s="488">
        <v>0</v>
      </c>
      <c r="J34" s="489"/>
      <c r="K34" s="269">
        <v>1</v>
      </c>
      <c r="L34" s="488">
        <v>0</v>
      </c>
      <c r="M34" s="489"/>
      <c r="N34" s="269">
        <v>1</v>
      </c>
      <c r="O34" s="488">
        <v>0</v>
      </c>
      <c r="P34" s="489"/>
      <c r="Q34" s="269">
        <v>1</v>
      </c>
      <c r="R34" s="498">
        <v>0</v>
      </c>
      <c r="S34" s="498"/>
      <c r="T34" s="269">
        <v>1</v>
      </c>
      <c r="U34" s="488">
        <v>0</v>
      </c>
      <c r="V34" s="489"/>
      <c r="W34" s="269">
        <v>1</v>
      </c>
      <c r="X34" s="488">
        <v>0</v>
      </c>
      <c r="Y34" s="489"/>
      <c r="Z34" s="269">
        <v>1</v>
      </c>
      <c r="AA34" s="488">
        <v>0</v>
      </c>
      <c r="AB34" s="489"/>
      <c r="AC34" s="269">
        <v>1</v>
      </c>
      <c r="AD34" s="498">
        <v>0</v>
      </c>
      <c r="AE34" s="498"/>
      <c r="AF34" s="269">
        <v>1</v>
      </c>
      <c r="AG34" s="488">
        <v>0</v>
      </c>
      <c r="AH34" s="489"/>
      <c r="AI34" s="269">
        <v>1</v>
      </c>
      <c r="AJ34" s="488">
        <v>0</v>
      </c>
      <c r="AK34" s="489"/>
      <c r="AL34" s="269"/>
      <c r="AM34" s="486"/>
      <c r="AN34" s="487"/>
      <c r="BB34" s="145"/>
      <c r="BC34" s="145"/>
      <c r="BD34" s="145"/>
      <c r="BE34" s="145"/>
      <c r="BF34" s="145"/>
      <c r="BG34" s="145"/>
      <c r="BH34" s="269"/>
      <c r="BI34" s="486"/>
      <c r="BJ34" s="487"/>
      <c r="BK34" s="145"/>
      <c r="BL34" s="145"/>
      <c r="BM34" s="142"/>
      <c r="BN34" s="540"/>
      <c r="BO34" s="540"/>
      <c r="BP34" s="142"/>
    </row>
    <row r="35" spans="1:68" x14ac:dyDescent="0.2">
      <c r="A35" s="218">
        <v>0.5</v>
      </c>
      <c r="B35" s="269">
        <v>1</v>
      </c>
      <c r="C35" s="498">
        <v>0</v>
      </c>
      <c r="D35" s="498"/>
      <c r="E35" s="269">
        <v>1</v>
      </c>
      <c r="F35" s="488">
        <v>0</v>
      </c>
      <c r="G35" s="489"/>
      <c r="H35" s="269">
        <v>1</v>
      </c>
      <c r="I35" s="488">
        <v>0</v>
      </c>
      <c r="J35" s="489"/>
      <c r="K35" s="269">
        <v>1</v>
      </c>
      <c r="L35" s="488">
        <v>0</v>
      </c>
      <c r="M35" s="489"/>
      <c r="N35" s="269">
        <v>1</v>
      </c>
      <c r="O35" s="488">
        <v>0</v>
      </c>
      <c r="P35" s="489"/>
      <c r="Q35" s="269">
        <v>1</v>
      </c>
      <c r="R35" s="498">
        <v>0</v>
      </c>
      <c r="S35" s="498"/>
      <c r="T35" s="269">
        <v>1</v>
      </c>
      <c r="U35" s="488">
        <v>0</v>
      </c>
      <c r="V35" s="489"/>
      <c r="W35" s="269">
        <v>1</v>
      </c>
      <c r="X35" s="488">
        <v>0</v>
      </c>
      <c r="Y35" s="489"/>
      <c r="Z35" s="269">
        <v>1</v>
      </c>
      <c r="AA35" s="488">
        <v>0</v>
      </c>
      <c r="AB35" s="489"/>
      <c r="AC35" s="269">
        <v>1</v>
      </c>
      <c r="AD35" s="498">
        <v>0</v>
      </c>
      <c r="AE35" s="498"/>
      <c r="AF35" s="269">
        <v>1</v>
      </c>
      <c r="AG35" s="488">
        <v>0</v>
      </c>
      <c r="AH35" s="489"/>
      <c r="AI35" s="269">
        <v>1</v>
      </c>
      <c r="AJ35" s="488">
        <v>0</v>
      </c>
      <c r="AK35" s="489"/>
      <c r="AL35" s="269"/>
      <c r="AM35" s="486"/>
      <c r="AN35" s="487"/>
      <c r="BB35" s="145"/>
      <c r="BC35" s="145"/>
      <c r="BD35" s="145"/>
      <c r="BE35" s="145"/>
      <c r="BF35" s="145"/>
      <c r="BG35" s="145"/>
      <c r="BH35" s="269"/>
      <c r="BI35" s="486"/>
      <c r="BJ35" s="487"/>
      <c r="BK35" s="145"/>
      <c r="BL35" s="145"/>
      <c r="BM35" s="142"/>
      <c r="BN35" s="540"/>
      <c r="BO35" s="540"/>
      <c r="BP35" s="142"/>
    </row>
    <row r="36" spans="1:68" x14ac:dyDescent="0.2">
      <c r="A36" s="218">
        <v>0.75</v>
      </c>
      <c r="B36" s="269">
        <v>1</v>
      </c>
      <c r="C36" s="498">
        <v>0</v>
      </c>
      <c r="D36" s="498"/>
      <c r="E36" s="269">
        <v>1</v>
      </c>
      <c r="F36" s="488">
        <v>0</v>
      </c>
      <c r="G36" s="489"/>
      <c r="H36" s="269">
        <v>1</v>
      </c>
      <c r="I36" s="488">
        <v>0</v>
      </c>
      <c r="J36" s="489"/>
      <c r="K36" s="269">
        <v>1</v>
      </c>
      <c r="L36" s="488">
        <v>0</v>
      </c>
      <c r="M36" s="489"/>
      <c r="N36" s="269">
        <v>1</v>
      </c>
      <c r="O36" s="488">
        <v>0</v>
      </c>
      <c r="P36" s="489"/>
      <c r="Q36" s="269">
        <v>1</v>
      </c>
      <c r="R36" s="498">
        <v>0</v>
      </c>
      <c r="S36" s="498"/>
      <c r="T36" s="269">
        <v>1</v>
      </c>
      <c r="U36" s="488">
        <v>0</v>
      </c>
      <c r="V36" s="489"/>
      <c r="W36" s="269">
        <v>1</v>
      </c>
      <c r="X36" s="488">
        <v>0</v>
      </c>
      <c r="Y36" s="489"/>
      <c r="Z36" s="269">
        <v>1</v>
      </c>
      <c r="AA36" s="488">
        <v>0</v>
      </c>
      <c r="AB36" s="489"/>
      <c r="AC36" s="269">
        <v>1</v>
      </c>
      <c r="AD36" s="498">
        <v>0</v>
      </c>
      <c r="AE36" s="498"/>
      <c r="AF36" s="269">
        <v>1</v>
      </c>
      <c r="AG36" s="488">
        <v>0</v>
      </c>
      <c r="AH36" s="489"/>
      <c r="AI36" s="269">
        <v>1</v>
      </c>
      <c r="AJ36" s="488">
        <v>0</v>
      </c>
      <c r="AK36" s="489"/>
      <c r="AL36" s="269"/>
      <c r="AM36" s="486"/>
      <c r="AN36" s="487"/>
      <c r="BB36" s="145"/>
      <c r="BC36" s="145"/>
      <c r="BD36" s="145"/>
      <c r="BE36" s="145"/>
      <c r="BF36" s="145"/>
      <c r="BG36" s="145"/>
      <c r="BH36" s="269"/>
      <c r="BI36" s="486"/>
      <c r="BJ36" s="487"/>
      <c r="BK36" s="145"/>
      <c r="BL36" s="145"/>
      <c r="BM36" s="142"/>
      <c r="BN36" s="540"/>
      <c r="BO36" s="540"/>
      <c r="BP36" s="142"/>
    </row>
    <row r="37" spans="1:68" x14ac:dyDescent="0.2">
      <c r="A37" s="218">
        <v>1</v>
      </c>
      <c r="B37" s="269">
        <v>1</v>
      </c>
      <c r="C37" s="498">
        <v>0</v>
      </c>
      <c r="D37" s="498"/>
      <c r="E37" s="269">
        <v>1</v>
      </c>
      <c r="F37" s="488">
        <v>0</v>
      </c>
      <c r="G37" s="489"/>
      <c r="H37" s="269">
        <v>1</v>
      </c>
      <c r="I37" s="488">
        <v>0</v>
      </c>
      <c r="J37" s="489"/>
      <c r="K37" s="269">
        <v>1</v>
      </c>
      <c r="L37" s="488">
        <v>0</v>
      </c>
      <c r="M37" s="489"/>
      <c r="N37" s="269">
        <v>1</v>
      </c>
      <c r="O37" s="488">
        <v>0</v>
      </c>
      <c r="P37" s="489"/>
      <c r="Q37" s="269">
        <v>1</v>
      </c>
      <c r="R37" s="498">
        <v>0</v>
      </c>
      <c r="S37" s="498"/>
      <c r="T37" s="269">
        <v>1</v>
      </c>
      <c r="U37" s="488">
        <v>0</v>
      </c>
      <c r="V37" s="489"/>
      <c r="W37" s="269">
        <v>1</v>
      </c>
      <c r="X37" s="488">
        <v>0</v>
      </c>
      <c r="Y37" s="489"/>
      <c r="Z37" s="269">
        <v>1</v>
      </c>
      <c r="AA37" s="488">
        <v>0</v>
      </c>
      <c r="AB37" s="489"/>
      <c r="AC37" s="269">
        <v>1</v>
      </c>
      <c r="AD37" s="498">
        <v>0</v>
      </c>
      <c r="AE37" s="498"/>
      <c r="AF37" s="269">
        <v>1</v>
      </c>
      <c r="AG37" s="488">
        <v>0</v>
      </c>
      <c r="AH37" s="489"/>
      <c r="AI37" s="269">
        <v>1</v>
      </c>
      <c r="AJ37" s="488">
        <v>0</v>
      </c>
      <c r="AK37" s="489"/>
      <c r="AL37" s="269"/>
      <c r="AM37" s="486"/>
      <c r="AN37" s="487"/>
      <c r="BB37" s="145"/>
      <c r="BC37" s="145"/>
      <c r="BD37" s="145"/>
      <c r="BE37" s="145"/>
      <c r="BF37" s="145"/>
      <c r="BG37" s="145"/>
      <c r="BH37" s="269"/>
      <c r="BI37" s="486"/>
      <c r="BJ37" s="487"/>
      <c r="BK37" s="145"/>
      <c r="BL37" s="145"/>
      <c r="BM37" s="142"/>
      <c r="BN37" s="540"/>
      <c r="BO37" s="540"/>
      <c r="BP37" s="142"/>
    </row>
    <row r="38" spans="1:68" x14ac:dyDescent="0.2">
      <c r="A38" s="218">
        <v>1.5</v>
      </c>
      <c r="B38" s="269">
        <v>1</v>
      </c>
      <c r="C38" s="498">
        <v>0</v>
      </c>
      <c r="D38" s="498"/>
      <c r="E38" s="269">
        <v>1</v>
      </c>
      <c r="F38" s="488">
        <v>0</v>
      </c>
      <c r="G38" s="489"/>
      <c r="H38" s="269">
        <v>1</v>
      </c>
      <c r="I38" s="488">
        <v>0</v>
      </c>
      <c r="J38" s="489"/>
      <c r="K38" s="269">
        <v>1</v>
      </c>
      <c r="L38" s="488">
        <v>0</v>
      </c>
      <c r="M38" s="489"/>
      <c r="N38" s="269">
        <v>1</v>
      </c>
      <c r="O38" s="488">
        <v>0</v>
      </c>
      <c r="P38" s="489"/>
      <c r="Q38" s="269">
        <v>1</v>
      </c>
      <c r="R38" s="498">
        <v>0</v>
      </c>
      <c r="S38" s="498"/>
      <c r="T38" s="269">
        <v>1</v>
      </c>
      <c r="U38" s="488">
        <v>0</v>
      </c>
      <c r="V38" s="489"/>
      <c r="W38" s="269">
        <v>1</v>
      </c>
      <c r="X38" s="488">
        <v>0</v>
      </c>
      <c r="Y38" s="489"/>
      <c r="Z38" s="269">
        <v>1</v>
      </c>
      <c r="AA38" s="488">
        <v>0</v>
      </c>
      <c r="AB38" s="489"/>
      <c r="AC38" s="269">
        <v>1</v>
      </c>
      <c r="AD38" s="498">
        <v>0</v>
      </c>
      <c r="AE38" s="498"/>
      <c r="AF38" s="269">
        <v>1</v>
      </c>
      <c r="AG38" s="488">
        <v>0</v>
      </c>
      <c r="AH38" s="489"/>
      <c r="AI38" s="269">
        <v>1</v>
      </c>
      <c r="AJ38" s="488">
        <v>0</v>
      </c>
      <c r="AK38" s="489"/>
      <c r="AL38" s="269"/>
      <c r="AM38" s="486"/>
      <c r="AN38" s="487"/>
      <c r="BB38" s="145"/>
      <c r="BC38" s="145"/>
      <c r="BD38" s="145"/>
      <c r="BE38" s="145"/>
      <c r="BF38" s="145"/>
      <c r="BG38" s="145"/>
      <c r="BH38" s="269"/>
      <c r="BI38" s="486"/>
      <c r="BJ38" s="487"/>
      <c r="BK38" s="145"/>
      <c r="BL38" s="145"/>
      <c r="BM38" s="142"/>
      <c r="BN38" s="540"/>
      <c r="BO38" s="540"/>
      <c r="BP38" s="142"/>
    </row>
    <row r="39" spans="1:68" x14ac:dyDescent="0.2">
      <c r="A39" s="218">
        <v>2</v>
      </c>
      <c r="B39" s="269">
        <v>1</v>
      </c>
      <c r="C39" s="498">
        <v>0</v>
      </c>
      <c r="D39" s="498"/>
      <c r="E39" s="269">
        <v>1</v>
      </c>
      <c r="F39" s="488">
        <v>0</v>
      </c>
      <c r="G39" s="489"/>
      <c r="H39" s="269">
        <v>1</v>
      </c>
      <c r="I39" s="488">
        <v>0</v>
      </c>
      <c r="J39" s="489"/>
      <c r="K39" s="269">
        <v>1</v>
      </c>
      <c r="L39" s="488">
        <v>0</v>
      </c>
      <c r="M39" s="489"/>
      <c r="N39" s="269">
        <v>1</v>
      </c>
      <c r="O39" s="488">
        <v>0</v>
      </c>
      <c r="P39" s="489"/>
      <c r="Q39" s="269">
        <v>1</v>
      </c>
      <c r="R39" s="498">
        <v>0</v>
      </c>
      <c r="S39" s="498"/>
      <c r="T39" s="269">
        <v>1</v>
      </c>
      <c r="U39" s="488">
        <v>0</v>
      </c>
      <c r="V39" s="489"/>
      <c r="W39" s="269">
        <v>1</v>
      </c>
      <c r="X39" s="488">
        <v>0</v>
      </c>
      <c r="Y39" s="489"/>
      <c r="Z39" s="269">
        <v>1</v>
      </c>
      <c r="AA39" s="488">
        <v>0</v>
      </c>
      <c r="AB39" s="489"/>
      <c r="AC39" s="269">
        <v>1</v>
      </c>
      <c r="AD39" s="498">
        <v>0</v>
      </c>
      <c r="AE39" s="498"/>
      <c r="AF39" s="269">
        <v>1</v>
      </c>
      <c r="AG39" s="488">
        <v>0</v>
      </c>
      <c r="AH39" s="489"/>
      <c r="AI39" s="269">
        <v>1</v>
      </c>
      <c r="AJ39" s="488">
        <v>0</v>
      </c>
      <c r="AK39" s="489"/>
      <c r="AL39" s="269"/>
      <c r="AM39" s="486"/>
      <c r="AN39" s="487"/>
      <c r="BB39" s="145"/>
      <c r="BC39" s="145"/>
      <c r="BD39" s="145"/>
      <c r="BE39" s="145"/>
      <c r="BF39" s="145"/>
      <c r="BG39" s="145"/>
      <c r="BH39" s="269"/>
      <c r="BI39" s="486"/>
      <c r="BJ39" s="487"/>
      <c r="BK39" s="145"/>
      <c r="BL39" s="145"/>
      <c r="BM39" s="142"/>
      <c r="BN39" s="540"/>
      <c r="BO39" s="540"/>
      <c r="BP39" s="142"/>
    </row>
    <row r="40" spans="1:68" x14ac:dyDescent="0.2">
      <c r="A40" s="218">
        <v>3</v>
      </c>
      <c r="B40" s="269">
        <v>1</v>
      </c>
      <c r="C40" s="498">
        <v>0</v>
      </c>
      <c r="D40" s="498"/>
      <c r="E40" s="269">
        <v>1</v>
      </c>
      <c r="F40" s="488">
        <v>0</v>
      </c>
      <c r="G40" s="489"/>
      <c r="H40" s="269">
        <v>1</v>
      </c>
      <c r="I40" s="488">
        <v>0</v>
      </c>
      <c r="J40" s="489"/>
      <c r="K40" s="269">
        <v>1</v>
      </c>
      <c r="L40" s="488">
        <v>0</v>
      </c>
      <c r="M40" s="489"/>
      <c r="N40" s="269">
        <v>1</v>
      </c>
      <c r="O40" s="488">
        <v>0</v>
      </c>
      <c r="P40" s="489"/>
      <c r="Q40" s="269">
        <v>1</v>
      </c>
      <c r="R40" s="498">
        <v>0</v>
      </c>
      <c r="S40" s="498"/>
      <c r="T40" s="269">
        <v>1</v>
      </c>
      <c r="U40" s="488">
        <v>0</v>
      </c>
      <c r="V40" s="489"/>
      <c r="W40" s="269">
        <v>1</v>
      </c>
      <c r="X40" s="488">
        <v>0</v>
      </c>
      <c r="Y40" s="489"/>
      <c r="Z40" s="269">
        <v>1</v>
      </c>
      <c r="AA40" s="488">
        <v>0</v>
      </c>
      <c r="AB40" s="489"/>
      <c r="AC40" s="269">
        <v>1</v>
      </c>
      <c r="AD40" s="498">
        <v>0</v>
      </c>
      <c r="AE40" s="498"/>
      <c r="AF40" s="269">
        <v>1</v>
      </c>
      <c r="AG40" s="488">
        <v>0</v>
      </c>
      <c r="AH40" s="489"/>
      <c r="AI40" s="269">
        <v>1</v>
      </c>
      <c r="AJ40" s="488">
        <v>0</v>
      </c>
      <c r="AK40" s="489"/>
      <c r="AL40" s="269"/>
      <c r="AM40" s="486"/>
      <c r="AN40" s="487"/>
      <c r="BB40" s="145"/>
      <c r="BC40" s="145"/>
      <c r="BD40" s="145"/>
      <c r="BE40" s="145"/>
      <c r="BF40" s="145"/>
      <c r="BG40" s="145"/>
      <c r="BH40" s="269"/>
      <c r="BI40" s="486"/>
      <c r="BJ40" s="487"/>
      <c r="BK40" s="145"/>
      <c r="BL40" s="145"/>
      <c r="BM40" s="142"/>
      <c r="BN40" s="540"/>
      <c r="BO40" s="540"/>
      <c r="BP40" s="142"/>
    </row>
    <row r="41" spans="1:68" x14ac:dyDescent="0.2">
      <c r="A41" s="218">
        <v>4</v>
      </c>
      <c r="B41" s="269">
        <v>1</v>
      </c>
      <c r="C41" s="498">
        <v>0</v>
      </c>
      <c r="D41" s="498"/>
      <c r="E41" s="269">
        <v>1</v>
      </c>
      <c r="F41" s="488">
        <v>0</v>
      </c>
      <c r="G41" s="489"/>
      <c r="H41" s="269">
        <v>1</v>
      </c>
      <c r="I41" s="488">
        <v>0</v>
      </c>
      <c r="J41" s="489"/>
      <c r="K41" s="269">
        <v>1</v>
      </c>
      <c r="L41" s="488">
        <v>0</v>
      </c>
      <c r="M41" s="489"/>
      <c r="N41" s="269">
        <v>1</v>
      </c>
      <c r="O41" s="488">
        <v>0</v>
      </c>
      <c r="P41" s="489"/>
      <c r="Q41" s="269">
        <v>1</v>
      </c>
      <c r="R41" s="498">
        <v>0</v>
      </c>
      <c r="S41" s="498"/>
      <c r="T41" s="269">
        <v>1</v>
      </c>
      <c r="U41" s="488">
        <v>0</v>
      </c>
      <c r="V41" s="489"/>
      <c r="W41" s="269">
        <v>1</v>
      </c>
      <c r="X41" s="488">
        <v>0</v>
      </c>
      <c r="Y41" s="489"/>
      <c r="Z41" s="269">
        <v>1</v>
      </c>
      <c r="AA41" s="488">
        <v>0</v>
      </c>
      <c r="AB41" s="489"/>
      <c r="AC41" s="269">
        <v>1</v>
      </c>
      <c r="AD41" s="498">
        <v>0</v>
      </c>
      <c r="AE41" s="498"/>
      <c r="AF41" s="269">
        <v>1</v>
      </c>
      <c r="AG41" s="488">
        <v>0</v>
      </c>
      <c r="AH41" s="489"/>
      <c r="AI41" s="269">
        <v>1</v>
      </c>
      <c r="AJ41" s="488">
        <v>0</v>
      </c>
      <c r="AK41" s="489"/>
      <c r="AL41" s="269"/>
      <c r="AM41" s="486"/>
      <c r="AN41" s="487"/>
      <c r="BB41" s="145"/>
      <c r="BC41" s="145"/>
      <c r="BD41" s="145"/>
      <c r="BE41" s="145"/>
      <c r="BF41" s="145"/>
      <c r="BG41" s="145"/>
      <c r="BH41" s="269"/>
      <c r="BI41" s="486"/>
      <c r="BJ41" s="487"/>
      <c r="BK41" s="145"/>
      <c r="BL41" s="145"/>
      <c r="BM41" s="142"/>
      <c r="BN41" s="540"/>
      <c r="BO41" s="540"/>
      <c r="BP41" s="142"/>
    </row>
    <row r="42" spans="1:68" x14ac:dyDescent="0.2">
      <c r="A42" s="218">
        <v>5</v>
      </c>
      <c r="B42" s="269">
        <v>1</v>
      </c>
      <c r="C42" s="498">
        <v>0</v>
      </c>
      <c r="D42" s="498"/>
      <c r="E42" s="269">
        <v>1</v>
      </c>
      <c r="F42" s="488">
        <v>0</v>
      </c>
      <c r="G42" s="489"/>
      <c r="H42" s="269">
        <v>1</v>
      </c>
      <c r="I42" s="488">
        <v>0</v>
      </c>
      <c r="J42" s="489"/>
      <c r="K42" s="269">
        <v>1</v>
      </c>
      <c r="L42" s="488">
        <v>0</v>
      </c>
      <c r="M42" s="489"/>
      <c r="N42" s="269">
        <v>1</v>
      </c>
      <c r="O42" s="488">
        <v>0</v>
      </c>
      <c r="P42" s="489"/>
      <c r="Q42" s="269">
        <v>1</v>
      </c>
      <c r="R42" s="498">
        <v>0</v>
      </c>
      <c r="S42" s="498"/>
      <c r="T42" s="269">
        <v>1</v>
      </c>
      <c r="U42" s="488">
        <v>0</v>
      </c>
      <c r="V42" s="489"/>
      <c r="W42" s="269">
        <v>1</v>
      </c>
      <c r="X42" s="488">
        <v>0</v>
      </c>
      <c r="Y42" s="489"/>
      <c r="Z42" s="269">
        <v>1</v>
      </c>
      <c r="AA42" s="488">
        <v>0</v>
      </c>
      <c r="AB42" s="489"/>
      <c r="AC42" s="269">
        <v>1</v>
      </c>
      <c r="AD42" s="498">
        <v>0</v>
      </c>
      <c r="AE42" s="498"/>
      <c r="AF42" s="269">
        <v>1</v>
      </c>
      <c r="AG42" s="488">
        <v>0</v>
      </c>
      <c r="AH42" s="489"/>
      <c r="AI42" s="269">
        <v>1</v>
      </c>
      <c r="AJ42" s="488">
        <v>0</v>
      </c>
      <c r="AK42" s="489"/>
      <c r="AL42" s="269"/>
      <c r="AM42" s="486"/>
      <c r="AN42" s="487"/>
      <c r="BB42" s="145"/>
      <c r="BC42" s="145"/>
      <c r="BD42" s="145"/>
      <c r="BE42" s="145"/>
      <c r="BF42" s="145"/>
      <c r="BG42" s="145"/>
      <c r="BH42" s="269"/>
      <c r="BI42" s="486"/>
      <c r="BJ42" s="487"/>
      <c r="BK42" s="145"/>
      <c r="BL42" s="145"/>
      <c r="BM42" s="142"/>
      <c r="BN42" s="540"/>
      <c r="BO42" s="540"/>
      <c r="BP42" s="142"/>
    </row>
    <row r="43" spans="1:68" hidden="1" x14ac:dyDescent="0.2">
      <c r="A43" s="218">
        <v>7</v>
      </c>
      <c r="B43" s="269">
        <v>1</v>
      </c>
      <c r="C43" s="498">
        <v>0</v>
      </c>
      <c r="D43" s="498"/>
      <c r="E43" s="269">
        <v>1</v>
      </c>
      <c r="F43" s="488">
        <v>0</v>
      </c>
      <c r="G43" s="489"/>
      <c r="H43" s="269">
        <v>1</v>
      </c>
      <c r="I43" s="488">
        <v>0</v>
      </c>
      <c r="J43" s="489"/>
      <c r="K43" s="269">
        <v>1</v>
      </c>
      <c r="L43" s="488">
        <v>0</v>
      </c>
      <c r="M43" s="489"/>
      <c r="N43" s="269">
        <v>1</v>
      </c>
      <c r="O43" s="488">
        <v>0</v>
      </c>
      <c r="P43" s="489"/>
      <c r="Q43" s="269">
        <v>1</v>
      </c>
      <c r="R43" s="498">
        <v>0</v>
      </c>
      <c r="S43" s="498"/>
      <c r="T43" s="269">
        <v>1</v>
      </c>
      <c r="U43" s="488">
        <v>0</v>
      </c>
      <c r="V43" s="489"/>
      <c r="W43" s="269">
        <v>1</v>
      </c>
      <c r="X43" s="488">
        <v>0</v>
      </c>
      <c r="Y43" s="489"/>
      <c r="Z43" s="269">
        <v>1</v>
      </c>
      <c r="AA43" s="488">
        <v>0</v>
      </c>
      <c r="AB43" s="489"/>
      <c r="AC43" s="269">
        <v>1</v>
      </c>
      <c r="AD43" s="498">
        <v>0</v>
      </c>
      <c r="AE43" s="498"/>
      <c r="AF43" s="269">
        <v>1</v>
      </c>
      <c r="AG43" s="488">
        <v>0</v>
      </c>
      <c r="AH43" s="489"/>
      <c r="AI43" s="269">
        <v>1</v>
      </c>
      <c r="AJ43" s="488">
        <v>0</v>
      </c>
      <c r="AK43" s="489"/>
      <c r="AL43" s="269"/>
      <c r="AM43" s="486"/>
      <c r="AN43" s="487"/>
      <c r="BB43" s="145"/>
      <c r="BC43" s="145"/>
      <c r="BD43" s="145"/>
      <c r="BE43" s="145"/>
      <c r="BF43" s="145"/>
      <c r="BG43" s="145"/>
      <c r="BH43" s="269"/>
      <c r="BI43" s="486"/>
      <c r="BJ43" s="487"/>
      <c r="BK43" s="145"/>
      <c r="BL43" s="145"/>
      <c r="BM43" s="142"/>
      <c r="BN43" s="540"/>
      <c r="BO43" s="540"/>
      <c r="BP43" s="142"/>
    </row>
    <row r="44" spans="1:68" x14ac:dyDescent="0.2">
      <c r="A44" s="218">
        <v>7.5</v>
      </c>
      <c r="B44" s="269">
        <v>1</v>
      </c>
      <c r="C44" s="498">
        <v>0</v>
      </c>
      <c r="D44" s="498"/>
      <c r="E44" s="269">
        <v>1</v>
      </c>
      <c r="F44" s="488">
        <v>0</v>
      </c>
      <c r="G44" s="489"/>
      <c r="H44" s="269">
        <v>1</v>
      </c>
      <c r="I44" s="488">
        <v>0</v>
      </c>
      <c r="J44" s="489"/>
      <c r="K44" s="269">
        <v>1</v>
      </c>
      <c r="L44" s="488">
        <v>0</v>
      </c>
      <c r="M44" s="489"/>
      <c r="N44" s="269">
        <v>1</v>
      </c>
      <c r="O44" s="488">
        <v>0</v>
      </c>
      <c r="P44" s="489"/>
      <c r="Q44" s="269">
        <v>1</v>
      </c>
      <c r="R44" s="498">
        <v>0</v>
      </c>
      <c r="S44" s="498"/>
      <c r="T44" s="269">
        <v>1</v>
      </c>
      <c r="U44" s="488">
        <v>0</v>
      </c>
      <c r="V44" s="489"/>
      <c r="W44" s="269">
        <v>1</v>
      </c>
      <c r="X44" s="488">
        <v>0</v>
      </c>
      <c r="Y44" s="489"/>
      <c r="Z44" s="269">
        <v>1</v>
      </c>
      <c r="AA44" s="488">
        <v>0</v>
      </c>
      <c r="AB44" s="489"/>
      <c r="AC44" s="269">
        <v>1</v>
      </c>
      <c r="AD44" s="498">
        <v>0</v>
      </c>
      <c r="AE44" s="498"/>
      <c r="AF44" s="269">
        <v>1</v>
      </c>
      <c r="AG44" s="488">
        <v>0</v>
      </c>
      <c r="AH44" s="489"/>
      <c r="AI44" s="269">
        <v>1</v>
      </c>
      <c r="AJ44" s="488">
        <v>0</v>
      </c>
      <c r="AK44" s="489"/>
      <c r="AL44" s="269"/>
      <c r="AM44" s="486"/>
      <c r="AN44" s="487"/>
      <c r="BB44" s="145"/>
      <c r="BC44" s="145"/>
      <c r="BD44" s="145"/>
      <c r="BE44" s="145"/>
      <c r="BF44" s="145"/>
      <c r="BG44" s="145"/>
      <c r="BH44" s="269"/>
      <c r="BI44" s="486"/>
      <c r="BJ44" s="487"/>
      <c r="BK44" s="145"/>
      <c r="BL44" s="145"/>
      <c r="BM44" s="142"/>
      <c r="BN44" s="540"/>
      <c r="BO44" s="540"/>
      <c r="BP44" s="142"/>
    </row>
    <row r="45" spans="1:68" x14ac:dyDescent="0.2">
      <c r="A45" s="218">
        <v>10</v>
      </c>
      <c r="B45" s="269">
        <v>1</v>
      </c>
      <c r="C45" s="498">
        <v>0</v>
      </c>
      <c r="D45" s="498"/>
      <c r="E45" s="269">
        <v>1</v>
      </c>
      <c r="F45" s="488">
        <v>0</v>
      </c>
      <c r="G45" s="489"/>
      <c r="H45" s="269">
        <v>1</v>
      </c>
      <c r="I45" s="488">
        <v>0</v>
      </c>
      <c r="J45" s="489"/>
      <c r="K45" s="269">
        <v>1</v>
      </c>
      <c r="L45" s="488">
        <v>0</v>
      </c>
      <c r="M45" s="489"/>
      <c r="N45" s="269">
        <v>1</v>
      </c>
      <c r="O45" s="488">
        <v>0</v>
      </c>
      <c r="P45" s="489"/>
      <c r="Q45" s="269">
        <v>1</v>
      </c>
      <c r="R45" s="498">
        <v>0</v>
      </c>
      <c r="S45" s="498"/>
      <c r="T45" s="269">
        <v>1</v>
      </c>
      <c r="U45" s="488">
        <v>0</v>
      </c>
      <c r="V45" s="489"/>
      <c r="W45" s="269">
        <v>1</v>
      </c>
      <c r="X45" s="488">
        <v>0</v>
      </c>
      <c r="Y45" s="489"/>
      <c r="Z45" s="269">
        <v>1</v>
      </c>
      <c r="AA45" s="488">
        <v>0</v>
      </c>
      <c r="AB45" s="489"/>
      <c r="AC45" s="269">
        <v>1</v>
      </c>
      <c r="AD45" s="498">
        <v>0</v>
      </c>
      <c r="AE45" s="498"/>
      <c r="AF45" s="269">
        <v>1</v>
      </c>
      <c r="AG45" s="488">
        <v>0</v>
      </c>
      <c r="AH45" s="489"/>
      <c r="AI45" s="269">
        <v>1</v>
      </c>
      <c r="AJ45" s="488">
        <v>0</v>
      </c>
      <c r="AK45" s="489"/>
      <c r="AL45" s="269"/>
      <c r="AM45" s="486"/>
      <c r="AN45" s="487"/>
      <c r="BB45" s="145"/>
      <c r="BC45" s="145"/>
      <c r="BD45" s="145"/>
      <c r="BE45" s="145"/>
      <c r="BF45" s="145"/>
      <c r="BG45" s="145"/>
      <c r="BH45" s="269"/>
      <c r="BI45" s="486"/>
      <c r="BJ45" s="487"/>
      <c r="BK45" s="145"/>
      <c r="BL45" s="145"/>
      <c r="BM45" s="142"/>
      <c r="BN45" s="540"/>
      <c r="BO45" s="540"/>
      <c r="BP45" s="142"/>
    </row>
    <row r="46" spans="1:68" x14ac:dyDescent="0.2">
      <c r="A46" s="218">
        <v>12.5</v>
      </c>
      <c r="B46" s="269">
        <v>1</v>
      </c>
      <c r="C46" s="498">
        <v>0</v>
      </c>
      <c r="D46" s="498"/>
      <c r="E46" s="269">
        <v>1</v>
      </c>
      <c r="F46" s="488">
        <v>0</v>
      </c>
      <c r="G46" s="489"/>
      <c r="H46" s="269">
        <v>1</v>
      </c>
      <c r="I46" s="488">
        <v>0</v>
      </c>
      <c r="J46" s="489"/>
      <c r="K46" s="269">
        <v>1</v>
      </c>
      <c r="L46" s="488">
        <v>0</v>
      </c>
      <c r="M46" s="489"/>
      <c r="N46" s="269">
        <v>1</v>
      </c>
      <c r="O46" s="488">
        <v>0</v>
      </c>
      <c r="P46" s="489"/>
      <c r="Q46" s="269">
        <v>1</v>
      </c>
      <c r="R46" s="498">
        <v>0</v>
      </c>
      <c r="S46" s="498"/>
      <c r="T46" s="269">
        <v>1</v>
      </c>
      <c r="U46" s="488">
        <v>0</v>
      </c>
      <c r="V46" s="489"/>
      <c r="W46" s="269">
        <v>1</v>
      </c>
      <c r="X46" s="488">
        <v>0</v>
      </c>
      <c r="Y46" s="489"/>
      <c r="Z46" s="269">
        <v>1</v>
      </c>
      <c r="AA46" s="488">
        <v>0</v>
      </c>
      <c r="AB46" s="489"/>
      <c r="AC46" s="269">
        <v>1</v>
      </c>
      <c r="AD46" s="498">
        <v>0</v>
      </c>
      <c r="AE46" s="498"/>
      <c r="AF46" s="269">
        <v>1</v>
      </c>
      <c r="AG46" s="488">
        <v>0</v>
      </c>
      <c r="AH46" s="489"/>
      <c r="AI46" s="269">
        <v>1</v>
      </c>
      <c r="AJ46" s="488">
        <v>0</v>
      </c>
      <c r="AK46" s="489"/>
      <c r="AL46" s="269"/>
      <c r="AM46" s="486"/>
      <c r="AN46" s="487"/>
      <c r="BB46" s="145"/>
      <c r="BC46" s="145"/>
      <c r="BD46" s="145"/>
      <c r="BE46" s="145"/>
      <c r="BF46" s="145"/>
      <c r="BG46" s="145"/>
      <c r="BH46" s="269"/>
      <c r="BI46" s="486"/>
      <c r="BJ46" s="487"/>
      <c r="BK46" s="145"/>
      <c r="BL46" s="145"/>
      <c r="BM46" s="142"/>
      <c r="BN46" s="540"/>
      <c r="BO46" s="540"/>
      <c r="BP46" s="142"/>
    </row>
    <row r="47" spans="1:68" x14ac:dyDescent="0.2">
      <c r="A47" s="218">
        <v>15</v>
      </c>
      <c r="B47" s="269">
        <v>1</v>
      </c>
      <c r="C47" s="498">
        <v>0</v>
      </c>
      <c r="D47" s="498"/>
      <c r="E47" s="269">
        <v>1</v>
      </c>
      <c r="F47" s="488">
        <v>0</v>
      </c>
      <c r="G47" s="489"/>
      <c r="H47" s="269">
        <v>1</v>
      </c>
      <c r="I47" s="488">
        <v>0</v>
      </c>
      <c r="J47" s="489"/>
      <c r="K47" s="269">
        <v>1</v>
      </c>
      <c r="L47" s="488">
        <v>0</v>
      </c>
      <c r="M47" s="489"/>
      <c r="N47" s="269">
        <v>1</v>
      </c>
      <c r="O47" s="488">
        <v>0</v>
      </c>
      <c r="P47" s="489"/>
      <c r="Q47" s="269">
        <v>1</v>
      </c>
      <c r="R47" s="498">
        <v>0</v>
      </c>
      <c r="S47" s="498"/>
      <c r="T47" s="269">
        <v>1</v>
      </c>
      <c r="U47" s="488">
        <v>0</v>
      </c>
      <c r="V47" s="489"/>
      <c r="W47" s="269">
        <v>1</v>
      </c>
      <c r="X47" s="488">
        <v>0</v>
      </c>
      <c r="Y47" s="489"/>
      <c r="Z47" s="269">
        <v>1</v>
      </c>
      <c r="AA47" s="488">
        <v>0</v>
      </c>
      <c r="AB47" s="489"/>
      <c r="AC47" s="269">
        <v>1</v>
      </c>
      <c r="AD47" s="498">
        <v>0</v>
      </c>
      <c r="AE47" s="498"/>
      <c r="AF47" s="269">
        <v>1</v>
      </c>
      <c r="AG47" s="488">
        <v>0</v>
      </c>
      <c r="AH47" s="489"/>
      <c r="AI47" s="269">
        <v>1</v>
      </c>
      <c r="AJ47" s="488">
        <v>0</v>
      </c>
      <c r="AK47" s="489"/>
      <c r="AL47" s="269"/>
      <c r="AM47" s="486"/>
      <c r="AN47" s="487"/>
      <c r="BB47" s="145"/>
      <c r="BC47" s="145"/>
      <c r="BD47" s="145"/>
      <c r="BE47" s="145"/>
      <c r="BF47" s="145"/>
      <c r="BG47" s="145"/>
      <c r="BH47" s="269"/>
      <c r="BI47" s="486"/>
      <c r="BJ47" s="487"/>
      <c r="BK47" s="145"/>
      <c r="BL47" s="145"/>
      <c r="BM47" s="142"/>
      <c r="BN47" s="540"/>
      <c r="BO47" s="540"/>
      <c r="BP47" s="142"/>
    </row>
    <row r="48" spans="1:68" ht="13.5" thickBot="1" x14ac:dyDescent="0.25">
      <c r="A48" s="218">
        <v>20</v>
      </c>
      <c r="B48" s="269">
        <v>1</v>
      </c>
      <c r="C48" s="498">
        <v>0</v>
      </c>
      <c r="D48" s="498"/>
      <c r="E48" s="269">
        <v>1</v>
      </c>
      <c r="F48" s="488">
        <v>0</v>
      </c>
      <c r="G48" s="489"/>
      <c r="H48" s="269">
        <v>1</v>
      </c>
      <c r="I48" s="488">
        <v>0</v>
      </c>
      <c r="J48" s="489"/>
      <c r="K48" s="269">
        <v>1</v>
      </c>
      <c r="L48" s="488">
        <v>0</v>
      </c>
      <c r="M48" s="489"/>
      <c r="N48" s="269">
        <v>1</v>
      </c>
      <c r="O48" s="488">
        <v>0</v>
      </c>
      <c r="P48" s="489"/>
      <c r="Q48" s="269">
        <v>1</v>
      </c>
      <c r="R48" s="498">
        <v>0</v>
      </c>
      <c r="S48" s="498"/>
      <c r="T48" s="269">
        <v>1</v>
      </c>
      <c r="U48" s="488">
        <v>0</v>
      </c>
      <c r="V48" s="489"/>
      <c r="W48" s="269">
        <v>1</v>
      </c>
      <c r="X48" s="488">
        <v>0</v>
      </c>
      <c r="Y48" s="489"/>
      <c r="Z48" s="269">
        <v>1</v>
      </c>
      <c r="AA48" s="488">
        <v>0</v>
      </c>
      <c r="AB48" s="489"/>
      <c r="AC48" s="269">
        <v>1</v>
      </c>
      <c r="AD48" s="498">
        <v>0</v>
      </c>
      <c r="AE48" s="498"/>
      <c r="AF48" s="269">
        <v>1</v>
      </c>
      <c r="AG48" s="488">
        <v>0</v>
      </c>
      <c r="AH48" s="489"/>
      <c r="AI48" s="269">
        <v>1</v>
      </c>
      <c r="AJ48" s="488">
        <v>0</v>
      </c>
      <c r="AK48" s="489"/>
      <c r="AL48" s="269"/>
      <c r="AM48" s="486"/>
      <c r="AN48" s="487"/>
      <c r="BB48" s="145"/>
      <c r="BC48" s="145"/>
      <c r="BD48" s="145"/>
      <c r="BE48" s="145"/>
      <c r="BF48" s="145"/>
      <c r="BG48" s="145"/>
      <c r="BH48" s="269"/>
      <c r="BI48" s="486"/>
      <c r="BJ48" s="487"/>
      <c r="BK48" s="145"/>
      <c r="BL48" s="145"/>
      <c r="BM48" s="142"/>
      <c r="BN48" s="131"/>
      <c r="BO48" s="131"/>
      <c r="BP48" s="142"/>
    </row>
    <row r="49" spans="1:68" s="68" customFormat="1" ht="13.5" thickBot="1" x14ac:dyDescent="0.25">
      <c r="A49" s="218">
        <v>25</v>
      </c>
      <c r="B49" s="269">
        <v>1</v>
      </c>
      <c r="C49" s="498">
        <v>0</v>
      </c>
      <c r="D49" s="498"/>
      <c r="E49" s="269">
        <v>1</v>
      </c>
      <c r="F49" s="488">
        <v>0</v>
      </c>
      <c r="G49" s="489"/>
      <c r="H49" s="269">
        <v>1</v>
      </c>
      <c r="I49" s="488">
        <v>0</v>
      </c>
      <c r="J49" s="489"/>
      <c r="K49" s="269">
        <v>1</v>
      </c>
      <c r="L49" s="488">
        <v>0</v>
      </c>
      <c r="M49" s="489"/>
      <c r="N49" s="269">
        <v>1</v>
      </c>
      <c r="O49" s="488">
        <v>0</v>
      </c>
      <c r="P49" s="489"/>
      <c r="Q49" s="269">
        <v>1</v>
      </c>
      <c r="R49" s="498">
        <v>0</v>
      </c>
      <c r="S49" s="498"/>
      <c r="T49" s="269">
        <v>1</v>
      </c>
      <c r="U49" s="488">
        <v>0</v>
      </c>
      <c r="V49" s="489"/>
      <c r="W49" s="269">
        <v>1</v>
      </c>
      <c r="X49" s="488">
        <v>0</v>
      </c>
      <c r="Y49" s="489"/>
      <c r="Z49" s="269">
        <v>1</v>
      </c>
      <c r="AA49" s="488">
        <v>0</v>
      </c>
      <c r="AB49" s="489"/>
      <c r="AC49" s="269">
        <v>1</v>
      </c>
      <c r="AD49" s="498">
        <v>0</v>
      </c>
      <c r="AE49" s="498"/>
      <c r="AF49" s="269">
        <v>1</v>
      </c>
      <c r="AG49" s="488">
        <v>0</v>
      </c>
      <c r="AH49" s="489"/>
      <c r="AI49" s="269">
        <v>1</v>
      </c>
      <c r="AJ49" s="488">
        <v>0</v>
      </c>
      <c r="AK49" s="489"/>
      <c r="AL49" s="269"/>
      <c r="AM49" s="486"/>
      <c r="AN49" s="551"/>
      <c r="AO49" s="273"/>
      <c r="AP49" s="273"/>
      <c r="AQ49" s="273"/>
      <c r="AR49" s="69"/>
      <c r="BH49" s="269"/>
      <c r="BI49" s="486"/>
      <c r="BJ49" s="487"/>
      <c r="BM49" s="131"/>
      <c r="BN49" s="131"/>
      <c r="BO49" s="131"/>
      <c r="BP49" s="131"/>
    </row>
    <row r="50" spans="1:68" ht="13.5" thickBot="1" x14ac:dyDescent="0.25">
      <c r="A50" s="219">
        <v>30</v>
      </c>
      <c r="B50" s="269">
        <v>1</v>
      </c>
      <c r="C50" s="498">
        <v>0</v>
      </c>
      <c r="D50" s="498"/>
      <c r="E50" s="269">
        <v>1</v>
      </c>
      <c r="F50" s="488">
        <v>0</v>
      </c>
      <c r="G50" s="489"/>
      <c r="H50" s="269">
        <v>1</v>
      </c>
      <c r="I50" s="488">
        <v>0</v>
      </c>
      <c r="J50" s="489"/>
      <c r="K50" s="269">
        <v>1</v>
      </c>
      <c r="L50" s="488">
        <v>0</v>
      </c>
      <c r="M50" s="489"/>
      <c r="N50" s="269">
        <v>1</v>
      </c>
      <c r="O50" s="488">
        <v>0</v>
      </c>
      <c r="P50" s="489"/>
      <c r="Q50" s="269">
        <v>1</v>
      </c>
      <c r="R50" s="498">
        <v>0</v>
      </c>
      <c r="S50" s="498"/>
      <c r="T50" s="269">
        <v>1</v>
      </c>
      <c r="U50" s="488">
        <v>0</v>
      </c>
      <c r="V50" s="489"/>
      <c r="W50" s="269">
        <v>1</v>
      </c>
      <c r="X50" s="488">
        <v>0</v>
      </c>
      <c r="Y50" s="489"/>
      <c r="Z50" s="269">
        <v>1</v>
      </c>
      <c r="AA50" s="488">
        <v>0</v>
      </c>
      <c r="AB50" s="489"/>
      <c r="AC50" s="269">
        <v>1</v>
      </c>
      <c r="AD50" s="498">
        <v>0</v>
      </c>
      <c r="AE50" s="498"/>
      <c r="AF50" s="269">
        <v>1</v>
      </c>
      <c r="AG50" s="488">
        <v>0</v>
      </c>
      <c r="AH50" s="489"/>
      <c r="AI50" s="269">
        <v>1</v>
      </c>
      <c r="AJ50" s="488">
        <v>0</v>
      </c>
      <c r="AK50" s="489"/>
      <c r="AL50" s="269"/>
      <c r="AM50" s="486"/>
      <c r="AN50" s="487"/>
      <c r="BB50" s="145"/>
      <c r="BC50" s="145"/>
      <c r="BD50" s="145"/>
      <c r="BE50" s="145"/>
      <c r="BF50" s="145"/>
      <c r="BG50" s="145"/>
      <c r="BH50" s="269"/>
      <c r="BI50" s="486"/>
      <c r="BJ50" s="487"/>
      <c r="BK50" s="145"/>
      <c r="BL50" s="145"/>
      <c r="BM50" s="142"/>
      <c r="BN50" s="540"/>
      <c r="BO50" s="540"/>
      <c r="BP50" s="142"/>
    </row>
    <row r="51" spans="1:68" ht="13.5" thickBot="1" x14ac:dyDescent="0.25">
      <c r="A51" s="269"/>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BB51" s="145"/>
      <c r="BC51" s="145"/>
      <c r="BD51" s="145"/>
      <c r="BE51" s="145"/>
      <c r="BF51" s="145"/>
      <c r="BG51" s="145"/>
      <c r="BH51" s="269"/>
      <c r="BI51" s="269"/>
      <c r="BJ51" s="269"/>
      <c r="BK51" s="145"/>
      <c r="BL51" s="145"/>
      <c r="BM51" s="142"/>
      <c r="BN51" s="540"/>
      <c r="BO51" s="540"/>
      <c r="BP51" s="142"/>
    </row>
    <row r="52" spans="1:68" ht="13.5" thickBot="1" x14ac:dyDescent="0.25">
      <c r="A52" s="139" t="s">
        <v>60</v>
      </c>
      <c r="B52" s="503" t="s">
        <v>1761</v>
      </c>
      <c r="C52" s="504"/>
      <c r="D52" s="504"/>
      <c r="E52" s="504"/>
      <c r="F52" s="504"/>
      <c r="G52" s="504"/>
      <c r="H52" s="504"/>
      <c r="I52" s="504"/>
      <c r="J52" s="504"/>
      <c r="K52" s="504"/>
      <c r="L52" s="504"/>
      <c r="M52" s="505"/>
      <c r="N52" s="269"/>
      <c r="O52" s="503" t="s">
        <v>1761</v>
      </c>
      <c r="P52" s="504"/>
      <c r="Q52" s="504"/>
      <c r="R52" s="504"/>
      <c r="S52" s="504"/>
      <c r="T52" s="504"/>
      <c r="U52" s="504"/>
      <c r="V52" s="504"/>
      <c r="W52" s="504"/>
      <c r="X52" s="504"/>
      <c r="Y52" s="505"/>
      <c r="Z52" s="269"/>
      <c r="AA52" s="503" t="s">
        <v>1761</v>
      </c>
      <c r="AB52" s="504"/>
      <c r="AC52" s="504"/>
      <c r="AD52" s="504"/>
      <c r="AE52" s="504"/>
      <c r="AF52" s="504"/>
      <c r="AG52" s="504"/>
      <c r="AH52" s="504"/>
      <c r="AI52" s="504"/>
      <c r="AJ52" s="504"/>
      <c r="AK52" s="505"/>
      <c r="AL52" s="194"/>
      <c r="AM52" s="194"/>
      <c r="AN52" s="323"/>
      <c r="BB52" s="145"/>
      <c r="BC52" s="145"/>
      <c r="BD52" s="145"/>
      <c r="BE52" s="145"/>
      <c r="BF52" s="145"/>
      <c r="BG52" s="145"/>
      <c r="BH52" s="156"/>
      <c r="BI52" s="348"/>
      <c r="BJ52" s="349"/>
      <c r="BK52" s="145"/>
      <c r="BL52" s="145"/>
      <c r="BM52" s="142"/>
      <c r="BN52" s="540"/>
      <c r="BO52" s="540"/>
      <c r="BP52" s="142"/>
    </row>
    <row r="53" spans="1:68" x14ac:dyDescent="0.2">
      <c r="A53" s="137">
        <v>0.25</v>
      </c>
      <c r="B53" s="269">
        <v>1</v>
      </c>
      <c r="C53" s="498">
        <v>0</v>
      </c>
      <c r="D53" s="498"/>
      <c r="E53" s="269">
        <v>1</v>
      </c>
      <c r="F53" s="488">
        <v>0</v>
      </c>
      <c r="G53" s="489"/>
      <c r="H53" s="269">
        <v>1</v>
      </c>
      <c r="I53" s="488">
        <v>0</v>
      </c>
      <c r="J53" s="489"/>
      <c r="K53" s="269">
        <v>1</v>
      </c>
      <c r="L53" s="488">
        <v>0</v>
      </c>
      <c r="M53" s="489"/>
      <c r="N53" s="269">
        <v>1</v>
      </c>
      <c r="O53" s="488">
        <v>0</v>
      </c>
      <c r="P53" s="489"/>
      <c r="Q53" s="269">
        <v>1</v>
      </c>
      <c r="R53" s="552">
        <v>0</v>
      </c>
      <c r="S53" s="553"/>
      <c r="T53" s="269">
        <v>1</v>
      </c>
      <c r="U53" s="488">
        <v>0</v>
      </c>
      <c r="V53" s="489"/>
      <c r="W53" s="269">
        <v>1</v>
      </c>
      <c r="X53" s="488">
        <v>0</v>
      </c>
      <c r="Y53" s="489"/>
      <c r="Z53" s="269">
        <v>1</v>
      </c>
      <c r="AA53" s="488">
        <v>0</v>
      </c>
      <c r="AB53" s="489"/>
      <c r="AC53" s="269">
        <v>1</v>
      </c>
      <c r="AD53" s="498">
        <v>0</v>
      </c>
      <c r="AE53" s="498"/>
      <c r="AF53" s="269">
        <v>1</v>
      </c>
      <c r="AG53" s="488">
        <v>0</v>
      </c>
      <c r="AH53" s="489"/>
      <c r="AI53" s="269">
        <v>1</v>
      </c>
      <c r="AJ53" s="488">
        <v>0</v>
      </c>
      <c r="AK53" s="489"/>
      <c r="AL53" s="269"/>
      <c r="AM53" s="486"/>
      <c r="AN53" s="487"/>
      <c r="BB53" s="145"/>
      <c r="BC53" s="145"/>
      <c r="BD53" s="145"/>
      <c r="BE53" s="145"/>
      <c r="BF53" s="145"/>
      <c r="BG53" s="145"/>
      <c r="BH53" s="269"/>
      <c r="BI53" s="486"/>
      <c r="BJ53" s="487"/>
      <c r="BK53" s="145"/>
      <c r="BL53" s="145"/>
      <c r="BM53" s="142"/>
      <c r="BN53" s="540"/>
      <c r="BO53" s="540"/>
      <c r="BP53" s="142"/>
    </row>
    <row r="54" spans="1:68" x14ac:dyDescent="0.2">
      <c r="A54" s="137">
        <v>0.33333333333333298</v>
      </c>
      <c r="B54" s="269">
        <v>1</v>
      </c>
      <c r="C54" s="556">
        <v>0</v>
      </c>
      <c r="D54" s="556"/>
      <c r="E54" s="269">
        <v>1</v>
      </c>
      <c r="F54" s="490">
        <v>0</v>
      </c>
      <c r="G54" s="491"/>
      <c r="H54" s="269">
        <v>1</v>
      </c>
      <c r="I54" s="490">
        <v>0</v>
      </c>
      <c r="J54" s="491"/>
      <c r="K54" s="269">
        <v>1</v>
      </c>
      <c r="L54" s="490">
        <v>0</v>
      </c>
      <c r="M54" s="491"/>
      <c r="N54" s="269">
        <v>1</v>
      </c>
      <c r="O54" s="490">
        <v>0</v>
      </c>
      <c r="P54" s="491"/>
      <c r="Q54" s="269">
        <v>1</v>
      </c>
      <c r="R54" s="554">
        <v>0</v>
      </c>
      <c r="S54" s="555"/>
      <c r="T54" s="269">
        <v>1</v>
      </c>
      <c r="U54" s="490">
        <v>0</v>
      </c>
      <c r="V54" s="491"/>
      <c r="W54" s="269">
        <v>1</v>
      </c>
      <c r="X54" s="490">
        <v>0</v>
      </c>
      <c r="Y54" s="491"/>
      <c r="Z54" s="269">
        <v>1</v>
      </c>
      <c r="AA54" s="490">
        <v>0</v>
      </c>
      <c r="AB54" s="491"/>
      <c r="AC54" s="269">
        <v>1</v>
      </c>
      <c r="AD54" s="556">
        <v>0</v>
      </c>
      <c r="AE54" s="556"/>
      <c r="AF54" s="269">
        <v>1</v>
      </c>
      <c r="AG54" s="490">
        <v>0</v>
      </c>
      <c r="AH54" s="491"/>
      <c r="AI54" s="269">
        <v>1</v>
      </c>
      <c r="AJ54" s="490">
        <v>0</v>
      </c>
      <c r="AK54" s="491"/>
      <c r="AL54" s="269"/>
      <c r="AM54" s="492"/>
      <c r="AN54" s="493"/>
      <c r="BB54" s="145"/>
      <c r="BC54" s="145"/>
      <c r="BD54" s="145"/>
      <c r="BE54" s="145"/>
      <c r="BF54" s="145"/>
      <c r="BG54" s="145"/>
      <c r="BH54" s="269"/>
      <c r="BI54" s="492"/>
      <c r="BJ54" s="493"/>
      <c r="BK54" s="145"/>
      <c r="BL54" s="145"/>
      <c r="BM54" s="142"/>
      <c r="BN54" s="540"/>
      <c r="BO54" s="540"/>
      <c r="BP54" s="142"/>
    </row>
    <row r="55" spans="1:68" x14ac:dyDescent="0.2">
      <c r="A55" s="137">
        <v>0.5</v>
      </c>
      <c r="B55" s="269">
        <v>1</v>
      </c>
      <c r="C55" s="556">
        <v>0</v>
      </c>
      <c r="D55" s="556"/>
      <c r="E55" s="269">
        <v>1</v>
      </c>
      <c r="F55" s="490">
        <v>0</v>
      </c>
      <c r="G55" s="491"/>
      <c r="H55" s="269">
        <v>1</v>
      </c>
      <c r="I55" s="490">
        <v>0</v>
      </c>
      <c r="J55" s="491"/>
      <c r="K55" s="269">
        <v>1</v>
      </c>
      <c r="L55" s="490">
        <v>0</v>
      </c>
      <c r="M55" s="491"/>
      <c r="N55" s="269">
        <v>1</v>
      </c>
      <c r="O55" s="490">
        <v>0</v>
      </c>
      <c r="P55" s="491"/>
      <c r="Q55" s="269">
        <v>1</v>
      </c>
      <c r="R55" s="554">
        <v>0</v>
      </c>
      <c r="S55" s="555"/>
      <c r="T55" s="269">
        <v>1</v>
      </c>
      <c r="U55" s="490">
        <v>0</v>
      </c>
      <c r="V55" s="491"/>
      <c r="W55" s="269">
        <v>1</v>
      </c>
      <c r="X55" s="490">
        <v>0</v>
      </c>
      <c r="Y55" s="491"/>
      <c r="Z55" s="269">
        <v>1</v>
      </c>
      <c r="AA55" s="490">
        <v>0</v>
      </c>
      <c r="AB55" s="491"/>
      <c r="AC55" s="269">
        <v>1</v>
      </c>
      <c r="AD55" s="556">
        <v>0</v>
      </c>
      <c r="AE55" s="556"/>
      <c r="AF55" s="269">
        <v>1</v>
      </c>
      <c r="AG55" s="490">
        <v>0</v>
      </c>
      <c r="AH55" s="491"/>
      <c r="AI55" s="269">
        <v>1</v>
      </c>
      <c r="AJ55" s="490">
        <v>0</v>
      </c>
      <c r="AK55" s="491"/>
      <c r="AL55" s="269"/>
      <c r="AM55" s="492"/>
      <c r="AN55" s="493"/>
      <c r="BB55" s="145"/>
      <c r="BC55" s="145"/>
      <c r="BD55" s="145"/>
      <c r="BE55" s="145"/>
      <c r="BF55" s="145"/>
      <c r="BG55" s="145"/>
      <c r="BH55" s="269"/>
      <c r="BI55" s="492"/>
      <c r="BJ55" s="493"/>
      <c r="BK55" s="145"/>
      <c r="BL55" s="145"/>
      <c r="BM55" s="142"/>
      <c r="BN55" s="540"/>
      <c r="BO55" s="540"/>
      <c r="BP55" s="142"/>
    </row>
    <row r="56" spans="1:68" x14ac:dyDescent="0.2">
      <c r="A56" s="137">
        <v>0.75</v>
      </c>
      <c r="B56" s="269">
        <v>1</v>
      </c>
      <c r="C56" s="556">
        <v>0</v>
      </c>
      <c r="D56" s="556"/>
      <c r="E56" s="269">
        <v>1</v>
      </c>
      <c r="F56" s="488">
        <v>0</v>
      </c>
      <c r="G56" s="489"/>
      <c r="H56" s="269">
        <v>1</v>
      </c>
      <c r="I56" s="488">
        <v>0</v>
      </c>
      <c r="J56" s="489"/>
      <c r="K56" s="269">
        <v>1</v>
      </c>
      <c r="L56" s="488">
        <v>0</v>
      </c>
      <c r="M56" s="489"/>
      <c r="N56" s="269">
        <v>1</v>
      </c>
      <c r="O56" s="488">
        <v>0</v>
      </c>
      <c r="P56" s="489"/>
      <c r="Q56" s="269">
        <v>1</v>
      </c>
      <c r="R56" s="554">
        <v>0</v>
      </c>
      <c r="S56" s="555"/>
      <c r="T56" s="269">
        <v>1</v>
      </c>
      <c r="U56" s="488">
        <v>0</v>
      </c>
      <c r="V56" s="489"/>
      <c r="W56" s="269">
        <v>1</v>
      </c>
      <c r="X56" s="488">
        <v>0</v>
      </c>
      <c r="Y56" s="489"/>
      <c r="Z56" s="269">
        <v>1</v>
      </c>
      <c r="AA56" s="488">
        <v>0</v>
      </c>
      <c r="AB56" s="489"/>
      <c r="AC56" s="269">
        <v>1</v>
      </c>
      <c r="AD56" s="556">
        <v>0</v>
      </c>
      <c r="AE56" s="556"/>
      <c r="AF56" s="269">
        <v>1</v>
      </c>
      <c r="AG56" s="488">
        <v>0</v>
      </c>
      <c r="AH56" s="489"/>
      <c r="AI56" s="269">
        <v>1</v>
      </c>
      <c r="AJ56" s="488">
        <v>0</v>
      </c>
      <c r="AK56" s="489"/>
      <c r="AL56" s="269"/>
      <c r="AM56" s="486"/>
      <c r="AN56" s="487"/>
      <c r="BB56" s="145"/>
      <c r="BC56" s="145"/>
      <c r="BD56" s="145"/>
      <c r="BE56" s="145"/>
      <c r="BF56" s="145"/>
      <c r="BG56" s="145"/>
      <c r="BH56" s="269"/>
      <c r="BI56" s="486"/>
      <c r="BJ56" s="487"/>
      <c r="BK56" s="145"/>
      <c r="BL56" s="145"/>
      <c r="BM56" s="142"/>
      <c r="BN56" s="540"/>
      <c r="BO56" s="540"/>
      <c r="BP56" s="142"/>
    </row>
    <row r="57" spans="1:68" x14ac:dyDescent="0.2">
      <c r="A57" s="137">
        <v>1</v>
      </c>
      <c r="B57" s="269">
        <v>1</v>
      </c>
      <c r="C57" s="556">
        <v>0</v>
      </c>
      <c r="D57" s="556"/>
      <c r="E57" s="269">
        <v>1</v>
      </c>
      <c r="F57" s="490">
        <v>0</v>
      </c>
      <c r="G57" s="491"/>
      <c r="H57" s="269">
        <v>1</v>
      </c>
      <c r="I57" s="490">
        <v>0</v>
      </c>
      <c r="J57" s="491"/>
      <c r="K57" s="269">
        <v>1</v>
      </c>
      <c r="L57" s="490">
        <v>0</v>
      </c>
      <c r="M57" s="491"/>
      <c r="N57" s="269">
        <v>1</v>
      </c>
      <c r="O57" s="490">
        <v>0</v>
      </c>
      <c r="P57" s="491"/>
      <c r="Q57" s="269">
        <v>1</v>
      </c>
      <c r="R57" s="554">
        <v>0</v>
      </c>
      <c r="S57" s="555"/>
      <c r="T57" s="269">
        <v>1</v>
      </c>
      <c r="U57" s="490">
        <v>0</v>
      </c>
      <c r="V57" s="491"/>
      <c r="W57" s="269">
        <v>1</v>
      </c>
      <c r="X57" s="490">
        <v>0</v>
      </c>
      <c r="Y57" s="491"/>
      <c r="Z57" s="269">
        <v>1</v>
      </c>
      <c r="AA57" s="490">
        <v>0</v>
      </c>
      <c r="AB57" s="491"/>
      <c r="AC57" s="269">
        <v>1</v>
      </c>
      <c r="AD57" s="556">
        <v>0</v>
      </c>
      <c r="AE57" s="556"/>
      <c r="AF57" s="269">
        <v>1</v>
      </c>
      <c r="AG57" s="490">
        <v>0</v>
      </c>
      <c r="AH57" s="491"/>
      <c r="AI57" s="269">
        <v>1</v>
      </c>
      <c r="AJ57" s="490">
        <v>0</v>
      </c>
      <c r="AK57" s="491"/>
      <c r="AL57" s="269"/>
      <c r="AM57" s="492"/>
      <c r="AN57" s="493"/>
      <c r="BB57" s="145"/>
      <c r="BC57" s="145"/>
      <c r="BD57" s="145"/>
      <c r="BE57" s="145"/>
      <c r="BF57" s="145"/>
      <c r="BG57" s="145"/>
      <c r="BH57" s="269"/>
      <c r="BI57" s="492"/>
      <c r="BJ57" s="493"/>
      <c r="BK57" s="145"/>
      <c r="BL57" s="145"/>
      <c r="BM57" s="142"/>
      <c r="BN57" s="540"/>
      <c r="BO57" s="540"/>
      <c r="BP57" s="142"/>
    </row>
    <row r="58" spans="1:68" x14ac:dyDescent="0.2">
      <c r="A58" s="137">
        <v>1.5</v>
      </c>
      <c r="B58" s="269">
        <v>1</v>
      </c>
      <c r="C58" s="556">
        <v>0</v>
      </c>
      <c r="D58" s="556"/>
      <c r="E58" s="269">
        <v>1</v>
      </c>
      <c r="F58" s="490">
        <v>0</v>
      </c>
      <c r="G58" s="491"/>
      <c r="H58" s="269">
        <v>1</v>
      </c>
      <c r="I58" s="490">
        <v>0</v>
      </c>
      <c r="J58" s="491"/>
      <c r="K58" s="269">
        <v>1</v>
      </c>
      <c r="L58" s="490">
        <v>0</v>
      </c>
      <c r="M58" s="491"/>
      <c r="N58" s="269">
        <v>1</v>
      </c>
      <c r="O58" s="490">
        <v>0</v>
      </c>
      <c r="P58" s="491"/>
      <c r="Q58" s="269">
        <v>1</v>
      </c>
      <c r="R58" s="554">
        <v>0</v>
      </c>
      <c r="S58" s="555"/>
      <c r="T58" s="269">
        <v>1</v>
      </c>
      <c r="U58" s="490">
        <v>0</v>
      </c>
      <c r="V58" s="491"/>
      <c r="W58" s="269">
        <v>1</v>
      </c>
      <c r="X58" s="490">
        <v>0</v>
      </c>
      <c r="Y58" s="491"/>
      <c r="Z58" s="269">
        <v>1</v>
      </c>
      <c r="AA58" s="490">
        <v>0</v>
      </c>
      <c r="AB58" s="491"/>
      <c r="AC58" s="269">
        <v>1</v>
      </c>
      <c r="AD58" s="556">
        <v>0</v>
      </c>
      <c r="AE58" s="556"/>
      <c r="AF58" s="269">
        <v>1</v>
      </c>
      <c r="AG58" s="490">
        <v>0</v>
      </c>
      <c r="AH58" s="491"/>
      <c r="AI58" s="269">
        <v>1</v>
      </c>
      <c r="AJ58" s="490">
        <v>0</v>
      </c>
      <c r="AK58" s="491"/>
      <c r="AL58" s="269"/>
      <c r="AM58" s="492"/>
      <c r="AN58" s="493"/>
      <c r="BB58" s="145"/>
      <c r="BC58" s="145"/>
      <c r="BD58" s="145"/>
      <c r="BE58" s="145"/>
      <c r="BF58" s="145"/>
      <c r="BG58" s="145"/>
      <c r="BH58" s="269"/>
      <c r="BI58" s="492"/>
      <c r="BJ58" s="493"/>
      <c r="BK58" s="145"/>
      <c r="BL58" s="145"/>
      <c r="BM58" s="142"/>
      <c r="BN58" s="540"/>
      <c r="BO58" s="540"/>
      <c r="BP58" s="142"/>
    </row>
    <row r="59" spans="1:68" x14ac:dyDescent="0.2">
      <c r="A59" s="137">
        <v>2</v>
      </c>
      <c r="B59" s="269">
        <v>1</v>
      </c>
      <c r="C59" s="556">
        <v>0</v>
      </c>
      <c r="D59" s="556"/>
      <c r="E59" s="269">
        <v>1</v>
      </c>
      <c r="F59" s="488">
        <v>0</v>
      </c>
      <c r="G59" s="489"/>
      <c r="H59" s="269">
        <v>1</v>
      </c>
      <c r="I59" s="488">
        <v>0</v>
      </c>
      <c r="J59" s="489"/>
      <c r="K59" s="269">
        <v>1</v>
      </c>
      <c r="L59" s="488">
        <v>0</v>
      </c>
      <c r="M59" s="489"/>
      <c r="N59" s="269">
        <v>1</v>
      </c>
      <c r="O59" s="488">
        <v>0</v>
      </c>
      <c r="P59" s="489"/>
      <c r="Q59" s="269">
        <v>1</v>
      </c>
      <c r="R59" s="554">
        <v>0</v>
      </c>
      <c r="S59" s="555"/>
      <c r="T59" s="269">
        <v>1</v>
      </c>
      <c r="U59" s="488">
        <v>0</v>
      </c>
      <c r="V59" s="489"/>
      <c r="W59" s="269">
        <v>1</v>
      </c>
      <c r="X59" s="488">
        <v>0</v>
      </c>
      <c r="Y59" s="489"/>
      <c r="Z59" s="269">
        <v>1</v>
      </c>
      <c r="AA59" s="488">
        <v>0</v>
      </c>
      <c r="AB59" s="489"/>
      <c r="AC59" s="269">
        <v>1</v>
      </c>
      <c r="AD59" s="556">
        <v>0</v>
      </c>
      <c r="AE59" s="556"/>
      <c r="AF59" s="269">
        <v>1</v>
      </c>
      <c r="AG59" s="488">
        <v>0</v>
      </c>
      <c r="AH59" s="489"/>
      <c r="AI59" s="269">
        <v>1</v>
      </c>
      <c r="AJ59" s="488">
        <v>0</v>
      </c>
      <c r="AK59" s="489"/>
      <c r="AL59" s="269"/>
      <c r="AM59" s="486"/>
      <c r="AN59" s="487"/>
      <c r="BB59" s="145"/>
      <c r="BC59" s="145"/>
      <c r="BD59" s="145"/>
      <c r="BE59" s="145"/>
      <c r="BF59" s="145"/>
      <c r="BG59" s="145"/>
      <c r="BH59" s="269"/>
      <c r="BI59" s="486"/>
      <c r="BJ59" s="487"/>
      <c r="BK59" s="145"/>
      <c r="BL59" s="145"/>
      <c r="BM59" s="142"/>
      <c r="BN59" s="540"/>
      <c r="BO59" s="540"/>
      <c r="BP59" s="142"/>
    </row>
    <row r="60" spans="1:68" x14ac:dyDescent="0.2">
      <c r="A60" s="137">
        <v>3</v>
      </c>
      <c r="B60" s="269">
        <v>1</v>
      </c>
      <c r="C60" s="556">
        <v>0</v>
      </c>
      <c r="D60" s="556"/>
      <c r="E60" s="269">
        <v>1</v>
      </c>
      <c r="F60" s="490">
        <v>0</v>
      </c>
      <c r="G60" s="491"/>
      <c r="H60" s="269">
        <v>1</v>
      </c>
      <c r="I60" s="490">
        <v>0</v>
      </c>
      <c r="J60" s="491"/>
      <c r="K60" s="269">
        <v>1</v>
      </c>
      <c r="L60" s="490">
        <v>0</v>
      </c>
      <c r="M60" s="491"/>
      <c r="N60" s="269">
        <v>1</v>
      </c>
      <c r="O60" s="490">
        <v>0</v>
      </c>
      <c r="P60" s="491"/>
      <c r="Q60" s="269">
        <v>1</v>
      </c>
      <c r="R60" s="554">
        <v>0</v>
      </c>
      <c r="S60" s="555"/>
      <c r="T60" s="269">
        <v>1</v>
      </c>
      <c r="U60" s="490">
        <v>0</v>
      </c>
      <c r="V60" s="491"/>
      <c r="W60" s="269">
        <v>1</v>
      </c>
      <c r="X60" s="490">
        <v>0</v>
      </c>
      <c r="Y60" s="491"/>
      <c r="Z60" s="269">
        <v>1</v>
      </c>
      <c r="AA60" s="490">
        <v>0</v>
      </c>
      <c r="AB60" s="491"/>
      <c r="AC60" s="269">
        <v>1</v>
      </c>
      <c r="AD60" s="556">
        <v>0</v>
      </c>
      <c r="AE60" s="556"/>
      <c r="AF60" s="269">
        <v>1</v>
      </c>
      <c r="AG60" s="490">
        <v>0</v>
      </c>
      <c r="AH60" s="491"/>
      <c r="AI60" s="269">
        <v>1</v>
      </c>
      <c r="AJ60" s="490">
        <v>0</v>
      </c>
      <c r="AK60" s="491"/>
      <c r="AL60" s="269"/>
      <c r="AM60" s="492"/>
      <c r="AN60" s="493"/>
      <c r="BB60" s="145"/>
      <c r="BC60" s="145"/>
      <c r="BD60" s="145"/>
      <c r="BE60" s="145"/>
      <c r="BF60" s="145"/>
      <c r="BG60" s="145"/>
      <c r="BH60" s="269"/>
      <c r="BI60" s="492"/>
      <c r="BJ60" s="493"/>
      <c r="BK60" s="145"/>
      <c r="BL60" s="145"/>
      <c r="BM60" s="142"/>
      <c r="BN60" s="540"/>
      <c r="BO60" s="540"/>
      <c r="BP60" s="142"/>
    </row>
    <row r="61" spans="1:68" x14ac:dyDescent="0.2">
      <c r="A61" s="137">
        <v>5</v>
      </c>
      <c r="B61" s="269">
        <v>1</v>
      </c>
      <c r="C61" s="556">
        <v>0</v>
      </c>
      <c r="D61" s="556"/>
      <c r="E61" s="269">
        <v>1</v>
      </c>
      <c r="F61" s="490">
        <v>0</v>
      </c>
      <c r="G61" s="491"/>
      <c r="H61" s="269">
        <v>1</v>
      </c>
      <c r="I61" s="490">
        <v>0</v>
      </c>
      <c r="J61" s="491"/>
      <c r="K61" s="269">
        <v>1</v>
      </c>
      <c r="L61" s="490">
        <v>0</v>
      </c>
      <c r="M61" s="491"/>
      <c r="N61" s="269">
        <v>1</v>
      </c>
      <c r="O61" s="490">
        <v>0</v>
      </c>
      <c r="P61" s="491"/>
      <c r="Q61" s="269">
        <v>1</v>
      </c>
      <c r="R61" s="554">
        <v>0</v>
      </c>
      <c r="S61" s="555"/>
      <c r="T61" s="269">
        <v>1</v>
      </c>
      <c r="U61" s="490">
        <v>0</v>
      </c>
      <c r="V61" s="491"/>
      <c r="W61" s="269">
        <v>1</v>
      </c>
      <c r="X61" s="490">
        <v>0</v>
      </c>
      <c r="Y61" s="491"/>
      <c r="Z61" s="269">
        <v>1</v>
      </c>
      <c r="AA61" s="490">
        <v>0</v>
      </c>
      <c r="AB61" s="491"/>
      <c r="AC61" s="269">
        <v>1</v>
      </c>
      <c r="AD61" s="556">
        <v>0</v>
      </c>
      <c r="AE61" s="556"/>
      <c r="AF61" s="269">
        <v>1</v>
      </c>
      <c r="AG61" s="490">
        <v>0</v>
      </c>
      <c r="AH61" s="491"/>
      <c r="AI61" s="269">
        <v>1</v>
      </c>
      <c r="AJ61" s="490">
        <v>0</v>
      </c>
      <c r="AK61" s="491"/>
      <c r="AL61" s="269"/>
      <c r="AM61" s="492"/>
      <c r="AN61" s="493"/>
      <c r="BB61" s="145"/>
      <c r="BC61" s="145"/>
      <c r="BD61" s="145"/>
      <c r="BE61" s="145"/>
      <c r="BF61" s="145"/>
      <c r="BG61" s="145"/>
      <c r="BH61" s="269"/>
      <c r="BI61" s="492"/>
      <c r="BJ61" s="493"/>
      <c r="BK61" s="145"/>
      <c r="BL61" s="145"/>
      <c r="BM61" s="142"/>
      <c r="BN61" s="540"/>
      <c r="BO61" s="540"/>
      <c r="BP61" s="142"/>
    </row>
    <row r="62" spans="1:68" x14ac:dyDescent="0.2">
      <c r="A62" s="137">
        <v>7.5</v>
      </c>
      <c r="B62" s="269">
        <v>1</v>
      </c>
      <c r="C62" s="556">
        <v>0</v>
      </c>
      <c r="D62" s="556"/>
      <c r="E62" s="269">
        <v>1</v>
      </c>
      <c r="F62" s="488">
        <v>0</v>
      </c>
      <c r="G62" s="489"/>
      <c r="H62" s="269">
        <v>1</v>
      </c>
      <c r="I62" s="488">
        <v>0</v>
      </c>
      <c r="J62" s="489"/>
      <c r="K62" s="269">
        <v>1</v>
      </c>
      <c r="L62" s="488">
        <v>0</v>
      </c>
      <c r="M62" s="489"/>
      <c r="N62" s="269">
        <v>1</v>
      </c>
      <c r="O62" s="488">
        <v>0</v>
      </c>
      <c r="P62" s="489"/>
      <c r="Q62" s="269">
        <v>1</v>
      </c>
      <c r="R62" s="556">
        <v>0</v>
      </c>
      <c r="S62" s="556"/>
      <c r="T62" s="269">
        <v>1</v>
      </c>
      <c r="U62" s="488">
        <v>0</v>
      </c>
      <c r="V62" s="489"/>
      <c r="W62" s="269">
        <v>1</v>
      </c>
      <c r="X62" s="488">
        <v>0</v>
      </c>
      <c r="Y62" s="489"/>
      <c r="Z62" s="269">
        <v>1</v>
      </c>
      <c r="AA62" s="488">
        <v>0</v>
      </c>
      <c r="AB62" s="489"/>
      <c r="AC62" s="269">
        <v>1</v>
      </c>
      <c r="AD62" s="556">
        <v>0</v>
      </c>
      <c r="AE62" s="556"/>
      <c r="AF62" s="269">
        <v>1</v>
      </c>
      <c r="AG62" s="488">
        <v>0</v>
      </c>
      <c r="AH62" s="489"/>
      <c r="AI62" s="269">
        <v>1</v>
      </c>
      <c r="AJ62" s="488">
        <v>0</v>
      </c>
      <c r="AK62" s="489"/>
      <c r="AL62" s="269"/>
      <c r="AM62" s="486"/>
      <c r="AN62" s="487"/>
      <c r="BB62" s="145"/>
      <c r="BC62" s="145"/>
      <c r="BD62" s="145"/>
      <c r="BE62" s="145"/>
      <c r="BF62" s="145"/>
      <c r="BG62" s="145"/>
      <c r="BH62" s="269"/>
      <c r="BI62" s="486"/>
      <c r="BJ62" s="487"/>
      <c r="BK62" s="145"/>
      <c r="BL62" s="145"/>
      <c r="BM62" s="142"/>
      <c r="BN62" s="540"/>
      <c r="BO62" s="540"/>
      <c r="BP62" s="142"/>
    </row>
    <row r="63" spans="1:68" x14ac:dyDescent="0.2">
      <c r="A63" s="137">
        <v>10</v>
      </c>
      <c r="B63" s="269">
        <v>1</v>
      </c>
      <c r="C63" s="556">
        <v>0</v>
      </c>
      <c r="D63" s="556"/>
      <c r="E63" s="269">
        <v>1</v>
      </c>
      <c r="F63" s="490">
        <v>0</v>
      </c>
      <c r="G63" s="491"/>
      <c r="H63" s="269">
        <v>1</v>
      </c>
      <c r="I63" s="490">
        <v>0</v>
      </c>
      <c r="J63" s="491"/>
      <c r="K63" s="269">
        <v>1</v>
      </c>
      <c r="L63" s="490">
        <v>0</v>
      </c>
      <c r="M63" s="491"/>
      <c r="N63" s="269">
        <v>1</v>
      </c>
      <c r="O63" s="490">
        <v>0</v>
      </c>
      <c r="P63" s="491"/>
      <c r="Q63" s="269">
        <v>1</v>
      </c>
      <c r="R63" s="556">
        <v>0</v>
      </c>
      <c r="S63" s="556"/>
      <c r="T63" s="269">
        <v>1</v>
      </c>
      <c r="U63" s="490">
        <v>0</v>
      </c>
      <c r="V63" s="491"/>
      <c r="W63" s="269">
        <v>1</v>
      </c>
      <c r="X63" s="490">
        <v>0</v>
      </c>
      <c r="Y63" s="491"/>
      <c r="Z63" s="269">
        <v>1</v>
      </c>
      <c r="AA63" s="490">
        <v>0</v>
      </c>
      <c r="AB63" s="491"/>
      <c r="AC63" s="269">
        <v>1</v>
      </c>
      <c r="AD63" s="556">
        <v>0</v>
      </c>
      <c r="AE63" s="556"/>
      <c r="AF63" s="269">
        <v>1</v>
      </c>
      <c r="AG63" s="490">
        <v>0</v>
      </c>
      <c r="AH63" s="491"/>
      <c r="AI63" s="269">
        <v>1</v>
      </c>
      <c r="AJ63" s="490">
        <v>0</v>
      </c>
      <c r="AK63" s="491"/>
      <c r="AL63" s="269"/>
      <c r="AM63" s="492"/>
      <c r="AN63" s="493"/>
      <c r="BB63" s="145"/>
      <c r="BC63" s="145"/>
      <c r="BD63" s="145"/>
      <c r="BE63" s="145"/>
      <c r="BF63" s="145"/>
      <c r="BG63" s="145"/>
      <c r="BH63" s="269"/>
      <c r="BI63" s="492"/>
      <c r="BJ63" s="493"/>
      <c r="BK63" s="145"/>
      <c r="BL63" s="145"/>
      <c r="BM63" s="142"/>
      <c r="BN63" s="347"/>
      <c r="BO63" s="347"/>
      <c r="BP63" s="142"/>
    </row>
    <row r="64" spans="1:68" x14ac:dyDescent="0.2">
      <c r="A64" s="137">
        <v>12.5</v>
      </c>
      <c r="B64" s="269">
        <v>1</v>
      </c>
      <c r="C64" s="556">
        <v>0</v>
      </c>
      <c r="D64" s="556"/>
      <c r="E64" s="269">
        <v>1</v>
      </c>
      <c r="F64" s="490">
        <v>0</v>
      </c>
      <c r="G64" s="491"/>
      <c r="H64" s="269">
        <v>1</v>
      </c>
      <c r="I64" s="490">
        <v>0</v>
      </c>
      <c r="J64" s="491"/>
      <c r="K64" s="269">
        <v>1</v>
      </c>
      <c r="L64" s="490">
        <v>0</v>
      </c>
      <c r="M64" s="491"/>
      <c r="N64" s="269">
        <v>1</v>
      </c>
      <c r="O64" s="490">
        <v>0</v>
      </c>
      <c r="P64" s="491"/>
      <c r="Q64" s="269">
        <v>1</v>
      </c>
      <c r="R64" s="556">
        <v>0</v>
      </c>
      <c r="S64" s="556"/>
      <c r="T64" s="269">
        <v>1</v>
      </c>
      <c r="U64" s="490">
        <v>0</v>
      </c>
      <c r="V64" s="491"/>
      <c r="W64" s="269">
        <v>1</v>
      </c>
      <c r="X64" s="490">
        <v>0</v>
      </c>
      <c r="Y64" s="491"/>
      <c r="Z64" s="269">
        <v>1</v>
      </c>
      <c r="AA64" s="490">
        <v>0</v>
      </c>
      <c r="AB64" s="491"/>
      <c r="AC64" s="269">
        <v>1</v>
      </c>
      <c r="AD64" s="556">
        <v>0</v>
      </c>
      <c r="AE64" s="556"/>
      <c r="AF64" s="269">
        <v>1</v>
      </c>
      <c r="AG64" s="490">
        <v>0</v>
      </c>
      <c r="AH64" s="491"/>
      <c r="AI64" s="269">
        <v>1</v>
      </c>
      <c r="AJ64" s="490">
        <v>0</v>
      </c>
      <c r="AK64" s="491"/>
      <c r="AL64" s="269"/>
      <c r="AM64" s="492"/>
      <c r="AN64" s="493"/>
      <c r="BB64" s="145"/>
      <c r="BC64" s="145"/>
      <c r="BD64" s="145"/>
      <c r="BE64" s="145"/>
      <c r="BF64" s="145"/>
      <c r="BG64" s="145"/>
      <c r="BH64" s="269"/>
      <c r="BI64" s="492"/>
      <c r="BJ64" s="493"/>
      <c r="BK64" s="145"/>
      <c r="BL64" s="145"/>
      <c r="BM64" s="131"/>
      <c r="BN64" s="131"/>
      <c r="BO64" s="131"/>
      <c r="BP64" s="131"/>
    </row>
    <row r="65" spans="1:68" ht="13.5" thickBot="1" x14ac:dyDescent="0.25">
      <c r="A65" s="138">
        <v>15</v>
      </c>
      <c r="B65" s="269">
        <v>1</v>
      </c>
      <c r="C65" s="556">
        <v>0</v>
      </c>
      <c r="D65" s="556"/>
      <c r="E65" s="269">
        <v>1</v>
      </c>
      <c r="F65" s="488">
        <v>0</v>
      </c>
      <c r="G65" s="489"/>
      <c r="H65" s="269">
        <v>1</v>
      </c>
      <c r="I65" s="488">
        <v>0</v>
      </c>
      <c r="J65" s="489"/>
      <c r="K65" s="269">
        <v>1</v>
      </c>
      <c r="L65" s="488">
        <v>0</v>
      </c>
      <c r="M65" s="489"/>
      <c r="N65" s="269">
        <v>1</v>
      </c>
      <c r="O65" s="488">
        <v>0</v>
      </c>
      <c r="P65" s="489"/>
      <c r="Q65" s="269">
        <v>1</v>
      </c>
      <c r="R65" s="556">
        <v>0</v>
      </c>
      <c r="S65" s="556"/>
      <c r="T65" s="269">
        <v>1</v>
      </c>
      <c r="U65" s="488">
        <v>0</v>
      </c>
      <c r="V65" s="489"/>
      <c r="W65" s="269">
        <v>1</v>
      </c>
      <c r="X65" s="488">
        <v>0</v>
      </c>
      <c r="Y65" s="489"/>
      <c r="Z65" s="269">
        <v>1</v>
      </c>
      <c r="AA65" s="488">
        <v>0</v>
      </c>
      <c r="AB65" s="489"/>
      <c r="AC65" s="269">
        <v>1</v>
      </c>
      <c r="AD65" s="556">
        <v>0</v>
      </c>
      <c r="AE65" s="556"/>
      <c r="AF65" s="269">
        <v>1</v>
      </c>
      <c r="AG65" s="488">
        <v>0</v>
      </c>
      <c r="AH65" s="489"/>
      <c r="AI65" s="269">
        <v>1</v>
      </c>
      <c r="AJ65" s="488">
        <v>0</v>
      </c>
      <c r="AK65" s="489"/>
      <c r="AL65" s="269"/>
      <c r="AM65" s="486"/>
      <c r="AN65" s="487"/>
      <c r="BB65" s="145"/>
      <c r="BC65" s="145"/>
      <c r="BD65" s="145"/>
      <c r="BE65" s="145"/>
      <c r="BF65" s="145"/>
      <c r="BG65" s="145"/>
      <c r="BH65" s="269"/>
      <c r="BI65" s="486"/>
      <c r="BJ65" s="487"/>
      <c r="BK65" s="145"/>
      <c r="BL65" s="145"/>
      <c r="BM65" s="142"/>
      <c r="BN65" s="540"/>
      <c r="BO65" s="540"/>
      <c r="BP65" s="142"/>
    </row>
    <row r="66" spans="1:68" ht="13.5" thickBot="1" x14ac:dyDescent="0.25">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433"/>
      <c r="Z66" s="269"/>
      <c r="AA66" s="269"/>
      <c r="AB66" s="269"/>
      <c r="AC66" s="269"/>
      <c r="AD66" s="269"/>
      <c r="AE66" s="269"/>
      <c r="AF66" s="269"/>
      <c r="AG66" s="269"/>
      <c r="AH66" s="269"/>
      <c r="AI66" s="269"/>
      <c r="AJ66" s="269"/>
      <c r="AK66" s="269"/>
      <c r="AL66" s="269"/>
      <c r="AM66" s="269"/>
      <c r="AN66" s="269"/>
      <c r="BB66" s="145"/>
      <c r="BC66" s="145"/>
      <c r="BD66" s="145"/>
      <c r="BE66" s="145"/>
      <c r="BF66" s="145"/>
      <c r="BG66" s="145"/>
      <c r="BH66" s="269"/>
      <c r="BI66" s="269"/>
      <c r="BJ66" s="269"/>
      <c r="BK66" s="145"/>
      <c r="BL66" s="145"/>
      <c r="BM66" s="142"/>
      <c r="BN66" s="540"/>
      <c r="BO66" s="540"/>
      <c r="BP66" s="142"/>
    </row>
    <row r="67" spans="1:68" ht="13.5" thickBot="1" x14ac:dyDescent="0.25">
      <c r="A67" s="134" t="s">
        <v>60</v>
      </c>
      <c r="B67" s="503" t="s">
        <v>1682</v>
      </c>
      <c r="C67" s="504"/>
      <c r="D67" s="504"/>
      <c r="E67" s="504"/>
      <c r="F67" s="504"/>
      <c r="G67" s="505"/>
      <c r="H67" s="275" t="s">
        <v>1722</v>
      </c>
      <c r="I67" s="275"/>
      <c r="J67" s="275"/>
      <c r="K67" s="275"/>
      <c r="L67" s="275"/>
      <c r="M67" s="275"/>
      <c r="N67" s="275"/>
      <c r="O67" s="275"/>
      <c r="P67" s="269"/>
      <c r="Q67" s="269"/>
      <c r="R67" s="275"/>
      <c r="S67" s="275"/>
      <c r="T67" s="269"/>
      <c r="U67" s="275"/>
      <c r="V67" s="275"/>
      <c r="W67" s="275"/>
      <c r="X67" s="275"/>
      <c r="Y67" s="435">
        <v>2</v>
      </c>
      <c r="Z67" s="275"/>
      <c r="AA67" s="275"/>
      <c r="AB67" s="275"/>
      <c r="AC67" s="275"/>
      <c r="AD67" s="275"/>
      <c r="AE67" s="275"/>
      <c r="AF67" s="275"/>
      <c r="AG67" s="275"/>
      <c r="AH67" s="275"/>
      <c r="AI67" s="275"/>
      <c r="AJ67" s="275"/>
      <c r="AK67" s="275"/>
      <c r="AL67" s="275"/>
      <c r="AM67" s="275"/>
      <c r="AN67" s="275"/>
      <c r="AO67" s="275"/>
      <c r="AP67" s="275"/>
      <c r="AQ67" s="275"/>
      <c r="BB67" s="145"/>
      <c r="BC67" s="145"/>
      <c r="BD67" s="145"/>
      <c r="BE67" s="145"/>
      <c r="BF67" s="145"/>
      <c r="BG67" s="145"/>
      <c r="BH67" s="156"/>
      <c r="BI67" s="348"/>
      <c r="BJ67" s="349"/>
      <c r="BK67" s="145"/>
      <c r="BL67" s="145"/>
      <c r="BM67" s="142"/>
      <c r="BN67" s="540"/>
      <c r="BO67" s="540"/>
      <c r="BP67" s="142"/>
    </row>
    <row r="68" spans="1:68" x14ac:dyDescent="0.2">
      <c r="A68" s="137">
        <v>0.33333333333333298</v>
      </c>
      <c r="B68" s="269">
        <v>1</v>
      </c>
      <c r="C68" s="575">
        <v>0</v>
      </c>
      <c r="D68" s="576"/>
      <c r="E68" s="275" t="str">
        <f>IF(CENTRO_DE_MEDIÇÃO!$I$30="TRIFÁSICO","TRIFÁSICA","BIFÁSICA")</f>
        <v>BIFÁSICA</v>
      </c>
      <c r="F68" s="275"/>
      <c r="G68" s="275"/>
      <c r="H68" s="275"/>
      <c r="I68" s="275">
        <v>0</v>
      </c>
      <c r="J68" s="275" t="s">
        <v>1683</v>
      </c>
      <c r="K68" s="275">
        <f>IF(L68="",12.1,"")</f>
        <v>12.1</v>
      </c>
      <c r="L68" s="275"/>
      <c r="M68" s="275"/>
      <c r="N68" s="275"/>
      <c r="O68" s="275"/>
      <c r="P68" s="275"/>
      <c r="Q68" s="275">
        <v>1</v>
      </c>
      <c r="R68" s="275"/>
      <c r="S68" s="275"/>
      <c r="T68" s="275">
        <v>1</v>
      </c>
      <c r="U68" s="275" t="s">
        <v>68</v>
      </c>
      <c r="V68" s="275"/>
      <c r="W68" s="275"/>
      <c r="X68" s="275"/>
      <c r="Y68" s="435">
        <v>3</v>
      </c>
      <c r="Z68" s="275"/>
      <c r="AA68" s="275"/>
      <c r="AB68" s="275"/>
      <c r="AC68" s="275">
        <v>1</v>
      </c>
      <c r="AD68" s="275">
        <v>0</v>
      </c>
      <c r="AE68" s="275"/>
      <c r="AF68" s="275">
        <v>1</v>
      </c>
      <c r="AG68" s="275"/>
      <c r="AH68" s="275"/>
      <c r="AI68" s="275"/>
      <c r="AJ68" s="275" t="s">
        <v>68</v>
      </c>
      <c r="AK68" s="275"/>
      <c r="AL68" s="275"/>
      <c r="AM68" s="275"/>
      <c r="AN68" s="275"/>
      <c r="AO68" s="275"/>
      <c r="AP68" s="275"/>
      <c r="AQ68" s="275"/>
      <c r="BB68" s="145"/>
      <c r="BC68" s="145"/>
      <c r="BD68" s="145"/>
      <c r="BE68" s="145"/>
      <c r="BF68" s="145"/>
      <c r="BG68" s="145"/>
      <c r="BH68" s="156"/>
      <c r="BI68" s="348"/>
      <c r="BJ68" s="349"/>
      <c r="BK68" s="145"/>
      <c r="BL68" s="145"/>
      <c r="BM68" s="142"/>
      <c r="BN68" s="540"/>
      <c r="BO68" s="540"/>
      <c r="BP68" s="142"/>
    </row>
    <row r="69" spans="1:68" x14ac:dyDescent="0.2">
      <c r="A69" s="137">
        <v>0.5</v>
      </c>
      <c r="B69" s="269">
        <v>1</v>
      </c>
      <c r="C69" s="488">
        <v>0</v>
      </c>
      <c r="D69" s="489"/>
      <c r="E69" s="275" t="str">
        <f>IF(CENTRO_DE_MEDIÇÃO!$I$30="TRIFÁSICO","TRIFÁSICA","BIFÁSICA")</f>
        <v>BIFÁSICA</v>
      </c>
      <c r="F69" s="275"/>
      <c r="G69" s="275"/>
      <c r="H69" s="275"/>
      <c r="I69" s="275">
        <v>0</v>
      </c>
      <c r="J69" s="275" t="s">
        <v>1684</v>
      </c>
      <c r="K69" s="275"/>
      <c r="L69" s="275"/>
      <c r="M69" s="275"/>
      <c r="N69" s="275"/>
      <c r="O69" s="275">
        <v>0</v>
      </c>
      <c r="P69" s="275"/>
      <c r="Q69" s="275">
        <v>1</v>
      </c>
      <c r="R69" s="275"/>
      <c r="S69" s="275"/>
      <c r="T69" s="275"/>
      <c r="U69" s="275"/>
      <c r="V69" s="275"/>
      <c r="W69" s="275"/>
      <c r="X69" s="275"/>
      <c r="Y69" s="435">
        <v>4</v>
      </c>
      <c r="Z69" s="275"/>
      <c r="AA69" s="275"/>
      <c r="AB69" s="275"/>
      <c r="AC69" s="275">
        <v>1</v>
      </c>
      <c r="AD69" s="275">
        <v>0</v>
      </c>
      <c r="AE69" s="275"/>
      <c r="AF69" s="275"/>
      <c r="AG69" s="275"/>
      <c r="AH69" s="275"/>
      <c r="AI69" s="275"/>
      <c r="AJ69" s="275" t="s">
        <v>1748</v>
      </c>
      <c r="AK69" s="275"/>
      <c r="AL69" s="275"/>
      <c r="AM69" s="275"/>
      <c r="AN69" s="275"/>
      <c r="AO69" s="275"/>
      <c r="AP69" s="275"/>
      <c r="AQ69" s="275"/>
      <c r="BB69" s="145"/>
      <c r="BC69" s="145"/>
      <c r="BD69" s="145"/>
      <c r="BE69" s="145"/>
      <c r="BF69" s="145"/>
      <c r="BG69" s="145"/>
      <c r="BH69" s="156"/>
      <c r="BI69" s="348"/>
      <c r="BJ69" s="349"/>
      <c r="BK69" s="145"/>
      <c r="BL69" s="145"/>
      <c r="BM69" s="142"/>
      <c r="BN69" s="540"/>
      <c r="BO69" s="540"/>
      <c r="BP69" s="142"/>
    </row>
    <row r="70" spans="1:68" x14ac:dyDescent="0.2">
      <c r="A70" s="137">
        <v>0.75</v>
      </c>
      <c r="B70" s="269">
        <v>1</v>
      </c>
      <c r="C70" s="488">
        <v>0</v>
      </c>
      <c r="D70" s="489"/>
      <c r="E70" s="275" t="str">
        <f>IF(CENTRO_DE_MEDIÇÃO!$I$30="TRIFÁSICO","TRIFÁSICA","BIFÁSICA")</f>
        <v>BIFÁSICA</v>
      </c>
      <c r="F70" s="275"/>
      <c r="G70" s="275"/>
      <c r="H70" s="275"/>
      <c r="I70" s="275">
        <v>0</v>
      </c>
      <c r="J70" s="275"/>
      <c r="K70" s="275"/>
      <c r="L70" s="275"/>
      <c r="M70" s="275"/>
      <c r="N70" s="275"/>
      <c r="O70" s="275">
        <v>0</v>
      </c>
      <c r="P70" s="275"/>
      <c r="Q70" s="275">
        <v>1</v>
      </c>
      <c r="R70" s="275"/>
      <c r="S70" s="275"/>
      <c r="T70" s="275">
        <v>1</v>
      </c>
      <c r="U70" s="275"/>
      <c r="V70" s="275"/>
      <c r="W70" s="275"/>
      <c r="X70" s="275"/>
      <c r="Y70" s="435">
        <v>5</v>
      </c>
      <c r="Z70" s="275"/>
      <c r="AA70" s="275"/>
      <c r="AB70" s="275"/>
      <c r="AC70" s="275">
        <v>1</v>
      </c>
      <c r="AD70" s="275">
        <v>0</v>
      </c>
      <c r="AE70" s="275"/>
      <c r="AF70" s="275"/>
      <c r="AG70" s="275"/>
      <c r="AH70" s="275"/>
      <c r="AI70" s="275"/>
      <c r="AJ70" s="275" t="s">
        <v>115</v>
      </c>
      <c r="AK70" s="275"/>
      <c r="AL70" s="275"/>
      <c r="AM70" s="275"/>
      <c r="AN70" s="275"/>
      <c r="AO70" s="275"/>
      <c r="AP70" s="275"/>
      <c r="AQ70" s="275"/>
      <c r="BB70" s="145"/>
      <c r="BC70" s="145"/>
      <c r="BD70" s="145"/>
      <c r="BE70" s="145"/>
      <c r="BF70" s="145"/>
      <c r="BG70" s="145"/>
      <c r="BH70" s="156"/>
      <c r="BI70" s="348"/>
      <c r="BJ70" s="349"/>
      <c r="BK70" s="145"/>
      <c r="BL70" s="145"/>
      <c r="BM70" s="142"/>
      <c r="BN70" s="540"/>
      <c r="BO70" s="540"/>
      <c r="BP70" s="142"/>
    </row>
    <row r="71" spans="1:68" x14ac:dyDescent="0.2">
      <c r="A71" s="137">
        <v>1</v>
      </c>
      <c r="B71" s="269">
        <v>1</v>
      </c>
      <c r="C71" s="488">
        <v>0</v>
      </c>
      <c r="D71" s="489"/>
      <c r="E71" s="275" t="str">
        <f>IF(CENTRO_DE_MEDIÇÃO!$I$30="TRIFÁSICO","TRIFÁSICA","BIFÁSICA")</f>
        <v>BIFÁSICA</v>
      </c>
      <c r="F71" s="275"/>
      <c r="G71" s="275"/>
      <c r="H71" s="275"/>
      <c r="I71" s="275">
        <v>0</v>
      </c>
      <c r="J71" s="275"/>
      <c r="K71" s="275"/>
      <c r="L71" s="275"/>
      <c r="M71" s="275"/>
      <c r="N71" s="275"/>
      <c r="O71" s="275">
        <v>0</v>
      </c>
      <c r="P71" s="275"/>
      <c r="Q71" s="275">
        <v>1</v>
      </c>
      <c r="R71" s="275"/>
      <c r="S71" s="275"/>
      <c r="T71" s="275"/>
      <c r="U71" s="275"/>
      <c r="V71" s="275"/>
      <c r="W71" s="275"/>
      <c r="X71" s="275"/>
      <c r="Y71" s="435">
        <v>6</v>
      </c>
      <c r="Z71" s="275"/>
      <c r="AA71" s="275"/>
      <c r="AB71" s="275"/>
      <c r="AC71" s="275">
        <v>1</v>
      </c>
      <c r="AD71" s="275">
        <v>0</v>
      </c>
      <c r="AE71" s="275"/>
      <c r="AF71" s="275"/>
      <c r="AG71" s="275"/>
      <c r="AH71" s="275"/>
      <c r="AI71" s="275"/>
      <c r="AJ71" s="275" t="s">
        <v>116</v>
      </c>
      <c r="AK71" s="275"/>
      <c r="AL71" s="275"/>
      <c r="AM71" s="275"/>
      <c r="AN71" s="275"/>
      <c r="AO71" s="275"/>
      <c r="AP71" s="275"/>
      <c r="AQ71" s="275"/>
      <c r="BB71" s="145"/>
      <c r="BC71" s="145"/>
      <c r="BD71" s="145"/>
      <c r="BE71" s="145"/>
      <c r="BF71" s="145"/>
      <c r="BG71" s="145"/>
      <c r="BH71" s="156"/>
      <c r="BI71" s="348"/>
      <c r="BJ71" s="349"/>
      <c r="BK71" s="145"/>
      <c r="BL71" s="145"/>
      <c r="BM71" s="142"/>
      <c r="BN71" s="540"/>
      <c r="BO71" s="540"/>
      <c r="BP71" s="142"/>
    </row>
    <row r="72" spans="1:68" x14ac:dyDescent="0.2">
      <c r="A72" s="137">
        <v>1.5</v>
      </c>
      <c r="B72" s="269">
        <v>1</v>
      </c>
      <c r="C72" s="488">
        <v>0</v>
      </c>
      <c r="D72" s="489"/>
      <c r="E72" s="275" t="str">
        <f>IF(CENTRO_DE_MEDIÇÃO!$I$30="TRIFÁSICO","TRIFÁSICA","BIFÁSICA")</f>
        <v>BIFÁSICA</v>
      </c>
      <c r="F72" s="275"/>
      <c r="G72" s="275"/>
      <c r="H72" s="275"/>
      <c r="I72" s="275">
        <v>0</v>
      </c>
      <c r="J72" s="275"/>
      <c r="K72" s="275"/>
      <c r="L72" s="275"/>
      <c r="M72" s="275"/>
      <c r="N72" s="275"/>
      <c r="O72" s="275">
        <v>0</v>
      </c>
      <c r="P72" s="275"/>
      <c r="Q72" s="275">
        <v>1</v>
      </c>
      <c r="R72" s="275"/>
      <c r="S72" s="275"/>
      <c r="T72" s="275"/>
      <c r="U72" s="275"/>
      <c r="V72" s="275"/>
      <c r="W72" s="275"/>
      <c r="X72" s="275"/>
      <c r="Y72" s="435">
        <v>7</v>
      </c>
      <c r="Z72" s="275"/>
      <c r="AA72" s="275"/>
      <c r="AB72" s="275"/>
      <c r="AC72" s="275">
        <v>1</v>
      </c>
      <c r="AD72" s="275">
        <v>0</v>
      </c>
      <c r="AE72" s="275"/>
      <c r="AF72" s="275"/>
      <c r="AG72" s="275"/>
      <c r="AH72" s="275"/>
      <c r="AI72" s="275"/>
      <c r="AJ72" s="275" t="s">
        <v>117</v>
      </c>
      <c r="AK72" s="275"/>
      <c r="AL72" s="275"/>
      <c r="AM72" s="275"/>
      <c r="AN72" s="275"/>
      <c r="AO72" s="275"/>
      <c r="AP72" s="275"/>
      <c r="AQ72" s="275"/>
      <c r="BB72" s="145"/>
      <c r="BC72" s="145"/>
      <c r="BD72" s="145"/>
      <c r="BE72" s="145"/>
      <c r="BF72" s="145"/>
      <c r="BG72" s="145"/>
      <c r="BH72" s="156"/>
      <c r="BI72" s="348"/>
      <c r="BJ72" s="349"/>
      <c r="BK72" s="145"/>
      <c r="BL72" s="145"/>
      <c r="BM72" s="142"/>
      <c r="BN72" s="540"/>
      <c r="BO72" s="540"/>
      <c r="BP72" s="142"/>
    </row>
    <row r="73" spans="1:68" x14ac:dyDescent="0.2">
      <c r="A73" s="137">
        <v>2</v>
      </c>
      <c r="B73" s="269">
        <v>1</v>
      </c>
      <c r="C73" s="488">
        <v>0</v>
      </c>
      <c r="D73" s="489"/>
      <c r="E73" s="275" t="str">
        <f>IF(CENTRO_DE_MEDIÇÃO!$I$30="TRIFÁSICO","TRIFÁSICA","BIFÁSICA")</f>
        <v>BIFÁSICA</v>
      </c>
      <c r="F73" s="275"/>
      <c r="G73" s="275"/>
      <c r="H73" s="275"/>
      <c r="I73" s="275">
        <v>0</v>
      </c>
      <c r="J73" s="275"/>
      <c r="K73" s="275"/>
      <c r="L73" s="275"/>
      <c r="M73" s="275"/>
      <c r="N73" s="275"/>
      <c r="O73" s="275">
        <v>0</v>
      </c>
      <c r="P73" s="275"/>
      <c r="Q73" s="275">
        <v>1</v>
      </c>
      <c r="R73" s="275"/>
      <c r="S73" s="275"/>
      <c r="T73" s="275"/>
      <c r="U73" s="275"/>
      <c r="V73" s="275"/>
      <c r="W73" s="275"/>
      <c r="X73" s="275"/>
      <c r="Y73" s="435">
        <v>8</v>
      </c>
      <c r="Z73" s="275"/>
      <c r="AA73" s="275"/>
      <c r="AB73" s="275"/>
      <c r="AC73" s="275">
        <v>1</v>
      </c>
      <c r="AD73" s="275">
        <v>0</v>
      </c>
      <c r="AE73" s="275"/>
      <c r="AF73" s="275"/>
      <c r="AG73" s="275"/>
      <c r="AH73" s="275"/>
      <c r="AI73" s="275"/>
      <c r="AJ73" s="275" t="s">
        <v>1837</v>
      </c>
      <c r="AK73" s="275"/>
      <c r="AL73" s="275"/>
      <c r="AM73" s="275"/>
      <c r="AN73" s="275"/>
      <c r="AO73" s="275"/>
      <c r="AP73" s="275"/>
      <c r="AQ73" s="275"/>
      <c r="BB73" s="145"/>
      <c r="BC73" s="145"/>
      <c r="BD73" s="145"/>
      <c r="BE73" s="145"/>
      <c r="BF73" s="145"/>
      <c r="BG73" s="145"/>
      <c r="BH73" s="156"/>
      <c r="BI73" s="348"/>
      <c r="BJ73" s="349"/>
      <c r="BK73" s="145"/>
      <c r="BL73" s="145"/>
      <c r="BM73" s="142"/>
      <c r="BN73" s="540"/>
      <c r="BO73" s="540"/>
      <c r="BP73" s="142"/>
    </row>
    <row r="74" spans="1:68" x14ac:dyDescent="0.2">
      <c r="A74" s="137">
        <v>3</v>
      </c>
      <c r="B74" s="269">
        <v>1</v>
      </c>
      <c r="C74" s="488">
        <v>0</v>
      </c>
      <c r="D74" s="489"/>
      <c r="E74" s="275" t="str">
        <f>IF(CENTRO_DE_MEDIÇÃO!$I$30="TRIFÁSICO","TRIFÁSICA","BIFÁSICA")</f>
        <v>BIFÁSICA</v>
      </c>
      <c r="F74" s="275"/>
      <c r="G74" s="275"/>
      <c r="H74" s="275"/>
      <c r="I74" s="275">
        <v>0</v>
      </c>
      <c r="J74" s="275"/>
      <c r="K74" s="275"/>
      <c r="L74" s="275"/>
      <c r="M74" s="275"/>
      <c r="N74" s="275"/>
      <c r="O74" s="275">
        <v>0</v>
      </c>
      <c r="P74" s="275"/>
      <c r="Q74" s="275">
        <v>1</v>
      </c>
      <c r="R74" s="275"/>
      <c r="S74" s="275"/>
      <c r="T74" s="275"/>
      <c r="U74" s="275"/>
      <c r="V74" s="275"/>
      <c r="W74" s="275"/>
      <c r="X74" s="275"/>
      <c r="Y74" s="435">
        <v>9</v>
      </c>
      <c r="Z74" s="275"/>
      <c r="AA74" s="275"/>
      <c r="AB74" s="275"/>
      <c r="AC74" s="275">
        <v>1</v>
      </c>
      <c r="AD74" s="275">
        <v>0</v>
      </c>
      <c r="AE74" s="275"/>
      <c r="AF74" s="275"/>
      <c r="AG74" s="275"/>
      <c r="AH74" s="275"/>
      <c r="AI74" s="275"/>
      <c r="AJ74" s="275" t="s">
        <v>119</v>
      </c>
      <c r="AK74" s="275"/>
      <c r="AL74" s="275"/>
      <c r="AM74" s="275"/>
      <c r="AN74" s="275"/>
      <c r="AO74" s="275"/>
      <c r="AP74" s="275"/>
      <c r="AQ74" s="275"/>
      <c r="BB74" s="145"/>
      <c r="BC74" s="145"/>
      <c r="BD74" s="145"/>
      <c r="BE74" s="145"/>
      <c r="BF74" s="145"/>
      <c r="BG74" s="145"/>
      <c r="BH74" s="156"/>
      <c r="BI74" s="348"/>
      <c r="BJ74" s="349"/>
      <c r="BK74" s="145"/>
      <c r="BL74" s="145"/>
      <c r="BM74" s="142"/>
      <c r="BN74" s="540"/>
      <c r="BO74" s="540"/>
      <c r="BP74" s="142"/>
    </row>
    <row r="75" spans="1:68" ht="13.5" thickBot="1" x14ac:dyDescent="0.25">
      <c r="A75" s="137">
        <v>5</v>
      </c>
      <c r="B75" s="269">
        <v>1</v>
      </c>
      <c r="C75" s="573">
        <v>0</v>
      </c>
      <c r="D75" s="574"/>
      <c r="E75" s="275" t="str">
        <f>IF(CENTRO_DE_MEDIÇÃO!$I$30="TRIFÁSICO","TRIFÁSICA","BIFÁSICA")</f>
        <v>BIFÁSICA</v>
      </c>
      <c r="F75" s="275"/>
      <c r="G75" s="275"/>
      <c r="H75" s="275"/>
      <c r="I75" s="275">
        <v>0</v>
      </c>
      <c r="J75" s="275"/>
      <c r="K75" s="275"/>
      <c r="L75" s="275"/>
      <c r="M75" s="275"/>
      <c r="N75" s="275"/>
      <c r="O75" s="275">
        <v>0</v>
      </c>
      <c r="P75" s="275"/>
      <c r="Q75" s="275">
        <v>1</v>
      </c>
      <c r="R75" s="275"/>
      <c r="S75" s="275"/>
      <c r="T75" s="275"/>
      <c r="U75" s="275"/>
      <c r="V75" s="275"/>
      <c r="W75" s="275"/>
      <c r="X75" s="275"/>
      <c r="Y75" s="435">
        <v>10</v>
      </c>
      <c r="Z75" s="275"/>
      <c r="AA75" s="275"/>
      <c r="AB75" s="275"/>
      <c r="AC75" s="275">
        <v>1</v>
      </c>
      <c r="AD75" s="275">
        <v>0</v>
      </c>
      <c r="AE75" s="275"/>
      <c r="AF75" s="275"/>
      <c r="AG75" s="275"/>
      <c r="AH75" s="275"/>
      <c r="AI75" s="275"/>
      <c r="AJ75" s="275" t="s">
        <v>120</v>
      </c>
      <c r="AK75" s="275"/>
      <c r="AL75" s="275"/>
      <c r="AM75" s="275"/>
      <c r="AN75" s="275"/>
      <c r="AO75" s="275"/>
      <c r="AP75" s="275"/>
      <c r="AQ75" s="275"/>
      <c r="BB75" s="145"/>
      <c r="BC75" s="145"/>
      <c r="BD75" s="145"/>
      <c r="BE75" s="145"/>
      <c r="BF75" s="145"/>
      <c r="BG75" s="145"/>
      <c r="BH75" s="156"/>
      <c r="BI75" s="348"/>
      <c r="BJ75" s="349"/>
      <c r="BK75" s="145"/>
      <c r="BL75" s="145"/>
      <c r="BM75" s="142"/>
      <c r="BN75" s="540"/>
      <c r="BO75" s="540"/>
      <c r="BP75" s="142"/>
    </row>
    <row r="76" spans="1:68" x14ac:dyDescent="0.2">
      <c r="A76" s="275">
        <v>7</v>
      </c>
      <c r="B76" s="275">
        <v>1</v>
      </c>
      <c r="C76" s="275">
        <v>0</v>
      </c>
      <c r="D76" s="275"/>
      <c r="E76" s="275"/>
      <c r="F76" s="275">
        <v>0</v>
      </c>
      <c r="G76" s="275"/>
      <c r="H76" s="275"/>
      <c r="I76" s="275">
        <v>0</v>
      </c>
      <c r="J76" s="275"/>
      <c r="K76" s="275"/>
      <c r="L76" s="275"/>
      <c r="M76" s="275"/>
      <c r="N76" s="275"/>
      <c r="O76" s="275">
        <v>0</v>
      </c>
      <c r="P76" s="275"/>
      <c r="Q76" s="275">
        <v>1</v>
      </c>
      <c r="R76" s="275"/>
      <c r="S76" s="275"/>
      <c r="T76" s="275"/>
      <c r="U76" s="275"/>
      <c r="V76" s="275"/>
      <c r="W76" s="275"/>
      <c r="X76" s="275"/>
      <c r="Y76" s="435">
        <v>11</v>
      </c>
      <c r="Z76" s="275"/>
      <c r="AA76" s="275"/>
      <c r="AB76" s="275"/>
      <c r="AC76" s="275">
        <v>1</v>
      </c>
      <c r="AD76" s="275">
        <v>0</v>
      </c>
      <c r="AE76" s="275"/>
      <c r="AF76" s="275"/>
      <c r="AG76" s="275"/>
      <c r="AH76" s="275"/>
      <c r="AI76" s="275"/>
      <c r="AJ76" s="275" t="s">
        <v>121</v>
      </c>
      <c r="AK76" s="275"/>
      <c r="AL76" s="275"/>
      <c r="AM76" s="275"/>
      <c r="AN76" s="275"/>
      <c r="AO76" s="275"/>
      <c r="AP76" s="275"/>
      <c r="AQ76" s="275"/>
      <c r="BB76" s="145"/>
      <c r="BC76" s="145"/>
      <c r="BD76" s="145"/>
      <c r="BE76" s="145"/>
      <c r="BF76" s="145"/>
      <c r="BG76" s="145"/>
      <c r="BH76" s="156"/>
      <c r="BI76" s="348"/>
      <c r="BJ76" s="349"/>
      <c r="BK76" s="145"/>
      <c r="BL76" s="145"/>
      <c r="BM76" s="142"/>
      <c r="BN76" s="540"/>
      <c r="BO76" s="540"/>
      <c r="BP76" s="142"/>
    </row>
    <row r="77" spans="1:68" x14ac:dyDescent="0.2">
      <c r="A77" s="275">
        <v>7.5</v>
      </c>
      <c r="B77" s="275">
        <v>1</v>
      </c>
      <c r="C77" s="275">
        <v>0</v>
      </c>
      <c r="D77" s="275"/>
      <c r="E77" s="275"/>
      <c r="F77" s="275">
        <v>0</v>
      </c>
      <c r="G77" s="275"/>
      <c r="H77" s="275"/>
      <c r="I77" s="275">
        <v>0</v>
      </c>
      <c r="J77" s="275"/>
      <c r="K77" s="275"/>
      <c r="L77" s="275"/>
      <c r="M77" s="275"/>
      <c r="N77" s="275"/>
      <c r="O77" s="275">
        <v>0</v>
      </c>
      <c r="P77" s="275"/>
      <c r="Q77" s="275">
        <v>1</v>
      </c>
      <c r="R77" s="275"/>
      <c r="S77" s="275"/>
      <c r="T77" s="275"/>
      <c r="U77" s="275"/>
      <c r="V77" s="275"/>
      <c r="W77" s="275"/>
      <c r="X77" s="275"/>
      <c r="Y77" s="435">
        <v>12</v>
      </c>
      <c r="Z77" s="275"/>
      <c r="AA77" s="275"/>
      <c r="AB77" s="275"/>
      <c r="AC77" s="275">
        <v>1</v>
      </c>
      <c r="AD77" s="275">
        <v>0</v>
      </c>
      <c r="AE77" s="275"/>
      <c r="AF77" s="275"/>
      <c r="AG77" s="275"/>
      <c r="AH77" s="275"/>
      <c r="AI77" s="275"/>
      <c r="AJ77" s="275" t="s">
        <v>122</v>
      </c>
      <c r="AK77" s="275"/>
      <c r="AL77" s="275"/>
      <c r="AM77" s="275"/>
      <c r="AN77" s="275"/>
      <c r="AO77" s="275"/>
      <c r="AP77" s="275"/>
      <c r="AQ77" s="275"/>
      <c r="BB77" s="145"/>
      <c r="BC77" s="145"/>
      <c r="BD77" s="145"/>
      <c r="BE77" s="145"/>
      <c r="BF77" s="145"/>
      <c r="BG77" s="145"/>
      <c r="BH77" s="156"/>
      <c r="BI77" s="348"/>
      <c r="BJ77" s="349"/>
      <c r="BK77" s="145"/>
      <c r="BL77" s="145"/>
      <c r="BM77" s="142"/>
      <c r="BN77" s="540"/>
      <c r="BO77" s="540"/>
      <c r="BP77" s="142"/>
    </row>
    <row r="78" spans="1:68" x14ac:dyDescent="0.2">
      <c r="A78" s="275">
        <v>10</v>
      </c>
      <c r="B78" s="275">
        <v>1</v>
      </c>
      <c r="C78" s="275">
        <v>0</v>
      </c>
      <c r="D78" s="275"/>
      <c r="E78" s="275"/>
      <c r="F78" s="275">
        <v>0</v>
      </c>
      <c r="G78" s="275"/>
      <c r="H78" s="275"/>
      <c r="I78" s="275">
        <v>0</v>
      </c>
      <c r="J78" s="275"/>
      <c r="K78" s="275"/>
      <c r="L78" s="275"/>
      <c r="M78" s="275"/>
      <c r="N78" s="275"/>
      <c r="O78" s="275">
        <v>0</v>
      </c>
      <c r="P78" s="275"/>
      <c r="Q78" s="275">
        <v>1</v>
      </c>
      <c r="R78" s="275"/>
      <c r="S78" s="275"/>
      <c r="T78" s="275"/>
      <c r="U78" s="275"/>
      <c r="V78" s="275"/>
      <c r="W78" s="275"/>
      <c r="X78" s="275"/>
      <c r="Y78" s="436"/>
      <c r="Z78" s="275"/>
      <c r="AA78" s="275"/>
      <c r="AB78" s="275"/>
      <c r="AC78" s="275">
        <v>1</v>
      </c>
      <c r="AD78" s="275">
        <v>0</v>
      </c>
      <c r="AE78" s="275"/>
      <c r="AF78" s="275"/>
      <c r="AG78" s="275"/>
      <c r="AH78" s="275"/>
      <c r="AI78" s="275"/>
      <c r="AJ78" s="275" t="s">
        <v>123</v>
      </c>
      <c r="AK78" s="275"/>
      <c r="AL78" s="275"/>
      <c r="AM78" s="275"/>
      <c r="AN78" s="275"/>
      <c r="AO78" s="275"/>
      <c r="AP78" s="275"/>
      <c r="AQ78" s="275"/>
      <c r="BB78" s="145"/>
      <c r="BC78" s="145"/>
      <c r="BD78" s="145"/>
      <c r="BE78" s="145"/>
      <c r="BF78" s="145"/>
      <c r="BG78" s="145"/>
      <c r="BH78" s="156"/>
      <c r="BI78" s="348"/>
      <c r="BJ78" s="349"/>
      <c r="BK78" s="145"/>
      <c r="BL78" s="145"/>
      <c r="BM78" s="142"/>
      <c r="BN78" s="540"/>
      <c r="BO78" s="540"/>
      <c r="BP78" s="142"/>
    </row>
    <row r="79" spans="1:68" hidden="1" x14ac:dyDescent="0.2">
      <c r="A79" s="275">
        <v>12.5</v>
      </c>
      <c r="B79" s="275">
        <v>1</v>
      </c>
      <c r="C79" s="275">
        <v>0</v>
      </c>
      <c r="D79" s="275"/>
      <c r="E79" s="275"/>
      <c r="F79" s="275">
        <v>0</v>
      </c>
      <c r="G79" s="275"/>
      <c r="H79" s="275"/>
      <c r="I79" s="275">
        <v>0</v>
      </c>
      <c r="J79" s="275"/>
      <c r="K79" s="275"/>
      <c r="L79" s="275"/>
      <c r="M79" s="275"/>
      <c r="N79" s="275"/>
      <c r="O79" s="275">
        <v>0</v>
      </c>
      <c r="P79" s="275"/>
      <c r="Q79" s="275">
        <v>1</v>
      </c>
      <c r="R79" s="275"/>
      <c r="S79" s="275"/>
      <c r="T79" s="275"/>
      <c r="U79" s="275"/>
      <c r="V79" s="275"/>
      <c r="W79" s="275"/>
      <c r="X79" s="275"/>
      <c r="Y79" s="436"/>
      <c r="Z79" s="275"/>
      <c r="AA79" s="275"/>
      <c r="AB79" s="275"/>
      <c r="AC79" s="275">
        <v>1</v>
      </c>
      <c r="AD79" s="275">
        <v>0</v>
      </c>
      <c r="AE79" s="275"/>
      <c r="AF79" s="275"/>
      <c r="AG79" s="275"/>
      <c r="AH79" s="275"/>
      <c r="AI79" s="275"/>
      <c r="AJ79" s="275" t="s">
        <v>69</v>
      </c>
      <c r="AK79" s="275"/>
      <c r="AL79" s="275"/>
      <c r="AM79" s="275"/>
      <c r="AN79" s="275"/>
      <c r="AO79" s="275"/>
      <c r="AP79" s="275"/>
      <c r="AQ79" s="275"/>
      <c r="BB79" s="145"/>
      <c r="BC79" s="145"/>
      <c r="BD79" s="145"/>
      <c r="BE79" s="145"/>
      <c r="BF79" s="145"/>
      <c r="BG79" s="145"/>
      <c r="BH79" s="156"/>
      <c r="BI79" s="348"/>
      <c r="BJ79" s="349"/>
      <c r="BK79" s="145"/>
      <c r="BL79" s="145"/>
      <c r="BM79" s="142"/>
      <c r="BN79" s="540"/>
      <c r="BO79" s="540"/>
      <c r="BP79" s="142"/>
    </row>
    <row r="80" spans="1:68" hidden="1" x14ac:dyDescent="0.2">
      <c r="A80" s="275">
        <v>15</v>
      </c>
      <c r="B80" s="275">
        <v>1</v>
      </c>
      <c r="C80" s="275">
        <v>0</v>
      </c>
      <c r="D80" s="275"/>
      <c r="E80" s="275"/>
      <c r="F80" s="275">
        <v>0</v>
      </c>
      <c r="G80" s="275"/>
      <c r="H80" s="275"/>
      <c r="I80" s="275">
        <v>0</v>
      </c>
      <c r="J80" s="275"/>
      <c r="K80" s="275"/>
      <c r="L80" s="275"/>
      <c r="M80" s="275"/>
      <c r="N80" s="275"/>
      <c r="O80" s="275">
        <v>0</v>
      </c>
      <c r="P80" s="275"/>
      <c r="Q80" s="275">
        <v>1</v>
      </c>
      <c r="R80" s="275"/>
      <c r="S80" s="275"/>
      <c r="T80" s="275"/>
      <c r="U80" s="275"/>
      <c r="V80" s="275"/>
      <c r="W80" s="275"/>
      <c r="X80" s="275"/>
      <c r="Y80" s="436"/>
      <c r="Z80" s="275"/>
      <c r="AA80" s="275"/>
      <c r="AB80" s="275"/>
      <c r="AC80" s="275">
        <v>1</v>
      </c>
      <c r="AD80" s="275">
        <v>0</v>
      </c>
      <c r="AE80" s="275"/>
      <c r="AF80" s="275"/>
      <c r="AG80" s="275"/>
      <c r="AH80" s="275"/>
      <c r="AI80" s="275"/>
      <c r="AJ80" s="275" t="s">
        <v>1586</v>
      </c>
      <c r="AK80" s="275"/>
      <c r="AL80" s="275"/>
      <c r="AM80" s="275"/>
      <c r="AN80" s="275"/>
      <c r="AO80" s="275"/>
      <c r="AP80" s="275"/>
      <c r="AQ80" s="275"/>
      <c r="BB80" s="145"/>
      <c r="BC80" s="145"/>
      <c r="BD80" s="145"/>
      <c r="BE80" s="145"/>
      <c r="BF80" s="145"/>
      <c r="BG80" s="145"/>
      <c r="BH80" s="156"/>
      <c r="BI80" s="348"/>
      <c r="BJ80" s="349"/>
      <c r="BK80" s="145"/>
      <c r="BL80" s="145"/>
      <c r="BM80" s="142"/>
      <c r="BN80" s="540"/>
      <c r="BO80" s="540"/>
      <c r="BP80" s="142"/>
    </row>
    <row r="81" spans="1:68" ht="13.5" hidden="1" thickBot="1" x14ac:dyDescent="0.25">
      <c r="A81" s="275">
        <v>20</v>
      </c>
      <c r="B81" s="275">
        <v>1</v>
      </c>
      <c r="C81" s="275">
        <v>0</v>
      </c>
      <c r="D81" s="275"/>
      <c r="E81" s="275"/>
      <c r="F81" s="275">
        <v>0</v>
      </c>
      <c r="G81" s="275"/>
      <c r="H81" s="275"/>
      <c r="I81" s="275">
        <v>0</v>
      </c>
      <c r="J81" s="275"/>
      <c r="K81" s="275"/>
      <c r="L81" s="275"/>
      <c r="M81" s="275"/>
      <c r="N81" s="275"/>
      <c r="O81" s="275">
        <v>0</v>
      </c>
      <c r="P81" s="275"/>
      <c r="Q81" s="275">
        <v>1</v>
      </c>
      <c r="R81" s="337"/>
      <c r="S81" s="275"/>
      <c r="T81" s="275"/>
      <c r="U81" s="275"/>
      <c r="V81" s="275"/>
      <c r="W81" s="275"/>
      <c r="X81" s="275"/>
      <c r="Y81" s="436"/>
      <c r="Z81" s="275"/>
      <c r="AA81" s="275"/>
      <c r="AB81" s="275"/>
      <c r="AC81" s="275">
        <v>1</v>
      </c>
      <c r="AD81" s="275">
        <v>0</v>
      </c>
      <c r="AE81" s="275"/>
      <c r="AF81" s="275"/>
      <c r="AG81" s="275"/>
      <c r="AH81" s="275"/>
      <c r="AI81" s="275"/>
      <c r="AJ81" s="337"/>
      <c r="AK81" s="275"/>
      <c r="AL81" s="275"/>
      <c r="AM81" s="275"/>
      <c r="AN81" s="275"/>
      <c r="AO81" s="275"/>
      <c r="AP81" s="275"/>
      <c r="AQ81" s="275"/>
      <c r="BB81" s="145"/>
      <c r="BC81" s="145"/>
      <c r="BD81" s="145"/>
      <c r="BE81" s="145"/>
      <c r="BF81" s="145"/>
      <c r="BG81" s="145"/>
      <c r="BH81" s="158"/>
      <c r="BI81" s="352"/>
      <c r="BJ81" s="353"/>
      <c r="BK81" s="145"/>
      <c r="BL81" s="145"/>
      <c r="BM81" s="142"/>
      <c r="BN81" s="540"/>
      <c r="BO81" s="540"/>
      <c r="BP81" s="142"/>
    </row>
    <row r="82" spans="1:68" ht="13.5" hidden="1" thickBot="1" x14ac:dyDescent="0.25">
      <c r="A82" s="275">
        <v>25</v>
      </c>
      <c r="B82" s="275">
        <v>1</v>
      </c>
      <c r="C82" s="275">
        <v>0</v>
      </c>
      <c r="D82" s="275"/>
      <c r="E82" s="275"/>
      <c r="F82" s="275">
        <v>0</v>
      </c>
      <c r="G82" s="275"/>
      <c r="H82" s="275"/>
      <c r="I82" s="275">
        <v>0</v>
      </c>
      <c r="J82" s="275"/>
      <c r="K82" s="275"/>
      <c r="L82" s="275"/>
      <c r="M82" s="275"/>
      <c r="N82" s="275"/>
      <c r="O82" s="275"/>
      <c r="P82" s="275"/>
      <c r="Q82" s="275">
        <v>1</v>
      </c>
      <c r="R82" s="337"/>
      <c r="S82" s="275"/>
      <c r="T82" s="275"/>
      <c r="U82" s="275"/>
      <c r="V82" s="275"/>
      <c r="W82" s="275"/>
      <c r="X82" s="275"/>
      <c r="Y82" s="436"/>
      <c r="Z82" s="275"/>
      <c r="AA82" s="275"/>
      <c r="AB82" s="275"/>
      <c r="AC82" s="275">
        <v>1</v>
      </c>
      <c r="AD82" s="275">
        <v>0</v>
      </c>
      <c r="AE82" s="275"/>
      <c r="AF82" s="275"/>
      <c r="AG82" s="275"/>
      <c r="AH82" s="275"/>
      <c r="AI82" s="275"/>
      <c r="AJ82" s="275"/>
      <c r="AK82" s="275"/>
      <c r="AL82" s="275"/>
      <c r="AM82" s="275"/>
      <c r="AN82" s="275"/>
      <c r="AO82" s="275"/>
      <c r="AP82" s="275"/>
      <c r="AQ82" s="275"/>
      <c r="BB82" s="145"/>
      <c r="BC82" s="145"/>
      <c r="BD82" s="145"/>
      <c r="BE82" s="145"/>
      <c r="BF82" s="145"/>
      <c r="BG82" s="145"/>
      <c r="BH82" s="154"/>
      <c r="BI82" s="160"/>
      <c r="BJ82" s="160"/>
      <c r="BK82" s="145"/>
      <c r="BL82" s="145"/>
      <c r="BM82" s="142"/>
      <c r="BN82" s="347"/>
      <c r="BO82" s="347"/>
      <c r="BP82" s="142"/>
    </row>
    <row r="83" spans="1:68" ht="13.5" hidden="1" thickBot="1" x14ac:dyDescent="0.25">
      <c r="A83" s="275">
        <v>30</v>
      </c>
      <c r="B83" s="275">
        <v>1</v>
      </c>
      <c r="C83" s="275">
        <v>0</v>
      </c>
      <c r="D83" s="275"/>
      <c r="E83" s="275"/>
      <c r="F83" s="275">
        <v>0</v>
      </c>
      <c r="G83" s="275"/>
      <c r="H83" s="275"/>
      <c r="I83" s="275">
        <v>0</v>
      </c>
      <c r="J83" s="275"/>
      <c r="K83" s="275"/>
      <c r="L83" s="275"/>
      <c r="M83" s="275"/>
      <c r="N83" s="275"/>
      <c r="O83" s="275"/>
      <c r="P83" s="275"/>
      <c r="Q83" s="275">
        <v>1</v>
      </c>
      <c r="R83" s="337"/>
      <c r="S83" s="275"/>
      <c r="T83" s="275"/>
      <c r="U83" s="275"/>
      <c r="V83" s="275"/>
      <c r="W83" s="275"/>
      <c r="X83" s="275"/>
      <c r="Y83" s="436"/>
      <c r="Z83" s="275"/>
      <c r="AA83" s="275"/>
      <c r="AB83" s="275"/>
      <c r="AC83" s="275">
        <v>1</v>
      </c>
      <c r="AD83" s="275">
        <v>0</v>
      </c>
      <c r="AE83" s="275"/>
      <c r="AF83" s="275"/>
      <c r="AG83" s="275"/>
      <c r="AH83" s="275"/>
      <c r="AI83" s="275"/>
      <c r="AJ83" s="275"/>
      <c r="AK83" s="275"/>
      <c r="AL83" s="275"/>
      <c r="AM83" s="275"/>
      <c r="AN83" s="275"/>
      <c r="AO83" s="275"/>
      <c r="AP83" s="275"/>
      <c r="AQ83" s="275"/>
      <c r="BB83" s="145"/>
      <c r="BC83" s="145"/>
      <c r="BD83" s="145"/>
      <c r="BE83" s="145"/>
      <c r="BF83" s="145"/>
      <c r="BG83" s="145"/>
      <c r="BH83" s="342"/>
      <c r="BI83" s="342"/>
      <c r="BJ83" s="342"/>
      <c r="BK83" s="145"/>
      <c r="BL83" s="145"/>
      <c r="BM83" s="131"/>
      <c r="BN83" s="131"/>
      <c r="BO83" s="131"/>
      <c r="BP83" s="131"/>
    </row>
    <row r="84" spans="1:68" ht="13.5" hidden="1" thickBot="1" x14ac:dyDescent="0.25">
      <c r="A84" s="275"/>
      <c r="B84" s="275"/>
      <c r="C84" s="275"/>
      <c r="D84" s="275"/>
      <c r="E84" s="275"/>
      <c r="F84" s="275"/>
      <c r="G84" s="275"/>
      <c r="H84" s="275"/>
      <c r="I84" s="275">
        <v>0</v>
      </c>
      <c r="J84" s="275"/>
      <c r="K84" s="275"/>
      <c r="L84" s="275"/>
      <c r="M84" s="275"/>
      <c r="N84" s="275"/>
      <c r="O84" s="275">
        <v>0</v>
      </c>
      <c r="P84" s="275"/>
      <c r="Q84" s="275">
        <v>1</v>
      </c>
      <c r="R84" s="337"/>
      <c r="S84" s="275"/>
      <c r="T84" s="275"/>
      <c r="U84" s="275"/>
      <c r="V84" s="275"/>
      <c r="W84" s="275"/>
      <c r="X84" s="275"/>
      <c r="Y84" s="434"/>
      <c r="Z84" s="275"/>
      <c r="AA84" s="275"/>
      <c r="AB84" s="275"/>
      <c r="AC84" s="275">
        <v>1</v>
      </c>
      <c r="AD84" s="275">
        <v>0</v>
      </c>
      <c r="AE84" s="275"/>
      <c r="AF84" s="275"/>
      <c r="AG84" s="275"/>
      <c r="AH84" s="275"/>
      <c r="AI84" s="275"/>
      <c r="AJ84" s="275"/>
      <c r="AK84" s="275"/>
      <c r="AL84" s="275"/>
      <c r="AM84" s="275"/>
      <c r="AN84" s="275"/>
      <c r="AO84" s="275"/>
      <c r="AP84" s="275"/>
      <c r="AQ84" s="275"/>
      <c r="BB84" s="145"/>
      <c r="BC84" s="145"/>
      <c r="BD84" s="145"/>
      <c r="BE84" s="145"/>
      <c r="BF84" s="145"/>
      <c r="BG84" s="145"/>
      <c r="BH84" s="155"/>
      <c r="BI84" s="350"/>
      <c r="BJ84" s="351"/>
      <c r="BK84" s="145"/>
      <c r="BL84" s="145"/>
      <c r="BM84" s="142"/>
      <c r="BN84" s="540"/>
      <c r="BO84" s="540"/>
      <c r="BP84" s="142"/>
    </row>
    <row r="85" spans="1:68" ht="12.75" hidden="1" customHeight="1" thickBot="1" x14ac:dyDescent="0.25">
      <c r="A85" s="134" t="s">
        <v>60</v>
      </c>
      <c r="B85" s="381" t="s">
        <v>63</v>
      </c>
      <c r="C85" s="382"/>
      <c r="D85" s="382"/>
      <c r="E85" s="382"/>
      <c r="F85" s="382"/>
      <c r="G85" s="382"/>
      <c r="H85" s="216"/>
      <c r="I85" s="160"/>
      <c r="J85" s="160"/>
      <c r="K85" s="151"/>
      <c r="L85" s="161"/>
      <c r="M85" s="217"/>
      <c r="N85" s="151"/>
      <c r="O85" s="161"/>
      <c r="P85" s="217"/>
      <c r="Q85" s="157"/>
      <c r="R85" s="559">
        <v>0</v>
      </c>
      <c r="S85" s="560"/>
      <c r="T85" s="157"/>
      <c r="U85" s="561">
        <v>0</v>
      </c>
      <c r="V85" s="562"/>
      <c r="W85" s="157"/>
      <c r="X85" s="559">
        <v>0</v>
      </c>
      <c r="Y85" s="560"/>
      <c r="Z85" s="157"/>
      <c r="AA85" s="561">
        <v>0</v>
      </c>
      <c r="AB85" s="562"/>
      <c r="AC85" s="272"/>
      <c r="AD85" s="567">
        <v>0</v>
      </c>
      <c r="AE85" s="568"/>
      <c r="AF85" s="272"/>
      <c r="AG85" s="569">
        <v>0</v>
      </c>
      <c r="AH85" s="570"/>
      <c r="AJ85" s="275"/>
      <c r="AN85" s="142"/>
      <c r="AO85" s="268"/>
      <c r="AP85" s="268"/>
      <c r="AQ85" s="142"/>
    </row>
    <row r="86" spans="1:68" ht="13.5" hidden="1" customHeight="1" thickBot="1" x14ac:dyDescent="0.25">
      <c r="A86" s="137">
        <v>0.33333333333333298</v>
      </c>
      <c r="B86" s="152">
        <v>1</v>
      </c>
      <c r="C86" s="571">
        <v>0</v>
      </c>
      <c r="D86" s="572"/>
      <c r="E86" s="180">
        <v>1</v>
      </c>
      <c r="F86" s="567">
        <v>0</v>
      </c>
      <c r="G86" s="568"/>
      <c r="H86" s="382"/>
      <c r="I86" s="382"/>
      <c r="J86" s="382"/>
      <c r="K86" s="382"/>
      <c r="L86" s="382"/>
      <c r="M86" s="383"/>
      <c r="N86" s="156"/>
      <c r="O86" s="348">
        <v>0</v>
      </c>
      <c r="P86" s="349"/>
      <c r="Q86" s="157"/>
      <c r="R86" s="559">
        <v>0</v>
      </c>
      <c r="S86" s="560"/>
      <c r="T86" s="157"/>
      <c r="U86" s="561">
        <v>0</v>
      </c>
      <c r="V86" s="562"/>
      <c r="W86" s="157"/>
      <c r="X86" s="559">
        <v>0</v>
      </c>
      <c r="Y86" s="560"/>
      <c r="Z86" s="157"/>
      <c r="AA86" s="561">
        <v>0</v>
      </c>
      <c r="AB86" s="562"/>
      <c r="AC86" s="157"/>
      <c r="AD86" s="559">
        <v>0</v>
      </c>
      <c r="AE86" s="560"/>
      <c r="AF86" s="157"/>
      <c r="AG86" s="561">
        <v>0</v>
      </c>
      <c r="AH86" s="562"/>
      <c r="AN86" s="142"/>
      <c r="AO86" s="268"/>
      <c r="AP86" s="268"/>
      <c r="AQ86" s="142"/>
    </row>
    <row r="87" spans="1:68" ht="12.75" hidden="1" customHeight="1" x14ac:dyDescent="0.2">
      <c r="A87" s="137">
        <v>0.5</v>
      </c>
      <c r="B87" s="148">
        <v>1</v>
      </c>
      <c r="C87" s="561">
        <v>0</v>
      </c>
      <c r="D87" s="562"/>
      <c r="E87" s="147">
        <v>1</v>
      </c>
      <c r="F87" s="559">
        <v>0</v>
      </c>
      <c r="G87" s="560"/>
      <c r="H87" s="180">
        <v>1</v>
      </c>
      <c r="I87" s="569">
        <v>0</v>
      </c>
      <c r="J87" s="570"/>
      <c r="K87" s="180">
        <v>1</v>
      </c>
      <c r="L87" s="567">
        <v>0</v>
      </c>
      <c r="M87" s="568"/>
      <c r="N87" s="180">
        <v>1</v>
      </c>
      <c r="O87" s="567">
        <v>0</v>
      </c>
      <c r="P87" s="568"/>
      <c r="Q87" s="157"/>
      <c r="R87" s="559">
        <v>0</v>
      </c>
      <c r="S87" s="560"/>
      <c r="T87" s="157"/>
      <c r="U87" s="561">
        <v>0</v>
      </c>
      <c r="V87" s="562"/>
      <c r="W87" s="157"/>
      <c r="X87" s="559">
        <v>0</v>
      </c>
      <c r="Y87" s="560"/>
      <c r="Z87" s="157"/>
      <c r="AA87" s="561">
        <v>0</v>
      </c>
      <c r="AB87" s="562"/>
      <c r="AC87" s="157"/>
      <c r="AD87" s="559">
        <v>0</v>
      </c>
      <c r="AE87" s="560"/>
      <c r="AF87" s="157"/>
      <c r="AG87" s="561">
        <v>0</v>
      </c>
      <c r="AH87" s="562"/>
      <c r="AN87" s="142"/>
      <c r="AO87" s="268"/>
      <c r="AP87" s="268"/>
      <c r="AQ87" s="142"/>
    </row>
    <row r="88" spans="1:68" ht="12.75" hidden="1" customHeight="1" thickBot="1" x14ac:dyDescent="0.25">
      <c r="A88" s="137">
        <v>0.75</v>
      </c>
      <c r="B88" s="148">
        <v>1</v>
      </c>
      <c r="C88" s="561">
        <v>0</v>
      </c>
      <c r="D88" s="562"/>
      <c r="E88" s="147">
        <v>1</v>
      </c>
      <c r="F88" s="559">
        <v>0</v>
      </c>
      <c r="G88" s="560"/>
      <c r="H88" s="147">
        <v>1</v>
      </c>
      <c r="I88" s="561">
        <v>0</v>
      </c>
      <c r="J88" s="562"/>
      <c r="K88" s="147">
        <v>1</v>
      </c>
      <c r="L88" s="559">
        <v>0</v>
      </c>
      <c r="M88" s="560"/>
      <c r="N88" s="147">
        <v>1</v>
      </c>
      <c r="O88" s="559">
        <v>0</v>
      </c>
      <c r="P88" s="560"/>
      <c r="Q88" s="157"/>
      <c r="R88" s="559">
        <v>0</v>
      </c>
      <c r="S88" s="560"/>
      <c r="T88" s="157"/>
      <c r="U88" s="561">
        <v>0</v>
      </c>
      <c r="V88" s="562"/>
      <c r="W88" s="157"/>
      <c r="X88" s="559">
        <v>0</v>
      </c>
      <c r="Y88" s="560"/>
      <c r="Z88" s="157"/>
      <c r="AA88" s="561">
        <v>0</v>
      </c>
      <c r="AB88" s="562"/>
      <c r="AC88" s="157"/>
      <c r="AD88" s="559">
        <v>0</v>
      </c>
      <c r="AE88" s="560"/>
      <c r="AF88" s="157"/>
      <c r="AG88" s="561">
        <v>0</v>
      </c>
      <c r="AH88" s="562"/>
      <c r="AN88" s="142"/>
      <c r="AO88" s="268"/>
      <c r="AP88" s="268"/>
      <c r="AQ88" s="142"/>
    </row>
    <row r="89" spans="1:68" ht="12.75" hidden="1" customHeight="1" x14ac:dyDescent="0.2">
      <c r="A89" s="137">
        <v>1</v>
      </c>
      <c r="B89" s="152">
        <v>1</v>
      </c>
      <c r="C89" s="571">
        <v>0</v>
      </c>
      <c r="D89" s="572"/>
      <c r="E89" s="147">
        <v>1</v>
      </c>
      <c r="F89" s="559">
        <v>0</v>
      </c>
      <c r="G89" s="560"/>
      <c r="H89" s="147">
        <v>1</v>
      </c>
      <c r="I89" s="561">
        <v>0</v>
      </c>
      <c r="J89" s="562"/>
      <c r="K89" s="147">
        <v>1</v>
      </c>
      <c r="L89" s="559">
        <v>0</v>
      </c>
      <c r="M89" s="560"/>
      <c r="N89" s="147">
        <v>1</v>
      </c>
      <c r="O89" s="559">
        <v>0</v>
      </c>
      <c r="P89" s="560"/>
      <c r="Q89" s="157"/>
      <c r="R89" s="559">
        <v>0</v>
      </c>
      <c r="S89" s="560"/>
      <c r="T89" s="157"/>
      <c r="U89" s="561">
        <v>0</v>
      </c>
      <c r="V89" s="562"/>
      <c r="W89" s="157"/>
      <c r="X89" s="559">
        <v>0</v>
      </c>
      <c r="Y89" s="560"/>
      <c r="Z89" s="157"/>
      <c r="AA89" s="561">
        <v>0</v>
      </c>
      <c r="AB89" s="562"/>
      <c r="AC89" s="157"/>
      <c r="AD89" s="559">
        <v>0</v>
      </c>
      <c r="AE89" s="560"/>
      <c r="AF89" s="157"/>
      <c r="AG89" s="561">
        <v>0</v>
      </c>
      <c r="AH89" s="562"/>
      <c r="AN89" s="142"/>
      <c r="AO89" s="268"/>
      <c r="AP89" s="268"/>
      <c r="AQ89" s="142"/>
    </row>
    <row r="90" spans="1:68" ht="12.75" hidden="1" customHeight="1" x14ac:dyDescent="0.2">
      <c r="A90" s="137">
        <v>1.5</v>
      </c>
      <c r="B90" s="148">
        <v>1</v>
      </c>
      <c r="C90" s="561">
        <v>0</v>
      </c>
      <c r="D90" s="562"/>
      <c r="E90" s="180">
        <v>1</v>
      </c>
      <c r="F90" s="567">
        <v>0</v>
      </c>
      <c r="G90" s="568"/>
      <c r="H90" s="147">
        <v>1</v>
      </c>
      <c r="I90" s="569">
        <v>0</v>
      </c>
      <c r="J90" s="570"/>
      <c r="K90" s="147">
        <v>1</v>
      </c>
      <c r="L90" s="559">
        <v>0</v>
      </c>
      <c r="M90" s="560"/>
      <c r="N90" s="147">
        <v>1</v>
      </c>
      <c r="O90" s="559">
        <v>0</v>
      </c>
      <c r="P90" s="560"/>
      <c r="Q90" s="157"/>
      <c r="R90" s="559">
        <v>0</v>
      </c>
      <c r="S90" s="560"/>
      <c r="T90" s="157"/>
      <c r="U90" s="561">
        <v>0</v>
      </c>
      <c r="V90" s="562"/>
      <c r="W90" s="157"/>
      <c r="X90" s="559">
        <v>0</v>
      </c>
      <c r="Y90" s="560"/>
      <c r="Z90" s="157"/>
      <c r="AA90" s="561">
        <v>0</v>
      </c>
      <c r="AB90" s="562"/>
      <c r="AC90" s="157"/>
      <c r="AD90" s="559">
        <v>0</v>
      </c>
      <c r="AE90" s="560"/>
      <c r="AF90" s="157"/>
      <c r="AG90" s="561">
        <v>0</v>
      </c>
      <c r="AH90" s="562"/>
      <c r="AN90" s="142"/>
      <c r="AO90" s="268"/>
      <c r="AP90" s="268"/>
      <c r="AQ90" s="142"/>
    </row>
    <row r="91" spans="1:68" ht="12.75" hidden="1" customHeight="1" thickBot="1" x14ac:dyDescent="0.25">
      <c r="A91" s="137">
        <v>2</v>
      </c>
      <c r="B91" s="148">
        <v>1</v>
      </c>
      <c r="C91" s="561">
        <v>0</v>
      </c>
      <c r="D91" s="562"/>
      <c r="E91" s="147">
        <v>1</v>
      </c>
      <c r="F91" s="559">
        <v>0</v>
      </c>
      <c r="G91" s="560"/>
      <c r="H91" s="180">
        <v>1</v>
      </c>
      <c r="I91" s="561">
        <v>0</v>
      </c>
      <c r="J91" s="562"/>
      <c r="K91" s="180">
        <v>1</v>
      </c>
      <c r="L91" s="567">
        <v>0</v>
      </c>
      <c r="M91" s="568"/>
      <c r="N91" s="180">
        <v>1</v>
      </c>
      <c r="O91" s="567">
        <v>0</v>
      </c>
      <c r="P91" s="568"/>
      <c r="Q91" s="157"/>
      <c r="R91" s="559">
        <v>0</v>
      </c>
      <c r="S91" s="560"/>
      <c r="T91" s="157"/>
      <c r="U91" s="561">
        <v>0</v>
      </c>
      <c r="V91" s="562"/>
      <c r="W91" s="157"/>
      <c r="X91" s="559">
        <v>0</v>
      </c>
      <c r="Y91" s="560"/>
      <c r="Z91" s="157"/>
      <c r="AA91" s="561">
        <v>0</v>
      </c>
      <c r="AB91" s="562"/>
      <c r="AC91" s="157"/>
      <c r="AD91" s="559">
        <v>0</v>
      </c>
      <c r="AE91" s="560"/>
      <c r="AF91" s="157"/>
      <c r="AG91" s="561">
        <v>0</v>
      </c>
      <c r="AH91" s="562"/>
      <c r="AN91" s="142"/>
      <c r="AO91" s="268"/>
      <c r="AP91" s="268"/>
      <c r="AQ91" s="142"/>
    </row>
    <row r="92" spans="1:68" ht="12.75" hidden="1" customHeight="1" x14ac:dyDescent="0.2">
      <c r="A92" s="137">
        <v>3</v>
      </c>
      <c r="B92" s="152">
        <v>1</v>
      </c>
      <c r="C92" s="571">
        <v>0</v>
      </c>
      <c r="D92" s="572"/>
      <c r="E92" s="147">
        <v>1</v>
      </c>
      <c r="F92" s="559">
        <v>0</v>
      </c>
      <c r="G92" s="560"/>
      <c r="H92" s="147">
        <v>1</v>
      </c>
      <c r="I92" s="561">
        <v>0</v>
      </c>
      <c r="J92" s="562"/>
      <c r="K92" s="147">
        <v>1</v>
      </c>
      <c r="L92" s="559">
        <v>0</v>
      </c>
      <c r="M92" s="560"/>
      <c r="N92" s="147">
        <v>1</v>
      </c>
      <c r="O92" s="559">
        <v>0</v>
      </c>
      <c r="P92" s="560"/>
      <c r="Q92" s="157"/>
      <c r="R92" s="559">
        <v>0</v>
      </c>
      <c r="S92" s="560"/>
      <c r="T92" s="157"/>
      <c r="U92" s="561">
        <v>0</v>
      </c>
      <c r="V92" s="562"/>
      <c r="W92" s="157"/>
      <c r="X92" s="559">
        <v>0</v>
      </c>
      <c r="Y92" s="560"/>
      <c r="Z92" s="157"/>
      <c r="AA92" s="561">
        <v>0</v>
      </c>
      <c r="AB92" s="562"/>
      <c r="AC92" s="157"/>
      <c r="AD92" s="559">
        <v>0</v>
      </c>
      <c r="AE92" s="560"/>
      <c r="AF92" s="157"/>
      <c r="AG92" s="561">
        <v>0</v>
      </c>
      <c r="AH92" s="562"/>
      <c r="AN92" s="142"/>
      <c r="AO92" s="268"/>
      <c r="AP92" s="268"/>
      <c r="AQ92" s="142"/>
    </row>
    <row r="93" spans="1:68" ht="12.75" hidden="1" customHeight="1" x14ac:dyDescent="0.2">
      <c r="A93" s="137">
        <v>4</v>
      </c>
      <c r="B93" s="148">
        <v>1</v>
      </c>
      <c r="C93" s="561">
        <v>0</v>
      </c>
      <c r="D93" s="562"/>
      <c r="E93" s="147">
        <v>1</v>
      </c>
      <c r="F93" s="559">
        <v>0</v>
      </c>
      <c r="G93" s="560"/>
      <c r="H93" s="147">
        <v>1</v>
      </c>
      <c r="I93" s="569">
        <v>0</v>
      </c>
      <c r="J93" s="570"/>
      <c r="K93" s="147">
        <v>1</v>
      </c>
      <c r="L93" s="559">
        <v>0</v>
      </c>
      <c r="M93" s="560"/>
      <c r="N93" s="147">
        <v>1</v>
      </c>
      <c r="O93" s="559">
        <v>0</v>
      </c>
      <c r="P93" s="560"/>
      <c r="Q93" s="157"/>
      <c r="R93" s="559">
        <v>0</v>
      </c>
      <c r="S93" s="560"/>
      <c r="T93" s="157"/>
      <c r="U93" s="561">
        <v>0</v>
      </c>
      <c r="V93" s="562"/>
      <c r="W93" s="157"/>
      <c r="X93" s="559">
        <v>0</v>
      </c>
      <c r="Y93" s="560"/>
      <c r="Z93" s="157"/>
      <c r="AA93" s="561">
        <v>0</v>
      </c>
      <c r="AB93" s="562"/>
      <c r="AC93" s="157"/>
      <c r="AD93" s="559">
        <v>0</v>
      </c>
      <c r="AE93" s="560"/>
      <c r="AF93" s="157"/>
      <c r="AG93" s="561">
        <v>0</v>
      </c>
      <c r="AH93" s="562"/>
      <c r="AN93" s="142"/>
      <c r="AO93" s="268"/>
      <c r="AP93" s="268"/>
      <c r="AQ93" s="142"/>
    </row>
    <row r="94" spans="1:68" ht="12.75" hidden="1" customHeight="1" thickBot="1" x14ac:dyDescent="0.25">
      <c r="A94" s="137">
        <v>5</v>
      </c>
      <c r="B94" s="148">
        <v>1</v>
      </c>
      <c r="C94" s="561">
        <v>0</v>
      </c>
      <c r="D94" s="562"/>
      <c r="E94" s="180">
        <v>1</v>
      </c>
      <c r="F94" s="567">
        <v>0</v>
      </c>
      <c r="G94" s="568"/>
      <c r="H94" s="147">
        <v>1</v>
      </c>
      <c r="I94" s="561">
        <v>0</v>
      </c>
      <c r="J94" s="562"/>
      <c r="K94" s="147">
        <v>1</v>
      </c>
      <c r="L94" s="559">
        <v>0</v>
      </c>
      <c r="M94" s="560"/>
      <c r="N94" s="147">
        <v>1</v>
      </c>
      <c r="O94" s="559">
        <v>0</v>
      </c>
      <c r="P94" s="560"/>
      <c r="Q94" s="157"/>
      <c r="R94" s="559">
        <v>0</v>
      </c>
      <c r="S94" s="560"/>
      <c r="T94" s="157"/>
      <c r="U94" s="561">
        <v>0</v>
      </c>
      <c r="V94" s="562"/>
      <c r="W94" s="157"/>
      <c r="X94" s="559">
        <v>0</v>
      </c>
      <c r="Y94" s="560"/>
      <c r="Z94" s="157"/>
      <c r="AA94" s="561">
        <v>0</v>
      </c>
      <c r="AB94" s="562"/>
      <c r="AC94" s="157"/>
      <c r="AD94" s="559">
        <v>0</v>
      </c>
      <c r="AE94" s="560"/>
      <c r="AF94" s="157"/>
      <c r="AG94" s="561">
        <v>0</v>
      </c>
      <c r="AH94" s="562"/>
      <c r="AN94" s="142"/>
      <c r="AO94" s="268"/>
      <c r="AP94" s="268"/>
      <c r="AQ94" s="142"/>
    </row>
    <row r="95" spans="1:68" ht="12.75" hidden="1" customHeight="1" x14ac:dyDescent="0.2">
      <c r="A95" s="137">
        <v>7</v>
      </c>
      <c r="B95" s="152">
        <v>1</v>
      </c>
      <c r="C95" s="571">
        <v>0</v>
      </c>
      <c r="D95" s="572"/>
      <c r="E95" s="147">
        <v>1</v>
      </c>
      <c r="F95" s="559">
        <v>0</v>
      </c>
      <c r="G95" s="560"/>
      <c r="H95" s="180">
        <v>1</v>
      </c>
      <c r="I95" s="561">
        <v>0</v>
      </c>
      <c r="J95" s="562"/>
      <c r="K95" s="180">
        <v>1</v>
      </c>
      <c r="L95" s="567">
        <v>0</v>
      </c>
      <c r="M95" s="568"/>
      <c r="N95" s="180">
        <v>1</v>
      </c>
      <c r="O95" s="567">
        <v>0</v>
      </c>
      <c r="P95" s="568"/>
      <c r="Q95" s="157"/>
      <c r="R95" s="559">
        <v>0</v>
      </c>
      <c r="S95" s="560"/>
      <c r="T95" s="157"/>
      <c r="U95" s="561">
        <v>0</v>
      </c>
      <c r="V95" s="562"/>
      <c r="W95" s="157"/>
      <c r="X95" s="559">
        <v>0</v>
      </c>
      <c r="Y95" s="560"/>
      <c r="Z95" s="157"/>
      <c r="AA95" s="561">
        <v>0</v>
      </c>
      <c r="AB95" s="562"/>
      <c r="AC95" s="157"/>
      <c r="AD95" s="559">
        <v>0</v>
      </c>
      <c r="AE95" s="560"/>
      <c r="AF95" s="157"/>
      <c r="AG95" s="561">
        <v>0</v>
      </c>
      <c r="AH95" s="562"/>
      <c r="AN95" s="142"/>
      <c r="AO95" s="268"/>
      <c r="AP95" s="268"/>
      <c r="AQ95" s="142"/>
    </row>
    <row r="96" spans="1:68" ht="12.75" hidden="1" customHeight="1" x14ac:dyDescent="0.2">
      <c r="A96" s="137">
        <v>7.5</v>
      </c>
      <c r="B96" s="148">
        <v>1</v>
      </c>
      <c r="C96" s="561">
        <v>0</v>
      </c>
      <c r="D96" s="562"/>
      <c r="E96" s="147">
        <v>1</v>
      </c>
      <c r="F96" s="559">
        <v>0</v>
      </c>
      <c r="G96" s="560"/>
      <c r="H96" s="147">
        <v>1</v>
      </c>
      <c r="I96" s="569">
        <v>0</v>
      </c>
      <c r="J96" s="570"/>
      <c r="K96" s="147">
        <v>1</v>
      </c>
      <c r="L96" s="559">
        <v>0</v>
      </c>
      <c r="M96" s="560"/>
      <c r="N96" s="147">
        <v>1</v>
      </c>
      <c r="O96" s="559">
        <v>0</v>
      </c>
      <c r="P96" s="560"/>
      <c r="Q96" s="157"/>
      <c r="R96" s="559">
        <v>0</v>
      </c>
      <c r="S96" s="560"/>
      <c r="T96" s="157"/>
      <c r="U96" s="561">
        <v>0</v>
      </c>
      <c r="V96" s="562"/>
      <c r="W96" s="157"/>
      <c r="X96" s="559">
        <v>0</v>
      </c>
      <c r="Y96" s="560"/>
      <c r="Z96" s="157"/>
      <c r="AA96" s="561">
        <v>0</v>
      </c>
      <c r="AB96" s="562"/>
      <c r="AC96" s="157"/>
      <c r="AD96" s="559">
        <v>0</v>
      </c>
      <c r="AE96" s="560"/>
      <c r="AF96" s="157"/>
      <c r="AG96" s="561">
        <v>0</v>
      </c>
      <c r="AH96" s="562"/>
      <c r="AN96" s="142"/>
      <c r="AO96" s="268"/>
      <c r="AP96" s="268"/>
      <c r="AQ96" s="142"/>
    </row>
    <row r="97" spans="1:43" ht="12.75" hidden="1" customHeight="1" thickBot="1" x14ac:dyDescent="0.25">
      <c r="A97" s="137">
        <v>10</v>
      </c>
      <c r="B97" s="148">
        <v>1</v>
      </c>
      <c r="C97" s="561">
        <v>0</v>
      </c>
      <c r="D97" s="562"/>
      <c r="E97" s="147">
        <v>1</v>
      </c>
      <c r="F97" s="559">
        <v>0</v>
      </c>
      <c r="G97" s="560"/>
      <c r="H97" s="147">
        <v>1</v>
      </c>
      <c r="I97" s="561">
        <v>0</v>
      </c>
      <c r="J97" s="562"/>
      <c r="K97" s="147">
        <v>1</v>
      </c>
      <c r="L97" s="559">
        <v>0</v>
      </c>
      <c r="M97" s="560"/>
      <c r="N97" s="147">
        <v>1</v>
      </c>
      <c r="O97" s="559">
        <v>0</v>
      </c>
      <c r="P97" s="560"/>
      <c r="Q97" s="157"/>
      <c r="R97" s="559">
        <v>0</v>
      </c>
      <c r="S97" s="560"/>
      <c r="T97" s="157"/>
      <c r="U97" s="561">
        <v>0</v>
      </c>
      <c r="V97" s="562"/>
      <c r="W97" s="157"/>
      <c r="X97" s="559">
        <v>0</v>
      </c>
      <c r="Y97" s="560"/>
      <c r="Z97" s="157"/>
      <c r="AA97" s="561">
        <v>0</v>
      </c>
      <c r="AB97" s="562"/>
      <c r="AC97" s="157"/>
      <c r="AD97" s="559">
        <v>0</v>
      </c>
      <c r="AE97" s="560"/>
      <c r="AF97" s="157"/>
      <c r="AG97" s="561">
        <v>0</v>
      </c>
      <c r="AH97" s="562"/>
      <c r="AN97" s="142"/>
      <c r="AO97" s="268"/>
      <c r="AP97" s="268"/>
      <c r="AQ97" s="142"/>
    </row>
    <row r="98" spans="1:43" ht="12.75" hidden="1" customHeight="1" x14ac:dyDescent="0.2">
      <c r="A98" s="137">
        <v>12.5</v>
      </c>
      <c r="B98" s="152">
        <v>1</v>
      </c>
      <c r="C98" s="571">
        <v>0</v>
      </c>
      <c r="D98" s="572"/>
      <c r="E98" s="180">
        <v>1</v>
      </c>
      <c r="F98" s="567">
        <v>0</v>
      </c>
      <c r="G98" s="568"/>
      <c r="H98" s="147">
        <v>1</v>
      </c>
      <c r="I98" s="561">
        <v>0</v>
      </c>
      <c r="J98" s="562"/>
      <c r="K98" s="147">
        <v>1</v>
      </c>
      <c r="L98" s="559">
        <v>0</v>
      </c>
      <c r="M98" s="560"/>
      <c r="N98" s="147">
        <v>1</v>
      </c>
      <c r="O98" s="559">
        <v>0</v>
      </c>
      <c r="P98" s="560"/>
      <c r="Q98" s="157"/>
      <c r="R98" s="559">
        <v>0</v>
      </c>
      <c r="S98" s="560"/>
      <c r="T98" s="157"/>
      <c r="U98" s="561">
        <v>0</v>
      </c>
      <c r="V98" s="562"/>
      <c r="W98" s="157"/>
      <c r="X98" s="559">
        <v>0</v>
      </c>
      <c r="Y98" s="560"/>
      <c r="Z98" s="157"/>
      <c r="AA98" s="561">
        <v>0</v>
      </c>
      <c r="AB98" s="562"/>
      <c r="AC98" s="157"/>
      <c r="AD98" s="559">
        <v>0</v>
      </c>
      <c r="AE98" s="560"/>
      <c r="AF98" s="157"/>
      <c r="AG98" s="561">
        <v>0</v>
      </c>
      <c r="AH98" s="562"/>
      <c r="AN98" s="142"/>
      <c r="AO98" s="268"/>
      <c r="AP98" s="268"/>
      <c r="AQ98" s="142"/>
    </row>
    <row r="99" spans="1:43" ht="12.75" hidden="1" customHeight="1" x14ac:dyDescent="0.2">
      <c r="A99" s="137">
        <v>15</v>
      </c>
      <c r="B99" s="148">
        <v>1</v>
      </c>
      <c r="C99" s="561">
        <v>0</v>
      </c>
      <c r="D99" s="562"/>
      <c r="E99" s="147">
        <v>1</v>
      </c>
      <c r="F99" s="559">
        <v>0</v>
      </c>
      <c r="G99" s="560"/>
      <c r="H99" s="180">
        <v>1</v>
      </c>
      <c r="I99" s="569">
        <v>0</v>
      </c>
      <c r="J99" s="570"/>
      <c r="K99" s="180">
        <v>1</v>
      </c>
      <c r="L99" s="567">
        <v>0</v>
      </c>
      <c r="M99" s="568"/>
      <c r="N99" s="180">
        <v>1</v>
      </c>
      <c r="O99" s="567">
        <v>0</v>
      </c>
      <c r="P99" s="568"/>
      <c r="Q99" s="157"/>
      <c r="R99" s="559">
        <v>0</v>
      </c>
      <c r="S99" s="560"/>
      <c r="T99" s="157"/>
      <c r="U99" s="561">
        <v>0</v>
      </c>
      <c r="V99" s="562"/>
      <c r="W99" s="157"/>
      <c r="X99" s="559">
        <v>0</v>
      </c>
      <c r="Y99" s="560"/>
      <c r="Z99" s="157"/>
      <c r="AA99" s="561">
        <v>0</v>
      </c>
      <c r="AB99" s="562"/>
      <c r="AC99" s="157"/>
      <c r="AD99" s="559">
        <v>0</v>
      </c>
      <c r="AE99" s="560"/>
      <c r="AF99" s="157"/>
      <c r="AG99" s="561">
        <v>0</v>
      </c>
      <c r="AH99" s="562"/>
      <c r="AN99" s="142"/>
      <c r="AO99" s="268"/>
      <c r="AP99" s="268"/>
      <c r="AQ99" s="142"/>
    </row>
    <row r="100" spans="1:43" ht="13.5" hidden="1" customHeight="1" thickBot="1" x14ac:dyDescent="0.25">
      <c r="A100" s="137">
        <v>20</v>
      </c>
      <c r="B100" s="148">
        <v>1</v>
      </c>
      <c r="C100" s="561">
        <v>0</v>
      </c>
      <c r="D100" s="562"/>
      <c r="E100" s="147">
        <v>1</v>
      </c>
      <c r="F100" s="559">
        <v>0</v>
      </c>
      <c r="G100" s="560"/>
      <c r="H100" s="147">
        <v>1</v>
      </c>
      <c r="I100" s="561">
        <v>0</v>
      </c>
      <c r="J100" s="562"/>
      <c r="K100" s="147">
        <v>1</v>
      </c>
      <c r="L100" s="559">
        <v>0</v>
      </c>
      <c r="M100" s="560"/>
      <c r="N100" s="147">
        <v>1</v>
      </c>
      <c r="O100" s="559">
        <v>0</v>
      </c>
      <c r="P100" s="560"/>
      <c r="Q100" s="159"/>
      <c r="R100" s="563">
        <v>0</v>
      </c>
      <c r="S100" s="564"/>
      <c r="T100" s="159"/>
      <c r="U100" s="565">
        <v>0</v>
      </c>
      <c r="V100" s="566"/>
      <c r="W100" s="159"/>
      <c r="X100" s="563">
        <v>0</v>
      </c>
      <c r="Y100" s="564"/>
      <c r="Z100" s="159"/>
      <c r="AA100" s="565">
        <v>0</v>
      </c>
      <c r="AB100" s="566"/>
      <c r="AC100" s="159"/>
      <c r="AD100" s="563">
        <v>0</v>
      </c>
      <c r="AE100" s="564"/>
      <c r="AF100" s="159"/>
      <c r="AG100" s="565">
        <v>0</v>
      </c>
      <c r="AH100" s="566"/>
      <c r="AN100" s="142"/>
      <c r="AO100" s="268"/>
      <c r="AP100" s="268"/>
      <c r="AQ100" s="142"/>
    </row>
    <row r="101" spans="1:43" ht="12.75" hidden="1" customHeight="1" x14ac:dyDescent="0.2">
      <c r="A101" s="137">
        <v>25</v>
      </c>
      <c r="B101" s="148">
        <v>1</v>
      </c>
      <c r="C101" s="561">
        <v>0</v>
      </c>
      <c r="D101" s="562"/>
      <c r="E101" s="147">
        <v>1</v>
      </c>
      <c r="F101" s="559">
        <v>0</v>
      </c>
      <c r="G101" s="560"/>
      <c r="H101" s="147">
        <v>1</v>
      </c>
      <c r="I101" s="561">
        <v>0</v>
      </c>
      <c r="J101" s="562"/>
      <c r="K101" s="147">
        <v>1</v>
      </c>
      <c r="L101" s="559">
        <v>0</v>
      </c>
      <c r="M101" s="560"/>
      <c r="N101" s="147">
        <v>1</v>
      </c>
      <c r="O101" s="559">
        <v>0</v>
      </c>
      <c r="P101" s="560"/>
      <c r="AN101" s="143"/>
      <c r="AO101" s="144"/>
      <c r="AP101" s="144"/>
      <c r="AQ101" s="143"/>
    </row>
    <row r="102" spans="1:43" ht="12.75" hidden="1" customHeight="1" thickBot="1" x14ac:dyDescent="0.25">
      <c r="A102" s="138">
        <v>30</v>
      </c>
      <c r="B102" s="150">
        <v>1</v>
      </c>
      <c r="C102" s="565">
        <v>0</v>
      </c>
      <c r="D102" s="566"/>
      <c r="E102" s="181">
        <v>1</v>
      </c>
      <c r="F102" s="563">
        <v>0</v>
      </c>
      <c r="G102" s="564"/>
      <c r="H102" s="147">
        <v>1</v>
      </c>
      <c r="I102" s="561">
        <v>0</v>
      </c>
      <c r="J102" s="562"/>
      <c r="K102" s="147">
        <v>1</v>
      </c>
      <c r="L102" s="559">
        <v>0</v>
      </c>
      <c r="M102" s="560"/>
      <c r="N102" s="147">
        <v>1</v>
      </c>
      <c r="O102" s="559">
        <v>0</v>
      </c>
      <c r="P102" s="560"/>
      <c r="AN102" s="143"/>
      <c r="AO102" s="144"/>
      <c r="AP102" s="144"/>
      <c r="AQ102" s="143"/>
    </row>
    <row r="103" spans="1:43" ht="13.5" hidden="1" customHeight="1" thickBot="1" x14ac:dyDescent="0.25">
      <c r="A103" s="165">
        <v>0</v>
      </c>
      <c r="H103" s="181">
        <v>1</v>
      </c>
      <c r="I103" s="565">
        <v>0</v>
      </c>
      <c r="J103" s="566"/>
      <c r="K103" s="182">
        <v>1</v>
      </c>
      <c r="L103" s="563">
        <v>0</v>
      </c>
      <c r="M103" s="564"/>
      <c r="N103" s="182">
        <v>1</v>
      </c>
      <c r="O103" s="563">
        <v>0</v>
      </c>
      <c r="P103" s="564"/>
      <c r="AN103" s="143"/>
      <c r="AO103" s="144"/>
      <c r="AP103" s="144"/>
      <c r="AQ103" s="143"/>
    </row>
    <row r="104" spans="1:43" ht="12.75" hidden="1" customHeight="1" x14ac:dyDescent="0.2">
      <c r="A104" s="165">
        <v>1</v>
      </c>
      <c r="K104" s="153"/>
      <c r="N104" s="153"/>
    </row>
    <row r="105" spans="1:43" ht="12.75" hidden="1" customHeight="1" x14ac:dyDescent="0.2">
      <c r="A105" s="165">
        <v>2</v>
      </c>
      <c r="K105" s="149"/>
      <c r="N105" s="149"/>
    </row>
    <row r="106" spans="1:43" ht="12.75" hidden="1" customHeight="1" x14ac:dyDescent="0.2">
      <c r="A106" s="165">
        <v>3</v>
      </c>
      <c r="K106" s="149"/>
      <c r="N106" s="149"/>
    </row>
    <row r="107" spans="1:43" ht="12.75" hidden="1" customHeight="1" x14ac:dyDescent="0.2">
      <c r="A107" s="165">
        <v>4</v>
      </c>
      <c r="K107" s="153"/>
      <c r="N107" s="153"/>
    </row>
    <row r="108" spans="1:43" ht="12.75" hidden="1" customHeight="1" x14ac:dyDescent="0.2">
      <c r="A108" s="165">
        <v>5</v>
      </c>
      <c r="K108" s="149"/>
      <c r="N108" s="149"/>
    </row>
    <row r="109" spans="1:43" ht="12.75" hidden="1" customHeight="1" x14ac:dyDescent="0.2">
      <c r="A109" s="165">
        <v>6</v>
      </c>
      <c r="K109" s="149"/>
      <c r="N109" s="149"/>
    </row>
    <row r="110" spans="1:43" ht="12.75" hidden="1" customHeight="1" x14ac:dyDescent="0.2">
      <c r="A110" s="165">
        <v>7</v>
      </c>
      <c r="K110" s="149"/>
      <c r="N110" s="149"/>
    </row>
    <row r="111" spans="1:43" ht="12.75" hidden="1" customHeight="1" x14ac:dyDescent="0.2">
      <c r="A111" s="165">
        <v>8</v>
      </c>
      <c r="K111" s="153"/>
      <c r="N111" s="153"/>
    </row>
    <row r="112" spans="1:43" ht="12.75" hidden="1" customHeight="1" x14ac:dyDescent="0.2">
      <c r="A112" s="165">
        <v>9</v>
      </c>
      <c r="K112" s="149"/>
      <c r="N112" s="149"/>
    </row>
    <row r="113" spans="1:14" ht="12.75" hidden="1" customHeight="1" x14ac:dyDescent="0.2">
      <c r="A113" s="165">
        <v>10</v>
      </c>
      <c r="K113" s="149"/>
      <c r="N113" s="149"/>
    </row>
    <row r="114" spans="1:14" ht="12.75" hidden="1" customHeight="1" x14ac:dyDescent="0.2">
      <c r="A114" s="165">
        <v>11</v>
      </c>
      <c r="K114" s="149"/>
      <c r="N114" s="149"/>
    </row>
    <row r="115" spans="1:14" ht="12.75" hidden="1" customHeight="1" x14ac:dyDescent="0.2">
      <c r="A115" s="165">
        <v>12</v>
      </c>
      <c r="K115" s="153"/>
      <c r="N115" s="153"/>
    </row>
    <row r="116" spans="1:14" ht="12.75" hidden="1" customHeight="1" x14ac:dyDescent="0.2">
      <c r="A116" s="165">
        <v>13</v>
      </c>
      <c r="K116" s="149"/>
      <c r="N116" s="149"/>
    </row>
    <row r="117" spans="1:14" ht="12.75" hidden="1" customHeight="1" x14ac:dyDescent="0.2">
      <c r="A117" s="165">
        <v>14</v>
      </c>
      <c r="K117" s="149"/>
      <c r="N117" s="149"/>
    </row>
    <row r="118" spans="1:14" ht="12.75" hidden="1" customHeight="1" x14ac:dyDescent="0.2">
      <c r="A118" s="165">
        <v>15</v>
      </c>
      <c r="K118" s="149"/>
      <c r="N118" s="149"/>
    </row>
    <row r="119" spans="1:14" ht="12.75" hidden="1" customHeight="1" x14ac:dyDescent="0.2">
      <c r="A119" s="165">
        <v>16</v>
      </c>
      <c r="K119" s="153"/>
      <c r="N119" s="153"/>
    </row>
    <row r="120" spans="1:14" ht="12.75" hidden="1" customHeight="1" x14ac:dyDescent="0.2">
      <c r="A120" s="165">
        <v>17</v>
      </c>
      <c r="K120" s="149"/>
      <c r="N120" s="149"/>
    </row>
    <row r="121" spans="1:14" ht="12.75" hidden="1" customHeight="1" x14ac:dyDescent="0.2">
      <c r="A121" s="165">
        <v>18</v>
      </c>
      <c r="K121" s="149"/>
      <c r="N121" s="149"/>
    </row>
    <row r="122" spans="1:14" ht="12.75" hidden="1" customHeight="1" x14ac:dyDescent="0.2">
      <c r="A122" s="165">
        <v>19</v>
      </c>
      <c r="K122" s="149"/>
      <c r="N122" s="149"/>
    </row>
    <row r="123" spans="1:14" ht="12.75" hidden="1" customHeight="1" x14ac:dyDescent="0.2">
      <c r="A123" s="165">
        <v>20</v>
      </c>
      <c r="K123" s="153"/>
      <c r="N123" s="153"/>
    </row>
    <row r="124" spans="1:14" ht="12.75" hidden="1" customHeight="1" x14ac:dyDescent="0.2">
      <c r="K124" s="149"/>
      <c r="N124" s="149"/>
    </row>
    <row r="125" spans="1:14" ht="12.75" hidden="1" customHeight="1" x14ac:dyDescent="0.2">
      <c r="K125" s="149"/>
      <c r="N125" s="149"/>
    </row>
    <row r="126" spans="1:14" ht="12.75" hidden="1" customHeight="1" x14ac:dyDescent="0.2">
      <c r="K126" s="149"/>
      <c r="N126" s="149"/>
    </row>
    <row r="127" spans="1:14" ht="12.75" hidden="1" customHeight="1" x14ac:dyDescent="0.2">
      <c r="K127" s="153"/>
      <c r="N127" s="153"/>
    </row>
    <row r="128" spans="1:14" ht="12.75" hidden="1" customHeight="1" x14ac:dyDescent="0.2">
      <c r="K128" s="149"/>
      <c r="N128" s="149"/>
    </row>
    <row r="129" spans="11:14" ht="12.75" hidden="1" customHeight="1" x14ac:dyDescent="0.2">
      <c r="K129" s="149"/>
      <c r="N129" s="149"/>
    </row>
    <row r="130" spans="11:14" ht="12.75" hidden="1" customHeight="1" x14ac:dyDescent="0.2">
      <c r="K130" s="149"/>
      <c r="N130" s="149"/>
    </row>
    <row r="131" spans="11:14" ht="12.75" hidden="1" customHeight="1" x14ac:dyDescent="0.2">
      <c r="K131" s="153"/>
      <c r="N131" s="153"/>
    </row>
    <row r="132" spans="11:14" ht="12.75" hidden="1" customHeight="1" x14ac:dyDescent="0.2">
      <c r="K132" s="149"/>
      <c r="N132" s="149"/>
    </row>
    <row r="133" spans="11:14" ht="12.75" hidden="1" customHeight="1" x14ac:dyDescent="0.2">
      <c r="K133" s="149"/>
      <c r="N133" s="149"/>
    </row>
    <row r="134" spans="11:14" ht="12.75" hidden="1" customHeight="1" x14ac:dyDescent="0.2">
      <c r="K134" s="149"/>
      <c r="N134" s="149"/>
    </row>
    <row r="135" spans="11:14" ht="12.75" hidden="1" customHeight="1" x14ac:dyDescent="0.2">
      <c r="K135" s="153"/>
      <c r="N135" s="153"/>
    </row>
    <row r="136" spans="11:14" ht="12.75" hidden="1" customHeight="1" x14ac:dyDescent="0.2">
      <c r="K136" s="149"/>
      <c r="N136" s="149"/>
    </row>
    <row r="137" spans="11:14" ht="12.75" hidden="1" customHeight="1" x14ac:dyDescent="0.2">
      <c r="K137" s="149"/>
      <c r="N137" s="149"/>
    </row>
    <row r="138" spans="11:14" ht="12.75" hidden="1" customHeight="1" x14ac:dyDescent="0.2">
      <c r="K138" s="149"/>
      <c r="N138" s="149"/>
    </row>
    <row r="139" spans="11:14" ht="12.75" hidden="1" customHeight="1" x14ac:dyDescent="0.2">
      <c r="K139" s="153"/>
      <c r="N139" s="153"/>
    </row>
    <row r="140" spans="11:14" ht="12.75" hidden="1" customHeight="1" x14ac:dyDescent="0.2">
      <c r="K140" s="149"/>
      <c r="N140" s="149"/>
    </row>
    <row r="141" spans="11:14" ht="12.75" hidden="1" customHeight="1" x14ac:dyDescent="0.2">
      <c r="K141" s="149"/>
      <c r="N141" s="149"/>
    </row>
    <row r="142" spans="11:14" ht="12.75" hidden="1" customHeight="1" x14ac:dyDescent="0.2">
      <c r="K142" s="149"/>
      <c r="N142" s="149"/>
    </row>
    <row r="143" spans="11:14" ht="12.75" hidden="1" customHeight="1" x14ac:dyDescent="0.2">
      <c r="K143" s="153"/>
      <c r="N143" s="153"/>
    </row>
    <row r="144" spans="11:14" ht="12.75" hidden="1" customHeight="1" x14ac:dyDescent="0.2">
      <c r="K144" s="149"/>
      <c r="N144" s="149"/>
    </row>
    <row r="145" spans="11:14" ht="12.75" hidden="1" customHeight="1" x14ac:dyDescent="0.2">
      <c r="K145" s="149"/>
      <c r="N145" s="149"/>
    </row>
    <row r="146" spans="11:14" ht="12.75" hidden="1" customHeight="1" x14ac:dyDescent="0.2">
      <c r="K146" s="149"/>
      <c r="N146" s="149"/>
    </row>
    <row r="147" spans="11:14" ht="12.75" hidden="1" customHeight="1" x14ac:dyDescent="0.2">
      <c r="K147" s="153"/>
      <c r="N147" s="153"/>
    </row>
    <row r="148" spans="11:14" ht="12.75" hidden="1" customHeight="1" x14ac:dyDescent="0.2">
      <c r="K148" s="149"/>
      <c r="N148" s="149"/>
    </row>
    <row r="149" spans="11:14" ht="12.75" hidden="1" customHeight="1" x14ac:dyDescent="0.2">
      <c r="K149" s="149"/>
      <c r="N149" s="149"/>
    </row>
    <row r="150" spans="11:14" ht="12.75" hidden="1" customHeight="1" x14ac:dyDescent="0.2">
      <c r="K150" s="149"/>
      <c r="N150" s="149"/>
    </row>
    <row r="151" spans="11:14" ht="12.75" hidden="1" customHeight="1" x14ac:dyDescent="0.2">
      <c r="K151" s="153"/>
      <c r="N151" s="153"/>
    </row>
    <row r="152" spans="11:14" ht="12.75" hidden="1" customHeight="1" x14ac:dyDescent="0.2">
      <c r="K152" s="149"/>
      <c r="N152" s="149"/>
    </row>
    <row r="153" spans="11:14" ht="12.75" hidden="1" customHeight="1" x14ac:dyDescent="0.2">
      <c r="K153" s="149"/>
      <c r="N153" s="149"/>
    </row>
    <row r="154" spans="11:14" ht="12.75" hidden="1" customHeight="1" x14ac:dyDescent="0.2">
      <c r="K154" s="149"/>
      <c r="N154" s="149"/>
    </row>
    <row r="155" spans="11:14" ht="12.75" hidden="1" customHeight="1" x14ac:dyDescent="0.2">
      <c r="K155" s="153"/>
      <c r="N155" s="153"/>
    </row>
    <row r="156" spans="11:14" ht="12.75" hidden="1" customHeight="1" x14ac:dyDescent="0.2">
      <c r="K156" s="149"/>
      <c r="N156" s="149"/>
    </row>
    <row r="157" spans="11:14" ht="12.75" hidden="1" customHeight="1" x14ac:dyDescent="0.2">
      <c r="K157" s="149"/>
      <c r="N157" s="149"/>
    </row>
    <row r="158" spans="11:14" ht="12.75" hidden="1" customHeight="1" x14ac:dyDescent="0.2">
      <c r="K158" s="149"/>
      <c r="N158" s="149"/>
    </row>
    <row r="159" spans="11:14" ht="12.75" hidden="1" customHeight="1" x14ac:dyDescent="0.2">
      <c r="K159" s="153"/>
      <c r="N159" s="153"/>
    </row>
    <row r="160" spans="11:14" ht="12.75" hidden="1" customHeight="1" x14ac:dyDescent="0.2">
      <c r="K160" s="149"/>
      <c r="N160" s="149"/>
    </row>
    <row r="161" spans="11:14" ht="12.75" hidden="1" customHeight="1" x14ac:dyDescent="0.2">
      <c r="K161" s="149"/>
      <c r="N161" s="149"/>
    </row>
    <row r="162" spans="11:14" ht="12.75" hidden="1" customHeight="1" x14ac:dyDescent="0.2">
      <c r="K162" s="149"/>
      <c r="N162" s="149"/>
    </row>
    <row r="163" spans="11:14" ht="12.75" hidden="1" customHeight="1" x14ac:dyDescent="0.2">
      <c r="K163" s="153"/>
      <c r="N163" s="153"/>
    </row>
    <row r="164" spans="11:14" ht="12.75" hidden="1" customHeight="1" x14ac:dyDescent="0.2">
      <c r="K164" s="149"/>
      <c r="N164" s="149"/>
    </row>
    <row r="165" spans="11:14" ht="12.75" hidden="1" customHeight="1" x14ac:dyDescent="0.2">
      <c r="K165" s="149"/>
      <c r="N165" s="149"/>
    </row>
    <row r="166" spans="11:14" ht="12.75" hidden="1" customHeight="1" x14ac:dyDescent="0.2">
      <c r="K166" s="149"/>
      <c r="N166" s="149"/>
    </row>
    <row r="167" spans="11:14" ht="12.75" hidden="1" customHeight="1" x14ac:dyDescent="0.2">
      <c r="K167" s="153"/>
      <c r="N167" s="153"/>
    </row>
    <row r="168" spans="11:14" ht="12.75" hidden="1" customHeight="1" x14ac:dyDescent="0.2">
      <c r="K168" s="149"/>
      <c r="N168" s="149"/>
    </row>
    <row r="169" spans="11:14" ht="12.75" hidden="1" customHeight="1" x14ac:dyDescent="0.2">
      <c r="K169" s="149"/>
      <c r="N169" s="149"/>
    </row>
    <row r="170" spans="11:14" ht="12.75" hidden="1" customHeight="1" x14ac:dyDescent="0.2">
      <c r="K170" s="149"/>
      <c r="N170" s="149"/>
    </row>
    <row r="171" spans="11:14" ht="12.75" hidden="1" customHeight="1" x14ac:dyDescent="0.2">
      <c r="K171" s="153"/>
      <c r="N171" s="153"/>
    </row>
    <row r="172" spans="11:14" ht="12.75" hidden="1" customHeight="1" x14ac:dyDescent="0.2">
      <c r="K172" s="149"/>
      <c r="N172" s="149"/>
    </row>
    <row r="173" spans="11:14" ht="12.75" hidden="1" customHeight="1" x14ac:dyDescent="0.2">
      <c r="K173" s="149"/>
      <c r="N173" s="149"/>
    </row>
    <row r="174" spans="11:14" ht="12.75" hidden="1" customHeight="1" x14ac:dyDescent="0.2">
      <c r="K174" s="149"/>
      <c r="N174" s="149"/>
    </row>
    <row r="175" spans="11:14" ht="12.75" hidden="1" customHeight="1" x14ac:dyDescent="0.2">
      <c r="K175" s="153"/>
      <c r="N175" s="153"/>
    </row>
    <row r="176" spans="11:14" ht="12.75" hidden="1" customHeight="1" x14ac:dyDescent="0.2">
      <c r="K176" s="149"/>
      <c r="N176" s="149"/>
    </row>
    <row r="177" spans="11:14" ht="12.75" hidden="1" customHeight="1" x14ac:dyDescent="0.2">
      <c r="K177" s="149"/>
      <c r="N177" s="149"/>
    </row>
    <row r="178" spans="11:14" ht="12.75" hidden="1" customHeight="1" x14ac:dyDescent="0.2">
      <c r="K178" s="149"/>
      <c r="N178" s="149"/>
    </row>
    <row r="179" spans="11:14" ht="12.75" hidden="1" customHeight="1" x14ac:dyDescent="0.2">
      <c r="K179" s="153"/>
      <c r="N179" s="153"/>
    </row>
    <row r="180" spans="11:14" ht="12.75" hidden="1" customHeight="1" x14ac:dyDescent="0.2">
      <c r="K180" s="149"/>
      <c r="N180" s="149"/>
    </row>
    <row r="181" spans="11:14" ht="12.75" hidden="1" customHeight="1" x14ac:dyDescent="0.2">
      <c r="K181" s="149"/>
      <c r="N181" s="149"/>
    </row>
    <row r="182" spans="11:14" ht="12.75" hidden="1" customHeight="1" x14ac:dyDescent="0.2">
      <c r="K182" s="149"/>
      <c r="N182" s="149"/>
    </row>
    <row r="183" spans="11:14" ht="12.75" hidden="1" customHeight="1" x14ac:dyDescent="0.2">
      <c r="K183" s="153"/>
      <c r="N183" s="153"/>
    </row>
    <row r="184" spans="11:14" ht="12.75" hidden="1" customHeight="1" x14ac:dyDescent="0.2">
      <c r="K184" s="149"/>
      <c r="N184" s="149"/>
    </row>
    <row r="185" spans="11:14" ht="12.75" hidden="1" customHeight="1" x14ac:dyDescent="0.2">
      <c r="K185" s="149"/>
      <c r="N185" s="149"/>
    </row>
    <row r="186" spans="11:14" ht="12.75" hidden="1" customHeight="1" x14ac:dyDescent="0.2">
      <c r="K186" s="149"/>
      <c r="N186" s="149"/>
    </row>
    <row r="187" spans="11:14" ht="12.75" hidden="1" customHeight="1" x14ac:dyDescent="0.2">
      <c r="K187" s="153"/>
      <c r="N187" s="153"/>
    </row>
    <row r="188" spans="11:14" ht="12.75" hidden="1" customHeight="1" x14ac:dyDescent="0.2">
      <c r="K188" s="149"/>
      <c r="N188" s="149"/>
    </row>
    <row r="189" spans="11:14" ht="12.75" hidden="1" customHeight="1" x14ac:dyDescent="0.2">
      <c r="K189" s="149"/>
      <c r="N189" s="149"/>
    </row>
    <row r="190" spans="11:14" ht="12.75" hidden="1" customHeight="1" x14ac:dyDescent="0.2">
      <c r="K190" s="149"/>
      <c r="N190" s="149"/>
    </row>
    <row r="191" spans="11:14" ht="12.75" hidden="1" customHeight="1" x14ac:dyDescent="0.2">
      <c r="K191" s="153"/>
      <c r="N191" s="153"/>
    </row>
    <row r="192" spans="11:14" ht="12.75" hidden="1" customHeight="1" x14ac:dyDescent="0.2">
      <c r="K192" s="149"/>
      <c r="N192" s="149"/>
    </row>
    <row r="193" spans="11:14" ht="12.75" hidden="1" customHeight="1" x14ac:dyDescent="0.2">
      <c r="K193" s="149"/>
      <c r="N193" s="149"/>
    </row>
    <row r="194" spans="11:14" ht="12.75" hidden="1" customHeight="1" x14ac:dyDescent="0.2">
      <c r="K194" s="149"/>
      <c r="N194" s="149"/>
    </row>
    <row r="195" spans="11:14" ht="12.75" hidden="1" customHeight="1" x14ac:dyDescent="0.2">
      <c r="K195" s="153"/>
      <c r="N195" s="153"/>
    </row>
    <row r="196" spans="11:14" ht="12.75" hidden="1" customHeight="1" x14ac:dyDescent="0.2">
      <c r="K196" s="149"/>
      <c r="N196" s="149"/>
    </row>
    <row r="197" spans="11:14" ht="12.75" hidden="1" customHeight="1" x14ac:dyDescent="0.2">
      <c r="K197" s="149"/>
      <c r="N197" s="149"/>
    </row>
    <row r="198" spans="11:14" ht="12.75" hidden="1" customHeight="1" x14ac:dyDescent="0.2">
      <c r="K198" s="149"/>
      <c r="N198" s="149"/>
    </row>
    <row r="199" spans="11:14" ht="12.75" hidden="1" customHeight="1" x14ac:dyDescent="0.2">
      <c r="K199" s="153"/>
      <c r="N199" s="153"/>
    </row>
    <row r="200" spans="11:14" ht="12.75" hidden="1" customHeight="1" x14ac:dyDescent="0.2">
      <c r="K200" s="149"/>
      <c r="N200" s="149"/>
    </row>
    <row r="201" spans="11:14" ht="12.75" hidden="1" customHeight="1" x14ac:dyDescent="0.2">
      <c r="K201" s="149"/>
      <c r="N201" s="149"/>
    </row>
    <row r="202" spans="11:14" ht="12.75" hidden="1" customHeight="1" x14ac:dyDescent="0.2">
      <c r="K202" s="149"/>
      <c r="N202" s="149"/>
    </row>
    <row r="203" spans="11:14" ht="12.75" hidden="1" customHeight="1" x14ac:dyDescent="0.2">
      <c r="K203" s="153"/>
      <c r="N203" s="153"/>
    </row>
    <row r="204" spans="11:14" ht="12.75" hidden="1" customHeight="1" x14ac:dyDescent="0.2">
      <c r="K204" s="149"/>
      <c r="N204" s="149"/>
    </row>
    <row r="205" spans="11:14" ht="12.75" hidden="1" customHeight="1" x14ac:dyDescent="0.2">
      <c r="K205" s="149"/>
      <c r="N205" s="149"/>
    </row>
    <row r="206" spans="11:14" ht="12.75" hidden="1" customHeight="1" x14ac:dyDescent="0.2">
      <c r="K206" s="149"/>
      <c r="N206" s="149"/>
    </row>
    <row r="207" spans="11:14" ht="12.75" hidden="1" customHeight="1" x14ac:dyDescent="0.2">
      <c r="K207" s="153"/>
      <c r="N207" s="153"/>
    </row>
    <row r="208" spans="11:14" ht="12.75" hidden="1" customHeight="1" x14ac:dyDescent="0.2">
      <c r="K208" s="149"/>
      <c r="N208" s="149"/>
    </row>
    <row r="209" spans="11:14" ht="12.75" hidden="1" customHeight="1" x14ac:dyDescent="0.2">
      <c r="K209" s="149"/>
      <c r="N209" s="149"/>
    </row>
    <row r="210" spans="11:14" ht="12.75" hidden="1" customHeight="1" x14ac:dyDescent="0.2">
      <c r="K210" s="149"/>
      <c r="N210" s="149"/>
    </row>
    <row r="211" spans="11:14" ht="12.75" hidden="1" customHeight="1" x14ac:dyDescent="0.2">
      <c r="K211" s="153"/>
      <c r="N211" s="153"/>
    </row>
    <row r="212" spans="11:14" ht="12.75" hidden="1" customHeight="1" x14ac:dyDescent="0.2">
      <c r="K212" s="149"/>
      <c r="N212" s="149"/>
    </row>
    <row r="213" spans="11:14" ht="12.75" hidden="1" customHeight="1" x14ac:dyDescent="0.2">
      <c r="K213" s="149"/>
      <c r="N213" s="149"/>
    </row>
    <row r="214" spans="11:14" ht="12.75" hidden="1" customHeight="1" x14ac:dyDescent="0.2">
      <c r="K214" s="149"/>
      <c r="N214" s="149"/>
    </row>
    <row r="215" spans="11:14" ht="12.75" hidden="1" customHeight="1" x14ac:dyDescent="0.2">
      <c r="K215" s="153"/>
      <c r="N215" s="153"/>
    </row>
    <row r="216" spans="11:14" ht="12.75" hidden="1" customHeight="1" x14ac:dyDescent="0.2">
      <c r="K216" s="149"/>
      <c r="N216" s="149"/>
    </row>
    <row r="217" spans="11:14" ht="12.75" hidden="1" customHeight="1" x14ac:dyDescent="0.2">
      <c r="K217" s="149"/>
      <c r="N217" s="149"/>
    </row>
    <row r="218" spans="11:14" ht="12.75" hidden="1" customHeight="1" x14ac:dyDescent="0.2">
      <c r="K218" s="149"/>
      <c r="N218" s="149"/>
    </row>
    <row r="219" spans="11:14" ht="12.75" hidden="1" customHeight="1" x14ac:dyDescent="0.2">
      <c r="K219" s="153"/>
      <c r="N219" s="153"/>
    </row>
    <row r="220" spans="11:14" ht="12.75" hidden="1" customHeight="1" x14ac:dyDescent="0.2">
      <c r="K220" s="149"/>
      <c r="N220" s="149"/>
    </row>
    <row r="221" spans="11:14" ht="12.75" hidden="1" customHeight="1" x14ac:dyDescent="0.2">
      <c r="K221" s="149"/>
      <c r="N221" s="149"/>
    </row>
    <row r="222" spans="11:14" ht="12.75" hidden="1" customHeight="1" x14ac:dyDescent="0.2">
      <c r="K222" s="149"/>
      <c r="N222" s="149"/>
    </row>
    <row r="223" spans="11:14" ht="12.75" hidden="1" customHeight="1" x14ac:dyDescent="0.2">
      <c r="K223" s="153"/>
      <c r="N223" s="153"/>
    </row>
    <row r="224" spans="11:14" ht="12.75" hidden="1" customHeight="1" x14ac:dyDescent="0.2">
      <c r="K224" s="149"/>
      <c r="N224" s="149"/>
    </row>
    <row r="225" spans="11:14" ht="12.75" hidden="1" customHeight="1" x14ac:dyDescent="0.2">
      <c r="K225" s="149"/>
      <c r="N225" s="149"/>
    </row>
    <row r="226" spans="11:14" ht="12.75" hidden="1" customHeight="1" x14ac:dyDescent="0.2">
      <c r="K226" s="149"/>
      <c r="N226" s="149"/>
    </row>
    <row r="227" spans="11:14" ht="12.75" hidden="1" customHeight="1" x14ac:dyDescent="0.2">
      <c r="K227" s="153"/>
      <c r="N227" s="153"/>
    </row>
    <row r="228" spans="11:14" ht="12.75" hidden="1" customHeight="1" x14ac:dyDescent="0.2">
      <c r="K228" s="149"/>
      <c r="N228" s="149"/>
    </row>
    <row r="229" spans="11:14" ht="12.75" hidden="1" customHeight="1" x14ac:dyDescent="0.2">
      <c r="K229" s="149"/>
      <c r="N229" s="149"/>
    </row>
    <row r="230" spans="11:14" ht="12.75" hidden="1" customHeight="1" x14ac:dyDescent="0.2">
      <c r="K230" s="149"/>
      <c r="N230" s="149"/>
    </row>
    <row r="231" spans="11:14" ht="12.75" hidden="1" customHeight="1" x14ac:dyDescent="0.2">
      <c r="K231" s="153"/>
      <c r="N231" s="153"/>
    </row>
    <row r="232" spans="11:14" ht="12.75" hidden="1" customHeight="1" x14ac:dyDescent="0.2">
      <c r="K232" s="149"/>
      <c r="N232" s="149"/>
    </row>
    <row r="233" spans="11:14" ht="12.75" hidden="1" customHeight="1" x14ac:dyDescent="0.2">
      <c r="K233" s="149"/>
      <c r="N233" s="149"/>
    </row>
    <row r="234" spans="11:14" ht="12.75" hidden="1" customHeight="1" x14ac:dyDescent="0.2">
      <c r="K234" s="149"/>
      <c r="N234" s="149"/>
    </row>
    <row r="235" spans="11:14" ht="12.75" hidden="1" customHeight="1" x14ac:dyDescent="0.2">
      <c r="K235" s="153"/>
      <c r="N235" s="153"/>
    </row>
    <row r="236" spans="11:14" ht="12.75" hidden="1" customHeight="1" x14ac:dyDescent="0.2">
      <c r="K236" s="149"/>
      <c r="N236" s="149"/>
    </row>
    <row r="237" spans="11:14" ht="12.75" hidden="1" customHeight="1" x14ac:dyDescent="0.2">
      <c r="K237" s="149"/>
      <c r="N237" s="149"/>
    </row>
    <row r="238" spans="11:14" ht="12.75" hidden="1" customHeight="1" x14ac:dyDescent="0.2">
      <c r="K238" s="149"/>
      <c r="N238" s="149"/>
    </row>
    <row r="239" spans="11:14" ht="12.75" hidden="1" customHeight="1" x14ac:dyDescent="0.2">
      <c r="K239" s="153"/>
      <c r="N239" s="153"/>
    </row>
    <row r="240" spans="11:14" ht="12.75" hidden="1" customHeight="1" x14ac:dyDescent="0.2">
      <c r="K240" s="149"/>
      <c r="N240" s="149"/>
    </row>
    <row r="241" spans="11:14" ht="12.75" hidden="1" customHeight="1" x14ac:dyDescent="0.2">
      <c r="K241" s="149"/>
      <c r="N241" s="149"/>
    </row>
    <row r="242" spans="11:14" ht="12.75" hidden="1" customHeight="1" x14ac:dyDescent="0.2">
      <c r="K242" s="149"/>
      <c r="N242" s="149"/>
    </row>
    <row r="243" spans="11:14" ht="12.75" hidden="1" customHeight="1" x14ac:dyDescent="0.2">
      <c r="K243" s="153"/>
      <c r="N243" s="153"/>
    </row>
    <row r="244" spans="11:14" ht="12.75" hidden="1" customHeight="1" x14ac:dyDescent="0.2">
      <c r="K244" s="149"/>
      <c r="N244" s="149"/>
    </row>
    <row r="245" spans="11:14" ht="12.75" hidden="1" customHeight="1" x14ac:dyDescent="0.2">
      <c r="K245" s="149"/>
      <c r="N245" s="149"/>
    </row>
    <row r="246" spans="11:14" ht="12.75" hidden="1" customHeight="1" x14ac:dyDescent="0.2">
      <c r="K246" s="149"/>
      <c r="N246" s="149"/>
    </row>
    <row r="247" spans="11:14" ht="12.75" hidden="1" customHeight="1" x14ac:dyDescent="0.2">
      <c r="K247" s="153"/>
      <c r="N247" s="153"/>
    </row>
    <row r="248" spans="11:14" ht="12.75" hidden="1" customHeight="1" x14ac:dyDescent="0.2">
      <c r="K248" s="149"/>
      <c r="N248" s="149"/>
    </row>
    <row r="249" spans="11:14" ht="12.75" hidden="1" customHeight="1" x14ac:dyDescent="0.2">
      <c r="K249" s="149"/>
      <c r="N249" s="149"/>
    </row>
    <row r="250" spans="11:14" ht="12.75" hidden="1" customHeight="1" x14ac:dyDescent="0.2">
      <c r="K250" s="149"/>
      <c r="N250" s="149"/>
    </row>
    <row r="251" spans="11:14" ht="12.75" hidden="1" customHeight="1" x14ac:dyDescent="0.2">
      <c r="K251" s="153"/>
      <c r="N251" s="153"/>
    </row>
    <row r="252" spans="11:14" ht="12.75" hidden="1" customHeight="1" x14ac:dyDescent="0.2">
      <c r="K252" s="149"/>
      <c r="N252" s="149"/>
    </row>
    <row r="253" spans="11:14" ht="12.75" hidden="1" customHeight="1" x14ac:dyDescent="0.2">
      <c r="K253" s="149"/>
      <c r="N253" s="149"/>
    </row>
    <row r="254" spans="11:14" ht="12.75" hidden="1" customHeight="1" x14ac:dyDescent="0.2">
      <c r="K254" s="149"/>
      <c r="N254" s="149"/>
    </row>
    <row r="255" spans="11:14" ht="12.75" hidden="1" customHeight="1" x14ac:dyDescent="0.2">
      <c r="K255" s="153"/>
      <c r="N255" s="153"/>
    </row>
    <row r="256" spans="11:14" ht="12.75" hidden="1" customHeight="1" x14ac:dyDescent="0.2">
      <c r="K256" s="149"/>
      <c r="N256" s="149"/>
    </row>
    <row r="257" spans="11:14" ht="12.75" hidden="1" customHeight="1" x14ac:dyDescent="0.2">
      <c r="K257" s="149"/>
      <c r="N257" s="149"/>
    </row>
    <row r="258" spans="11:14" ht="12.75" hidden="1" customHeight="1" x14ac:dyDescent="0.2">
      <c r="K258" s="149"/>
      <c r="N258" s="149"/>
    </row>
    <row r="259" spans="11:14" ht="12.75" hidden="1" customHeight="1" x14ac:dyDescent="0.2">
      <c r="K259" s="153"/>
      <c r="N259" s="153"/>
    </row>
    <row r="260" spans="11:14" ht="12.75" hidden="1" customHeight="1" x14ac:dyDescent="0.2">
      <c r="K260" s="149"/>
      <c r="N260" s="149"/>
    </row>
    <row r="261" spans="11:14" ht="12.75" hidden="1" customHeight="1" x14ac:dyDescent="0.2">
      <c r="K261" s="149"/>
      <c r="N261" s="149"/>
    </row>
    <row r="262" spans="11:14" ht="12.75" hidden="1" customHeight="1" x14ac:dyDescent="0.2">
      <c r="K262" s="149"/>
      <c r="N262" s="149"/>
    </row>
    <row r="263" spans="11:14" ht="12.75" hidden="1" customHeight="1" x14ac:dyDescent="0.2">
      <c r="K263" s="153"/>
      <c r="N263" s="153"/>
    </row>
    <row r="264" spans="11:14" ht="12.75" hidden="1" customHeight="1" x14ac:dyDescent="0.2">
      <c r="K264" s="149"/>
      <c r="N264" s="149"/>
    </row>
    <row r="265" spans="11:14" ht="12.75" hidden="1" customHeight="1" x14ac:dyDescent="0.2">
      <c r="K265" s="149"/>
      <c r="N265" s="149"/>
    </row>
    <row r="266" spans="11:14" ht="12.75" hidden="1" customHeight="1" x14ac:dyDescent="0.2">
      <c r="K266" s="149"/>
      <c r="N266" s="149"/>
    </row>
    <row r="267" spans="11:14" ht="12.75" hidden="1" customHeight="1" x14ac:dyDescent="0.2">
      <c r="K267" s="153"/>
      <c r="N267" s="153"/>
    </row>
    <row r="268" spans="11:14" ht="12.75" hidden="1" customHeight="1" x14ac:dyDescent="0.2">
      <c r="K268" s="149"/>
      <c r="N268" s="149"/>
    </row>
    <row r="269" spans="11:14" ht="12.75" hidden="1" customHeight="1" x14ac:dyDescent="0.2">
      <c r="K269" s="149"/>
      <c r="N269" s="149"/>
    </row>
    <row r="270" spans="11:14" ht="12.75" hidden="1" customHeight="1" x14ac:dyDescent="0.2">
      <c r="K270" s="149"/>
      <c r="N270" s="149"/>
    </row>
    <row r="271" spans="11:14" ht="12.75" hidden="1" customHeight="1" x14ac:dyDescent="0.2">
      <c r="K271" s="153"/>
      <c r="N271" s="153"/>
    </row>
    <row r="272" spans="11:14" ht="12.75" hidden="1" customHeight="1" x14ac:dyDescent="0.2">
      <c r="K272" s="149"/>
      <c r="N272" s="149"/>
    </row>
    <row r="273" spans="11:14" ht="12.75" hidden="1" customHeight="1" x14ac:dyDescent="0.2">
      <c r="K273" s="149"/>
      <c r="N273" s="149"/>
    </row>
    <row r="274" spans="11:14" ht="12.75" hidden="1" customHeight="1" x14ac:dyDescent="0.2">
      <c r="K274" s="149"/>
      <c r="N274" s="149"/>
    </row>
    <row r="275" spans="11:14" ht="12.75" hidden="1" customHeight="1" x14ac:dyDescent="0.2">
      <c r="K275" s="153"/>
      <c r="N275" s="153"/>
    </row>
    <row r="276" spans="11:14" ht="12.75" hidden="1" customHeight="1" x14ac:dyDescent="0.2">
      <c r="K276" s="149"/>
      <c r="N276" s="149"/>
    </row>
    <row r="277" spans="11:14" ht="12.75" hidden="1" customHeight="1" x14ac:dyDescent="0.2">
      <c r="K277" s="149"/>
      <c r="N277" s="149"/>
    </row>
    <row r="278" spans="11:14" ht="12.75" hidden="1" customHeight="1" x14ac:dyDescent="0.2">
      <c r="K278" s="149"/>
      <c r="N278" s="149"/>
    </row>
    <row r="279" spans="11:14" ht="12.75" hidden="1" customHeight="1" x14ac:dyDescent="0.2">
      <c r="K279" s="153"/>
      <c r="N279" s="153"/>
    </row>
    <row r="280" spans="11:14" ht="12.75" hidden="1" customHeight="1" x14ac:dyDescent="0.2">
      <c r="K280" s="149"/>
      <c r="N280" s="149"/>
    </row>
    <row r="281" spans="11:14" ht="12.75" hidden="1" customHeight="1" x14ac:dyDescent="0.2">
      <c r="K281" s="149"/>
      <c r="N281" s="149"/>
    </row>
    <row r="282" spans="11:14" ht="12.75" hidden="1" customHeight="1" x14ac:dyDescent="0.2">
      <c r="K282" s="149"/>
      <c r="N282" s="149"/>
    </row>
    <row r="283" spans="11:14" ht="12.75" hidden="1" customHeight="1" x14ac:dyDescent="0.2">
      <c r="K283" s="153"/>
      <c r="N283" s="153"/>
    </row>
    <row r="284" spans="11:14" ht="12.75" hidden="1" customHeight="1" x14ac:dyDescent="0.2">
      <c r="K284" s="149"/>
      <c r="N284" s="149"/>
    </row>
    <row r="285" spans="11:14" ht="12.75" hidden="1" customHeight="1" x14ac:dyDescent="0.2">
      <c r="K285" s="149"/>
      <c r="N285" s="149"/>
    </row>
    <row r="286" spans="11:14" ht="12.75" hidden="1" customHeight="1" x14ac:dyDescent="0.2">
      <c r="K286" s="149"/>
      <c r="N286" s="149"/>
    </row>
    <row r="287" spans="11:14" ht="12.75" hidden="1" customHeight="1" x14ac:dyDescent="0.2">
      <c r="K287" s="153"/>
      <c r="N287" s="153"/>
    </row>
    <row r="288" spans="11:14" ht="12.75" hidden="1" customHeight="1" x14ac:dyDescent="0.2">
      <c r="K288" s="149"/>
      <c r="N288" s="149"/>
    </row>
    <row r="289" spans="11:14" ht="12.75" hidden="1" customHeight="1" x14ac:dyDescent="0.2">
      <c r="K289" s="149"/>
      <c r="N289" s="149"/>
    </row>
    <row r="290" spans="11:14" ht="12.75" hidden="1" customHeight="1" x14ac:dyDescent="0.2">
      <c r="K290" s="149"/>
      <c r="N290" s="149"/>
    </row>
    <row r="291" spans="11:14" ht="12.75" hidden="1" customHeight="1" x14ac:dyDescent="0.2">
      <c r="K291" s="153"/>
      <c r="N291" s="153"/>
    </row>
    <row r="292" spans="11:14" ht="12.75" hidden="1" customHeight="1" x14ac:dyDescent="0.2">
      <c r="K292" s="149"/>
      <c r="N292" s="149"/>
    </row>
    <row r="293" spans="11:14" ht="12.75" hidden="1" customHeight="1" x14ac:dyDescent="0.2">
      <c r="K293" s="149"/>
      <c r="N293" s="149"/>
    </row>
    <row r="294" spans="11:14" ht="12.75" hidden="1" customHeight="1" x14ac:dyDescent="0.2">
      <c r="K294" s="149"/>
      <c r="N294" s="149"/>
    </row>
    <row r="295" spans="11:14" ht="12.75" hidden="1" customHeight="1" x14ac:dyDescent="0.2">
      <c r="K295" s="153"/>
      <c r="N295" s="153"/>
    </row>
    <row r="296" spans="11:14" ht="12.75" hidden="1" customHeight="1" x14ac:dyDescent="0.2">
      <c r="K296" s="149"/>
      <c r="N296" s="149"/>
    </row>
    <row r="297" spans="11:14" ht="12.75" hidden="1" customHeight="1" x14ac:dyDescent="0.2">
      <c r="K297" s="149"/>
      <c r="N297" s="149"/>
    </row>
    <row r="298" spans="11:14" ht="12.75" hidden="1" customHeight="1" x14ac:dyDescent="0.2">
      <c r="K298" s="149"/>
      <c r="N298" s="149"/>
    </row>
    <row r="299" spans="11:14" ht="12.75" hidden="1" customHeight="1" x14ac:dyDescent="0.2">
      <c r="K299" s="153"/>
      <c r="N299" s="153"/>
    </row>
    <row r="300" spans="11:14" ht="12.75" hidden="1" customHeight="1" x14ac:dyDescent="0.2">
      <c r="K300" s="149"/>
      <c r="N300" s="149"/>
    </row>
    <row r="301" spans="11:14" ht="12.75" hidden="1" customHeight="1" x14ac:dyDescent="0.2">
      <c r="K301" s="149"/>
      <c r="N301" s="149"/>
    </row>
    <row r="302" spans="11:14" ht="12.75" hidden="1" customHeight="1" x14ac:dyDescent="0.2">
      <c r="K302" s="149"/>
      <c r="N302" s="149"/>
    </row>
    <row r="303" spans="11:14" ht="12.75" hidden="1" customHeight="1" x14ac:dyDescent="0.2">
      <c r="K303" s="153"/>
      <c r="N303" s="153"/>
    </row>
    <row r="304" spans="11:14" ht="12.75" hidden="1" customHeight="1" x14ac:dyDescent="0.2">
      <c r="K304" s="149"/>
      <c r="N304" s="149"/>
    </row>
    <row r="305" spans="11:14" ht="12.75" hidden="1" customHeight="1" x14ac:dyDescent="0.2">
      <c r="K305" s="149"/>
      <c r="N305" s="149"/>
    </row>
    <row r="306" spans="11:14" ht="12.75" hidden="1" customHeight="1" x14ac:dyDescent="0.2">
      <c r="K306" s="149"/>
      <c r="N306" s="149"/>
    </row>
    <row r="307" spans="11:14" ht="12.75" hidden="1" customHeight="1" x14ac:dyDescent="0.2">
      <c r="K307" s="153"/>
      <c r="N307" s="153"/>
    </row>
    <row r="308" spans="11:14" ht="12.75" hidden="1" customHeight="1" x14ac:dyDescent="0.2">
      <c r="K308" s="149"/>
      <c r="N308" s="149"/>
    </row>
    <row r="309" spans="11:14" ht="12.75" hidden="1" customHeight="1" x14ac:dyDescent="0.2">
      <c r="K309" s="149"/>
      <c r="N309" s="149"/>
    </row>
    <row r="310" spans="11:14" ht="12.75" hidden="1" customHeight="1" x14ac:dyDescent="0.2">
      <c r="K310" s="149"/>
      <c r="N310" s="149"/>
    </row>
    <row r="311" spans="11:14" ht="12.75" hidden="1" customHeight="1" x14ac:dyDescent="0.2">
      <c r="K311" s="153"/>
      <c r="N311" s="153"/>
    </row>
    <row r="312" spans="11:14" ht="12.75" hidden="1" customHeight="1" x14ac:dyDescent="0.2">
      <c r="K312" s="149"/>
      <c r="N312" s="149"/>
    </row>
    <row r="313" spans="11:14" ht="12.75" hidden="1" customHeight="1" x14ac:dyDescent="0.2">
      <c r="K313" s="149"/>
      <c r="N313" s="149"/>
    </row>
    <row r="314" spans="11:14" ht="12.75" hidden="1" customHeight="1" x14ac:dyDescent="0.2">
      <c r="K314" s="149"/>
      <c r="N314" s="149"/>
    </row>
    <row r="315" spans="11:14" ht="12.75" hidden="1" customHeight="1" x14ac:dyDescent="0.2">
      <c r="K315" s="153"/>
      <c r="N315" s="153"/>
    </row>
    <row r="316" spans="11:14" ht="12.75" hidden="1" customHeight="1" x14ac:dyDescent="0.2">
      <c r="K316" s="149"/>
      <c r="N316" s="149"/>
    </row>
    <row r="317" spans="11:14" ht="12.75" hidden="1" customHeight="1" x14ac:dyDescent="0.2">
      <c r="K317" s="149"/>
      <c r="N317" s="149"/>
    </row>
    <row r="318" spans="11:14" ht="12.75" hidden="1" customHeight="1" x14ac:dyDescent="0.2">
      <c r="K318" s="149"/>
      <c r="N318" s="149"/>
    </row>
    <row r="319" spans="11:14" ht="12.75" hidden="1" customHeight="1" x14ac:dyDescent="0.2">
      <c r="K319" s="153"/>
      <c r="N319" s="153"/>
    </row>
    <row r="320" spans="11:14" ht="12.75" hidden="1" customHeight="1" x14ac:dyDescent="0.2">
      <c r="K320" s="149"/>
      <c r="N320" s="149"/>
    </row>
    <row r="321" spans="11:14" ht="12.75" hidden="1" customHeight="1" x14ac:dyDescent="0.2">
      <c r="K321" s="149"/>
      <c r="N321" s="149"/>
    </row>
    <row r="322" spans="11:14" ht="12.75" hidden="1" customHeight="1" x14ac:dyDescent="0.2">
      <c r="K322" s="149"/>
      <c r="N322" s="149"/>
    </row>
    <row r="323" spans="11:14" ht="12.75" hidden="1" customHeight="1" x14ac:dyDescent="0.2">
      <c r="K323" s="153"/>
      <c r="N323" s="153"/>
    </row>
    <row r="324" spans="11:14" ht="12.75" hidden="1" customHeight="1" x14ac:dyDescent="0.2">
      <c r="K324" s="149"/>
      <c r="N324" s="149"/>
    </row>
    <row r="325" spans="11:14" ht="12.75" hidden="1" customHeight="1" x14ac:dyDescent="0.2">
      <c r="K325" s="149"/>
      <c r="N325" s="149"/>
    </row>
    <row r="326" spans="11:14" ht="12.75" hidden="1" customHeight="1" x14ac:dyDescent="0.2">
      <c r="K326" s="149"/>
      <c r="N326" s="149"/>
    </row>
    <row r="327" spans="11:14" ht="12.75" hidden="1" customHeight="1" x14ac:dyDescent="0.2">
      <c r="K327" s="153"/>
      <c r="N327" s="153"/>
    </row>
    <row r="328" spans="11:14" ht="12.75" hidden="1" customHeight="1" x14ac:dyDescent="0.2">
      <c r="K328" s="149"/>
      <c r="N328" s="149"/>
    </row>
    <row r="329" spans="11:14" ht="12.75" hidden="1" customHeight="1" x14ac:dyDescent="0.2">
      <c r="K329" s="149"/>
      <c r="N329" s="149"/>
    </row>
    <row r="330" spans="11:14" ht="12.75" hidden="1" customHeight="1" x14ac:dyDescent="0.2">
      <c r="K330" s="149"/>
      <c r="N330" s="149"/>
    </row>
    <row r="331" spans="11:14" ht="12.75" hidden="1" customHeight="1" x14ac:dyDescent="0.2">
      <c r="K331" s="153"/>
      <c r="N331" s="153"/>
    </row>
    <row r="332" spans="11:14" ht="12.75" hidden="1" customHeight="1" x14ac:dyDescent="0.2">
      <c r="K332" s="149"/>
      <c r="N332" s="149"/>
    </row>
    <row r="333" spans="11:14" ht="12.75" hidden="1" customHeight="1" x14ac:dyDescent="0.2">
      <c r="K333" s="149"/>
      <c r="N333" s="149"/>
    </row>
    <row r="334" spans="11:14" ht="12.75" hidden="1" customHeight="1" x14ac:dyDescent="0.2">
      <c r="K334" s="149"/>
      <c r="N334" s="149"/>
    </row>
    <row r="335" spans="11:14" ht="12.75" hidden="1" customHeight="1" x14ac:dyDescent="0.2">
      <c r="K335" s="153"/>
      <c r="N335" s="153"/>
    </row>
    <row r="336" spans="11:14" ht="12.75" hidden="1" customHeight="1" x14ac:dyDescent="0.2">
      <c r="K336" s="149"/>
      <c r="N336" s="149"/>
    </row>
    <row r="337" spans="11:14" ht="12.75" hidden="1" customHeight="1" x14ac:dyDescent="0.2">
      <c r="K337" s="149"/>
      <c r="N337" s="149"/>
    </row>
    <row r="338" spans="11:14" ht="12.75" hidden="1" customHeight="1" x14ac:dyDescent="0.2">
      <c r="K338" s="149"/>
      <c r="N338" s="149"/>
    </row>
    <row r="339" spans="11:14" ht="12.75" hidden="1" customHeight="1" x14ac:dyDescent="0.2">
      <c r="K339" s="153"/>
      <c r="N339" s="153"/>
    </row>
    <row r="340" spans="11:14" ht="12.75" hidden="1" customHeight="1" x14ac:dyDescent="0.2">
      <c r="K340" s="149"/>
      <c r="N340" s="149"/>
    </row>
    <row r="341" spans="11:14" ht="12.75" hidden="1" customHeight="1" x14ac:dyDescent="0.2">
      <c r="K341" s="149"/>
      <c r="N341" s="149"/>
    </row>
    <row r="342" spans="11:14" ht="12.75" hidden="1" customHeight="1" x14ac:dyDescent="0.2">
      <c r="K342" s="149"/>
      <c r="N342" s="149"/>
    </row>
    <row r="343" spans="11:14" ht="12.75" hidden="1" customHeight="1" x14ac:dyDescent="0.2">
      <c r="K343" s="153"/>
      <c r="N343" s="153"/>
    </row>
    <row r="344" spans="11:14" ht="12.75" hidden="1" customHeight="1" x14ac:dyDescent="0.2">
      <c r="K344" s="149"/>
      <c r="N344" s="149"/>
    </row>
    <row r="345" spans="11:14" ht="12.75" hidden="1" customHeight="1" x14ac:dyDescent="0.2">
      <c r="K345" s="149"/>
      <c r="N345" s="149"/>
    </row>
    <row r="346" spans="11:14" ht="12.75" hidden="1" customHeight="1" x14ac:dyDescent="0.2">
      <c r="K346" s="149"/>
      <c r="N346" s="149"/>
    </row>
    <row r="347" spans="11:14" ht="12.75" hidden="1" customHeight="1" x14ac:dyDescent="0.2">
      <c r="K347" s="153"/>
      <c r="N347" s="153"/>
    </row>
    <row r="348" spans="11:14" ht="12.75" hidden="1" customHeight="1" x14ac:dyDescent="0.2">
      <c r="K348" s="149"/>
      <c r="N348" s="149"/>
    </row>
    <row r="349" spans="11:14" ht="12.75" hidden="1" customHeight="1" x14ac:dyDescent="0.2">
      <c r="K349" s="149"/>
      <c r="N349" s="149"/>
    </row>
    <row r="350" spans="11:14" ht="12.75" hidden="1" customHeight="1" x14ac:dyDescent="0.2">
      <c r="K350" s="149"/>
      <c r="N350" s="149"/>
    </row>
    <row r="351" spans="11:14" ht="12.75" hidden="1" customHeight="1" x14ac:dyDescent="0.2">
      <c r="K351" s="153"/>
      <c r="N351" s="153"/>
    </row>
    <row r="352" spans="11:14" ht="12.75" hidden="1" customHeight="1" x14ac:dyDescent="0.2">
      <c r="K352" s="149"/>
      <c r="N352" s="149"/>
    </row>
    <row r="353" spans="11:14" ht="12.75" hidden="1" customHeight="1" x14ac:dyDescent="0.2">
      <c r="K353" s="149"/>
      <c r="N353" s="149"/>
    </row>
    <row r="354" spans="11:14" ht="12.75" hidden="1" customHeight="1" x14ac:dyDescent="0.2">
      <c r="K354" s="149"/>
      <c r="N354" s="149"/>
    </row>
    <row r="355" spans="11:14" ht="12.75" hidden="1" customHeight="1" x14ac:dyDescent="0.2">
      <c r="K355" s="153"/>
      <c r="N355" s="153"/>
    </row>
    <row r="356" spans="11:14" ht="12.75" hidden="1" customHeight="1" x14ac:dyDescent="0.2">
      <c r="K356" s="149"/>
      <c r="N356" s="149"/>
    </row>
    <row r="357" spans="11:14" ht="12.75" hidden="1" customHeight="1" x14ac:dyDescent="0.2">
      <c r="K357" s="149"/>
      <c r="N357" s="149"/>
    </row>
    <row r="358" spans="11:14" ht="12.75" hidden="1" customHeight="1" x14ac:dyDescent="0.2">
      <c r="K358" s="149"/>
      <c r="N358" s="149"/>
    </row>
    <row r="359" spans="11:14" ht="12.75" hidden="1" customHeight="1" x14ac:dyDescent="0.2">
      <c r="K359" s="153"/>
      <c r="N359" s="153"/>
    </row>
    <row r="360" spans="11:14" ht="12.75" hidden="1" customHeight="1" x14ac:dyDescent="0.2">
      <c r="K360" s="149"/>
      <c r="N360" s="149"/>
    </row>
    <row r="361" spans="11:14" ht="12.75" hidden="1" customHeight="1" x14ac:dyDescent="0.2">
      <c r="K361" s="149"/>
      <c r="N361" s="149"/>
    </row>
    <row r="362" spans="11:14" ht="12.75" hidden="1" customHeight="1" x14ac:dyDescent="0.2">
      <c r="K362" s="149"/>
      <c r="N362" s="149"/>
    </row>
    <row r="363" spans="11:14" ht="12.75" hidden="1" customHeight="1" x14ac:dyDescent="0.2">
      <c r="K363" s="153"/>
      <c r="N363" s="153"/>
    </row>
    <row r="364" spans="11:14" ht="12.75" hidden="1" customHeight="1" x14ac:dyDescent="0.2">
      <c r="K364" s="149"/>
      <c r="N364" s="149"/>
    </row>
    <row r="365" spans="11:14" ht="12.75" hidden="1" customHeight="1" x14ac:dyDescent="0.2">
      <c r="K365" s="149"/>
      <c r="N365" s="149"/>
    </row>
    <row r="366" spans="11:14" ht="12.75" hidden="1" customHeight="1" x14ac:dyDescent="0.2">
      <c r="K366" s="149"/>
      <c r="N366" s="149"/>
    </row>
    <row r="367" spans="11:14" ht="12.75" hidden="1" customHeight="1" x14ac:dyDescent="0.2">
      <c r="K367" s="153"/>
      <c r="N367" s="153"/>
    </row>
    <row r="368" spans="11:14" ht="12.75" hidden="1" customHeight="1" x14ac:dyDescent="0.2">
      <c r="K368" s="149"/>
      <c r="N368" s="149"/>
    </row>
    <row r="369" spans="11:14" ht="12.75" hidden="1" customHeight="1" x14ac:dyDescent="0.2">
      <c r="K369" s="149"/>
      <c r="N369" s="149"/>
    </row>
    <row r="370" spans="11:14" ht="12.75" hidden="1" customHeight="1" x14ac:dyDescent="0.2">
      <c r="K370" s="149"/>
      <c r="N370" s="149"/>
    </row>
    <row r="371" spans="11:14" ht="12.75" hidden="1" customHeight="1" x14ac:dyDescent="0.2">
      <c r="K371" s="153"/>
      <c r="N371" s="153"/>
    </row>
    <row r="372" spans="11:14" ht="12.75" hidden="1" customHeight="1" x14ac:dyDescent="0.2">
      <c r="K372" s="149"/>
      <c r="N372" s="149"/>
    </row>
    <row r="373" spans="11:14" ht="12.75" hidden="1" customHeight="1" x14ac:dyDescent="0.2">
      <c r="K373" s="149"/>
      <c r="N373" s="149"/>
    </row>
    <row r="374" spans="11:14" ht="12.75" hidden="1" customHeight="1" x14ac:dyDescent="0.2">
      <c r="K374" s="149"/>
      <c r="N374" s="149"/>
    </row>
    <row r="375" spans="11:14" ht="12.75" hidden="1" customHeight="1" x14ac:dyDescent="0.2">
      <c r="K375" s="153"/>
      <c r="N375" s="153"/>
    </row>
    <row r="376" spans="11:14" ht="12.75" hidden="1" customHeight="1" x14ac:dyDescent="0.2">
      <c r="K376" s="149"/>
      <c r="N376" s="149"/>
    </row>
    <row r="377" spans="11:14" ht="12.75" hidden="1" customHeight="1" x14ac:dyDescent="0.2">
      <c r="K377" s="149"/>
      <c r="N377" s="149"/>
    </row>
    <row r="378" spans="11:14" ht="12.75" hidden="1" customHeight="1" x14ac:dyDescent="0.2">
      <c r="K378" s="149"/>
      <c r="N378" s="149"/>
    </row>
    <row r="379" spans="11:14" ht="12.75" hidden="1" customHeight="1" x14ac:dyDescent="0.2">
      <c r="K379" s="153"/>
      <c r="N379" s="153"/>
    </row>
    <row r="380" spans="11:14" ht="12.75" hidden="1" customHeight="1" x14ac:dyDescent="0.2">
      <c r="K380" s="149"/>
      <c r="N380" s="149"/>
    </row>
    <row r="381" spans="11:14" ht="12.75" hidden="1" customHeight="1" x14ac:dyDescent="0.2">
      <c r="K381" s="149"/>
      <c r="N381" s="149"/>
    </row>
    <row r="382" spans="11:14" ht="12.75" hidden="1" customHeight="1" x14ac:dyDescent="0.2">
      <c r="K382" s="149"/>
      <c r="N382" s="149"/>
    </row>
    <row r="383" spans="11:14" ht="12.75" hidden="1" customHeight="1" x14ac:dyDescent="0.2">
      <c r="K383" s="153"/>
      <c r="N383" s="153"/>
    </row>
    <row r="384" spans="11:14" ht="12.75" hidden="1" customHeight="1" x14ac:dyDescent="0.2">
      <c r="K384" s="149"/>
      <c r="N384" s="149"/>
    </row>
    <row r="385" spans="11:14" ht="12.75" hidden="1" customHeight="1" x14ac:dyDescent="0.2">
      <c r="K385" s="149"/>
      <c r="N385" s="149"/>
    </row>
    <row r="386" spans="11:14" ht="12.75" hidden="1" customHeight="1" x14ac:dyDescent="0.2">
      <c r="K386" s="149"/>
      <c r="N386" s="149"/>
    </row>
    <row r="387" spans="11:14" ht="12.75" hidden="1" customHeight="1" x14ac:dyDescent="0.2">
      <c r="K387" s="153"/>
      <c r="N387" s="153"/>
    </row>
    <row r="388" spans="11:14" ht="12.75" hidden="1" customHeight="1" x14ac:dyDescent="0.2">
      <c r="K388" s="149"/>
      <c r="N388" s="149"/>
    </row>
    <row r="389" spans="11:14" ht="12.75" hidden="1" customHeight="1" x14ac:dyDescent="0.2">
      <c r="K389" s="149"/>
      <c r="N389" s="149"/>
    </row>
    <row r="390" spans="11:14" ht="12.75" hidden="1" customHeight="1" x14ac:dyDescent="0.2">
      <c r="K390" s="149"/>
      <c r="N390" s="149"/>
    </row>
    <row r="391" spans="11:14" ht="12.75" hidden="1" customHeight="1" x14ac:dyDescent="0.2">
      <c r="K391" s="153"/>
      <c r="N391" s="153"/>
    </row>
    <row r="392" spans="11:14" ht="12.75" hidden="1" customHeight="1" x14ac:dyDescent="0.2">
      <c r="K392" s="149"/>
      <c r="N392" s="149"/>
    </row>
    <row r="393" spans="11:14" ht="12.75" hidden="1" customHeight="1" x14ac:dyDescent="0.2">
      <c r="K393" s="149"/>
      <c r="N393" s="149"/>
    </row>
    <row r="394" spans="11:14" ht="12.75" hidden="1" customHeight="1" x14ac:dyDescent="0.2">
      <c r="K394" s="149"/>
      <c r="N394" s="149"/>
    </row>
    <row r="395" spans="11:14" ht="12.75" hidden="1" customHeight="1" x14ac:dyDescent="0.2">
      <c r="K395" s="153"/>
      <c r="N395" s="153"/>
    </row>
    <row r="396" spans="11:14" ht="12.75" hidden="1" customHeight="1" x14ac:dyDescent="0.2">
      <c r="K396" s="149"/>
      <c r="N396" s="149"/>
    </row>
    <row r="397" spans="11:14" ht="12.75" hidden="1" customHeight="1" x14ac:dyDescent="0.2">
      <c r="K397" s="149"/>
      <c r="N397" s="149"/>
    </row>
    <row r="398" spans="11:14" ht="12.75" hidden="1" customHeight="1" x14ac:dyDescent="0.2">
      <c r="K398" s="149"/>
      <c r="N398" s="149"/>
    </row>
    <row r="399" spans="11:14" ht="12.75" hidden="1" customHeight="1" x14ac:dyDescent="0.2">
      <c r="K399" s="153"/>
      <c r="N399" s="153"/>
    </row>
    <row r="400" spans="11:14" ht="12.75" hidden="1" customHeight="1" x14ac:dyDescent="0.2">
      <c r="K400" s="149"/>
      <c r="N400" s="149"/>
    </row>
    <row r="401" spans="11:14" ht="12.75" hidden="1" customHeight="1" x14ac:dyDescent="0.2">
      <c r="K401" s="149"/>
      <c r="N401" s="149"/>
    </row>
    <row r="402" spans="11:14" ht="12.75" hidden="1" customHeight="1" x14ac:dyDescent="0.2">
      <c r="K402" s="149"/>
      <c r="N402" s="149"/>
    </row>
    <row r="403" spans="11:14" ht="12.75" hidden="1" customHeight="1" x14ac:dyDescent="0.2">
      <c r="K403" s="153"/>
      <c r="N403" s="153"/>
    </row>
    <row r="404" spans="11:14" ht="12.75" hidden="1" customHeight="1" x14ac:dyDescent="0.2">
      <c r="K404" s="149"/>
      <c r="N404" s="149"/>
    </row>
    <row r="405" spans="11:14" ht="12.75" hidden="1" customHeight="1" x14ac:dyDescent="0.2">
      <c r="K405" s="149"/>
      <c r="N405" s="149"/>
    </row>
    <row r="406" spans="11:14" ht="12.75" hidden="1" customHeight="1" x14ac:dyDescent="0.2">
      <c r="K406" s="149"/>
      <c r="N406" s="149"/>
    </row>
    <row r="407" spans="11:14" ht="12.75" hidden="1" customHeight="1" x14ac:dyDescent="0.2">
      <c r="K407" s="153"/>
      <c r="N407" s="153"/>
    </row>
    <row r="408" spans="11:14" ht="12.75" hidden="1" customHeight="1" x14ac:dyDescent="0.2">
      <c r="K408" s="149"/>
      <c r="N408" s="149"/>
    </row>
    <row r="409" spans="11:14" ht="12.75" hidden="1" customHeight="1" x14ac:dyDescent="0.2">
      <c r="K409" s="149"/>
      <c r="N409" s="149"/>
    </row>
    <row r="410" spans="11:14" ht="12.75" hidden="1" customHeight="1" x14ac:dyDescent="0.2">
      <c r="K410" s="149"/>
      <c r="N410" s="149"/>
    </row>
    <row r="411" spans="11:14" ht="12.75" hidden="1" customHeight="1" x14ac:dyDescent="0.2">
      <c r="K411" s="153"/>
      <c r="N411" s="153"/>
    </row>
    <row r="412" spans="11:14" ht="12.75" hidden="1" customHeight="1" x14ac:dyDescent="0.2">
      <c r="K412" s="149"/>
      <c r="N412" s="149"/>
    </row>
    <row r="413" spans="11:14" ht="12.75" hidden="1" customHeight="1" x14ac:dyDescent="0.2">
      <c r="K413" s="149"/>
      <c r="N413" s="149"/>
    </row>
    <row r="414" spans="11:14" ht="12.75" hidden="1" customHeight="1" x14ac:dyDescent="0.2">
      <c r="K414" s="149"/>
      <c r="N414" s="149"/>
    </row>
    <row r="415" spans="11:14" ht="12.75" hidden="1" customHeight="1" x14ac:dyDescent="0.2">
      <c r="K415" s="153"/>
      <c r="N415" s="153"/>
    </row>
    <row r="416" spans="11:14" ht="12.75" hidden="1" customHeight="1" x14ac:dyDescent="0.2">
      <c r="K416" s="149"/>
      <c r="N416" s="149"/>
    </row>
    <row r="417" spans="11:14" ht="12.75" hidden="1" customHeight="1" x14ac:dyDescent="0.2">
      <c r="K417" s="149"/>
      <c r="N417" s="149"/>
    </row>
    <row r="418" spans="11:14" ht="12.75" hidden="1" customHeight="1" x14ac:dyDescent="0.2">
      <c r="K418" s="149"/>
      <c r="N418" s="149"/>
    </row>
    <row r="419" spans="11:14" ht="12.75" hidden="1" customHeight="1" x14ac:dyDescent="0.2">
      <c r="K419" s="153"/>
      <c r="N419" s="153"/>
    </row>
    <row r="420" spans="11:14" ht="12.75" hidden="1" customHeight="1" x14ac:dyDescent="0.2">
      <c r="K420" s="149"/>
      <c r="N420" s="149"/>
    </row>
    <row r="421" spans="11:14" ht="12.75" hidden="1" customHeight="1" x14ac:dyDescent="0.2">
      <c r="K421" s="149"/>
      <c r="N421" s="149"/>
    </row>
    <row r="422" spans="11:14" ht="12.75" hidden="1" customHeight="1" x14ac:dyDescent="0.2">
      <c r="K422" s="149"/>
      <c r="N422" s="149"/>
    </row>
    <row r="423" spans="11:14" ht="12.75" hidden="1" customHeight="1" x14ac:dyDescent="0.2">
      <c r="K423" s="153"/>
      <c r="N423" s="153"/>
    </row>
    <row r="424" spans="11:14" ht="12.75" hidden="1" customHeight="1" x14ac:dyDescent="0.2">
      <c r="K424" s="149"/>
      <c r="N424" s="149"/>
    </row>
    <row r="425" spans="11:14" ht="12.75" hidden="1" customHeight="1" x14ac:dyDescent="0.2">
      <c r="K425" s="149"/>
      <c r="N425" s="149"/>
    </row>
    <row r="426" spans="11:14" ht="12.75" hidden="1" customHeight="1" x14ac:dyDescent="0.2">
      <c r="K426" s="149"/>
      <c r="N426" s="149"/>
    </row>
    <row r="427" spans="11:14" ht="12.75" hidden="1" customHeight="1" x14ac:dyDescent="0.2">
      <c r="K427" s="153"/>
      <c r="N427" s="153"/>
    </row>
    <row r="428" spans="11:14" ht="12.75" hidden="1" customHeight="1" x14ac:dyDescent="0.2">
      <c r="K428" s="149"/>
      <c r="N428" s="149"/>
    </row>
    <row r="429" spans="11:14" ht="12.75" hidden="1" customHeight="1" x14ac:dyDescent="0.2">
      <c r="K429" s="149"/>
      <c r="N429" s="149"/>
    </row>
    <row r="430" spans="11:14" ht="12.75" hidden="1" customHeight="1" x14ac:dyDescent="0.2">
      <c r="K430" s="149"/>
      <c r="N430" s="149"/>
    </row>
    <row r="431" spans="11:14" ht="12.75" hidden="1" customHeight="1" x14ac:dyDescent="0.2">
      <c r="K431" s="153"/>
      <c r="N431" s="153"/>
    </row>
    <row r="432" spans="11:14" ht="12.75" hidden="1" customHeight="1" x14ac:dyDescent="0.2">
      <c r="K432" s="149"/>
      <c r="N432" s="149"/>
    </row>
    <row r="433" spans="11:14" ht="12.75" hidden="1" customHeight="1" x14ac:dyDescent="0.2">
      <c r="K433" s="149"/>
      <c r="N433" s="149"/>
    </row>
    <row r="434" spans="11:14" ht="12.75" hidden="1" customHeight="1" x14ac:dyDescent="0.2">
      <c r="K434" s="149"/>
      <c r="N434" s="149"/>
    </row>
    <row r="435" spans="11:14" ht="12.75" hidden="1" customHeight="1" x14ac:dyDescent="0.2">
      <c r="K435" s="153"/>
      <c r="N435" s="153"/>
    </row>
    <row r="436" spans="11:14" ht="12.75" hidden="1" customHeight="1" x14ac:dyDescent="0.2">
      <c r="K436" s="149"/>
      <c r="N436" s="149"/>
    </row>
    <row r="437" spans="11:14" ht="12.75" hidden="1" customHeight="1" x14ac:dyDescent="0.2">
      <c r="K437" s="149"/>
      <c r="N437" s="149"/>
    </row>
    <row r="438" spans="11:14" ht="12.75" hidden="1" customHeight="1" x14ac:dyDescent="0.2">
      <c r="K438" s="149"/>
      <c r="N438" s="149"/>
    </row>
    <row r="439" spans="11:14" ht="12.75" hidden="1" customHeight="1" x14ac:dyDescent="0.2">
      <c r="K439" s="153"/>
      <c r="N439" s="153"/>
    </row>
    <row r="440" spans="11:14" ht="12.75" hidden="1" customHeight="1" x14ac:dyDescent="0.2">
      <c r="K440" s="149"/>
      <c r="N440" s="149"/>
    </row>
    <row r="441" spans="11:14" ht="12.75" hidden="1" customHeight="1" x14ac:dyDescent="0.2">
      <c r="K441" s="149"/>
      <c r="N441" s="149"/>
    </row>
    <row r="442" spans="11:14" ht="12.75" hidden="1" customHeight="1" x14ac:dyDescent="0.2">
      <c r="K442" s="149"/>
      <c r="N442" s="149"/>
    </row>
    <row r="443" spans="11:14" ht="12.75" hidden="1" customHeight="1" x14ac:dyDescent="0.2">
      <c r="K443" s="153"/>
      <c r="N443" s="153"/>
    </row>
    <row r="444" spans="11:14" ht="12.75" hidden="1" customHeight="1" x14ac:dyDescent="0.2">
      <c r="K444" s="149"/>
      <c r="N444" s="149"/>
    </row>
    <row r="445" spans="11:14" ht="12.75" hidden="1" customHeight="1" x14ac:dyDescent="0.2">
      <c r="K445" s="149"/>
      <c r="N445" s="149"/>
    </row>
    <row r="446" spans="11:14" ht="12.75" hidden="1" customHeight="1" x14ac:dyDescent="0.2">
      <c r="K446" s="149"/>
      <c r="N446" s="149"/>
    </row>
    <row r="447" spans="11:14" ht="12.75" hidden="1" customHeight="1" x14ac:dyDescent="0.2">
      <c r="K447" s="153"/>
      <c r="N447" s="153"/>
    </row>
    <row r="448" spans="11:14" ht="12.75" hidden="1" customHeight="1" x14ac:dyDescent="0.2">
      <c r="K448" s="149"/>
      <c r="N448" s="149"/>
    </row>
    <row r="449" spans="11:14" ht="12.75" hidden="1" customHeight="1" x14ac:dyDescent="0.2">
      <c r="K449" s="149"/>
      <c r="N449" s="149"/>
    </row>
    <row r="450" spans="11:14" ht="12.75" hidden="1" customHeight="1" x14ac:dyDescent="0.2">
      <c r="K450" s="149"/>
      <c r="N450" s="149"/>
    </row>
    <row r="451" spans="11:14" ht="12.75" hidden="1" customHeight="1" x14ac:dyDescent="0.2">
      <c r="K451" s="153"/>
      <c r="N451" s="153"/>
    </row>
    <row r="452" spans="11:14" ht="12.75" hidden="1" customHeight="1" x14ac:dyDescent="0.2">
      <c r="K452" s="149"/>
      <c r="N452" s="149"/>
    </row>
    <row r="453" spans="11:14" ht="12.75" hidden="1" customHeight="1" x14ac:dyDescent="0.2">
      <c r="K453" s="149"/>
      <c r="N453" s="149"/>
    </row>
    <row r="454" spans="11:14" ht="12.75" hidden="1" customHeight="1" x14ac:dyDescent="0.2">
      <c r="K454" s="149"/>
      <c r="N454" s="149"/>
    </row>
    <row r="455" spans="11:14" ht="12.75" hidden="1" customHeight="1" x14ac:dyDescent="0.2">
      <c r="K455" s="153"/>
      <c r="N455" s="153"/>
    </row>
    <row r="456" spans="11:14" ht="12.75" hidden="1" customHeight="1" x14ac:dyDescent="0.2">
      <c r="K456" s="149"/>
      <c r="N456" s="149"/>
    </row>
    <row r="457" spans="11:14" ht="12.75" hidden="1" customHeight="1" x14ac:dyDescent="0.2">
      <c r="K457" s="149"/>
      <c r="N457" s="149"/>
    </row>
    <row r="458" spans="11:14" ht="12.75" hidden="1" customHeight="1" x14ac:dyDescent="0.2">
      <c r="K458" s="149"/>
      <c r="N458" s="149"/>
    </row>
    <row r="459" spans="11:14" ht="12.75" hidden="1" customHeight="1" x14ac:dyDescent="0.2">
      <c r="K459" s="153"/>
      <c r="N459" s="153"/>
    </row>
    <row r="460" spans="11:14" ht="12.75" hidden="1" customHeight="1" x14ac:dyDescent="0.2">
      <c r="K460" s="149"/>
      <c r="N460" s="149"/>
    </row>
    <row r="461" spans="11:14" ht="12.75" hidden="1" customHeight="1" x14ac:dyDescent="0.2">
      <c r="K461" s="149"/>
      <c r="N461" s="149"/>
    </row>
    <row r="462" spans="11:14" ht="12.75" hidden="1" customHeight="1" x14ac:dyDescent="0.2">
      <c r="K462" s="149"/>
      <c r="N462" s="149"/>
    </row>
    <row r="463" spans="11:14" ht="12.75" hidden="1" customHeight="1" x14ac:dyDescent="0.2">
      <c r="K463" s="153"/>
      <c r="N463" s="153"/>
    </row>
    <row r="464" spans="11:14" ht="12.75" hidden="1" customHeight="1" x14ac:dyDescent="0.2">
      <c r="K464" s="149"/>
      <c r="N464" s="149"/>
    </row>
    <row r="465" spans="11:14" ht="12.75" hidden="1" customHeight="1" x14ac:dyDescent="0.2">
      <c r="K465" s="149"/>
      <c r="N465" s="149"/>
    </row>
    <row r="466" spans="11:14" ht="12.75" hidden="1" customHeight="1" x14ac:dyDescent="0.2">
      <c r="K466" s="149"/>
      <c r="N466" s="149"/>
    </row>
    <row r="467" spans="11:14" ht="12.75" hidden="1" customHeight="1" x14ac:dyDescent="0.2">
      <c r="K467" s="153"/>
      <c r="N467" s="153"/>
    </row>
    <row r="468" spans="11:14" ht="12.75" hidden="1" customHeight="1" x14ac:dyDescent="0.2">
      <c r="K468" s="149"/>
      <c r="N468" s="149"/>
    </row>
    <row r="469" spans="11:14" ht="12.75" hidden="1" customHeight="1" x14ac:dyDescent="0.2">
      <c r="K469" s="149"/>
      <c r="N469" s="149"/>
    </row>
    <row r="470" spans="11:14" ht="12.75" hidden="1" customHeight="1" x14ac:dyDescent="0.2">
      <c r="K470" s="149"/>
      <c r="N470" s="149"/>
    </row>
    <row r="471" spans="11:14" ht="12.75" hidden="1" customHeight="1" x14ac:dyDescent="0.2">
      <c r="K471" s="153"/>
      <c r="N471" s="153"/>
    </row>
    <row r="472" spans="11:14" ht="12.75" hidden="1" customHeight="1" x14ac:dyDescent="0.2">
      <c r="K472" s="149"/>
      <c r="N472" s="149"/>
    </row>
    <row r="473" spans="11:14" ht="12.75" hidden="1" customHeight="1" x14ac:dyDescent="0.2">
      <c r="K473" s="149"/>
      <c r="N473" s="149"/>
    </row>
    <row r="474" spans="11:14" ht="12.75" hidden="1" customHeight="1" x14ac:dyDescent="0.2">
      <c r="K474" s="149"/>
      <c r="N474" s="149"/>
    </row>
    <row r="475" spans="11:14" ht="12.75" hidden="1" customHeight="1" x14ac:dyDescent="0.2">
      <c r="K475" s="153"/>
      <c r="N475" s="153"/>
    </row>
    <row r="476" spans="11:14" ht="12.75" hidden="1" customHeight="1" x14ac:dyDescent="0.2">
      <c r="K476" s="149"/>
      <c r="N476" s="149"/>
    </row>
    <row r="477" spans="11:14" ht="12.75" hidden="1" customHeight="1" x14ac:dyDescent="0.2">
      <c r="K477" s="149"/>
      <c r="N477" s="149"/>
    </row>
    <row r="478" spans="11:14" ht="12.75" hidden="1" customHeight="1" x14ac:dyDescent="0.2">
      <c r="K478" s="149"/>
      <c r="N478" s="149"/>
    </row>
    <row r="479" spans="11:14" ht="12.75" hidden="1" customHeight="1" x14ac:dyDescent="0.2">
      <c r="K479" s="153"/>
      <c r="N479" s="153"/>
    </row>
    <row r="480" spans="11:14" ht="12.75" hidden="1" customHeight="1" x14ac:dyDescent="0.2">
      <c r="K480" s="149"/>
      <c r="N480" s="149"/>
    </row>
    <row r="481" spans="11:14" ht="12.75" hidden="1" customHeight="1" x14ac:dyDescent="0.2">
      <c r="K481" s="149"/>
      <c r="N481" s="149"/>
    </row>
    <row r="482" spans="11:14" ht="12.75" hidden="1" customHeight="1" x14ac:dyDescent="0.2">
      <c r="K482" s="149"/>
      <c r="N482" s="149"/>
    </row>
    <row r="483" spans="11:14" ht="12.75" hidden="1" customHeight="1" x14ac:dyDescent="0.2">
      <c r="K483" s="153"/>
      <c r="N483" s="153"/>
    </row>
    <row r="484" spans="11:14" ht="12.75" hidden="1" customHeight="1" x14ac:dyDescent="0.2">
      <c r="K484" s="149"/>
      <c r="N484" s="149"/>
    </row>
    <row r="485" spans="11:14" ht="12.75" hidden="1" customHeight="1" x14ac:dyDescent="0.2">
      <c r="K485" s="149"/>
      <c r="N485" s="149"/>
    </row>
    <row r="486" spans="11:14" ht="12.75" hidden="1" customHeight="1" x14ac:dyDescent="0.2">
      <c r="K486" s="149"/>
      <c r="N486" s="149"/>
    </row>
    <row r="487" spans="11:14" ht="12.75" hidden="1" customHeight="1" x14ac:dyDescent="0.2">
      <c r="K487" s="153"/>
      <c r="N487" s="153"/>
    </row>
    <row r="488" spans="11:14" ht="12.75" hidden="1" customHeight="1" x14ac:dyDescent="0.2">
      <c r="K488" s="149"/>
      <c r="N488" s="149"/>
    </row>
    <row r="489" spans="11:14" ht="12.75" hidden="1" customHeight="1" x14ac:dyDescent="0.2">
      <c r="K489" s="149"/>
      <c r="N489" s="149"/>
    </row>
    <row r="490" spans="11:14" ht="12.75" hidden="1" customHeight="1" x14ac:dyDescent="0.2">
      <c r="K490" s="149"/>
      <c r="N490" s="149"/>
    </row>
    <row r="491" spans="11:14" ht="12.75" hidden="1" customHeight="1" x14ac:dyDescent="0.2">
      <c r="K491" s="153"/>
      <c r="N491" s="153"/>
    </row>
    <row r="492" spans="11:14" ht="12.75" hidden="1" customHeight="1" x14ac:dyDescent="0.2">
      <c r="K492" s="149"/>
      <c r="N492" s="149"/>
    </row>
    <row r="493" spans="11:14" ht="12.75" hidden="1" customHeight="1" x14ac:dyDescent="0.2">
      <c r="K493" s="149"/>
      <c r="N493" s="149"/>
    </row>
    <row r="494" spans="11:14" ht="12.75" hidden="1" customHeight="1" x14ac:dyDescent="0.2">
      <c r="K494" s="149"/>
      <c r="N494" s="149"/>
    </row>
    <row r="495" spans="11:14" ht="12.75" hidden="1" customHeight="1" x14ac:dyDescent="0.2">
      <c r="K495" s="153"/>
      <c r="N495" s="153"/>
    </row>
    <row r="496" spans="11:14" ht="12.75" hidden="1" customHeight="1" x14ac:dyDescent="0.2">
      <c r="K496" s="149"/>
      <c r="N496" s="149"/>
    </row>
    <row r="497" spans="11:14" ht="12.75" hidden="1" customHeight="1" x14ac:dyDescent="0.2">
      <c r="K497" s="149"/>
      <c r="N497" s="149"/>
    </row>
    <row r="498" spans="11:14" ht="12.75" hidden="1" customHeight="1" x14ac:dyDescent="0.2">
      <c r="K498" s="149"/>
      <c r="N498" s="149"/>
    </row>
    <row r="499" spans="11:14" ht="12.75" hidden="1" customHeight="1" x14ac:dyDescent="0.2">
      <c r="K499" s="153"/>
      <c r="N499" s="153"/>
    </row>
    <row r="500" spans="11:14" ht="12.75" hidden="1" customHeight="1" x14ac:dyDescent="0.2">
      <c r="K500" s="149"/>
      <c r="N500" s="149"/>
    </row>
    <row r="501" spans="11:14" ht="12.75" hidden="1" customHeight="1" x14ac:dyDescent="0.2">
      <c r="K501" s="149"/>
      <c r="N501" s="149"/>
    </row>
    <row r="502" spans="11:14" ht="12.75" hidden="1" customHeight="1" x14ac:dyDescent="0.2">
      <c r="K502" s="149"/>
      <c r="N502" s="149"/>
    </row>
    <row r="503" spans="11:14" ht="12.75" hidden="1" customHeight="1" x14ac:dyDescent="0.2">
      <c r="K503" s="153"/>
      <c r="N503" s="153"/>
    </row>
    <row r="504" spans="11:14" ht="12.75" hidden="1" customHeight="1" x14ac:dyDescent="0.2">
      <c r="K504" s="149"/>
      <c r="N504" s="149"/>
    </row>
    <row r="505" spans="11:14" ht="12.75" hidden="1" customHeight="1" x14ac:dyDescent="0.2">
      <c r="K505" s="149"/>
      <c r="N505" s="149"/>
    </row>
    <row r="506" spans="11:14" ht="12.75" hidden="1" customHeight="1" x14ac:dyDescent="0.2">
      <c r="K506" s="149"/>
      <c r="N506" s="149"/>
    </row>
    <row r="507" spans="11:14" ht="12.75" hidden="1" customHeight="1" x14ac:dyDescent="0.2">
      <c r="K507" s="153"/>
      <c r="N507" s="153"/>
    </row>
    <row r="508" spans="11:14" ht="12.75" hidden="1" customHeight="1" x14ac:dyDescent="0.2">
      <c r="K508" s="149"/>
      <c r="N508" s="149"/>
    </row>
    <row r="509" spans="11:14" ht="12.75" hidden="1" customHeight="1" x14ac:dyDescent="0.2">
      <c r="K509" s="149"/>
      <c r="N509" s="149"/>
    </row>
    <row r="510" spans="11:14" ht="12.75" hidden="1" customHeight="1" x14ac:dyDescent="0.2">
      <c r="K510" s="149"/>
      <c r="N510" s="149"/>
    </row>
    <row r="511" spans="11:14" ht="12.75" hidden="1" customHeight="1" x14ac:dyDescent="0.2">
      <c r="K511" s="153"/>
      <c r="N511" s="153"/>
    </row>
    <row r="512" spans="11:14" ht="12.75" hidden="1" customHeight="1" x14ac:dyDescent="0.2">
      <c r="K512" s="149"/>
      <c r="N512" s="149"/>
    </row>
    <row r="513" spans="11:14" ht="12.75" hidden="1" customHeight="1" x14ac:dyDescent="0.2">
      <c r="K513" s="149"/>
      <c r="N513" s="149"/>
    </row>
    <row r="514" spans="11:14" ht="12.75" hidden="1" customHeight="1" x14ac:dyDescent="0.2">
      <c r="K514" s="149"/>
      <c r="N514" s="149"/>
    </row>
    <row r="515" spans="11:14" ht="12.75" hidden="1" customHeight="1" x14ac:dyDescent="0.2">
      <c r="K515" s="153"/>
      <c r="N515" s="153"/>
    </row>
    <row r="516" spans="11:14" ht="12.75" hidden="1" customHeight="1" x14ac:dyDescent="0.2">
      <c r="K516" s="149"/>
      <c r="N516" s="149"/>
    </row>
    <row r="517" spans="11:14" ht="12.75" hidden="1" customHeight="1" x14ac:dyDescent="0.2">
      <c r="K517" s="149"/>
      <c r="N517" s="149"/>
    </row>
    <row r="518" spans="11:14" ht="12.75" hidden="1" customHeight="1" x14ac:dyDescent="0.2">
      <c r="K518" s="149"/>
      <c r="N518" s="149"/>
    </row>
    <row r="519" spans="11:14" ht="12.75" hidden="1" customHeight="1" x14ac:dyDescent="0.2">
      <c r="K519" s="153"/>
      <c r="N519" s="153"/>
    </row>
    <row r="520" spans="11:14" ht="12.75" hidden="1" customHeight="1" x14ac:dyDescent="0.2">
      <c r="K520" s="149"/>
      <c r="N520" s="149"/>
    </row>
    <row r="521" spans="11:14" ht="12.75" hidden="1" customHeight="1" x14ac:dyDescent="0.2">
      <c r="K521" s="149"/>
      <c r="N521" s="149"/>
    </row>
    <row r="522" spans="11:14" ht="12.75" hidden="1" customHeight="1" x14ac:dyDescent="0.2">
      <c r="K522" s="149"/>
      <c r="N522" s="149"/>
    </row>
    <row r="523" spans="11:14" ht="12.75" hidden="1" customHeight="1" x14ac:dyDescent="0.2">
      <c r="K523" s="153"/>
      <c r="N523" s="153"/>
    </row>
    <row r="524" spans="11:14" ht="12.75" hidden="1" customHeight="1" x14ac:dyDescent="0.2">
      <c r="K524" s="149"/>
      <c r="N524" s="149"/>
    </row>
    <row r="525" spans="11:14" ht="12.75" hidden="1" customHeight="1" x14ac:dyDescent="0.2">
      <c r="K525" s="149"/>
      <c r="N525" s="149"/>
    </row>
    <row r="526" spans="11:14" ht="12.75" hidden="1" customHeight="1" x14ac:dyDescent="0.2">
      <c r="K526" s="149"/>
      <c r="N526" s="149"/>
    </row>
    <row r="527" spans="11:14" ht="12.75" hidden="1" customHeight="1" x14ac:dyDescent="0.2">
      <c r="K527" s="153"/>
      <c r="N527" s="153"/>
    </row>
    <row r="528" spans="11:14" ht="12.75" hidden="1" customHeight="1" x14ac:dyDescent="0.2">
      <c r="K528" s="149"/>
      <c r="N528" s="149"/>
    </row>
    <row r="529" spans="11:14" ht="12.75" hidden="1" customHeight="1" x14ac:dyDescent="0.2">
      <c r="K529" s="149"/>
      <c r="N529" s="149"/>
    </row>
    <row r="530" spans="11:14" ht="12.75" hidden="1" customHeight="1" x14ac:dyDescent="0.2">
      <c r="K530" s="149"/>
      <c r="N530" s="149"/>
    </row>
    <row r="531" spans="11:14" ht="12.75" hidden="1" customHeight="1" x14ac:dyDescent="0.2">
      <c r="K531" s="153"/>
      <c r="N531" s="153"/>
    </row>
    <row r="532" spans="11:14" ht="12.75" hidden="1" customHeight="1" x14ac:dyDescent="0.2">
      <c r="K532" s="149"/>
      <c r="N532" s="149"/>
    </row>
    <row r="533" spans="11:14" ht="12.75" hidden="1" customHeight="1" x14ac:dyDescent="0.2">
      <c r="K533" s="149"/>
      <c r="N533" s="149"/>
    </row>
    <row r="534" spans="11:14" ht="12.75" hidden="1" customHeight="1" x14ac:dyDescent="0.2">
      <c r="K534" s="149"/>
      <c r="N534" s="149"/>
    </row>
    <row r="535" spans="11:14" ht="12.75" hidden="1" customHeight="1" x14ac:dyDescent="0.2">
      <c r="K535" s="153"/>
      <c r="N535" s="153"/>
    </row>
    <row r="536" spans="11:14" ht="12.75" hidden="1" customHeight="1" x14ac:dyDescent="0.2">
      <c r="K536" s="149"/>
      <c r="N536" s="149"/>
    </row>
    <row r="537" spans="11:14" ht="12.75" hidden="1" customHeight="1" x14ac:dyDescent="0.2">
      <c r="K537" s="149"/>
      <c r="N537" s="149"/>
    </row>
    <row r="538" spans="11:14" ht="12.75" hidden="1" customHeight="1" x14ac:dyDescent="0.2">
      <c r="K538" s="149"/>
      <c r="N538" s="149"/>
    </row>
    <row r="539" spans="11:14" ht="12.75" hidden="1" customHeight="1" x14ac:dyDescent="0.2">
      <c r="K539" s="153"/>
      <c r="N539" s="153"/>
    </row>
    <row r="540" spans="11:14" ht="12.75" hidden="1" customHeight="1" x14ac:dyDescent="0.2">
      <c r="K540" s="149"/>
      <c r="N540" s="149"/>
    </row>
    <row r="541" spans="11:14" ht="12.75" hidden="1" customHeight="1" x14ac:dyDescent="0.2">
      <c r="K541" s="149"/>
      <c r="N541" s="149"/>
    </row>
    <row r="542" spans="11:14" ht="12.75" hidden="1" customHeight="1" x14ac:dyDescent="0.2">
      <c r="K542" s="149"/>
      <c r="N542" s="149"/>
    </row>
    <row r="543" spans="11:14" ht="12.75" hidden="1" customHeight="1" x14ac:dyDescent="0.2">
      <c r="K543" s="153"/>
      <c r="N543" s="153"/>
    </row>
    <row r="544" spans="11:14" ht="12.75" hidden="1" customHeight="1" x14ac:dyDescent="0.2">
      <c r="K544" s="149"/>
      <c r="N544" s="149"/>
    </row>
    <row r="545" spans="11:14" ht="12.75" hidden="1" customHeight="1" x14ac:dyDescent="0.2">
      <c r="K545" s="149"/>
      <c r="N545" s="149"/>
    </row>
    <row r="546" spans="11:14" ht="12.75" hidden="1" customHeight="1" x14ac:dyDescent="0.2">
      <c r="K546" s="149"/>
      <c r="N546" s="149"/>
    </row>
    <row r="547" spans="11:14" ht="12.75" hidden="1" customHeight="1" x14ac:dyDescent="0.2">
      <c r="K547" s="153"/>
      <c r="N547" s="153"/>
    </row>
    <row r="548" spans="11:14" ht="12.75" hidden="1" customHeight="1" x14ac:dyDescent="0.2">
      <c r="K548" s="149"/>
      <c r="N548" s="149"/>
    </row>
    <row r="549" spans="11:14" ht="12.75" hidden="1" customHeight="1" x14ac:dyDescent="0.2">
      <c r="K549" s="149"/>
      <c r="N549" s="149"/>
    </row>
    <row r="550" spans="11:14" ht="12.75" hidden="1" customHeight="1" x14ac:dyDescent="0.2">
      <c r="K550" s="149"/>
      <c r="N550" s="149"/>
    </row>
    <row r="551" spans="11:14" ht="12.75" hidden="1" customHeight="1" x14ac:dyDescent="0.2">
      <c r="K551" s="153"/>
      <c r="N551" s="153"/>
    </row>
    <row r="552" spans="11:14" ht="12.75" hidden="1" customHeight="1" x14ac:dyDescent="0.2">
      <c r="K552" s="149"/>
      <c r="N552" s="149"/>
    </row>
    <row r="553" spans="11:14" ht="12.75" hidden="1" customHeight="1" x14ac:dyDescent="0.2">
      <c r="K553" s="149"/>
      <c r="N553" s="149"/>
    </row>
    <row r="554" spans="11:14" ht="12.75" hidden="1" customHeight="1" x14ac:dyDescent="0.2">
      <c r="K554" s="149"/>
      <c r="N554" s="149"/>
    </row>
    <row r="555" spans="11:14" ht="12.75" hidden="1" customHeight="1" x14ac:dyDescent="0.2">
      <c r="K555" s="153"/>
      <c r="N555" s="153"/>
    </row>
    <row r="556" spans="11:14" ht="12.75" hidden="1" customHeight="1" x14ac:dyDescent="0.2">
      <c r="K556" s="149"/>
      <c r="N556" s="149"/>
    </row>
    <row r="557" spans="11:14" ht="12.75" hidden="1" customHeight="1" x14ac:dyDescent="0.2">
      <c r="K557" s="149"/>
      <c r="N557" s="149"/>
    </row>
    <row r="558" spans="11:14" ht="12.75" hidden="1" customHeight="1" x14ac:dyDescent="0.2">
      <c r="K558" s="149"/>
      <c r="N558" s="149"/>
    </row>
    <row r="559" spans="11:14" ht="12.75" hidden="1" customHeight="1" x14ac:dyDescent="0.2">
      <c r="K559" s="153"/>
      <c r="N559" s="153"/>
    </row>
    <row r="560" spans="11:14" ht="12.75" hidden="1" customHeight="1" x14ac:dyDescent="0.2">
      <c r="K560" s="149"/>
      <c r="N560" s="149"/>
    </row>
    <row r="561" spans="11:14" ht="12.75" hidden="1" customHeight="1" x14ac:dyDescent="0.2">
      <c r="K561" s="149"/>
      <c r="N561" s="149"/>
    </row>
    <row r="562" spans="11:14" ht="12.75" hidden="1" customHeight="1" x14ac:dyDescent="0.2">
      <c r="K562" s="149"/>
      <c r="N562" s="149"/>
    </row>
    <row r="563" spans="11:14" ht="12.75" hidden="1" customHeight="1" x14ac:dyDescent="0.2">
      <c r="K563" s="153"/>
      <c r="N563" s="153"/>
    </row>
    <row r="564" spans="11:14" ht="12.75" hidden="1" customHeight="1" x14ac:dyDescent="0.2">
      <c r="K564" s="149"/>
      <c r="N564" s="149"/>
    </row>
    <row r="565" spans="11:14" ht="12.75" hidden="1" customHeight="1" x14ac:dyDescent="0.2">
      <c r="K565" s="149"/>
      <c r="N565" s="149"/>
    </row>
    <row r="566" spans="11:14" ht="12.75" hidden="1" customHeight="1" x14ac:dyDescent="0.2">
      <c r="K566" s="149"/>
      <c r="N566" s="149"/>
    </row>
    <row r="567" spans="11:14" ht="12.75" hidden="1" customHeight="1" x14ac:dyDescent="0.2">
      <c r="K567" s="153"/>
      <c r="N567" s="153"/>
    </row>
    <row r="568" spans="11:14" ht="12.75" hidden="1" customHeight="1" x14ac:dyDescent="0.2">
      <c r="K568" s="149"/>
      <c r="N568" s="149"/>
    </row>
    <row r="569" spans="11:14" ht="12.75" hidden="1" customHeight="1" x14ac:dyDescent="0.2">
      <c r="K569" s="149"/>
      <c r="N569" s="149"/>
    </row>
    <row r="570" spans="11:14" ht="12.75" hidden="1" customHeight="1" x14ac:dyDescent="0.2">
      <c r="K570" s="149"/>
      <c r="N570" s="149"/>
    </row>
    <row r="571" spans="11:14" ht="12.75" hidden="1" customHeight="1" x14ac:dyDescent="0.2">
      <c r="K571" s="153"/>
      <c r="N571" s="153"/>
    </row>
    <row r="572" spans="11:14" ht="12.75" hidden="1" customHeight="1" x14ac:dyDescent="0.2">
      <c r="K572" s="149"/>
      <c r="N572" s="149"/>
    </row>
    <row r="573" spans="11:14" ht="12.75" hidden="1" customHeight="1" x14ac:dyDescent="0.2">
      <c r="K573" s="149"/>
      <c r="N573" s="149"/>
    </row>
    <row r="574" spans="11:14" ht="12.75" hidden="1" customHeight="1" x14ac:dyDescent="0.2">
      <c r="K574" s="149"/>
      <c r="N574" s="149"/>
    </row>
    <row r="575" spans="11:14" ht="12.75" hidden="1" customHeight="1" x14ac:dyDescent="0.2">
      <c r="K575" s="153"/>
      <c r="N575" s="153"/>
    </row>
    <row r="576" spans="11:14" ht="12.75" hidden="1" customHeight="1" x14ac:dyDescent="0.2">
      <c r="K576" s="149"/>
      <c r="N576" s="149"/>
    </row>
    <row r="577" spans="11:14" ht="12.75" hidden="1" customHeight="1" x14ac:dyDescent="0.2">
      <c r="K577" s="149"/>
      <c r="N577" s="149"/>
    </row>
    <row r="578" spans="11:14" ht="12.75" hidden="1" customHeight="1" x14ac:dyDescent="0.2">
      <c r="K578" s="149"/>
      <c r="N578" s="149"/>
    </row>
    <row r="579" spans="11:14" ht="12.75" hidden="1" customHeight="1" x14ac:dyDescent="0.2">
      <c r="K579" s="153"/>
      <c r="N579" s="153"/>
    </row>
    <row r="580" spans="11:14" ht="12.75" hidden="1" customHeight="1" x14ac:dyDescent="0.2">
      <c r="K580" s="149"/>
      <c r="N580" s="149"/>
    </row>
    <row r="581" spans="11:14" ht="12.75" hidden="1" customHeight="1" x14ac:dyDescent="0.2">
      <c r="K581" s="149"/>
      <c r="N581" s="149"/>
    </row>
    <row r="582" spans="11:14" ht="12.75" hidden="1" customHeight="1" x14ac:dyDescent="0.2">
      <c r="K582" s="149"/>
      <c r="N582" s="149"/>
    </row>
    <row r="583" spans="11:14" ht="12.75" hidden="1" customHeight="1" x14ac:dyDescent="0.2">
      <c r="K583" s="153"/>
      <c r="N583" s="153"/>
    </row>
    <row r="584" spans="11:14" ht="12.75" hidden="1" customHeight="1" x14ac:dyDescent="0.2">
      <c r="K584" s="149"/>
      <c r="N584" s="149"/>
    </row>
    <row r="585" spans="11:14" ht="12.75" hidden="1" customHeight="1" x14ac:dyDescent="0.2">
      <c r="K585" s="149"/>
      <c r="N585" s="149"/>
    </row>
    <row r="586" spans="11:14" ht="12.75" hidden="1" customHeight="1" x14ac:dyDescent="0.2">
      <c r="K586" s="149"/>
      <c r="N586" s="149"/>
    </row>
    <row r="587" spans="11:14" ht="12.75" hidden="1" customHeight="1" x14ac:dyDescent="0.2">
      <c r="K587" s="153"/>
      <c r="N587" s="153"/>
    </row>
    <row r="588" spans="11:14" ht="12.75" hidden="1" customHeight="1" x14ac:dyDescent="0.2">
      <c r="K588" s="149"/>
      <c r="N588" s="149"/>
    </row>
    <row r="589" spans="11:14" ht="12.75" hidden="1" customHeight="1" x14ac:dyDescent="0.2">
      <c r="K589" s="149"/>
      <c r="N589" s="149"/>
    </row>
    <row r="590" spans="11:14" ht="12.75" hidden="1" customHeight="1" x14ac:dyDescent="0.2">
      <c r="K590" s="149"/>
      <c r="N590" s="149"/>
    </row>
    <row r="591" spans="11:14" ht="12.75" hidden="1" customHeight="1" x14ac:dyDescent="0.2">
      <c r="K591" s="153"/>
      <c r="N591" s="153"/>
    </row>
    <row r="592" spans="11:14" ht="12.75" hidden="1" customHeight="1" x14ac:dyDescent="0.2">
      <c r="K592" s="149"/>
      <c r="N592" s="149"/>
    </row>
    <row r="593" spans="11:14" ht="12.75" hidden="1" customHeight="1" x14ac:dyDescent="0.2">
      <c r="K593" s="149"/>
      <c r="N593" s="149"/>
    </row>
    <row r="594" spans="11:14" ht="12.75" hidden="1" customHeight="1" x14ac:dyDescent="0.2">
      <c r="K594" s="149"/>
      <c r="N594" s="149"/>
    </row>
    <row r="595" spans="11:14" ht="12.75" hidden="1" customHeight="1" x14ac:dyDescent="0.2">
      <c r="K595" s="153"/>
      <c r="N595" s="153"/>
    </row>
    <row r="596" spans="11:14" ht="12.75" hidden="1" customHeight="1" x14ac:dyDescent="0.2">
      <c r="K596" s="149"/>
      <c r="N596" s="149"/>
    </row>
    <row r="597" spans="11:14" ht="12.75" hidden="1" customHeight="1" x14ac:dyDescent="0.2">
      <c r="K597" s="149"/>
      <c r="N597" s="149"/>
    </row>
    <row r="598" spans="11:14" ht="12.75" hidden="1" customHeight="1" x14ac:dyDescent="0.2">
      <c r="K598" s="149"/>
      <c r="N598" s="149"/>
    </row>
    <row r="599" spans="11:14" ht="12.75" hidden="1" customHeight="1" x14ac:dyDescent="0.2">
      <c r="K599" s="153"/>
      <c r="N599" s="153"/>
    </row>
    <row r="600" spans="11:14" ht="12.75" hidden="1" customHeight="1" x14ac:dyDescent="0.2">
      <c r="K600" s="149"/>
      <c r="N600" s="149"/>
    </row>
    <row r="601" spans="11:14" ht="12.75" hidden="1" customHeight="1" x14ac:dyDescent="0.2">
      <c r="K601" s="149"/>
      <c r="N601" s="149"/>
    </row>
    <row r="602" spans="11:14" ht="12.75" hidden="1" customHeight="1" x14ac:dyDescent="0.2">
      <c r="K602" s="149"/>
      <c r="N602" s="149"/>
    </row>
    <row r="603" spans="11:14" ht="12.75" hidden="1" customHeight="1" x14ac:dyDescent="0.2">
      <c r="K603" s="153"/>
      <c r="N603" s="153"/>
    </row>
    <row r="604" spans="11:14" ht="12.75" hidden="1" customHeight="1" x14ac:dyDescent="0.2">
      <c r="K604" s="149"/>
      <c r="N604" s="149"/>
    </row>
    <row r="605" spans="11:14" ht="12.75" hidden="1" customHeight="1" x14ac:dyDescent="0.2">
      <c r="K605" s="149"/>
      <c r="N605" s="149"/>
    </row>
    <row r="606" spans="11:14" ht="12.75" hidden="1" customHeight="1" x14ac:dyDescent="0.2">
      <c r="K606" s="149"/>
      <c r="N606" s="149"/>
    </row>
    <row r="607" spans="11:14" ht="12.75" hidden="1" customHeight="1" x14ac:dyDescent="0.2">
      <c r="K607" s="153"/>
      <c r="N607" s="153"/>
    </row>
    <row r="608" spans="11:14" ht="12.75" hidden="1" customHeight="1" x14ac:dyDescent="0.2">
      <c r="K608" s="149"/>
      <c r="N608" s="149"/>
    </row>
    <row r="609" spans="11:14" ht="12.75" hidden="1" customHeight="1" x14ac:dyDescent="0.2">
      <c r="K609" s="149"/>
      <c r="N609" s="149"/>
    </row>
    <row r="610" spans="11:14" ht="12.75" hidden="1" customHeight="1" x14ac:dyDescent="0.2">
      <c r="K610" s="149"/>
      <c r="N610" s="149"/>
    </row>
    <row r="611" spans="11:14" ht="12.75" hidden="1" customHeight="1" x14ac:dyDescent="0.2">
      <c r="K611" s="153"/>
      <c r="N611" s="153"/>
    </row>
    <row r="612" spans="11:14" ht="12.75" hidden="1" customHeight="1" x14ac:dyDescent="0.2">
      <c r="K612" s="149"/>
      <c r="N612" s="149"/>
    </row>
    <row r="613" spans="11:14" ht="12.75" hidden="1" customHeight="1" x14ac:dyDescent="0.2">
      <c r="K613" s="149"/>
      <c r="N613" s="149"/>
    </row>
    <row r="614" spans="11:14" ht="12.75" hidden="1" customHeight="1" x14ac:dyDescent="0.2">
      <c r="K614" s="149"/>
      <c r="N614" s="149"/>
    </row>
    <row r="615" spans="11:14" ht="12.75" hidden="1" customHeight="1" x14ac:dyDescent="0.2">
      <c r="K615" s="153"/>
      <c r="N615" s="153"/>
    </row>
    <row r="616" spans="11:14" ht="12.75" hidden="1" customHeight="1" x14ac:dyDescent="0.2">
      <c r="K616" s="149"/>
      <c r="N616" s="149"/>
    </row>
    <row r="617" spans="11:14" ht="12.75" hidden="1" customHeight="1" x14ac:dyDescent="0.2">
      <c r="K617" s="149"/>
      <c r="N617" s="149"/>
    </row>
    <row r="618" spans="11:14" ht="12.75" hidden="1" customHeight="1" x14ac:dyDescent="0.2">
      <c r="K618" s="149"/>
      <c r="N618" s="149"/>
    </row>
    <row r="619" spans="11:14" ht="12.75" hidden="1" customHeight="1" x14ac:dyDescent="0.2">
      <c r="K619" s="153"/>
      <c r="N619" s="153"/>
    </row>
    <row r="620" spans="11:14" ht="12.75" hidden="1" customHeight="1" x14ac:dyDescent="0.2">
      <c r="K620" s="149"/>
      <c r="N620" s="149"/>
    </row>
    <row r="621" spans="11:14" ht="12.75" hidden="1" customHeight="1" x14ac:dyDescent="0.2">
      <c r="K621" s="149"/>
      <c r="N621" s="149"/>
    </row>
    <row r="622" spans="11:14" ht="12.75" hidden="1" customHeight="1" x14ac:dyDescent="0.2">
      <c r="K622" s="149"/>
      <c r="N622" s="149"/>
    </row>
    <row r="623" spans="11:14" ht="12.75" hidden="1" customHeight="1" x14ac:dyDescent="0.2">
      <c r="K623" s="153"/>
      <c r="N623" s="153"/>
    </row>
    <row r="624" spans="11:14" ht="12.75" hidden="1" customHeight="1" x14ac:dyDescent="0.2">
      <c r="K624" s="149"/>
      <c r="N624" s="149"/>
    </row>
    <row r="625" spans="11:14" ht="12.75" hidden="1" customHeight="1" x14ac:dyDescent="0.2">
      <c r="K625" s="149"/>
      <c r="N625" s="149"/>
    </row>
    <row r="626" spans="11:14" ht="12.75" hidden="1" customHeight="1" x14ac:dyDescent="0.2">
      <c r="K626" s="149"/>
      <c r="N626" s="149"/>
    </row>
    <row r="627" spans="11:14" ht="12.75" hidden="1" customHeight="1" x14ac:dyDescent="0.2">
      <c r="K627" s="153"/>
      <c r="N627" s="153"/>
    </row>
    <row r="628" spans="11:14" ht="12.75" hidden="1" customHeight="1" x14ac:dyDescent="0.2">
      <c r="K628" s="149"/>
      <c r="N628" s="149"/>
    </row>
    <row r="629" spans="11:14" ht="12.75" hidden="1" customHeight="1" x14ac:dyDescent="0.2">
      <c r="K629" s="149"/>
      <c r="N629" s="149"/>
    </row>
    <row r="630" spans="11:14" ht="12.75" hidden="1" customHeight="1" x14ac:dyDescent="0.2">
      <c r="K630" s="149"/>
      <c r="N630" s="149"/>
    </row>
    <row r="631" spans="11:14" ht="12.75" hidden="1" customHeight="1" x14ac:dyDescent="0.2">
      <c r="K631" s="153"/>
      <c r="N631" s="153"/>
    </row>
    <row r="632" spans="11:14" ht="12.75" hidden="1" customHeight="1" x14ac:dyDescent="0.2">
      <c r="K632" s="149"/>
      <c r="N632" s="149"/>
    </row>
    <row r="633" spans="11:14" ht="12.75" hidden="1" customHeight="1" x14ac:dyDescent="0.2">
      <c r="K633" s="149"/>
      <c r="N633" s="149"/>
    </row>
    <row r="634" spans="11:14" ht="12.75" hidden="1" customHeight="1" x14ac:dyDescent="0.2">
      <c r="K634" s="149"/>
      <c r="N634" s="149"/>
    </row>
    <row r="635" spans="11:14" ht="12.75" hidden="1" customHeight="1" x14ac:dyDescent="0.2">
      <c r="K635" s="153"/>
      <c r="N635" s="153"/>
    </row>
    <row r="636" spans="11:14" ht="12.75" hidden="1" customHeight="1" x14ac:dyDescent="0.2">
      <c r="K636" s="149"/>
      <c r="N636" s="149"/>
    </row>
    <row r="637" spans="11:14" ht="12.75" hidden="1" customHeight="1" x14ac:dyDescent="0.2">
      <c r="K637" s="149"/>
      <c r="N637" s="149"/>
    </row>
    <row r="638" spans="11:14" ht="12.75" hidden="1" customHeight="1" x14ac:dyDescent="0.2">
      <c r="K638" s="149"/>
      <c r="N638" s="149"/>
    </row>
    <row r="639" spans="11:14" ht="12.75" hidden="1" customHeight="1" x14ac:dyDescent="0.2">
      <c r="K639" s="153"/>
      <c r="N639" s="153"/>
    </row>
    <row r="640" spans="11:14" ht="12.75" hidden="1" customHeight="1" x14ac:dyDescent="0.2">
      <c r="K640" s="149"/>
      <c r="N640" s="149"/>
    </row>
    <row r="641" spans="11:14" ht="12.75" hidden="1" customHeight="1" x14ac:dyDescent="0.2">
      <c r="K641" s="149"/>
      <c r="N641" s="149"/>
    </row>
    <row r="642" spans="11:14" ht="12.75" hidden="1" customHeight="1" x14ac:dyDescent="0.2">
      <c r="K642" s="149"/>
      <c r="N642" s="149"/>
    </row>
    <row r="643" spans="11:14" ht="12.75" hidden="1" customHeight="1" x14ac:dyDescent="0.2">
      <c r="K643" s="153"/>
      <c r="N643" s="153"/>
    </row>
    <row r="644" spans="11:14" ht="12.75" hidden="1" customHeight="1" x14ac:dyDescent="0.2">
      <c r="K644" s="149"/>
      <c r="N644" s="149"/>
    </row>
    <row r="645" spans="11:14" ht="12.75" hidden="1" customHeight="1" x14ac:dyDescent="0.2">
      <c r="K645" s="149"/>
      <c r="N645" s="149"/>
    </row>
    <row r="646" spans="11:14" ht="12.75" hidden="1" customHeight="1" x14ac:dyDescent="0.2">
      <c r="K646" s="149"/>
      <c r="N646" s="149"/>
    </row>
    <row r="647" spans="11:14" ht="12.75" hidden="1" customHeight="1" x14ac:dyDescent="0.2">
      <c r="K647" s="153"/>
      <c r="N647" s="153"/>
    </row>
    <row r="648" spans="11:14" ht="12.75" hidden="1" customHeight="1" x14ac:dyDescent="0.2">
      <c r="K648" s="149"/>
      <c r="N648" s="149"/>
    </row>
    <row r="649" spans="11:14" ht="12.75" hidden="1" customHeight="1" x14ac:dyDescent="0.2">
      <c r="K649" s="149"/>
      <c r="N649" s="149"/>
    </row>
    <row r="650" spans="11:14" ht="12.75" hidden="1" customHeight="1" x14ac:dyDescent="0.2">
      <c r="K650" s="149"/>
      <c r="N650" s="149"/>
    </row>
    <row r="651" spans="11:14" ht="12.75" hidden="1" customHeight="1" x14ac:dyDescent="0.2">
      <c r="K651" s="153"/>
      <c r="N651" s="153"/>
    </row>
    <row r="652" spans="11:14" ht="12.75" hidden="1" customHeight="1" x14ac:dyDescent="0.2">
      <c r="K652" s="149"/>
      <c r="N652" s="149"/>
    </row>
    <row r="653" spans="11:14" ht="12.75" hidden="1" customHeight="1" x14ac:dyDescent="0.2">
      <c r="K653" s="149"/>
      <c r="N653" s="149"/>
    </row>
    <row r="654" spans="11:14" ht="12.75" hidden="1" customHeight="1" x14ac:dyDescent="0.2">
      <c r="K654" s="149"/>
      <c r="N654" s="149"/>
    </row>
    <row r="655" spans="11:14" ht="12.75" hidden="1" customHeight="1" x14ac:dyDescent="0.2">
      <c r="K655" s="153"/>
      <c r="N655" s="153"/>
    </row>
    <row r="656" spans="11:14" ht="12.75" hidden="1" customHeight="1" x14ac:dyDescent="0.2">
      <c r="K656" s="149"/>
      <c r="N656" s="149"/>
    </row>
    <row r="657" spans="11:14" ht="12.75" hidden="1" customHeight="1" x14ac:dyDescent="0.2">
      <c r="K657" s="149"/>
      <c r="N657" s="149"/>
    </row>
    <row r="658" spans="11:14" ht="12.75" hidden="1" customHeight="1" x14ac:dyDescent="0.2">
      <c r="K658" s="149"/>
      <c r="N658" s="149"/>
    </row>
    <row r="659" spans="11:14" ht="12.75" hidden="1" customHeight="1" x14ac:dyDescent="0.2">
      <c r="K659" s="153"/>
      <c r="N659" s="153"/>
    </row>
    <row r="660" spans="11:14" ht="12.75" hidden="1" customHeight="1" x14ac:dyDescent="0.2">
      <c r="K660" s="149"/>
      <c r="N660" s="149"/>
    </row>
    <row r="661" spans="11:14" ht="12.75" hidden="1" customHeight="1" x14ac:dyDescent="0.2">
      <c r="K661" s="149"/>
      <c r="N661" s="149"/>
    </row>
    <row r="662" spans="11:14" ht="12.75" hidden="1" customHeight="1" x14ac:dyDescent="0.2">
      <c r="K662" s="149"/>
      <c r="N662" s="149"/>
    </row>
    <row r="663" spans="11:14" ht="12.75" hidden="1" customHeight="1" x14ac:dyDescent="0.2">
      <c r="K663" s="153"/>
      <c r="N663" s="153"/>
    </row>
    <row r="664" spans="11:14" ht="12.75" hidden="1" customHeight="1" x14ac:dyDescent="0.2">
      <c r="K664" s="149"/>
      <c r="N664" s="149"/>
    </row>
    <row r="665" spans="11:14" ht="12.75" hidden="1" customHeight="1" x14ac:dyDescent="0.2">
      <c r="K665" s="149"/>
      <c r="N665" s="149"/>
    </row>
    <row r="666" spans="11:14" ht="12.75" hidden="1" customHeight="1" x14ac:dyDescent="0.2">
      <c r="K666" s="149"/>
      <c r="N666" s="149"/>
    </row>
    <row r="667" spans="11:14" ht="12.75" hidden="1" customHeight="1" x14ac:dyDescent="0.2">
      <c r="K667" s="153"/>
      <c r="N667" s="153"/>
    </row>
    <row r="668" spans="11:14" ht="12.75" hidden="1" customHeight="1" x14ac:dyDescent="0.2">
      <c r="K668" s="149"/>
      <c r="N668" s="149"/>
    </row>
    <row r="669" spans="11:14" ht="12.75" hidden="1" customHeight="1" x14ac:dyDescent="0.2">
      <c r="K669" s="149"/>
      <c r="N669" s="149"/>
    </row>
    <row r="670" spans="11:14" ht="12.75" hidden="1" customHeight="1" x14ac:dyDescent="0.2">
      <c r="K670" s="149"/>
      <c r="N670" s="149"/>
    </row>
    <row r="671" spans="11:14" ht="12.75" hidden="1" customHeight="1" x14ac:dyDescent="0.2">
      <c r="K671" s="153"/>
      <c r="N671" s="153"/>
    </row>
    <row r="672" spans="11:14" ht="12.75" hidden="1" customHeight="1" x14ac:dyDescent="0.2">
      <c r="K672" s="149"/>
      <c r="N672" s="149"/>
    </row>
    <row r="673" spans="11:14" ht="12.75" hidden="1" customHeight="1" x14ac:dyDescent="0.2">
      <c r="K673" s="149"/>
      <c r="N673" s="149"/>
    </row>
    <row r="674" spans="11:14" ht="12.75" hidden="1" customHeight="1" x14ac:dyDescent="0.2">
      <c r="K674" s="149"/>
      <c r="N674" s="149"/>
    </row>
    <row r="675" spans="11:14" ht="12.75" hidden="1" customHeight="1" x14ac:dyDescent="0.2">
      <c r="K675" s="153"/>
      <c r="N675" s="153"/>
    </row>
    <row r="676" spans="11:14" ht="12.75" hidden="1" customHeight="1" x14ac:dyDescent="0.2">
      <c r="K676" s="149"/>
      <c r="N676" s="149"/>
    </row>
    <row r="677" spans="11:14" ht="12.75" hidden="1" customHeight="1" x14ac:dyDescent="0.2">
      <c r="K677" s="149"/>
      <c r="N677" s="149"/>
    </row>
    <row r="678" spans="11:14" ht="12.75" hidden="1" customHeight="1" x14ac:dyDescent="0.2">
      <c r="K678" s="149"/>
      <c r="N678" s="149"/>
    </row>
    <row r="679" spans="11:14" ht="12.75" hidden="1" customHeight="1" x14ac:dyDescent="0.2">
      <c r="K679" s="153"/>
      <c r="N679" s="153"/>
    </row>
    <row r="680" spans="11:14" ht="12.75" hidden="1" customHeight="1" x14ac:dyDescent="0.2">
      <c r="K680" s="149"/>
      <c r="N680" s="149"/>
    </row>
    <row r="681" spans="11:14" ht="12.75" hidden="1" customHeight="1" x14ac:dyDescent="0.2">
      <c r="K681" s="149"/>
      <c r="N681" s="149"/>
    </row>
    <row r="682" spans="11:14" ht="12.75" hidden="1" customHeight="1" x14ac:dyDescent="0.2">
      <c r="K682" s="149"/>
      <c r="N682" s="149"/>
    </row>
    <row r="683" spans="11:14" ht="12.75" hidden="1" customHeight="1" x14ac:dyDescent="0.2">
      <c r="K683" s="153"/>
      <c r="N683" s="153"/>
    </row>
    <row r="684" spans="11:14" ht="12.75" hidden="1" customHeight="1" x14ac:dyDescent="0.2">
      <c r="K684" s="149"/>
      <c r="N684" s="149"/>
    </row>
    <row r="685" spans="11:14" ht="12.75" hidden="1" customHeight="1" x14ac:dyDescent="0.2">
      <c r="K685" s="149"/>
      <c r="N685" s="149"/>
    </row>
    <row r="686" spans="11:14" ht="12.75" hidden="1" customHeight="1" x14ac:dyDescent="0.2">
      <c r="K686" s="149"/>
      <c r="N686" s="149"/>
    </row>
    <row r="687" spans="11:14" ht="12.75" hidden="1" customHeight="1" x14ac:dyDescent="0.2">
      <c r="K687" s="153"/>
      <c r="N687" s="153"/>
    </row>
    <row r="688" spans="11:14" ht="12.75" hidden="1" customHeight="1" x14ac:dyDescent="0.2">
      <c r="K688" s="149"/>
      <c r="N688" s="149"/>
    </row>
    <row r="689" spans="11:14" ht="12.75" hidden="1" customHeight="1" x14ac:dyDescent="0.2">
      <c r="K689" s="149"/>
      <c r="N689" s="149"/>
    </row>
    <row r="690" spans="11:14" ht="12.75" hidden="1" customHeight="1" x14ac:dyDescent="0.2">
      <c r="K690" s="149"/>
      <c r="N690" s="149"/>
    </row>
    <row r="691" spans="11:14" ht="12.75" hidden="1" customHeight="1" x14ac:dyDescent="0.2">
      <c r="K691" s="153"/>
      <c r="N691" s="153"/>
    </row>
    <row r="692" spans="11:14" ht="12.75" hidden="1" customHeight="1" x14ac:dyDescent="0.2">
      <c r="K692" s="149"/>
      <c r="N692" s="149"/>
    </row>
    <row r="693" spans="11:14" ht="12.75" hidden="1" customHeight="1" x14ac:dyDescent="0.2">
      <c r="K693" s="149"/>
      <c r="N693" s="149"/>
    </row>
    <row r="694" spans="11:14" ht="12.75" hidden="1" customHeight="1" x14ac:dyDescent="0.2">
      <c r="K694" s="149"/>
      <c r="N694" s="149"/>
    </row>
    <row r="695" spans="11:14" ht="12.75" hidden="1" customHeight="1" x14ac:dyDescent="0.2">
      <c r="K695" s="153"/>
      <c r="N695" s="153"/>
    </row>
    <row r="696" spans="11:14" ht="12.75" hidden="1" customHeight="1" x14ac:dyDescent="0.2">
      <c r="K696" s="149"/>
      <c r="N696" s="149"/>
    </row>
    <row r="697" spans="11:14" ht="12.75" hidden="1" customHeight="1" x14ac:dyDescent="0.2">
      <c r="K697" s="149"/>
      <c r="N697" s="149"/>
    </row>
    <row r="698" spans="11:14" ht="12.75" hidden="1" customHeight="1" x14ac:dyDescent="0.2">
      <c r="K698" s="149"/>
      <c r="N698" s="149"/>
    </row>
    <row r="699" spans="11:14" ht="12.75" hidden="1" customHeight="1" x14ac:dyDescent="0.2">
      <c r="K699" s="153"/>
      <c r="N699" s="153"/>
    </row>
    <row r="700" spans="11:14" ht="12.75" hidden="1" customHeight="1" x14ac:dyDescent="0.2">
      <c r="K700" s="149"/>
      <c r="N700" s="149"/>
    </row>
    <row r="701" spans="11:14" ht="12.75" hidden="1" customHeight="1" x14ac:dyDescent="0.2">
      <c r="K701" s="149"/>
      <c r="N701" s="149"/>
    </row>
    <row r="702" spans="11:14" ht="12.75" hidden="1" customHeight="1" x14ac:dyDescent="0.2">
      <c r="K702" s="149"/>
      <c r="N702" s="149"/>
    </row>
    <row r="703" spans="11:14" ht="12.75" hidden="1" customHeight="1" x14ac:dyDescent="0.2">
      <c r="K703" s="153"/>
      <c r="N703" s="153"/>
    </row>
    <row r="704" spans="11:14" ht="12.75" hidden="1" customHeight="1" x14ac:dyDescent="0.2">
      <c r="K704" s="149"/>
      <c r="N704" s="149"/>
    </row>
    <row r="705" spans="11:14" ht="12.75" hidden="1" customHeight="1" x14ac:dyDescent="0.2">
      <c r="K705" s="149"/>
      <c r="N705" s="149"/>
    </row>
    <row r="706" spans="11:14" ht="12.75" hidden="1" customHeight="1" x14ac:dyDescent="0.2">
      <c r="K706" s="149"/>
      <c r="N706" s="149"/>
    </row>
    <row r="707" spans="11:14" ht="12.75" hidden="1" customHeight="1" x14ac:dyDescent="0.2">
      <c r="K707" s="153"/>
      <c r="N707" s="153"/>
    </row>
    <row r="708" spans="11:14" ht="12.75" hidden="1" customHeight="1" x14ac:dyDescent="0.2">
      <c r="K708" s="149"/>
      <c r="N708" s="149"/>
    </row>
    <row r="709" spans="11:14" ht="12.75" hidden="1" customHeight="1" x14ac:dyDescent="0.2">
      <c r="K709" s="149"/>
      <c r="N709" s="149"/>
    </row>
    <row r="710" spans="11:14" ht="12.75" hidden="1" customHeight="1" x14ac:dyDescent="0.2">
      <c r="K710" s="149"/>
      <c r="N710" s="149"/>
    </row>
    <row r="711" spans="11:14" ht="12.75" hidden="1" customHeight="1" x14ac:dyDescent="0.2">
      <c r="K711" s="153"/>
      <c r="N711" s="153"/>
    </row>
    <row r="712" spans="11:14" ht="12.75" hidden="1" customHeight="1" x14ac:dyDescent="0.2">
      <c r="K712" s="149"/>
      <c r="N712" s="149"/>
    </row>
    <row r="713" spans="11:14" ht="12.75" hidden="1" customHeight="1" x14ac:dyDescent="0.2">
      <c r="K713" s="149"/>
      <c r="N713" s="149"/>
    </row>
    <row r="714" spans="11:14" ht="12.75" hidden="1" customHeight="1" x14ac:dyDescent="0.2">
      <c r="K714" s="149"/>
      <c r="N714" s="149"/>
    </row>
    <row r="715" spans="11:14" ht="12.75" hidden="1" customHeight="1" x14ac:dyDescent="0.2">
      <c r="K715" s="153"/>
      <c r="N715" s="153"/>
    </row>
    <row r="716" spans="11:14" ht="12.75" hidden="1" customHeight="1" x14ac:dyDescent="0.2">
      <c r="K716" s="149"/>
      <c r="N716" s="149"/>
    </row>
    <row r="717" spans="11:14" ht="12.75" hidden="1" customHeight="1" x14ac:dyDescent="0.2">
      <c r="K717" s="149"/>
      <c r="N717" s="149"/>
    </row>
    <row r="718" spans="11:14" ht="12.75" hidden="1" customHeight="1" x14ac:dyDescent="0.2">
      <c r="K718" s="149"/>
      <c r="N718" s="149"/>
    </row>
    <row r="719" spans="11:14" ht="12.75" hidden="1" customHeight="1" x14ac:dyDescent="0.2">
      <c r="K719" s="153"/>
      <c r="N719" s="153"/>
    </row>
    <row r="720" spans="11:14" ht="12.75" hidden="1" customHeight="1" x14ac:dyDescent="0.2">
      <c r="K720" s="149"/>
      <c r="N720" s="149"/>
    </row>
    <row r="721" spans="11:14" ht="12.75" hidden="1" customHeight="1" x14ac:dyDescent="0.2">
      <c r="K721" s="149"/>
      <c r="N721" s="149"/>
    </row>
    <row r="722" spans="11:14" ht="12.75" hidden="1" customHeight="1" x14ac:dyDescent="0.2">
      <c r="K722" s="149"/>
      <c r="N722" s="149"/>
    </row>
    <row r="723" spans="11:14" ht="12.75" hidden="1" customHeight="1" x14ac:dyDescent="0.2">
      <c r="K723" s="153"/>
      <c r="N723" s="153"/>
    </row>
    <row r="724" spans="11:14" ht="12.75" hidden="1" customHeight="1" x14ac:dyDescent="0.2">
      <c r="K724" s="149"/>
      <c r="N724" s="149"/>
    </row>
    <row r="725" spans="11:14" ht="12.75" hidden="1" customHeight="1" x14ac:dyDescent="0.2">
      <c r="K725" s="149"/>
      <c r="N725" s="149"/>
    </row>
    <row r="726" spans="11:14" ht="12.75" hidden="1" customHeight="1" x14ac:dyDescent="0.2">
      <c r="K726" s="149"/>
      <c r="N726" s="149"/>
    </row>
    <row r="727" spans="11:14" ht="12.75" hidden="1" customHeight="1" x14ac:dyDescent="0.2">
      <c r="K727" s="153"/>
      <c r="N727" s="153"/>
    </row>
    <row r="728" spans="11:14" ht="12.75" hidden="1" customHeight="1" x14ac:dyDescent="0.2">
      <c r="K728" s="149"/>
      <c r="N728" s="149"/>
    </row>
    <row r="729" spans="11:14" ht="12.75" hidden="1" customHeight="1" x14ac:dyDescent="0.2">
      <c r="K729" s="149"/>
      <c r="N729" s="149"/>
    </row>
    <row r="730" spans="11:14" ht="12.75" hidden="1" customHeight="1" x14ac:dyDescent="0.2">
      <c r="K730" s="149"/>
      <c r="N730" s="149"/>
    </row>
    <row r="731" spans="11:14" ht="12.75" hidden="1" customHeight="1" x14ac:dyDescent="0.2">
      <c r="K731" s="153"/>
      <c r="N731" s="153"/>
    </row>
    <row r="732" spans="11:14" ht="12.75" hidden="1" customHeight="1" x14ac:dyDescent="0.2">
      <c r="K732" s="149"/>
      <c r="N732" s="149"/>
    </row>
    <row r="733" spans="11:14" ht="12.75" hidden="1" customHeight="1" x14ac:dyDescent="0.2">
      <c r="K733" s="149"/>
      <c r="N733" s="149"/>
    </row>
    <row r="734" spans="11:14" ht="12.75" hidden="1" customHeight="1" x14ac:dyDescent="0.2">
      <c r="K734" s="149"/>
      <c r="N734" s="149"/>
    </row>
    <row r="735" spans="11:14" ht="12.75" hidden="1" customHeight="1" x14ac:dyDescent="0.2">
      <c r="K735" s="153"/>
      <c r="N735" s="153"/>
    </row>
    <row r="736" spans="11:14" ht="12.75" hidden="1" customHeight="1" x14ac:dyDescent="0.2">
      <c r="K736" s="149"/>
      <c r="N736" s="149"/>
    </row>
    <row r="737" spans="11:14" ht="12.75" hidden="1" customHeight="1" x14ac:dyDescent="0.2">
      <c r="K737" s="149"/>
      <c r="N737" s="149"/>
    </row>
    <row r="738" spans="11:14" ht="12.75" hidden="1" customHeight="1" x14ac:dyDescent="0.2">
      <c r="K738" s="149"/>
      <c r="N738" s="149"/>
    </row>
    <row r="739" spans="11:14" ht="12.75" hidden="1" customHeight="1" x14ac:dyDescent="0.2">
      <c r="K739" s="153"/>
      <c r="N739" s="153"/>
    </row>
    <row r="740" spans="11:14" ht="12.75" hidden="1" customHeight="1" x14ac:dyDescent="0.2">
      <c r="K740" s="149"/>
      <c r="N740" s="149"/>
    </row>
    <row r="741" spans="11:14" ht="12.75" hidden="1" customHeight="1" x14ac:dyDescent="0.2">
      <c r="K741" s="149"/>
      <c r="N741" s="149"/>
    </row>
    <row r="742" spans="11:14" ht="12.75" hidden="1" customHeight="1" x14ac:dyDescent="0.2">
      <c r="K742" s="149"/>
      <c r="N742" s="149"/>
    </row>
    <row r="743" spans="11:14" ht="12.75" hidden="1" customHeight="1" x14ac:dyDescent="0.2">
      <c r="K743" s="153"/>
      <c r="N743" s="153"/>
    </row>
    <row r="744" spans="11:14" ht="12.75" hidden="1" customHeight="1" x14ac:dyDescent="0.2">
      <c r="K744" s="149"/>
      <c r="N744" s="149"/>
    </row>
    <row r="745" spans="11:14" ht="12.75" hidden="1" customHeight="1" x14ac:dyDescent="0.2">
      <c r="K745" s="149"/>
      <c r="N745" s="149"/>
    </row>
    <row r="746" spans="11:14" ht="12.75" hidden="1" customHeight="1" x14ac:dyDescent="0.2">
      <c r="K746" s="149"/>
      <c r="N746" s="149"/>
    </row>
    <row r="747" spans="11:14" ht="12.75" hidden="1" customHeight="1" x14ac:dyDescent="0.2">
      <c r="K747" s="153"/>
      <c r="N747" s="153"/>
    </row>
    <row r="748" spans="11:14" ht="12.75" hidden="1" customHeight="1" x14ac:dyDescent="0.2">
      <c r="K748" s="149"/>
      <c r="N748" s="149"/>
    </row>
    <row r="749" spans="11:14" ht="12.75" hidden="1" customHeight="1" x14ac:dyDescent="0.2">
      <c r="K749" s="149"/>
      <c r="N749" s="149"/>
    </row>
    <row r="750" spans="11:14" ht="12.75" hidden="1" customHeight="1" x14ac:dyDescent="0.2">
      <c r="K750" s="149"/>
      <c r="N750" s="149"/>
    </row>
    <row r="751" spans="11:14" ht="12.75" hidden="1" customHeight="1" x14ac:dyDescent="0.2">
      <c r="K751" s="153"/>
      <c r="N751" s="153"/>
    </row>
    <row r="752" spans="11:14" ht="12.75" hidden="1" customHeight="1" x14ac:dyDescent="0.2">
      <c r="K752" s="149"/>
      <c r="N752" s="149"/>
    </row>
    <row r="753" spans="11:14" ht="12.75" hidden="1" customHeight="1" x14ac:dyDescent="0.2">
      <c r="K753" s="149"/>
      <c r="N753" s="149"/>
    </row>
    <row r="754" spans="11:14" ht="12.75" hidden="1" customHeight="1" x14ac:dyDescent="0.2">
      <c r="K754" s="149"/>
      <c r="N754" s="149"/>
    </row>
    <row r="755" spans="11:14" ht="12.75" hidden="1" customHeight="1" x14ac:dyDescent="0.2">
      <c r="K755" s="153"/>
      <c r="N755" s="153"/>
    </row>
    <row r="756" spans="11:14" ht="12.75" hidden="1" customHeight="1" x14ac:dyDescent="0.2">
      <c r="K756" s="149"/>
      <c r="N756" s="149"/>
    </row>
    <row r="757" spans="11:14" ht="12.75" hidden="1" customHeight="1" x14ac:dyDescent="0.2">
      <c r="K757" s="149"/>
      <c r="N757" s="149"/>
    </row>
    <row r="758" spans="11:14" ht="12.75" hidden="1" customHeight="1" x14ac:dyDescent="0.2">
      <c r="K758" s="149"/>
      <c r="N758" s="149"/>
    </row>
    <row r="759" spans="11:14" ht="12.75" hidden="1" customHeight="1" x14ac:dyDescent="0.2">
      <c r="K759" s="153"/>
      <c r="N759" s="153"/>
    </row>
    <row r="760" spans="11:14" ht="12.75" hidden="1" customHeight="1" x14ac:dyDescent="0.2">
      <c r="K760" s="149"/>
      <c r="N760" s="149"/>
    </row>
    <row r="761" spans="11:14" ht="12.75" hidden="1" customHeight="1" x14ac:dyDescent="0.2">
      <c r="K761" s="149"/>
      <c r="N761" s="149"/>
    </row>
    <row r="762" spans="11:14" ht="12.75" hidden="1" customHeight="1" x14ac:dyDescent="0.2">
      <c r="K762" s="149"/>
      <c r="N762" s="149"/>
    </row>
    <row r="763" spans="11:14" ht="12.75" hidden="1" customHeight="1" x14ac:dyDescent="0.2">
      <c r="K763" s="153"/>
      <c r="N763" s="153"/>
    </row>
    <row r="764" spans="11:14" ht="12.75" hidden="1" customHeight="1" x14ac:dyDescent="0.2">
      <c r="K764" s="149"/>
      <c r="N764" s="149"/>
    </row>
    <row r="765" spans="11:14" ht="12.75" hidden="1" customHeight="1" x14ac:dyDescent="0.2">
      <c r="K765" s="149"/>
      <c r="N765" s="149"/>
    </row>
    <row r="766" spans="11:14" ht="12.75" hidden="1" customHeight="1" x14ac:dyDescent="0.2">
      <c r="K766" s="149"/>
      <c r="N766" s="149"/>
    </row>
    <row r="767" spans="11:14" ht="12.75" hidden="1" customHeight="1" x14ac:dyDescent="0.2">
      <c r="K767" s="153"/>
      <c r="N767" s="153"/>
    </row>
    <row r="768" spans="11:14" ht="12.75" hidden="1" customHeight="1" x14ac:dyDescent="0.2">
      <c r="K768" s="149"/>
      <c r="N768" s="149"/>
    </row>
    <row r="769" spans="11:14" ht="12.75" hidden="1" customHeight="1" x14ac:dyDescent="0.2">
      <c r="K769" s="149"/>
      <c r="N769" s="149"/>
    </row>
    <row r="770" spans="11:14" ht="12.75" hidden="1" customHeight="1" x14ac:dyDescent="0.2">
      <c r="K770" s="149"/>
      <c r="N770" s="149"/>
    </row>
    <row r="771" spans="11:14" ht="12.75" hidden="1" customHeight="1" x14ac:dyDescent="0.2">
      <c r="K771" s="153"/>
      <c r="N771" s="153"/>
    </row>
    <row r="772" spans="11:14" ht="12.75" hidden="1" customHeight="1" x14ac:dyDescent="0.2">
      <c r="K772" s="149"/>
      <c r="N772" s="149"/>
    </row>
    <row r="773" spans="11:14" ht="12.75" hidden="1" customHeight="1" x14ac:dyDescent="0.2">
      <c r="K773" s="149"/>
      <c r="N773" s="149"/>
    </row>
    <row r="774" spans="11:14" ht="12.75" hidden="1" customHeight="1" x14ac:dyDescent="0.2">
      <c r="K774" s="149"/>
      <c r="N774" s="149"/>
    </row>
    <row r="775" spans="11:14" ht="12.75" hidden="1" customHeight="1" x14ac:dyDescent="0.2">
      <c r="K775" s="153"/>
      <c r="N775" s="153"/>
    </row>
    <row r="776" spans="11:14" ht="12.75" hidden="1" customHeight="1" x14ac:dyDescent="0.2">
      <c r="K776" s="149"/>
      <c r="N776" s="149"/>
    </row>
    <row r="777" spans="11:14" ht="12.75" hidden="1" customHeight="1" x14ac:dyDescent="0.2">
      <c r="K777" s="149"/>
      <c r="N777" s="149"/>
    </row>
    <row r="778" spans="11:14" ht="12.75" hidden="1" customHeight="1" x14ac:dyDescent="0.2">
      <c r="K778" s="149"/>
      <c r="N778" s="149"/>
    </row>
    <row r="779" spans="11:14" ht="12.75" hidden="1" customHeight="1" x14ac:dyDescent="0.2">
      <c r="K779" s="153"/>
      <c r="N779" s="153"/>
    </row>
    <row r="780" spans="11:14" ht="12.75" hidden="1" customHeight="1" x14ac:dyDescent="0.2">
      <c r="K780" s="149"/>
      <c r="N780" s="149"/>
    </row>
    <row r="781" spans="11:14" ht="12.75" hidden="1" customHeight="1" x14ac:dyDescent="0.2">
      <c r="K781" s="149"/>
      <c r="N781" s="149"/>
    </row>
    <row r="782" spans="11:14" ht="12.75" hidden="1" customHeight="1" x14ac:dyDescent="0.2">
      <c r="K782" s="149"/>
      <c r="N782" s="149"/>
    </row>
    <row r="783" spans="11:14" ht="12.75" hidden="1" customHeight="1" x14ac:dyDescent="0.2">
      <c r="K783" s="153"/>
      <c r="N783" s="153"/>
    </row>
    <row r="784" spans="11:14" ht="12.75" hidden="1" customHeight="1" x14ac:dyDescent="0.2">
      <c r="K784" s="149"/>
      <c r="N784" s="149"/>
    </row>
    <row r="785" spans="11:14" ht="12.75" hidden="1" customHeight="1" x14ac:dyDescent="0.2">
      <c r="K785" s="149"/>
      <c r="N785" s="149"/>
    </row>
    <row r="786" spans="11:14" ht="12.75" hidden="1" customHeight="1" x14ac:dyDescent="0.2">
      <c r="K786" s="149"/>
      <c r="N786" s="149"/>
    </row>
    <row r="787" spans="11:14" ht="12.75" hidden="1" customHeight="1" x14ac:dyDescent="0.2">
      <c r="K787" s="153"/>
      <c r="N787" s="153"/>
    </row>
    <row r="788" spans="11:14" ht="12.75" hidden="1" customHeight="1" x14ac:dyDescent="0.2">
      <c r="K788" s="149"/>
      <c r="N788" s="149"/>
    </row>
    <row r="789" spans="11:14" ht="12.75" hidden="1" customHeight="1" x14ac:dyDescent="0.2">
      <c r="K789" s="149"/>
      <c r="N789" s="149"/>
    </row>
    <row r="790" spans="11:14" ht="12.75" hidden="1" customHeight="1" x14ac:dyDescent="0.2">
      <c r="K790" s="149"/>
      <c r="N790" s="149"/>
    </row>
    <row r="791" spans="11:14" ht="12.75" hidden="1" customHeight="1" x14ac:dyDescent="0.2">
      <c r="K791" s="153"/>
      <c r="N791" s="153"/>
    </row>
    <row r="792" spans="11:14" ht="12.75" hidden="1" customHeight="1" x14ac:dyDescent="0.2">
      <c r="K792" s="149"/>
      <c r="N792" s="149"/>
    </row>
    <row r="793" spans="11:14" ht="12.75" hidden="1" customHeight="1" x14ac:dyDescent="0.2">
      <c r="K793" s="149"/>
      <c r="N793" s="149"/>
    </row>
    <row r="794" spans="11:14" ht="12.75" hidden="1" customHeight="1" x14ac:dyDescent="0.2">
      <c r="K794" s="149"/>
      <c r="N794" s="149"/>
    </row>
    <row r="795" spans="11:14" ht="12.75" hidden="1" customHeight="1" x14ac:dyDescent="0.2">
      <c r="K795" s="153"/>
      <c r="N795" s="153"/>
    </row>
    <row r="796" spans="11:14" ht="12.75" hidden="1" customHeight="1" x14ac:dyDescent="0.2">
      <c r="K796" s="149"/>
      <c r="N796" s="149"/>
    </row>
    <row r="797" spans="11:14" ht="12.75" hidden="1" customHeight="1" x14ac:dyDescent="0.2">
      <c r="K797" s="149"/>
      <c r="N797" s="149"/>
    </row>
    <row r="798" spans="11:14" ht="12.75" hidden="1" customHeight="1" x14ac:dyDescent="0.2">
      <c r="K798" s="149"/>
      <c r="N798" s="149"/>
    </row>
    <row r="799" spans="11:14" ht="12.75" hidden="1" customHeight="1" x14ac:dyDescent="0.2">
      <c r="K799" s="153"/>
      <c r="N799" s="153"/>
    </row>
    <row r="800" spans="11:14" ht="12.75" hidden="1" customHeight="1" x14ac:dyDescent="0.2">
      <c r="K800" s="149"/>
      <c r="N800" s="149"/>
    </row>
    <row r="801" spans="11:14" ht="12.75" hidden="1" customHeight="1" x14ac:dyDescent="0.2">
      <c r="K801" s="149"/>
      <c r="N801" s="149"/>
    </row>
    <row r="802" spans="11:14" ht="12.75" hidden="1" customHeight="1" x14ac:dyDescent="0.2">
      <c r="K802" s="149"/>
      <c r="N802" s="149"/>
    </row>
    <row r="803" spans="11:14" ht="12.75" hidden="1" customHeight="1" x14ac:dyDescent="0.2">
      <c r="K803" s="153"/>
      <c r="N803" s="153"/>
    </row>
    <row r="804" spans="11:14" ht="12.75" hidden="1" customHeight="1" x14ac:dyDescent="0.2">
      <c r="K804" s="149"/>
      <c r="N804" s="149"/>
    </row>
    <row r="805" spans="11:14" ht="12.75" hidden="1" customHeight="1" x14ac:dyDescent="0.2">
      <c r="K805" s="149"/>
      <c r="N805" s="149"/>
    </row>
    <row r="806" spans="11:14" ht="12.75" hidden="1" customHeight="1" x14ac:dyDescent="0.2">
      <c r="K806" s="149"/>
      <c r="N806" s="149"/>
    </row>
    <row r="807" spans="11:14" ht="12.75" hidden="1" customHeight="1" x14ac:dyDescent="0.2">
      <c r="K807" s="153"/>
      <c r="N807" s="153"/>
    </row>
    <row r="808" spans="11:14" ht="12.75" hidden="1" customHeight="1" x14ac:dyDescent="0.2">
      <c r="K808" s="149"/>
      <c r="N808" s="149"/>
    </row>
    <row r="809" spans="11:14" ht="12.75" hidden="1" customHeight="1" x14ac:dyDescent="0.2">
      <c r="K809" s="149"/>
      <c r="N809" s="149"/>
    </row>
    <row r="810" spans="11:14" ht="12.75" hidden="1" customHeight="1" x14ac:dyDescent="0.2">
      <c r="K810" s="149"/>
      <c r="N810" s="149"/>
    </row>
    <row r="811" spans="11:14" ht="12.75" hidden="1" customHeight="1" x14ac:dyDescent="0.2">
      <c r="K811" s="153"/>
      <c r="N811" s="153"/>
    </row>
    <row r="812" spans="11:14" ht="12.75" hidden="1" customHeight="1" x14ac:dyDescent="0.2">
      <c r="K812" s="149"/>
      <c r="N812" s="149"/>
    </row>
    <row r="813" spans="11:14" ht="12.75" hidden="1" customHeight="1" x14ac:dyDescent="0.2">
      <c r="K813" s="149"/>
      <c r="N813" s="149"/>
    </row>
    <row r="814" spans="11:14" ht="12.75" hidden="1" customHeight="1" x14ac:dyDescent="0.2">
      <c r="K814" s="149"/>
      <c r="N814" s="149"/>
    </row>
    <row r="815" spans="11:14" ht="12.75" hidden="1" customHeight="1" x14ac:dyDescent="0.2">
      <c r="K815" s="153"/>
      <c r="N815" s="153"/>
    </row>
    <row r="816" spans="11:14" ht="12.75" hidden="1" customHeight="1" x14ac:dyDescent="0.2">
      <c r="K816" s="149"/>
      <c r="N816" s="149"/>
    </row>
    <row r="817" spans="11:14" ht="12.75" hidden="1" customHeight="1" x14ac:dyDescent="0.2">
      <c r="K817" s="149"/>
      <c r="N817" s="149"/>
    </row>
    <row r="818" spans="11:14" ht="12.75" hidden="1" customHeight="1" x14ac:dyDescent="0.2">
      <c r="K818" s="149"/>
      <c r="N818" s="149"/>
    </row>
    <row r="819" spans="11:14" ht="12.75" hidden="1" customHeight="1" x14ac:dyDescent="0.2">
      <c r="K819" s="153"/>
      <c r="N819" s="153"/>
    </row>
    <row r="820" spans="11:14" ht="12.75" hidden="1" customHeight="1" x14ac:dyDescent="0.2">
      <c r="K820" s="149"/>
      <c r="N820" s="149"/>
    </row>
    <row r="821" spans="11:14" ht="12.75" hidden="1" customHeight="1" x14ac:dyDescent="0.2">
      <c r="K821" s="149"/>
      <c r="N821" s="149"/>
    </row>
    <row r="822" spans="11:14" ht="12.75" hidden="1" customHeight="1" x14ac:dyDescent="0.2">
      <c r="K822" s="149"/>
      <c r="N822" s="149"/>
    </row>
    <row r="823" spans="11:14" ht="12.75" hidden="1" customHeight="1" x14ac:dyDescent="0.2">
      <c r="K823" s="153"/>
      <c r="N823" s="153"/>
    </row>
    <row r="824" spans="11:14" ht="12.75" hidden="1" customHeight="1" x14ac:dyDescent="0.2">
      <c r="K824" s="149"/>
      <c r="N824" s="149"/>
    </row>
    <row r="825" spans="11:14" ht="12.75" hidden="1" customHeight="1" x14ac:dyDescent="0.2">
      <c r="K825" s="149"/>
      <c r="N825" s="149"/>
    </row>
    <row r="826" spans="11:14" ht="12.75" hidden="1" customHeight="1" x14ac:dyDescent="0.2">
      <c r="K826" s="149"/>
      <c r="N826" s="149"/>
    </row>
    <row r="827" spans="11:14" ht="12.75" hidden="1" customHeight="1" x14ac:dyDescent="0.2">
      <c r="K827" s="153"/>
      <c r="N827" s="153"/>
    </row>
    <row r="828" spans="11:14" ht="12.75" hidden="1" customHeight="1" x14ac:dyDescent="0.2">
      <c r="K828" s="149"/>
      <c r="N828" s="149"/>
    </row>
    <row r="829" spans="11:14" ht="12.75" hidden="1" customHeight="1" x14ac:dyDescent="0.2">
      <c r="K829" s="149"/>
      <c r="N829" s="149"/>
    </row>
    <row r="830" spans="11:14" ht="12.75" hidden="1" customHeight="1" x14ac:dyDescent="0.2">
      <c r="K830" s="149"/>
      <c r="N830" s="149"/>
    </row>
    <row r="831" spans="11:14" ht="12.75" hidden="1" customHeight="1" x14ac:dyDescent="0.2">
      <c r="K831" s="153"/>
      <c r="N831" s="153"/>
    </row>
    <row r="832" spans="11:14" ht="12.75" hidden="1" customHeight="1" x14ac:dyDescent="0.2">
      <c r="K832" s="149"/>
      <c r="N832" s="149"/>
    </row>
    <row r="833" spans="11:14" ht="12.75" hidden="1" customHeight="1" x14ac:dyDescent="0.2">
      <c r="K833" s="149"/>
      <c r="N833" s="149"/>
    </row>
    <row r="834" spans="11:14" ht="12.75" hidden="1" customHeight="1" x14ac:dyDescent="0.2">
      <c r="K834" s="149"/>
      <c r="N834" s="149"/>
    </row>
    <row r="835" spans="11:14" ht="12.75" hidden="1" customHeight="1" x14ac:dyDescent="0.2">
      <c r="K835" s="153"/>
      <c r="N835" s="153"/>
    </row>
    <row r="836" spans="11:14" ht="12.75" hidden="1" customHeight="1" x14ac:dyDescent="0.2">
      <c r="K836" s="149"/>
      <c r="N836" s="149"/>
    </row>
    <row r="837" spans="11:14" ht="12.75" hidden="1" customHeight="1" x14ac:dyDescent="0.2">
      <c r="K837" s="149"/>
      <c r="N837" s="149"/>
    </row>
    <row r="838" spans="11:14" ht="12.75" hidden="1" customHeight="1" x14ac:dyDescent="0.2">
      <c r="K838" s="149"/>
      <c r="N838" s="149"/>
    </row>
    <row r="839" spans="11:14" ht="12.75" hidden="1" customHeight="1" x14ac:dyDescent="0.2">
      <c r="K839" s="153"/>
      <c r="N839" s="153"/>
    </row>
    <row r="840" spans="11:14" ht="12.75" hidden="1" customHeight="1" x14ac:dyDescent="0.2">
      <c r="K840" s="149"/>
      <c r="N840" s="149"/>
    </row>
    <row r="841" spans="11:14" ht="12.75" hidden="1" customHeight="1" x14ac:dyDescent="0.2">
      <c r="K841" s="149"/>
      <c r="N841" s="149"/>
    </row>
    <row r="842" spans="11:14" ht="12.75" hidden="1" customHeight="1" x14ac:dyDescent="0.2">
      <c r="K842" s="149"/>
      <c r="N842" s="149"/>
    </row>
    <row r="843" spans="11:14" ht="12.75" hidden="1" customHeight="1" x14ac:dyDescent="0.2">
      <c r="K843" s="153"/>
      <c r="N843" s="153"/>
    </row>
    <row r="844" spans="11:14" ht="12.75" hidden="1" customHeight="1" x14ac:dyDescent="0.2">
      <c r="K844" s="149"/>
      <c r="N844" s="149"/>
    </row>
    <row r="845" spans="11:14" ht="12.75" hidden="1" customHeight="1" x14ac:dyDescent="0.2">
      <c r="K845" s="149"/>
      <c r="N845" s="149"/>
    </row>
    <row r="846" spans="11:14" ht="12.75" hidden="1" customHeight="1" x14ac:dyDescent="0.2">
      <c r="K846" s="149"/>
      <c r="N846" s="149"/>
    </row>
    <row r="847" spans="11:14" ht="12.75" hidden="1" customHeight="1" x14ac:dyDescent="0.2">
      <c r="K847" s="153"/>
      <c r="N847" s="153"/>
    </row>
    <row r="848" spans="11:14" ht="12.75" hidden="1" customHeight="1" x14ac:dyDescent="0.2">
      <c r="K848" s="149"/>
      <c r="N848" s="149"/>
    </row>
    <row r="849" spans="11:14" ht="12.75" hidden="1" customHeight="1" x14ac:dyDescent="0.2">
      <c r="K849" s="149"/>
      <c r="N849" s="149"/>
    </row>
    <row r="850" spans="11:14" ht="12.75" hidden="1" customHeight="1" x14ac:dyDescent="0.2">
      <c r="K850" s="149"/>
      <c r="N850" s="149"/>
    </row>
    <row r="851" spans="11:14" ht="12.75" hidden="1" customHeight="1" x14ac:dyDescent="0.2">
      <c r="K851" s="153"/>
      <c r="N851" s="153"/>
    </row>
    <row r="852" spans="11:14" ht="12.75" hidden="1" customHeight="1" x14ac:dyDescent="0.2">
      <c r="K852" s="149"/>
      <c r="N852" s="149"/>
    </row>
    <row r="853" spans="11:14" ht="12.75" hidden="1" customHeight="1" x14ac:dyDescent="0.2">
      <c r="K853" s="149"/>
      <c r="N853" s="149"/>
    </row>
    <row r="854" spans="11:14" ht="12.75" hidden="1" customHeight="1" x14ac:dyDescent="0.2">
      <c r="K854" s="149"/>
      <c r="N854" s="149"/>
    </row>
    <row r="855" spans="11:14" ht="12.75" hidden="1" customHeight="1" x14ac:dyDescent="0.2">
      <c r="K855" s="153"/>
      <c r="N855" s="153"/>
    </row>
    <row r="856" spans="11:14" ht="12.75" hidden="1" customHeight="1" x14ac:dyDescent="0.2">
      <c r="K856" s="149"/>
      <c r="N856" s="149"/>
    </row>
    <row r="857" spans="11:14" ht="12.75" hidden="1" customHeight="1" x14ac:dyDescent="0.2">
      <c r="K857" s="149"/>
      <c r="N857" s="149"/>
    </row>
    <row r="858" spans="11:14" ht="12.75" hidden="1" customHeight="1" x14ac:dyDescent="0.2">
      <c r="K858" s="149"/>
      <c r="N858" s="149"/>
    </row>
    <row r="859" spans="11:14" ht="12.75" hidden="1" customHeight="1" x14ac:dyDescent="0.2">
      <c r="K859" s="153"/>
      <c r="N859" s="153"/>
    </row>
    <row r="860" spans="11:14" ht="12.75" hidden="1" customHeight="1" x14ac:dyDescent="0.2">
      <c r="K860" s="149"/>
      <c r="N860" s="149"/>
    </row>
    <row r="861" spans="11:14" ht="12.75" hidden="1" customHeight="1" x14ac:dyDescent="0.2">
      <c r="K861" s="149"/>
      <c r="N861" s="149"/>
    </row>
    <row r="862" spans="11:14" ht="12.75" hidden="1" customHeight="1" x14ac:dyDescent="0.2">
      <c r="K862" s="149"/>
      <c r="N862" s="149"/>
    </row>
    <row r="863" spans="11:14" ht="12.75" hidden="1" customHeight="1" x14ac:dyDescent="0.2">
      <c r="K863" s="153"/>
      <c r="N863" s="153"/>
    </row>
    <row r="864" spans="11:14" ht="12.75" hidden="1" customHeight="1" x14ac:dyDescent="0.2">
      <c r="K864" s="149"/>
      <c r="N864" s="149"/>
    </row>
    <row r="865" spans="11:14" ht="12.75" hidden="1" customHeight="1" x14ac:dyDescent="0.2">
      <c r="K865" s="149"/>
      <c r="N865" s="149"/>
    </row>
    <row r="866" spans="11:14" ht="12.75" hidden="1" customHeight="1" x14ac:dyDescent="0.2">
      <c r="K866" s="149"/>
      <c r="N866" s="149"/>
    </row>
    <row r="867" spans="11:14" ht="12.75" hidden="1" customHeight="1" x14ac:dyDescent="0.2">
      <c r="K867" s="153"/>
      <c r="N867" s="153"/>
    </row>
    <row r="868" spans="11:14" ht="12.75" hidden="1" customHeight="1" x14ac:dyDescent="0.2">
      <c r="K868" s="149"/>
      <c r="N868" s="149"/>
    </row>
    <row r="869" spans="11:14" ht="12.75" hidden="1" customHeight="1" x14ac:dyDescent="0.2">
      <c r="K869" s="149"/>
      <c r="N869" s="149"/>
    </row>
    <row r="870" spans="11:14" ht="12.75" hidden="1" customHeight="1" x14ac:dyDescent="0.2">
      <c r="K870" s="149"/>
      <c r="N870" s="149"/>
    </row>
    <row r="871" spans="11:14" ht="12.75" hidden="1" customHeight="1" x14ac:dyDescent="0.2">
      <c r="K871" s="153"/>
      <c r="N871" s="153"/>
    </row>
    <row r="872" spans="11:14" ht="12.75" hidden="1" customHeight="1" x14ac:dyDescent="0.2">
      <c r="K872" s="149"/>
      <c r="N872" s="149"/>
    </row>
    <row r="873" spans="11:14" ht="12.75" hidden="1" customHeight="1" x14ac:dyDescent="0.2">
      <c r="K873" s="149"/>
      <c r="N873" s="149"/>
    </row>
    <row r="874" spans="11:14" ht="12.75" hidden="1" customHeight="1" x14ac:dyDescent="0.2">
      <c r="K874" s="149"/>
      <c r="N874" s="149"/>
    </row>
    <row r="875" spans="11:14" ht="12.75" hidden="1" customHeight="1" x14ac:dyDescent="0.2">
      <c r="K875" s="153"/>
      <c r="N875" s="153"/>
    </row>
    <row r="876" spans="11:14" ht="12.75" hidden="1" customHeight="1" x14ac:dyDescent="0.2">
      <c r="K876" s="149"/>
      <c r="N876" s="149"/>
    </row>
    <row r="877" spans="11:14" ht="12.75" hidden="1" customHeight="1" x14ac:dyDescent="0.2">
      <c r="K877" s="149"/>
      <c r="N877" s="149"/>
    </row>
    <row r="878" spans="11:14" ht="12.75" hidden="1" customHeight="1" x14ac:dyDescent="0.2">
      <c r="K878" s="149"/>
      <c r="N878" s="149"/>
    </row>
    <row r="879" spans="11:14" ht="12.75" hidden="1" customHeight="1" x14ac:dyDescent="0.2">
      <c r="K879" s="153"/>
      <c r="N879" s="153"/>
    </row>
    <row r="880" spans="11:14" ht="12.75" hidden="1" customHeight="1" x14ac:dyDescent="0.2">
      <c r="K880" s="149"/>
      <c r="N880" s="149"/>
    </row>
    <row r="881" spans="11:14" ht="12.75" hidden="1" customHeight="1" x14ac:dyDescent="0.2">
      <c r="K881" s="149"/>
      <c r="N881" s="149"/>
    </row>
    <row r="882" spans="11:14" ht="12.75" hidden="1" customHeight="1" x14ac:dyDescent="0.2">
      <c r="K882" s="149"/>
      <c r="N882" s="149"/>
    </row>
    <row r="883" spans="11:14" ht="12.75" hidden="1" customHeight="1" x14ac:dyDescent="0.2">
      <c r="K883" s="153"/>
      <c r="N883" s="153"/>
    </row>
    <row r="884" spans="11:14" ht="12.75" hidden="1" customHeight="1" x14ac:dyDescent="0.2">
      <c r="K884" s="149"/>
      <c r="N884" s="149"/>
    </row>
    <row r="885" spans="11:14" ht="12.75" hidden="1" customHeight="1" x14ac:dyDescent="0.2">
      <c r="K885" s="149"/>
      <c r="N885" s="149"/>
    </row>
    <row r="886" spans="11:14" ht="12.75" hidden="1" customHeight="1" x14ac:dyDescent="0.2">
      <c r="K886" s="149"/>
      <c r="N886" s="149"/>
    </row>
    <row r="887" spans="11:14" ht="12.75" hidden="1" customHeight="1" x14ac:dyDescent="0.2">
      <c r="K887" s="153"/>
      <c r="N887" s="153"/>
    </row>
    <row r="888" spans="11:14" ht="12.75" hidden="1" customHeight="1" x14ac:dyDescent="0.2">
      <c r="K888" s="149"/>
      <c r="N888" s="149"/>
    </row>
    <row r="889" spans="11:14" ht="12.75" hidden="1" customHeight="1" x14ac:dyDescent="0.2">
      <c r="K889" s="149"/>
      <c r="N889" s="149"/>
    </row>
    <row r="890" spans="11:14" ht="12.75" hidden="1" customHeight="1" x14ac:dyDescent="0.2">
      <c r="K890" s="149"/>
      <c r="N890" s="149"/>
    </row>
    <row r="891" spans="11:14" ht="12.75" hidden="1" customHeight="1" x14ac:dyDescent="0.2">
      <c r="K891" s="153"/>
      <c r="N891" s="153"/>
    </row>
    <row r="892" spans="11:14" ht="12.75" hidden="1" customHeight="1" x14ac:dyDescent="0.2">
      <c r="K892" s="149"/>
      <c r="N892" s="149"/>
    </row>
    <row r="893" spans="11:14" ht="12.75" hidden="1" customHeight="1" x14ac:dyDescent="0.2">
      <c r="K893" s="149"/>
      <c r="N893" s="149"/>
    </row>
    <row r="894" spans="11:14" ht="12.75" hidden="1" customHeight="1" x14ac:dyDescent="0.2">
      <c r="K894" s="149"/>
      <c r="N894" s="149"/>
    </row>
    <row r="895" spans="11:14" ht="12.75" hidden="1" customHeight="1" x14ac:dyDescent="0.2">
      <c r="K895" s="153"/>
      <c r="N895" s="153"/>
    </row>
    <row r="896" spans="11:14" ht="12.75" hidden="1" customHeight="1" x14ac:dyDescent="0.2">
      <c r="K896" s="149"/>
      <c r="N896" s="149"/>
    </row>
    <row r="897" spans="11:14" ht="12.75" hidden="1" customHeight="1" x14ac:dyDescent="0.2">
      <c r="K897" s="149"/>
      <c r="N897" s="149"/>
    </row>
    <row r="898" spans="11:14" ht="12.75" hidden="1" customHeight="1" x14ac:dyDescent="0.2">
      <c r="K898" s="149"/>
      <c r="N898" s="149"/>
    </row>
    <row r="899" spans="11:14" ht="12.75" hidden="1" customHeight="1" x14ac:dyDescent="0.2">
      <c r="K899" s="153"/>
      <c r="N899" s="153"/>
    </row>
    <row r="900" spans="11:14" ht="12.75" hidden="1" customHeight="1" x14ac:dyDescent="0.2">
      <c r="K900" s="149"/>
      <c r="N900" s="149"/>
    </row>
    <row r="901" spans="11:14" ht="12.75" hidden="1" customHeight="1" x14ac:dyDescent="0.2">
      <c r="K901" s="149"/>
      <c r="N901" s="149"/>
    </row>
    <row r="902" spans="11:14" ht="12.75" hidden="1" customHeight="1" x14ac:dyDescent="0.2">
      <c r="K902" s="149"/>
      <c r="N902" s="149"/>
    </row>
    <row r="903" spans="11:14" ht="12.75" hidden="1" customHeight="1" x14ac:dyDescent="0.2">
      <c r="K903" s="153"/>
      <c r="N903" s="153"/>
    </row>
    <row r="904" spans="11:14" ht="12.75" hidden="1" customHeight="1" x14ac:dyDescent="0.2">
      <c r="K904" s="149"/>
      <c r="N904" s="149"/>
    </row>
    <row r="905" spans="11:14" ht="12.75" hidden="1" customHeight="1" x14ac:dyDescent="0.2">
      <c r="K905" s="149"/>
      <c r="N905" s="149"/>
    </row>
    <row r="906" spans="11:14" ht="12.75" hidden="1" customHeight="1" x14ac:dyDescent="0.2">
      <c r="K906" s="149"/>
      <c r="N906" s="149"/>
    </row>
    <row r="907" spans="11:14" ht="12.75" hidden="1" customHeight="1" x14ac:dyDescent="0.2">
      <c r="K907" s="153"/>
      <c r="N907" s="153"/>
    </row>
    <row r="908" spans="11:14" ht="12.75" hidden="1" customHeight="1" x14ac:dyDescent="0.2">
      <c r="K908" s="149"/>
      <c r="N908" s="149"/>
    </row>
    <row r="909" spans="11:14" ht="12.75" hidden="1" customHeight="1" x14ac:dyDescent="0.2">
      <c r="K909" s="149"/>
      <c r="N909" s="149"/>
    </row>
    <row r="910" spans="11:14" ht="12.75" hidden="1" customHeight="1" x14ac:dyDescent="0.2">
      <c r="K910" s="149"/>
      <c r="N910" s="149"/>
    </row>
    <row r="911" spans="11:14" ht="12.75" hidden="1" customHeight="1" x14ac:dyDescent="0.2">
      <c r="K911" s="153"/>
      <c r="N911" s="153"/>
    </row>
    <row r="912" spans="11:14" ht="12.75" hidden="1" customHeight="1" x14ac:dyDescent="0.2">
      <c r="K912" s="149"/>
      <c r="N912" s="149"/>
    </row>
    <row r="913" spans="11:14" ht="12.75" hidden="1" customHeight="1" x14ac:dyDescent="0.2">
      <c r="K913" s="149"/>
      <c r="N913" s="149"/>
    </row>
    <row r="914" spans="11:14" ht="12.75" hidden="1" customHeight="1" x14ac:dyDescent="0.2">
      <c r="K914" s="149"/>
      <c r="N914" s="149"/>
    </row>
    <row r="915" spans="11:14" ht="12.75" hidden="1" customHeight="1" x14ac:dyDescent="0.2">
      <c r="K915" s="153"/>
      <c r="N915" s="153"/>
    </row>
    <row r="916" spans="11:14" ht="12.75" hidden="1" customHeight="1" x14ac:dyDescent="0.2">
      <c r="K916" s="149"/>
      <c r="N916" s="149"/>
    </row>
    <row r="917" spans="11:14" ht="12.75" hidden="1" customHeight="1" x14ac:dyDescent="0.2">
      <c r="K917" s="149"/>
      <c r="N917" s="149"/>
    </row>
    <row r="918" spans="11:14" ht="12.75" hidden="1" customHeight="1" x14ac:dyDescent="0.2">
      <c r="K918" s="149"/>
      <c r="N918" s="149"/>
    </row>
    <row r="919" spans="11:14" ht="12.75" hidden="1" customHeight="1" x14ac:dyDescent="0.2">
      <c r="K919" s="153"/>
      <c r="N919" s="153"/>
    </row>
    <row r="920" spans="11:14" ht="12.75" hidden="1" customHeight="1" x14ac:dyDescent="0.2">
      <c r="K920" s="149"/>
      <c r="N920" s="149"/>
    </row>
    <row r="921" spans="11:14" ht="12.75" hidden="1" customHeight="1" x14ac:dyDescent="0.2">
      <c r="K921" s="149"/>
      <c r="N921" s="149"/>
    </row>
    <row r="922" spans="11:14" ht="12.75" hidden="1" customHeight="1" x14ac:dyDescent="0.2">
      <c r="K922" s="149"/>
      <c r="N922" s="149"/>
    </row>
    <row r="923" spans="11:14" ht="12.75" hidden="1" customHeight="1" x14ac:dyDescent="0.2">
      <c r="K923" s="153"/>
      <c r="N923" s="153"/>
    </row>
    <row r="924" spans="11:14" ht="12.75" hidden="1" customHeight="1" x14ac:dyDescent="0.2">
      <c r="K924" s="149"/>
      <c r="N924" s="149"/>
    </row>
    <row r="925" spans="11:14" ht="12.75" hidden="1" customHeight="1" x14ac:dyDescent="0.2">
      <c r="K925" s="149"/>
      <c r="N925" s="149"/>
    </row>
    <row r="926" spans="11:14" ht="12.75" hidden="1" customHeight="1" x14ac:dyDescent="0.2">
      <c r="K926" s="149"/>
      <c r="N926" s="149"/>
    </row>
    <row r="927" spans="11:14" ht="12.75" hidden="1" customHeight="1" x14ac:dyDescent="0.2">
      <c r="K927" s="153"/>
      <c r="N927" s="153"/>
    </row>
    <row r="928" spans="11:14" ht="12.75" hidden="1" customHeight="1" x14ac:dyDescent="0.2">
      <c r="K928" s="149"/>
      <c r="N928" s="149"/>
    </row>
    <row r="929" spans="11:14" ht="12.75" hidden="1" customHeight="1" x14ac:dyDescent="0.2">
      <c r="K929" s="149"/>
      <c r="N929" s="149"/>
    </row>
    <row r="930" spans="11:14" ht="12.75" hidden="1" customHeight="1" x14ac:dyDescent="0.2">
      <c r="K930" s="149"/>
      <c r="N930" s="149"/>
    </row>
    <row r="931" spans="11:14" ht="12.75" hidden="1" customHeight="1" x14ac:dyDescent="0.2">
      <c r="K931" s="153"/>
      <c r="N931" s="153"/>
    </row>
    <row r="932" spans="11:14" ht="12.75" hidden="1" customHeight="1" x14ac:dyDescent="0.2">
      <c r="K932" s="149"/>
      <c r="N932" s="149"/>
    </row>
    <row r="933" spans="11:14" ht="12.75" hidden="1" customHeight="1" x14ac:dyDescent="0.2">
      <c r="K933" s="149"/>
      <c r="N933" s="149"/>
    </row>
    <row r="934" spans="11:14" ht="12.75" hidden="1" customHeight="1" x14ac:dyDescent="0.2">
      <c r="K934" s="149"/>
      <c r="N934" s="149"/>
    </row>
    <row r="935" spans="11:14" ht="12.75" hidden="1" customHeight="1" x14ac:dyDescent="0.2">
      <c r="K935" s="153"/>
      <c r="N935" s="153"/>
    </row>
    <row r="936" spans="11:14" ht="12.75" hidden="1" customHeight="1" x14ac:dyDescent="0.2">
      <c r="K936" s="149"/>
      <c r="N936" s="149"/>
    </row>
    <row r="937" spans="11:14" ht="12.75" hidden="1" customHeight="1" x14ac:dyDescent="0.2">
      <c r="K937" s="149"/>
      <c r="N937" s="149"/>
    </row>
    <row r="938" spans="11:14" ht="12.75" hidden="1" customHeight="1" x14ac:dyDescent="0.2">
      <c r="K938" s="149"/>
      <c r="N938" s="149"/>
    </row>
    <row r="939" spans="11:14" ht="12.75" hidden="1" customHeight="1" x14ac:dyDescent="0.2">
      <c r="K939" s="153"/>
      <c r="N939" s="153"/>
    </row>
    <row r="940" spans="11:14" ht="12.75" hidden="1" customHeight="1" x14ac:dyDescent="0.2">
      <c r="K940" s="149"/>
      <c r="N940" s="149"/>
    </row>
    <row r="941" spans="11:14" ht="12.75" hidden="1" customHeight="1" x14ac:dyDescent="0.2">
      <c r="K941" s="149"/>
      <c r="N941" s="149"/>
    </row>
    <row r="942" spans="11:14" ht="12.75" hidden="1" customHeight="1" x14ac:dyDescent="0.2">
      <c r="K942" s="149"/>
      <c r="N942" s="149"/>
    </row>
    <row r="943" spans="11:14" ht="12.75" hidden="1" customHeight="1" x14ac:dyDescent="0.2">
      <c r="K943" s="153"/>
      <c r="N943" s="153"/>
    </row>
    <row r="944" spans="11:14" ht="12.75" hidden="1" customHeight="1" x14ac:dyDescent="0.2">
      <c r="K944" s="149"/>
      <c r="N944" s="149"/>
    </row>
    <row r="945" spans="11:14" ht="12.75" hidden="1" customHeight="1" x14ac:dyDescent="0.2">
      <c r="K945" s="149"/>
      <c r="N945" s="149"/>
    </row>
    <row r="946" spans="11:14" ht="12.75" hidden="1" customHeight="1" x14ac:dyDescent="0.2">
      <c r="K946" s="149"/>
      <c r="N946" s="149"/>
    </row>
    <row r="947" spans="11:14" ht="12.75" hidden="1" customHeight="1" x14ac:dyDescent="0.2">
      <c r="K947" s="153"/>
      <c r="N947" s="153"/>
    </row>
    <row r="948" spans="11:14" ht="12.75" hidden="1" customHeight="1" x14ac:dyDescent="0.2">
      <c r="K948" s="149"/>
      <c r="N948" s="149"/>
    </row>
    <row r="949" spans="11:14" ht="12.75" hidden="1" customHeight="1" x14ac:dyDescent="0.2">
      <c r="K949" s="149"/>
      <c r="N949" s="149"/>
    </row>
    <row r="950" spans="11:14" ht="12.75" hidden="1" customHeight="1" x14ac:dyDescent="0.2">
      <c r="K950" s="149"/>
      <c r="N950" s="149"/>
    </row>
    <row r="951" spans="11:14" ht="12.75" hidden="1" customHeight="1" x14ac:dyDescent="0.2">
      <c r="K951" s="153"/>
      <c r="N951" s="153"/>
    </row>
    <row r="952" spans="11:14" ht="12.75" hidden="1" customHeight="1" x14ac:dyDescent="0.2">
      <c r="K952" s="149"/>
      <c r="N952" s="149"/>
    </row>
    <row r="953" spans="11:14" ht="12.75" hidden="1" customHeight="1" x14ac:dyDescent="0.2">
      <c r="K953" s="149"/>
      <c r="N953" s="149"/>
    </row>
    <row r="954" spans="11:14" ht="12.75" hidden="1" customHeight="1" x14ac:dyDescent="0.2">
      <c r="K954" s="149"/>
      <c r="N954" s="149"/>
    </row>
    <row r="955" spans="11:14" ht="12.75" hidden="1" customHeight="1" x14ac:dyDescent="0.2">
      <c r="K955" s="153"/>
      <c r="N955" s="153"/>
    </row>
    <row r="956" spans="11:14" ht="12.75" hidden="1" customHeight="1" x14ac:dyDescent="0.2">
      <c r="K956" s="149"/>
      <c r="N956" s="149"/>
    </row>
    <row r="957" spans="11:14" ht="12.75" hidden="1" customHeight="1" x14ac:dyDescent="0.2">
      <c r="K957" s="149"/>
      <c r="N957" s="149"/>
    </row>
    <row r="958" spans="11:14" ht="12.75" hidden="1" customHeight="1" x14ac:dyDescent="0.2">
      <c r="K958" s="149"/>
      <c r="N958" s="149"/>
    </row>
    <row r="959" spans="11:14" ht="12.75" hidden="1" customHeight="1" x14ac:dyDescent="0.2">
      <c r="K959" s="153"/>
      <c r="N959" s="153"/>
    </row>
    <row r="960" spans="11:14" ht="12.75" hidden="1" customHeight="1" x14ac:dyDescent="0.2">
      <c r="K960" s="149"/>
      <c r="N960" s="149"/>
    </row>
    <row r="961" spans="11:14" ht="12.75" hidden="1" customHeight="1" x14ac:dyDescent="0.2">
      <c r="K961" s="149"/>
      <c r="N961" s="149"/>
    </row>
    <row r="962" spans="11:14" ht="12.75" hidden="1" customHeight="1" x14ac:dyDescent="0.2">
      <c r="K962" s="149"/>
      <c r="N962" s="149"/>
    </row>
    <row r="963" spans="11:14" ht="12.75" hidden="1" customHeight="1" x14ac:dyDescent="0.2">
      <c r="K963" s="153"/>
      <c r="N963" s="153"/>
    </row>
    <row r="964" spans="11:14" ht="12.75" hidden="1" customHeight="1" x14ac:dyDescent="0.2">
      <c r="K964" s="149"/>
      <c r="N964" s="149"/>
    </row>
    <row r="965" spans="11:14" ht="12.75" hidden="1" customHeight="1" x14ac:dyDescent="0.2">
      <c r="K965" s="149"/>
      <c r="N965" s="149"/>
    </row>
    <row r="966" spans="11:14" ht="12.75" hidden="1" customHeight="1" x14ac:dyDescent="0.2">
      <c r="K966" s="149"/>
      <c r="N966" s="149"/>
    </row>
    <row r="967" spans="11:14" ht="12.75" hidden="1" customHeight="1" x14ac:dyDescent="0.2">
      <c r="K967" s="153"/>
      <c r="N967" s="153"/>
    </row>
    <row r="968" spans="11:14" ht="12.75" hidden="1" customHeight="1" x14ac:dyDescent="0.2">
      <c r="K968" s="149"/>
      <c r="N968" s="149"/>
    </row>
    <row r="969" spans="11:14" ht="12.75" hidden="1" customHeight="1" x14ac:dyDescent="0.2">
      <c r="K969" s="149"/>
      <c r="N969" s="149"/>
    </row>
    <row r="970" spans="11:14" ht="12.75" hidden="1" customHeight="1" x14ac:dyDescent="0.2">
      <c r="K970" s="149"/>
      <c r="N970" s="149"/>
    </row>
    <row r="971" spans="11:14" ht="12.75" hidden="1" customHeight="1" x14ac:dyDescent="0.2">
      <c r="K971" s="153"/>
      <c r="N971" s="153"/>
    </row>
    <row r="972" spans="11:14" ht="12.75" hidden="1" customHeight="1" x14ac:dyDescent="0.2">
      <c r="K972" s="149"/>
      <c r="N972" s="149"/>
    </row>
    <row r="973" spans="11:14" ht="12.75" hidden="1" customHeight="1" x14ac:dyDescent="0.2">
      <c r="K973" s="149"/>
      <c r="N973" s="149"/>
    </row>
    <row r="974" spans="11:14" ht="12.75" hidden="1" customHeight="1" x14ac:dyDescent="0.2">
      <c r="K974" s="149"/>
      <c r="N974" s="149"/>
    </row>
    <row r="975" spans="11:14" ht="12.75" hidden="1" customHeight="1" x14ac:dyDescent="0.2">
      <c r="K975" s="153"/>
      <c r="N975" s="153"/>
    </row>
    <row r="976" spans="11:14" ht="12.75" hidden="1" customHeight="1" x14ac:dyDescent="0.2">
      <c r="K976" s="149"/>
      <c r="N976" s="149"/>
    </row>
    <row r="977" spans="11:14" ht="12.75" hidden="1" customHeight="1" x14ac:dyDescent="0.2">
      <c r="K977" s="149"/>
      <c r="N977" s="149"/>
    </row>
    <row r="978" spans="11:14" ht="12.75" hidden="1" customHeight="1" x14ac:dyDescent="0.2">
      <c r="K978" s="149"/>
      <c r="N978" s="149"/>
    </row>
    <row r="979" spans="11:14" ht="12.75" hidden="1" customHeight="1" x14ac:dyDescent="0.2">
      <c r="K979" s="153"/>
      <c r="N979" s="153"/>
    </row>
    <row r="980" spans="11:14" ht="12.75" hidden="1" customHeight="1" x14ac:dyDescent="0.2">
      <c r="K980" s="149"/>
      <c r="N980" s="149"/>
    </row>
    <row r="981" spans="11:14" ht="12.75" hidden="1" customHeight="1" x14ac:dyDescent="0.2">
      <c r="K981" s="149"/>
      <c r="N981" s="149"/>
    </row>
    <row r="982" spans="11:14" ht="12.75" hidden="1" customHeight="1" x14ac:dyDescent="0.2">
      <c r="K982" s="149"/>
      <c r="N982" s="149"/>
    </row>
    <row r="983" spans="11:14" ht="12.75" hidden="1" customHeight="1" x14ac:dyDescent="0.2">
      <c r="K983" s="153"/>
      <c r="N983" s="153"/>
    </row>
    <row r="984" spans="11:14" ht="12.75" hidden="1" customHeight="1" x14ac:dyDescent="0.2">
      <c r="K984" s="149"/>
      <c r="N984" s="149"/>
    </row>
    <row r="985" spans="11:14" ht="12.75" hidden="1" customHeight="1" x14ac:dyDescent="0.2">
      <c r="K985" s="149"/>
      <c r="N985" s="149"/>
    </row>
    <row r="986" spans="11:14" ht="12.75" hidden="1" customHeight="1" x14ac:dyDescent="0.2">
      <c r="K986" s="149"/>
      <c r="N986" s="149"/>
    </row>
    <row r="987" spans="11:14" ht="12.75" hidden="1" customHeight="1" x14ac:dyDescent="0.2">
      <c r="K987" s="153"/>
      <c r="N987" s="153"/>
    </row>
    <row r="988" spans="11:14" ht="12.75" hidden="1" customHeight="1" x14ac:dyDescent="0.2">
      <c r="K988" s="149"/>
      <c r="N988" s="149"/>
    </row>
    <row r="989" spans="11:14" ht="12.75" hidden="1" customHeight="1" x14ac:dyDescent="0.2">
      <c r="K989" s="149"/>
      <c r="N989" s="149"/>
    </row>
    <row r="990" spans="11:14" ht="12.75" hidden="1" customHeight="1" x14ac:dyDescent="0.2">
      <c r="K990" s="149"/>
      <c r="N990" s="149"/>
    </row>
    <row r="991" spans="11:14" ht="12.75" hidden="1" customHeight="1" x14ac:dyDescent="0.2">
      <c r="K991" s="153"/>
      <c r="N991" s="153"/>
    </row>
    <row r="992" spans="11:14" ht="12.75" hidden="1" customHeight="1" x14ac:dyDescent="0.2">
      <c r="K992" s="149"/>
      <c r="N992" s="149"/>
    </row>
    <row r="993" spans="11:14" ht="12.75" hidden="1" customHeight="1" x14ac:dyDescent="0.2">
      <c r="K993" s="149"/>
      <c r="N993" s="149"/>
    </row>
    <row r="994" spans="11:14" ht="12.75" hidden="1" customHeight="1" x14ac:dyDescent="0.2">
      <c r="K994" s="149"/>
      <c r="N994" s="149"/>
    </row>
    <row r="995" spans="11:14" ht="12.75" hidden="1" customHeight="1" x14ac:dyDescent="0.2">
      <c r="K995" s="153"/>
      <c r="N995" s="153"/>
    </row>
    <row r="996" spans="11:14" ht="12.75" hidden="1" customHeight="1" x14ac:dyDescent="0.2">
      <c r="K996" s="149"/>
      <c r="N996" s="149"/>
    </row>
    <row r="997" spans="11:14" ht="12.75" hidden="1" customHeight="1" x14ac:dyDescent="0.2">
      <c r="K997" s="149"/>
      <c r="N997" s="149"/>
    </row>
    <row r="998" spans="11:14" ht="12.75" hidden="1" customHeight="1" x14ac:dyDescent="0.2">
      <c r="K998" s="149"/>
      <c r="N998" s="149"/>
    </row>
    <row r="999" spans="11:14" ht="12.75" hidden="1" customHeight="1" x14ac:dyDescent="0.2">
      <c r="K999" s="153"/>
      <c r="N999" s="153"/>
    </row>
    <row r="1000" spans="11:14" ht="12.75" hidden="1" customHeight="1" x14ac:dyDescent="0.2">
      <c r="K1000" s="149"/>
      <c r="N1000" s="149"/>
    </row>
    <row r="1001" spans="11:14" ht="12.75" hidden="1" customHeight="1" x14ac:dyDescent="0.2">
      <c r="K1001" s="149"/>
      <c r="N1001" s="149"/>
    </row>
    <row r="1002" spans="11:14" ht="12.75" hidden="1" customHeight="1" x14ac:dyDescent="0.2">
      <c r="K1002" s="149"/>
      <c r="N1002" s="149"/>
    </row>
    <row r="1003" spans="11:14" ht="12.75" hidden="1" customHeight="1" x14ac:dyDescent="0.2">
      <c r="K1003" s="153"/>
      <c r="N1003" s="153"/>
    </row>
    <row r="1004" spans="11:14" ht="12.75" hidden="1" customHeight="1" x14ac:dyDescent="0.2">
      <c r="K1004" s="149"/>
      <c r="N1004" s="149"/>
    </row>
    <row r="1005" spans="11:14" ht="12.75" hidden="1" customHeight="1" x14ac:dyDescent="0.2">
      <c r="K1005" s="149"/>
      <c r="N1005" s="149"/>
    </row>
    <row r="1006" spans="11:14" ht="12.75" hidden="1" customHeight="1" x14ac:dyDescent="0.2">
      <c r="K1006" s="149"/>
      <c r="N1006" s="149"/>
    </row>
    <row r="1007" spans="11:14" ht="12.75" hidden="1" customHeight="1" x14ac:dyDescent="0.2">
      <c r="K1007" s="153"/>
      <c r="N1007" s="153"/>
    </row>
    <row r="1008" spans="11:14" ht="12.75" hidden="1" customHeight="1" x14ac:dyDescent="0.2">
      <c r="K1008" s="149"/>
      <c r="N1008" s="149"/>
    </row>
    <row r="1009" spans="11:14" ht="12.75" hidden="1" customHeight="1" x14ac:dyDescent="0.2">
      <c r="K1009" s="149"/>
      <c r="N1009" s="149"/>
    </row>
    <row r="1010" spans="11:14" ht="12.75" hidden="1" customHeight="1" x14ac:dyDescent="0.2">
      <c r="K1010" s="149"/>
      <c r="N1010" s="149"/>
    </row>
    <row r="1011" spans="11:14" ht="12.75" hidden="1" customHeight="1" x14ac:dyDescent="0.2">
      <c r="K1011" s="153"/>
      <c r="N1011" s="153"/>
    </row>
    <row r="1012" spans="11:14" ht="12.75" hidden="1" customHeight="1" x14ac:dyDescent="0.2">
      <c r="K1012" s="149"/>
      <c r="N1012" s="149"/>
    </row>
    <row r="1013" spans="11:14" ht="12.75" hidden="1" customHeight="1" x14ac:dyDescent="0.2">
      <c r="K1013" s="149"/>
      <c r="N1013" s="149"/>
    </row>
    <row r="1014" spans="11:14" ht="12.75" hidden="1" customHeight="1" x14ac:dyDescent="0.2">
      <c r="K1014" s="149"/>
      <c r="N1014" s="149"/>
    </row>
    <row r="1015" spans="11:14" ht="12.75" hidden="1" customHeight="1" x14ac:dyDescent="0.2">
      <c r="K1015" s="153"/>
      <c r="N1015" s="153"/>
    </row>
    <row r="1016" spans="11:14" ht="12.75" hidden="1" customHeight="1" x14ac:dyDescent="0.2">
      <c r="K1016" s="149"/>
      <c r="N1016" s="149"/>
    </row>
    <row r="1017" spans="11:14" ht="12.75" hidden="1" customHeight="1" x14ac:dyDescent="0.2">
      <c r="K1017" s="149"/>
      <c r="N1017" s="149"/>
    </row>
    <row r="1018" spans="11:14" ht="12.75" hidden="1" customHeight="1" x14ac:dyDescent="0.2">
      <c r="K1018" s="149"/>
      <c r="N1018" s="149"/>
    </row>
    <row r="1019" spans="11:14" ht="12.75" hidden="1" customHeight="1" x14ac:dyDescent="0.2">
      <c r="K1019" s="153"/>
      <c r="N1019" s="153"/>
    </row>
    <row r="1020" spans="11:14" ht="12.75" hidden="1" customHeight="1" x14ac:dyDescent="0.2">
      <c r="K1020" s="149"/>
      <c r="N1020" s="149"/>
    </row>
    <row r="1021" spans="11:14" ht="12.75" hidden="1" customHeight="1" x14ac:dyDescent="0.2">
      <c r="K1021" s="149"/>
      <c r="N1021" s="149"/>
    </row>
    <row r="1022" spans="11:14" ht="12.75" hidden="1" customHeight="1" x14ac:dyDescent="0.2">
      <c r="K1022" s="149"/>
      <c r="N1022" s="149"/>
    </row>
    <row r="1023" spans="11:14" ht="12.75" hidden="1" customHeight="1" x14ac:dyDescent="0.2">
      <c r="K1023" s="153"/>
      <c r="N1023" s="153"/>
    </row>
    <row r="1024" spans="11:14" ht="12.75" hidden="1" customHeight="1" x14ac:dyDescent="0.2">
      <c r="K1024" s="149"/>
      <c r="N1024" s="149"/>
    </row>
    <row r="1025" spans="11:14" ht="12.75" hidden="1" customHeight="1" x14ac:dyDescent="0.2">
      <c r="K1025" s="149"/>
      <c r="N1025" s="149"/>
    </row>
    <row r="1026" spans="11:14" ht="12.75" hidden="1" customHeight="1" x14ac:dyDescent="0.2">
      <c r="K1026" s="149"/>
      <c r="N1026" s="149"/>
    </row>
    <row r="1027" spans="11:14" ht="12.75" hidden="1" customHeight="1" x14ac:dyDescent="0.2">
      <c r="K1027" s="153"/>
      <c r="N1027" s="153"/>
    </row>
    <row r="1028" spans="11:14" ht="12.75" hidden="1" customHeight="1" x14ac:dyDescent="0.2">
      <c r="K1028" s="149"/>
      <c r="N1028" s="149"/>
    </row>
    <row r="1029" spans="11:14" ht="12.75" hidden="1" customHeight="1" x14ac:dyDescent="0.2">
      <c r="K1029" s="149"/>
      <c r="N1029" s="149"/>
    </row>
    <row r="1030" spans="11:14" ht="12.75" hidden="1" customHeight="1" x14ac:dyDescent="0.2">
      <c r="K1030" s="149"/>
      <c r="N1030" s="149"/>
    </row>
    <row r="1031" spans="11:14" ht="12.75" hidden="1" customHeight="1" x14ac:dyDescent="0.2">
      <c r="K1031" s="153"/>
      <c r="N1031" s="153"/>
    </row>
    <row r="1032" spans="11:14" ht="12.75" hidden="1" customHeight="1" x14ac:dyDescent="0.2">
      <c r="K1032" s="149"/>
      <c r="N1032" s="149"/>
    </row>
    <row r="1033" spans="11:14" ht="12.75" hidden="1" customHeight="1" x14ac:dyDescent="0.2">
      <c r="K1033" s="149"/>
      <c r="N1033" s="149"/>
    </row>
    <row r="1034" spans="11:14" ht="12.75" hidden="1" customHeight="1" x14ac:dyDescent="0.2">
      <c r="K1034" s="149"/>
      <c r="N1034" s="149"/>
    </row>
    <row r="1035" spans="11:14" ht="12.75" hidden="1" customHeight="1" x14ac:dyDescent="0.2">
      <c r="K1035" s="153"/>
      <c r="N1035" s="153"/>
    </row>
    <row r="1036" spans="11:14" ht="12.75" hidden="1" customHeight="1" x14ac:dyDescent="0.2">
      <c r="K1036" s="149"/>
      <c r="N1036" s="149"/>
    </row>
    <row r="1037" spans="11:14" ht="12.75" hidden="1" customHeight="1" x14ac:dyDescent="0.2">
      <c r="K1037" s="149"/>
      <c r="N1037" s="149"/>
    </row>
    <row r="1038" spans="11:14" ht="12.75" hidden="1" customHeight="1" x14ac:dyDescent="0.2">
      <c r="K1038" s="149"/>
      <c r="N1038" s="149"/>
    </row>
    <row r="1039" spans="11:14" ht="12.75" hidden="1" customHeight="1" x14ac:dyDescent="0.2">
      <c r="K1039" s="153"/>
      <c r="N1039" s="153"/>
    </row>
    <row r="1040" spans="11:14" ht="12.75" hidden="1" customHeight="1" x14ac:dyDescent="0.2">
      <c r="K1040" s="149"/>
      <c r="N1040" s="149"/>
    </row>
    <row r="1041" spans="11:14" ht="12.75" hidden="1" customHeight="1" x14ac:dyDescent="0.2">
      <c r="K1041" s="149"/>
      <c r="N1041" s="149"/>
    </row>
    <row r="1042" spans="11:14" ht="12.75" hidden="1" customHeight="1" x14ac:dyDescent="0.2">
      <c r="K1042" s="149"/>
      <c r="N1042" s="149"/>
    </row>
    <row r="1043" spans="11:14" ht="12.75" hidden="1" customHeight="1" x14ac:dyDescent="0.2">
      <c r="K1043" s="153"/>
      <c r="N1043" s="153"/>
    </row>
    <row r="1044" spans="11:14" ht="12.75" hidden="1" customHeight="1" x14ac:dyDescent="0.2">
      <c r="K1044" s="149"/>
      <c r="N1044" s="149"/>
    </row>
    <row r="1045" spans="11:14" ht="12.75" hidden="1" customHeight="1" x14ac:dyDescent="0.2">
      <c r="K1045" s="149"/>
      <c r="N1045" s="149"/>
    </row>
    <row r="1046" spans="11:14" ht="12.75" hidden="1" customHeight="1" x14ac:dyDescent="0.2">
      <c r="K1046" s="149"/>
      <c r="N1046" s="149"/>
    </row>
    <row r="1047" spans="11:14" ht="12.75" hidden="1" customHeight="1" x14ac:dyDescent="0.2">
      <c r="K1047" s="153"/>
      <c r="N1047" s="153"/>
    </row>
    <row r="1048" spans="11:14" ht="12.75" hidden="1" customHeight="1" x14ac:dyDescent="0.2">
      <c r="K1048" s="149"/>
      <c r="N1048" s="149"/>
    </row>
    <row r="1049" spans="11:14" ht="12.75" hidden="1" customHeight="1" x14ac:dyDescent="0.2">
      <c r="K1049" s="149"/>
      <c r="N1049" s="149"/>
    </row>
    <row r="1050" spans="11:14" ht="12.75" hidden="1" customHeight="1" x14ac:dyDescent="0.2">
      <c r="K1050" s="149"/>
      <c r="N1050" s="149"/>
    </row>
    <row r="1051" spans="11:14" ht="12.75" hidden="1" customHeight="1" x14ac:dyDescent="0.2">
      <c r="K1051" s="153"/>
      <c r="N1051" s="153"/>
    </row>
    <row r="1052" spans="11:14" ht="12.75" hidden="1" customHeight="1" x14ac:dyDescent="0.2">
      <c r="K1052" s="149"/>
      <c r="N1052" s="149"/>
    </row>
    <row r="1053" spans="11:14" ht="12.75" hidden="1" customHeight="1" x14ac:dyDescent="0.2">
      <c r="K1053" s="149"/>
      <c r="N1053" s="149"/>
    </row>
    <row r="1054" spans="11:14" ht="12.75" hidden="1" customHeight="1" x14ac:dyDescent="0.2">
      <c r="K1054" s="149"/>
      <c r="N1054" s="149"/>
    </row>
    <row r="1055" spans="11:14" ht="12.75" hidden="1" customHeight="1" x14ac:dyDescent="0.2">
      <c r="K1055" s="153"/>
      <c r="N1055" s="153"/>
    </row>
    <row r="1056" spans="11:14" ht="12.75" hidden="1" customHeight="1" x14ac:dyDescent="0.2">
      <c r="K1056" s="149"/>
      <c r="N1056" s="149"/>
    </row>
    <row r="1057" spans="11:14" ht="12.75" hidden="1" customHeight="1" x14ac:dyDescent="0.2">
      <c r="K1057" s="149"/>
      <c r="N1057" s="149"/>
    </row>
    <row r="1058" spans="11:14" ht="12.75" hidden="1" customHeight="1" x14ac:dyDescent="0.2">
      <c r="K1058" s="149"/>
      <c r="N1058" s="149"/>
    </row>
    <row r="1059" spans="11:14" ht="12.75" hidden="1" customHeight="1" x14ac:dyDescent="0.2">
      <c r="K1059" s="153"/>
      <c r="N1059" s="153"/>
    </row>
    <row r="1060" spans="11:14" ht="12.75" hidden="1" customHeight="1" x14ac:dyDescent="0.2">
      <c r="K1060" s="149"/>
      <c r="N1060" s="149"/>
    </row>
    <row r="1061" spans="11:14" ht="12.75" hidden="1" customHeight="1" x14ac:dyDescent="0.2">
      <c r="K1061" s="149"/>
      <c r="N1061" s="149"/>
    </row>
    <row r="1062" spans="11:14" ht="12.75" hidden="1" customHeight="1" x14ac:dyDescent="0.2">
      <c r="K1062" s="149"/>
      <c r="N1062" s="149"/>
    </row>
    <row r="1063" spans="11:14" ht="12.75" hidden="1" customHeight="1" x14ac:dyDescent="0.2">
      <c r="K1063" s="153"/>
      <c r="N1063" s="153"/>
    </row>
    <row r="1064" spans="11:14" ht="12.75" hidden="1" customHeight="1" x14ac:dyDescent="0.2">
      <c r="K1064" s="149"/>
      <c r="N1064" s="149"/>
    </row>
    <row r="1065" spans="11:14" ht="12.75" hidden="1" customHeight="1" x14ac:dyDescent="0.2">
      <c r="K1065" s="149"/>
      <c r="N1065" s="149"/>
    </row>
    <row r="1066" spans="11:14" ht="12.75" hidden="1" customHeight="1" x14ac:dyDescent="0.2">
      <c r="K1066" s="149"/>
      <c r="N1066" s="149"/>
    </row>
    <row r="1067" spans="11:14" ht="12.75" hidden="1" customHeight="1" x14ac:dyDescent="0.2">
      <c r="K1067" s="153"/>
      <c r="N1067" s="153"/>
    </row>
    <row r="1068" spans="11:14" ht="12.75" hidden="1" customHeight="1" x14ac:dyDescent="0.2">
      <c r="K1068" s="149"/>
      <c r="N1068" s="149"/>
    </row>
    <row r="1069" spans="11:14" ht="12.75" hidden="1" customHeight="1" x14ac:dyDescent="0.2">
      <c r="K1069" s="149"/>
      <c r="N1069" s="149"/>
    </row>
    <row r="1070" spans="11:14" ht="12.75" hidden="1" customHeight="1" x14ac:dyDescent="0.2">
      <c r="K1070" s="149"/>
      <c r="N1070" s="149"/>
    </row>
    <row r="1071" spans="11:14" ht="12.75" hidden="1" customHeight="1" x14ac:dyDescent="0.2">
      <c r="K1071" s="153"/>
      <c r="N1071" s="153"/>
    </row>
    <row r="1072" spans="11:14" ht="12.75" hidden="1" customHeight="1" x14ac:dyDescent="0.2">
      <c r="K1072" s="149"/>
      <c r="N1072" s="149"/>
    </row>
    <row r="1073" spans="11:14" ht="12.75" hidden="1" customHeight="1" x14ac:dyDescent="0.2">
      <c r="K1073" s="149"/>
      <c r="N1073" s="149"/>
    </row>
    <row r="1074" spans="11:14" ht="12.75" hidden="1" customHeight="1" x14ac:dyDescent="0.2">
      <c r="K1074" s="149"/>
      <c r="N1074" s="149"/>
    </row>
    <row r="1075" spans="11:14" ht="12.75" hidden="1" customHeight="1" x14ac:dyDescent="0.2">
      <c r="K1075" s="153"/>
      <c r="N1075" s="153"/>
    </row>
    <row r="1076" spans="11:14" ht="12.75" hidden="1" customHeight="1" x14ac:dyDescent="0.2">
      <c r="K1076" s="149"/>
      <c r="N1076" s="149"/>
    </row>
    <row r="1077" spans="11:14" ht="12.75" hidden="1" customHeight="1" x14ac:dyDescent="0.2">
      <c r="K1077" s="149"/>
      <c r="N1077" s="149"/>
    </row>
    <row r="1078" spans="11:14" ht="12.75" hidden="1" customHeight="1" x14ac:dyDescent="0.2">
      <c r="K1078" s="149"/>
      <c r="N1078" s="149"/>
    </row>
    <row r="1079" spans="11:14" ht="12.75" hidden="1" customHeight="1" x14ac:dyDescent="0.2">
      <c r="K1079" s="153"/>
      <c r="N1079" s="153"/>
    </row>
    <row r="1080" spans="11:14" ht="12.75" hidden="1" customHeight="1" x14ac:dyDescent="0.2">
      <c r="K1080" s="149"/>
      <c r="N1080" s="149"/>
    </row>
    <row r="1081" spans="11:14" ht="12.75" hidden="1" customHeight="1" x14ac:dyDescent="0.2">
      <c r="K1081" s="149"/>
      <c r="N1081" s="149"/>
    </row>
    <row r="1082" spans="11:14" ht="12.75" hidden="1" customHeight="1" x14ac:dyDescent="0.2">
      <c r="K1082" s="149"/>
      <c r="N1082" s="149"/>
    </row>
    <row r="1083" spans="11:14" ht="12.75" hidden="1" customHeight="1" x14ac:dyDescent="0.2">
      <c r="K1083" s="153"/>
      <c r="N1083" s="153"/>
    </row>
    <row r="1084" spans="11:14" ht="12.75" hidden="1" customHeight="1" x14ac:dyDescent="0.2">
      <c r="K1084" s="149"/>
      <c r="N1084" s="149"/>
    </row>
    <row r="1085" spans="11:14" ht="12.75" hidden="1" customHeight="1" x14ac:dyDescent="0.2">
      <c r="K1085" s="149"/>
      <c r="N1085" s="149"/>
    </row>
    <row r="1086" spans="11:14" ht="12.75" hidden="1" customHeight="1" x14ac:dyDescent="0.2">
      <c r="K1086" s="149"/>
      <c r="N1086" s="149"/>
    </row>
    <row r="1087" spans="11:14" ht="12.75" hidden="1" customHeight="1" x14ac:dyDescent="0.2">
      <c r="K1087" s="153"/>
      <c r="N1087" s="153"/>
    </row>
    <row r="1088" spans="11:14" ht="12.75" hidden="1" customHeight="1" x14ac:dyDescent="0.2">
      <c r="K1088" s="149"/>
      <c r="N1088" s="149"/>
    </row>
    <row r="1089" spans="11:14" ht="12.75" hidden="1" customHeight="1" x14ac:dyDescent="0.2">
      <c r="K1089" s="149"/>
      <c r="N1089" s="149"/>
    </row>
    <row r="1090" spans="11:14" ht="12.75" hidden="1" customHeight="1" x14ac:dyDescent="0.2">
      <c r="K1090" s="149"/>
      <c r="N1090" s="149"/>
    </row>
    <row r="1091" spans="11:14" ht="12.75" hidden="1" customHeight="1" x14ac:dyDescent="0.2">
      <c r="K1091" s="153"/>
      <c r="N1091" s="153"/>
    </row>
    <row r="1092" spans="11:14" ht="12.75" hidden="1" customHeight="1" x14ac:dyDescent="0.2">
      <c r="K1092" s="149"/>
      <c r="N1092" s="149"/>
    </row>
    <row r="1093" spans="11:14" ht="12.75" hidden="1" customHeight="1" x14ac:dyDescent="0.2">
      <c r="K1093" s="149"/>
      <c r="N1093" s="149"/>
    </row>
    <row r="1094" spans="11:14" ht="12.75" hidden="1" customHeight="1" x14ac:dyDescent="0.2">
      <c r="K1094" s="149"/>
      <c r="N1094" s="149"/>
    </row>
    <row r="1095" spans="11:14" ht="12.75" hidden="1" customHeight="1" x14ac:dyDescent="0.2">
      <c r="K1095" s="153"/>
      <c r="N1095" s="153"/>
    </row>
    <row r="1096" spans="11:14" ht="12.75" hidden="1" customHeight="1" x14ac:dyDescent="0.2">
      <c r="K1096" s="149"/>
      <c r="N1096" s="149"/>
    </row>
    <row r="1097" spans="11:14" ht="12.75" hidden="1" customHeight="1" x14ac:dyDescent="0.2">
      <c r="K1097" s="149"/>
      <c r="N1097" s="149"/>
    </row>
    <row r="1098" spans="11:14" ht="12.75" hidden="1" customHeight="1" x14ac:dyDescent="0.2">
      <c r="K1098" s="149"/>
      <c r="N1098" s="149"/>
    </row>
    <row r="1099" spans="11:14" ht="12.75" hidden="1" customHeight="1" x14ac:dyDescent="0.2">
      <c r="K1099" s="153"/>
      <c r="N1099" s="153"/>
    </row>
    <row r="1100" spans="11:14" ht="12.75" hidden="1" customHeight="1" x14ac:dyDescent="0.2">
      <c r="K1100" s="149"/>
      <c r="N1100" s="149"/>
    </row>
    <row r="1101" spans="11:14" ht="12.75" hidden="1" customHeight="1" x14ac:dyDescent="0.2">
      <c r="K1101" s="149"/>
      <c r="N1101" s="149"/>
    </row>
    <row r="1102" spans="11:14" ht="12.75" hidden="1" customHeight="1" x14ac:dyDescent="0.2">
      <c r="K1102" s="149"/>
      <c r="N1102" s="149"/>
    </row>
    <row r="1103" spans="11:14" ht="12.75" hidden="1" customHeight="1" x14ac:dyDescent="0.2">
      <c r="K1103" s="153"/>
      <c r="N1103" s="153"/>
    </row>
    <row r="1104" spans="11:14" ht="12.75" hidden="1" customHeight="1" x14ac:dyDescent="0.2">
      <c r="K1104" s="149"/>
      <c r="N1104" s="149"/>
    </row>
    <row r="1105" spans="11:14" ht="12.75" hidden="1" customHeight="1" x14ac:dyDescent="0.2">
      <c r="K1105" s="149"/>
      <c r="N1105" s="149"/>
    </row>
    <row r="1106" spans="11:14" ht="12.75" hidden="1" customHeight="1" x14ac:dyDescent="0.2">
      <c r="K1106" s="149"/>
      <c r="N1106" s="149"/>
    </row>
    <row r="1107" spans="11:14" ht="12.75" hidden="1" customHeight="1" x14ac:dyDescent="0.2">
      <c r="K1107" s="153"/>
      <c r="N1107" s="153"/>
    </row>
    <row r="1108" spans="11:14" ht="12.75" hidden="1" customHeight="1" x14ac:dyDescent="0.2">
      <c r="K1108" s="149"/>
      <c r="N1108" s="149"/>
    </row>
    <row r="1109" spans="11:14" ht="12.75" hidden="1" customHeight="1" x14ac:dyDescent="0.2">
      <c r="K1109" s="149"/>
      <c r="N1109" s="149"/>
    </row>
    <row r="1110" spans="11:14" ht="12.75" hidden="1" customHeight="1" x14ac:dyDescent="0.2">
      <c r="K1110" s="149"/>
      <c r="N1110" s="149"/>
    </row>
    <row r="1111" spans="11:14" ht="12.75" hidden="1" customHeight="1" x14ac:dyDescent="0.2">
      <c r="K1111" s="153"/>
      <c r="N1111" s="153"/>
    </row>
    <row r="1112" spans="11:14" ht="12.75" hidden="1" customHeight="1" x14ac:dyDescent="0.2">
      <c r="K1112" s="149"/>
      <c r="N1112" s="149"/>
    </row>
    <row r="1113" spans="11:14" ht="12.75" hidden="1" customHeight="1" x14ac:dyDescent="0.2">
      <c r="K1113" s="149"/>
      <c r="N1113" s="149"/>
    </row>
    <row r="1114" spans="11:14" ht="12.75" hidden="1" customHeight="1" x14ac:dyDescent="0.2">
      <c r="K1114" s="149"/>
      <c r="N1114" s="149"/>
    </row>
    <row r="1115" spans="11:14" ht="12.75" hidden="1" customHeight="1" x14ac:dyDescent="0.2">
      <c r="K1115" s="153"/>
      <c r="N1115" s="153"/>
    </row>
    <row r="1116" spans="11:14" ht="12.75" hidden="1" customHeight="1" x14ac:dyDescent="0.2">
      <c r="K1116" s="149"/>
      <c r="N1116" s="149"/>
    </row>
    <row r="1117" spans="11:14" ht="12.75" hidden="1" customHeight="1" x14ac:dyDescent="0.2">
      <c r="K1117" s="149"/>
      <c r="N1117" s="149"/>
    </row>
    <row r="1118" spans="11:14" ht="12.75" hidden="1" customHeight="1" x14ac:dyDescent="0.2">
      <c r="K1118" s="149"/>
      <c r="N1118" s="149"/>
    </row>
    <row r="1119" spans="11:14" ht="12.75" hidden="1" customHeight="1" x14ac:dyDescent="0.2">
      <c r="K1119" s="153"/>
      <c r="N1119" s="153"/>
    </row>
    <row r="1120" spans="11:14" ht="12.75" hidden="1" customHeight="1" x14ac:dyDescent="0.2">
      <c r="K1120" s="149"/>
      <c r="N1120" s="149"/>
    </row>
    <row r="1121" spans="11:14" ht="12.75" hidden="1" customHeight="1" x14ac:dyDescent="0.2">
      <c r="K1121" s="149"/>
      <c r="N1121" s="149"/>
    </row>
    <row r="1122" spans="11:14" ht="12.75" hidden="1" customHeight="1" x14ac:dyDescent="0.2">
      <c r="K1122" s="149"/>
      <c r="N1122" s="149"/>
    </row>
    <row r="1123" spans="11:14" ht="12.75" hidden="1" customHeight="1" x14ac:dyDescent="0.2">
      <c r="K1123" s="153"/>
      <c r="N1123" s="153"/>
    </row>
    <row r="1124" spans="11:14" ht="12.75" hidden="1" customHeight="1" x14ac:dyDescent="0.2">
      <c r="K1124" s="149"/>
      <c r="N1124" s="149"/>
    </row>
    <row r="1125" spans="11:14" ht="12.75" hidden="1" customHeight="1" x14ac:dyDescent="0.2">
      <c r="K1125" s="149"/>
      <c r="N1125" s="149"/>
    </row>
    <row r="1126" spans="11:14" ht="12.75" hidden="1" customHeight="1" x14ac:dyDescent="0.2">
      <c r="K1126" s="149"/>
      <c r="N1126" s="149"/>
    </row>
    <row r="1127" spans="11:14" ht="12.75" hidden="1" customHeight="1" x14ac:dyDescent="0.2">
      <c r="K1127" s="153"/>
      <c r="N1127" s="153"/>
    </row>
    <row r="1128" spans="11:14" ht="12.75" hidden="1" customHeight="1" x14ac:dyDescent="0.2">
      <c r="K1128" s="149"/>
      <c r="N1128" s="149"/>
    </row>
    <row r="1129" spans="11:14" ht="12.75" hidden="1" customHeight="1" x14ac:dyDescent="0.2">
      <c r="K1129" s="149"/>
      <c r="N1129" s="149"/>
    </row>
    <row r="1130" spans="11:14" ht="12.75" hidden="1" customHeight="1" x14ac:dyDescent="0.2">
      <c r="K1130" s="149"/>
      <c r="N1130" s="149"/>
    </row>
    <row r="1131" spans="11:14" ht="12.75" hidden="1" customHeight="1" x14ac:dyDescent="0.2">
      <c r="K1131" s="153"/>
      <c r="N1131" s="153"/>
    </row>
    <row r="1132" spans="11:14" ht="12.75" hidden="1" customHeight="1" x14ac:dyDescent="0.2">
      <c r="K1132" s="149"/>
      <c r="N1132" s="149"/>
    </row>
    <row r="1133" spans="11:14" ht="12.75" hidden="1" customHeight="1" x14ac:dyDescent="0.2">
      <c r="K1133" s="149"/>
      <c r="N1133" s="149"/>
    </row>
    <row r="1134" spans="11:14" ht="12.75" hidden="1" customHeight="1" x14ac:dyDescent="0.2">
      <c r="K1134" s="149"/>
      <c r="N1134" s="149"/>
    </row>
    <row r="1135" spans="11:14" ht="12.75" hidden="1" customHeight="1" x14ac:dyDescent="0.2">
      <c r="K1135" s="153"/>
      <c r="N1135" s="153"/>
    </row>
    <row r="1136" spans="11:14" ht="12.75" hidden="1" customHeight="1" x14ac:dyDescent="0.2">
      <c r="K1136" s="149"/>
      <c r="N1136" s="149"/>
    </row>
    <row r="1137" spans="11:14" ht="12.75" hidden="1" customHeight="1" x14ac:dyDescent="0.2">
      <c r="K1137" s="149"/>
      <c r="N1137" s="149"/>
    </row>
    <row r="1138" spans="11:14" ht="12.75" hidden="1" customHeight="1" x14ac:dyDescent="0.2">
      <c r="K1138" s="149"/>
      <c r="N1138" s="149"/>
    </row>
    <row r="1139" spans="11:14" ht="12.75" hidden="1" customHeight="1" x14ac:dyDescent="0.2">
      <c r="K1139" s="153"/>
      <c r="N1139" s="153"/>
    </row>
    <row r="1140" spans="11:14" ht="12.75" hidden="1" customHeight="1" x14ac:dyDescent="0.2">
      <c r="K1140" s="149"/>
      <c r="N1140" s="149"/>
    </row>
    <row r="1141" spans="11:14" ht="12.75" hidden="1" customHeight="1" x14ac:dyDescent="0.2">
      <c r="K1141" s="149"/>
      <c r="N1141" s="149"/>
    </row>
    <row r="1142" spans="11:14" ht="12.75" hidden="1" customHeight="1" x14ac:dyDescent="0.2">
      <c r="K1142" s="149"/>
      <c r="N1142" s="149"/>
    </row>
    <row r="1143" spans="11:14" ht="12.75" hidden="1" customHeight="1" x14ac:dyDescent="0.2">
      <c r="K1143" s="153"/>
      <c r="N1143" s="153"/>
    </row>
    <row r="1144" spans="11:14" ht="12.75" hidden="1" customHeight="1" x14ac:dyDescent="0.2">
      <c r="K1144" s="149"/>
      <c r="N1144" s="149"/>
    </row>
    <row r="1145" spans="11:14" ht="12.75" hidden="1" customHeight="1" x14ac:dyDescent="0.2">
      <c r="K1145" s="149"/>
      <c r="N1145" s="149"/>
    </row>
    <row r="1146" spans="11:14" ht="12.75" hidden="1" customHeight="1" x14ac:dyDescent="0.2">
      <c r="K1146" s="149"/>
      <c r="N1146" s="149"/>
    </row>
    <row r="1147" spans="11:14" ht="12.75" hidden="1" customHeight="1" x14ac:dyDescent="0.2">
      <c r="K1147" s="153"/>
      <c r="N1147" s="153"/>
    </row>
    <row r="1148" spans="11:14" ht="12.75" hidden="1" customHeight="1" x14ac:dyDescent="0.2">
      <c r="K1148" s="149"/>
      <c r="N1148" s="149"/>
    </row>
    <row r="1149" spans="11:14" ht="12.75" hidden="1" customHeight="1" x14ac:dyDescent="0.2">
      <c r="K1149" s="149"/>
      <c r="N1149" s="149"/>
    </row>
    <row r="1150" spans="11:14" ht="12.75" hidden="1" customHeight="1" x14ac:dyDescent="0.2">
      <c r="K1150" s="149"/>
      <c r="N1150" s="149"/>
    </row>
    <row r="1151" spans="11:14" ht="12.75" hidden="1" customHeight="1" x14ac:dyDescent="0.2">
      <c r="K1151" s="153"/>
      <c r="N1151" s="153"/>
    </row>
    <row r="1152" spans="11:14" ht="12.75" hidden="1" customHeight="1" x14ac:dyDescent="0.2">
      <c r="K1152" s="149"/>
      <c r="N1152" s="149"/>
    </row>
    <row r="1153" spans="11:14" ht="12.75" hidden="1" customHeight="1" x14ac:dyDescent="0.2">
      <c r="K1153" s="149"/>
      <c r="N1153" s="149"/>
    </row>
    <row r="1154" spans="11:14" ht="12.75" hidden="1" customHeight="1" x14ac:dyDescent="0.2">
      <c r="K1154" s="149"/>
      <c r="N1154" s="149"/>
    </row>
    <row r="1155" spans="11:14" ht="12.75" hidden="1" customHeight="1" x14ac:dyDescent="0.2">
      <c r="K1155" s="153"/>
      <c r="N1155" s="153"/>
    </row>
    <row r="1156" spans="11:14" ht="12.75" hidden="1" customHeight="1" x14ac:dyDescent="0.2">
      <c r="K1156" s="149"/>
      <c r="N1156" s="149"/>
    </row>
    <row r="1157" spans="11:14" ht="12.75" hidden="1" customHeight="1" x14ac:dyDescent="0.2">
      <c r="K1157" s="149"/>
      <c r="N1157" s="149"/>
    </row>
    <row r="1158" spans="11:14" ht="12.75" hidden="1" customHeight="1" x14ac:dyDescent="0.2">
      <c r="K1158" s="149"/>
      <c r="N1158" s="149"/>
    </row>
    <row r="1159" spans="11:14" ht="12.75" hidden="1" customHeight="1" x14ac:dyDescent="0.2">
      <c r="K1159" s="153"/>
      <c r="N1159" s="153"/>
    </row>
    <row r="1160" spans="11:14" ht="12.75" hidden="1" customHeight="1" x14ac:dyDescent="0.2">
      <c r="K1160" s="149"/>
      <c r="N1160" s="149"/>
    </row>
    <row r="1161" spans="11:14" ht="12.75" hidden="1" customHeight="1" x14ac:dyDescent="0.2">
      <c r="K1161" s="149"/>
      <c r="N1161" s="149"/>
    </row>
    <row r="1162" spans="11:14" ht="12.75" hidden="1" customHeight="1" x14ac:dyDescent="0.2">
      <c r="K1162" s="149"/>
      <c r="N1162" s="149"/>
    </row>
    <row r="1163" spans="11:14" ht="12.75" hidden="1" customHeight="1" x14ac:dyDescent="0.2">
      <c r="K1163" s="153"/>
      <c r="N1163" s="153"/>
    </row>
    <row r="1164" spans="11:14" ht="12.75" hidden="1" customHeight="1" x14ac:dyDescent="0.2">
      <c r="K1164" s="149"/>
      <c r="N1164" s="149"/>
    </row>
    <row r="1165" spans="11:14" ht="12.75" hidden="1" customHeight="1" x14ac:dyDescent="0.2">
      <c r="K1165" s="149"/>
      <c r="N1165" s="149"/>
    </row>
    <row r="1166" spans="11:14" ht="12.75" hidden="1" customHeight="1" x14ac:dyDescent="0.2">
      <c r="K1166" s="149"/>
      <c r="N1166" s="149"/>
    </row>
    <row r="1167" spans="11:14" ht="12.75" hidden="1" customHeight="1" x14ac:dyDescent="0.2">
      <c r="K1167" s="153"/>
      <c r="N1167" s="153"/>
    </row>
    <row r="1168" spans="11:14" ht="12.75" hidden="1" customHeight="1" x14ac:dyDescent="0.2">
      <c r="K1168" s="149"/>
      <c r="N1168" s="149"/>
    </row>
    <row r="1169" spans="11:14" ht="12.75" hidden="1" customHeight="1" x14ac:dyDescent="0.2">
      <c r="K1169" s="149"/>
      <c r="N1169" s="149"/>
    </row>
    <row r="1170" spans="11:14" ht="12.75" hidden="1" customHeight="1" x14ac:dyDescent="0.2">
      <c r="K1170" s="149"/>
      <c r="N1170" s="149"/>
    </row>
    <row r="1171" spans="11:14" ht="12.75" hidden="1" customHeight="1" x14ac:dyDescent="0.2">
      <c r="K1171" s="153"/>
      <c r="N1171" s="153"/>
    </row>
    <row r="1172" spans="11:14" ht="12.75" hidden="1" customHeight="1" x14ac:dyDescent="0.2">
      <c r="K1172" s="149"/>
      <c r="N1172" s="149"/>
    </row>
    <row r="1173" spans="11:14" ht="12.75" hidden="1" customHeight="1" x14ac:dyDescent="0.2">
      <c r="K1173" s="149"/>
      <c r="N1173" s="149"/>
    </row>
    <row r="1174" spans="11:14" ht="12.75" hidden="1" customHeight="1" x14ac:dyDescent="0.2">
      <c r="K1174" s="149"/>
      <c r="N1174" s="149"/>
    </row>
    <row r="1175" spans="11:14" ht="12.75" hidden="1" customHeight="1" x14ac:dyDescent="0.2">
      <c r="K1175" s="153"/>
      <c r="N1175" s="153"/>
    </row>
    <row r="1176" spans="11:14" ht="12.75" hidden="1" customHeight="1" x14ac:dyDescent="0.2">
      <c r="K1176" s="149"/>
      <c r="N1176" s="149"/>
    </row>
    <row r="1177" spans="11:14" ht="12.75" hidden="1" customHeight="1" x14ac:dyDescent="0.2">
      <c r="K1177" s="149"/>
      <c r="N1177" s="149"/>
    </row>
    <row r="1178" spans="11:14" ht="12.75" hidden="1" customHeight="1" x14ac:dyDescent="0.2">
      <c r="K1178" s="149"/>
      <c r="N1178" s="149"/>
    </row>
    <row r="1179" spans="11:14" ht="12.75" hidden="1" customHeight="1" x14ac:dyDescent="0.2">
      <c r="K1179" s="153"/>
      <c r="N1179" s="153"/>
    </row>
    <row r="1180" spans="11:14" ht="12.75" hidden="1" customHeight="1" x14ac:dyDescent="0.2">
      <c r="K1180" s="149"/>
      <c r="N1180" s="149"/>
    </row>
    <row r="1181" spans="11:14" ht="12.75" hidden="1" customHeight="1" x14ac:dyDescent="0.2">
      <c r="K1181" s="149"/>
      <c r="N1181" s="149"/>
    </row>
    <row r="1182" spans="11:14" ht="12.75" hidden="1" customHeight="1" x14ac:dyDescent="0.2">
      <c r="K1182" s="149"/>
      <c r="N1182" s="149"/>
    </row>
    <row r="1183" spans="11:14" ht="12.75" hidden="1" customHeight="1" x14ac:dyDescent="0.2">
      <c r="K1183" s="153"/>
      <c r="N1183" s="153"/>
    </row>
    <row r="1184" spans="11:14" ht="12.75" hidden="1" customHeight="1" x14ac:dyDescent="0.2">
      <c r="K1184" s="149"/>
      <c r="N1184" s="149"/>
    </row>
    <row r="1185" spans="11:14" ht="12.75" hidden="1" customHeight="1" x14ac:dyDescent="0.2">
      <c r="K1185" s="149"/>
      <c r="N1185" s="149"/>
    </row>
    <row r="1186" spans="11:14" ht="12.75" hidden="1" customHeight="1" x14ac:dyDescent="0.2">
      <c r="K1186" s="149"/>
      <c r="N1186" s="149"/>
    </row>
    <row r="1187" spans="11:14" ht="12.75" hidden="1" customHeight="1" x14ac:dyDescent="0.2">
      <c r="K1187" s="153"/>
      <c r="N1187" s="153"/>
    </row>
    <row r="1188" spans="11:14" ht="12.75" hidden="1" customHeight="1" x14ac:dyDescent="0.2">
      <c r="K1188" s="149"/>
      <c r="N1188" s="149"/>
    </row>
    <row r="1189" spans="11:14" ht="12.75" hidden="1" customHeight="1" x14ac:dyDescent="0.2">
      <c r="K1189" s="149"/>
      <c r="N1189" s="149"/>
    </row>
    <row r="1190" spans="11:14" ht="12.75" hidden="1" customHeight="1" x14ac:dyDescent="0.2">
      <c r="K1190" s="149"/>
      <c r="N1190" s="149"/>
    </row>
    <row r="1191" spans="11:14" ht="12.75" hidden="1" customHeight="1" x14ac:dyDescent="0.2">
      <c r="K1191" s="153"/>
      <c r="N1191" s="153"/>
    </row>
    <row r="1192" spans="11:14" ht="12.75" hidden="1" customHeight="1" x14ac:dyDescent="0.2">
      <c r="K1192" s="149"/>
      <c r="N1192" s="149"/>
    </row>
    <row r="1193" spans="11:14" ht="12.75" hidden="1" customHeight="1" x14ac:dyDescent="0.2">
      <c r="K1193" s="149"/>
      <c r="N1193" s="149"/>
    </row>
    <row r="1194" spans="11:14" ht="12.75" hidden="1" customHeight="1" x14ac:dyDescent="0.2">
      <c r="K1194" s="149"/>
      <c r="N1194" s="149"/>
    </row>
    <row r="1195" spans="11:14" ht="12.75" hidden="1" customHeight="1" x14ac:dyDescent="0.2">
      <c r="K1195" s="153"/>
      <c r="N1195" s="153"/>
    </row>
    <row r="1196" spans="11:14" ht="12.75" hidden="1" customHeight="1" x14ac:dyDescent="0.2">
      <c r="K1196" s="149"/>
      <c r="N1196" s="149"/>
    </row>
    <row r="1197" spans="11:14" ht="12.75" hidden="1" customHeight="1" x14ac:dyDescent="0.2">
      <c r="K1197" s="149"/>
      <c r="N1197" s="149"/>
    </row>
    <row r="1198" spans="11:14" ht="12.75" hidden="1" customHeight="1" x14ac:dyDescent="0.2">
      <c r="K1198" s="149"/>
      <c r="N1198" s="149"/>
    </row>
    <row r="1199" spans="11:14" ht="12.75" hidden="1" customHeight="1" x14ac:dyDescent="0.2">
      <c r="K1199" s="153"/>
      <c r="N1199" s="153"/>
    </row>
    <row r="1200" spans="11:14" ht="12.75" hidden="1" customHeight="1" x14ac:dyDescent="0.2">
      <c r="K1200" s="149"/>
      <c r="N1200" s="149"/>
    </row>
    <row r="1201" spans="11:14" ht="12.75" hidden="1" customHeight="1" x14ac:dyDescent="0.2">
      <c r="K1201" s="149"/>
      <c r="N1201" s="149"/>
    </row>
    <row r="1202" spans="11:14" ht="12.75" hidden="1" customHeight="1" x14ac:dyDescent="0.2">
      <c r="K1202" s="149"/>
      <c r="N1202" s="149"/>
    </row>
    <row r="1203" spans="11:14" ht="12.75" hidden="1" customHeight="1" x14ac:dyDescent="0.2">
      <c r="K1203" s="153"/>
      <c r="N1203" s="153"/>
    </row>
    <row r="1204" spans="11:14" ht="12.75" hidden="1" customHeight="1" x14ac:dyDescent="0.2">
      <c r="K1204" s="149"/>
      <c r="N1204" s="149"/>
    </row>
    <row r="1205" spans="11:14" ht="12.75" hidden="1" customHeight="1" x14ac:dyDescent="0.2">
      <c r="K1205" s="149"/>
      <c r="N1205" s="149"/>
    </row>
    <row r="1206" spans="11:14" ht="12.75" hidden="1" customHeight="1" x14ac:dyDescent="0.2">
      <c r="K1206" s="149"/>
      <c r="N1206" s="149"/>
    </row>
    <row r="1207" spans="11:14" ht="12.75" hidden="1" customHeight="1" x14ac:dyDescent="0.2">
      <c r="K1207" s="153"/>
      <c r="N1207" s="153"/>
    </row>
    <row r="1208" spans="11:14" ht="12.75" hidden="1" customHeight="1" x14ac:dyDescent="0.2">
      <c r="K1208" s="149"/>
      <c r="N1208" s="149"/>
    </row>
    <row r="1209" spans="11:14" ht="12.75" hidden="1" customHeight="1" x14ac:dyDescent="0.2">
      <c r="K1209" s="149"/>
      <c r="N1209" s="149"/>
    </row>
    <row r="1210" spans="11:14" ht="12.75" hidden="1" customHeight="1" x14ac:dyDescent="0.2">
      <c r="K1210" s="149"/>
      <c r="N1210" s="149"/>
    </row>
    <row r="1211" spans="11:14" ht="12.75" hidden="1" customHeight="1" x14ac:dyDescent="0.2">
      <c r="K1211" s="153"/>
      <c r="N1211" s="153"/>
    </row>
    <row r="1212" spans="11:14" ht="12.75" hidden="1" customHeight="1" x14ac:dyDescent="0.2">
      <c r="K1212" s="149"/>
      <c r="N1212" s="149"/>
    </row>
    <row r="1213" spans="11:14" ht="12.75" hidden="1" customHeight="1" x14ac:dyDescent="0.2">
      <c r="K1213" s="149"/>
      <c r="N1213" s="149"/>
    </row>
    <row r="1214" spans="11:14" ht="12.75" hidden="1" customHeight="1" x14ac:dyDescent="0.2">
      <c r="K1214" s="149"/>
      <c r="N1214" s="149"/>
    </row>
    <row r="1215" spans="11:14" ht="12.75" hidden="1" customHeight="1" x14ac:dyDescent="0.2">
      <c r="K1215" s="153"/>
      <c r="N1215" s="153"/>
    </row>
    <row r="1216" spans="11:14" ht="12.75" hidden="1" customHeight="1" x14ac:dyDescent="0.2">
      <c r="K1216" s="149"/>
      <c r="N1216" s="149"/>
    </row>
    <row r="1217" spans="11:14" ht="12.75" hidden="1" customHeight="1" x14ac:dyDescent="0.2">
      <c r="K1217" s="149"/>
      <c r="N1217" s="149"/>
    </row>
    <row r="1218" spans="11:14" ht="12.75" hidden="1" customHeight="1" x14ac:dyDescent="0.2">
      <c r="K1218" s="149"/>
      <c r="N1218" s="149"/>
    </row>
    <row r="1219" spans="11:14" ht="12.75" hidden="1" customHeight="1" x14ac:dyDescent="0.2">
      <c r="K1219" s="153"/>
      <c r="N1219" s="153"/>
    </row>
    <row r="1220" spans="11:14" ht="12.75" hidden="1" customHeight="1" x14ac:dyDescent="0.2">
      <c r="K1220" s="149"/>
      <c r="N1220" s="149"/>
    </row>
    <row r="1221" spans="11:14" ht="12.75" hidden="1" customHeight="1" x14ac:dyDescent="0.2">
      <c r="K1221" s="149"/>
      <c r="N1221" s="149"/>
    </row>
    <row r="1222" spans="11:14" ht="12.75" hidden="1" customHeight="1" x14ac:dyDescent="0.2">
      <c r="K1222" s="149"/>
      <c r="N1222" s="149"/>
    </row>
    <row r="1223" spans="11:14" ht="12.75" hidden="1" customHeight="1" x14ac:dyDescent="0.2">
      <c r="K1223" s="153"/>
      <c r="N1223" s="153"/>
    </row>
    <row r="1224" spans="11:14" ht="12.75" hidden="1" customHeight="1" x14ac:dyDescent="0.2">
      <c r="K1224" s="149"/>
      <c r="N1224" s="149"/>
    </row>
    <row r="1225" spans="11:14" ht="12.75" hidden="1" customHeight="1" x14ac:dyDescent="0.2">
      <c r="K1225" s="149"/>
      <c r="N1225" s="149"/>
    </row>
    <row r="1226" spans="11:14" ht="12.75" hidden="1" customHeight="1" x14ac:dyDescent="0.2">
      <c r="K1226" s="149"/>
      <c r="N1226" s="149"/>
    </row>
    <row r="1227" spans="11:14" ht="12.75" hidden="1" customHeight="1" x14ac:dyDescent="0.2">
      <c r="K1227" s="153"/>
      <c r="N1227" s="153"/>
    </row>
    <row r="1228" spans="11:14" ht="12.75" hidden="1" customHeight="1" x14ac:dyDescent="0.2">
      <c r="K1228" s="149"/>
      <c r="N1228" s="149"/>
    </row>
    <row r="1229" spans="11:14" ht="12.75" hidden="1" customHeight="1" x14ac:dyDescent="0.2">
      <c r="K1229" s="149"/>
      <c r="N1229" s="149"/>
    </row>
    <row r="1230" spans="11:14" ht="12.75" hidden="1" customHeight="1" x14ac:dyDescent="0.2">
      <c r="K1230" s="149"/>
      <c r="N1230" s="149"/>
    </row>
    <row r="1231" spans="11:14" ht="12.75" hidden="1" customHeight="1" x14ac:dyDescent="0.2">
      <c r="K1231" s="153"/>
      <c r="N1231" s="153"/>
    </row>
    <row r="1232" spans="11:14" ht="12.75" hidden="1" customHeight="1" x14ac:dyDescent="0.2">
      <c r="K1232" s="149"/>
      <c r="N1232" s="149"/>
    </row>
    <row r="1233" spans="11:14" ht="12.75" hidden="1" customHeight="1" x14ac:dyDescent="0.2">
      <c r="K1233" s="149"/>
      <c r="N1233" s="149"/>
    </row>
    <row r="1234" spans="11:14" ht="12.75" hidden="1" customHeight="1" x14ac:dyDescent="0.2">
      <c r="K1234" s="149"/>
      <c r="N1234" s="149"/>
    </row>
    <row r="1235" spans="11:14" ht="12.75" hidden="1" customHeight="1" x14ac:dyDescent="0.2">
      <c r="K1235" s="153"/>
      <c r="N1235" s="153"/>
    </row>
    <row r="1236" spans="11:14" ht="12.75" hidden="1" customHeight="1" x14ac:dyDescent="0.2">
      <c r="K1236" s="149"/>
      <c r="N1236" s="149"/>
    </row>
    <row r="1237" spans="11:14" ht="12.75" hidden="1" customHeight="1" x14ac:dyDescent="0.2">
      <c r="K1237" s="149"/>
      <c r="N1237" s="149"/>
    </row>
    <row r="1238" spans="11:14" ht="12.75" hidden="1" customHeight="1" x14ac:dyDescent="0.2">
      <c r="K1238" s="149"/>
      <c r="N1238" s="149"/>
    </row>
    <row r="1239" spans="11:14" ht="12.75" hidden="1" customHeight="1" x14ac:dyDescent="0.2">
      <c r="K1239" s="153"/>
      <c r="N1239" s="153"/>
    </row>
    <row r="1240" spans="11:14" ht="12.75" hidden="1" customHeight="1" x14ac:dyDescent="0.2">
      <c r="K1240" s="149"/>
      <c r="N1240" s="149"/>
    </row>
    <row r="1241" spans="11:14" ht="12.75" hidden="1" customHeight="1" x14ac:dyDescent="0.2">
      <c r="K1241" s="149"/>
      <c r="N1241" s="149"/>
    </row>
    <row r="1242" spans="11:14" ht="12.75" hidden="1" customHeight="1" x14ac:dyDescent="0.2">
      <c r="K1242" s="149"/>
      <c r="N1242" s="149"/>
    </row>
    <row r="1243" spans="11:14" ht="12.75" hidden="1" customHeight="1" x14ac:dyDescent="0.2">
      <c r="K1243" s="153"/>
      <c r="N1243" s="153"/>
    </row>
    <row r="1244" spans="11:14" ht="12.75" hidden="1" customHeight="1" x14ac:dyDescent="0.2">
      <c r="K1244" s="149"/>
      <c r="N1244" s="149"/>
    </row>
    <row r="1245" spans="11:14" ht="12.75" hidden="1" customHeight="1" x14ac:dyDescent="0.2">
      <c r="K1245" s="149"/>
      <c r="N1245" s="149"/>
    </row>
    <row r="1246" spans="11:14" ht="12.75" hidden="1" customHeight="1" x14ac:dyDescent="0.2">
      <c r="K1246" s="149"/>
      <c r="N1246" s="149"/>
    </row>
    <row r="1247" spans="11:14" ht="12.75" hidden="1" customHeight="1" x14ac:dyDescent="0.2">
      <c r="K1247" s="153"/>
      <c r="N1247" s="153"/>
    </row>
    <row r="1248" spans="11:14" ht="12.75" hidden="1" customHeight="1" x14ac:dyDescent="0.2">
      <c r="K1248" s="149"/>
      <c r="N1248" s="149"/>
    </row>
    <row r="1249" spans="11:14" ht="12.75" hidden="1" customHeight="1" x14ac:dyDescent="0.2">
      <c r="K1249" s="149"/>
      <c r="N1249" s="149"/>
    </row>
    <row r="1250" spans="11:14" ht="12.75" hidden="1" customHeight="1" x14ac:dyDescent="0.2">
      <c r="K1250" s="149"/>
      <c r="N1250" s="149"/>
    </row>
    <row r="1251" spans="11:14" ht="12.75" hidden="1" customHeight="1" x14ac:dyDescent="0.2">
      <c r="K1251" s="153"/>
      <c r="N1251" s="153"/>
    </row>
    <row r="1252" spans="11:14" ht="12.75" hidden="1" customHeight="1" x14ac:dyDescent="0.2">
      <c r="K1252" s="149"/>
      <c r="N1252" s="149"/>
    </row>
    <row r="1253" spans="11:14" ht="12.75" hidden="1" customHeight="1" x14ac:dyDescent="0.2">
      <c r="K1253" s="149"/>
      <c r="N1253" s="149"/>
    </row>
    <row r="1254" spans="11:14" ht="12.75" hidden="1" customHeight="1" x14ac:dyDescent="0.2">
      <c r="K1254" s="149"/>
      <c r="N1254" s="149"/>
    </row>
    <row r="1255" spans="11:14" ht="12.75" hidden="1" customHeight="1" x14ac:dyDescent="0.2">
      <c r="K1255" s="153"/>
      <c r="N1255" s="153"/>
    </row>
    <row r="1256" spans="11:14" ht="12.75" hidden="1" customHeight="1" x14ac:dyDescent="0.2">
      <c r="K1256" s="149"/>
      <c r="N1256" s="149"/>
    </row>
    <row r="1257" spans="11:14" ht="12.75" hidden="1" customHeight="1" x14ac:dyDescent="0.2">
      <c r="K1257" s="149"/>
      <c r="N1257" s="149"/>
    </row>
    <row r="1258" spans="11:14" ht="12.75" hidden="1" customHeight="1" x14ac:dyDescent="0.2">
      <c r="K1258" s="149"/>
      <c r="N1258" s="149"/>
    </row>
    <row r="1259" spans="11:14" ht="12.75" hidden="1" customHeight="1" x14ac:dyDescent="0.2">
      <c r="K1259" s="153"/>
      <c r="N1259" s="153"/>
    </row>
    <row r="1260" spans="11:14" ht="12.75" hidden="1" customHeight="1" x14ac:dyDescent="0.2">
      <c r="K1260" s="149"/>
      <c r="N1260" s="149"/>
    </row>
    <row r="1261" spans="11:14" ht="12.75" hidden="1" customHeight="1" x14ac:dyDescent="0.2">
      <c r="K1261" s="149"/>
      <c r="N1261" s="149"/>
    </row>
    <row r="1262" spans="11:14" ht="12.75" hidden="1" customHeight="1" x14ac:dyDescent="0.2">
      <c r="K1262" s="149"/>
      <c r="N1262" s="149"/>
    </row>
    <row r="1263" spans="11:14" ht="12.75" hidden="1" customHeight="1" x14ac:dyDescent="0.2">
      <c r="K1263" s="153"/>
      <c r="N1263" s="153"/>
    </row>
    <row r="1264" spans="11:14" ht="12.75" hidden="1" customHeight="1" x14ac:dyDescent="0.2">
      <c r="K1264" s="149"/>
      <c r="N1264" s="149"/>
    </row>
    <row r="1265" spans="11:14" ht="12.75" hidden="1" customHeight="1" x14ac:dyDescent="0.2">
      <c r="K1265" s="149"/>
      <c r="N1265" s="149"/>
    </row>
    <row r="1266" spans="11:14" ht="12.75" hidden="1" customHeight="1" x14ac:dyDescent="0.2">
      <c r="K1266" s="149"/>
      <c r="N1266" s="149"/>
    </row>
    <row r="1267" spans="11:14" ht="12.75" hidden="1" customHeight="1" x14ac:dyDescent="0.2">
      <c r="K1267" s="153"/>
      <c r="N1267" s="153"/>
    </row>
    <row r="1268" spans="11:14" ht="12.75" hidden="1" customHeight="1" x14ac:dyDescent="0.2">
      <c r="K1268" s="149"/>
      <c r="N1268" s="149"/>
    </row>
    <row r="1269" spans="11:14" ht="12.75" hidden="1" customHeight="1" x14ac:dyDescent="0.2">
      <c r="K1269" s="149"/>
      <c r="N1269" s="149"/>
    </row>
    <row r="1270" spans="11:14" ht="12.75" hidden="1" customHeight="1" x14ac:dyDescent="0.2">
      <c r="K1270" s="149"/>
      <c r="N1270" s="149"/>
    </row>
    <row r="1271" spans="11:14" ht="12.75" hidden="1" customHeight="1" x14ac:dyDescent="0.2">
      <c r="K1271" s="153"/>
      <c r="N1271" s="153"/>
    </row>
    <row r="1272" spans="11:14" ht="12.75" hidden="1" customHeight="1" x14ac:dyDescent="0.2">
      <c r="K1272" s="149"/>
      <c r="N1272" s="149"/>
    </row>
    <row r="1273" spans="11:14" ht="12.75" hidden="1" customHeight="1" x14ac:dyDescent="0.2">
      <c r="K1273" s="149"/>
      <c r="N1273" s="149"/>
    </row>
    <row r="1274" spans="11:14" ht="12.75" hidden="1" customHeight="1" x14ac:dyDescent="0.2">
      <c r="K1274" s="149"/>
      <c r="N1274" s="149"/>
    </row>
    <row r="1275" spans="11:14" ht="12.75" hidden="1" customHeight="1" x14ac:dyDescent="0.2">
      <c r="K1275" s="153"/>
      <c r="N1275" s="153"/>
    </row>
    <row r="1276" spans="11:14" ht="12.75" hidden="1" customHeight="1" x14ac:dyDescent="0.2">
      <c r="K1276" s="149"/>
      <c r="N1276" s="149"/>
    </row>
    <row r="1277" spans="11:14" ht="12.75" hidden="1" customHeight="1" x14ac:dyDescent="0.2">
      <c r="K1277" s="149"/>
      <c r="N1277" s="149"/>
    </row>
    <row r="1278" spans="11:14" ht="12.75" hidden="1" customHeight="1" x14ac:dyDescent="0.2">
      <c r="K1278" s="149"/>
      <c r="N1278" s="149"/>
    </row>
    <row r="1279" spans="11:14" ht="12.75" hidden="1" customHeight="1" x14ac:dyDescent="0.2">
      <c r="K1279" s="153"/>
      <c r="N1279" s="153"/>
    </row>
    <row r="1280" spans="11:14" ht="12.75" hidden="1" customHeight="1" x14ac:dyDescent="0.2">
      <c r="K1280" s="149"/>
      <c r="N1280" s="149"/>
    </row>
    <row r="1281" spans="11:14" ht="12.75" hidden="1" customHeight="1" x14ac:dyDescent="0.2">
      <c r="K1281" s="149"/>
      <c r="N1281" s="149"/>
    </row>
    <row r="1282" spans="11:14" ht="12.75" hidden="1" customHeight="1" x14ac:dyDescent="0.2">
      <c r="K1282" s="149"/>
      <c r="N1282" s="149"/>
    </row>
    <row r="1283" spans="11:14" ht="12.75" hidden="1" customHeight="1" x14ac:dyDescent="0.2">
      <c r="K1283" s="153"/>
      <c r="N1283" s="153"/>
    </row>
    <row r="1284" spans="11:14" ht="12.75" hidden="1" customHeight="1" x14ac:dyDescent="0.2">
      <c r="K1284" s="149"/>
      <c r="N1284" s="149"/>
    </row>
    <row r="1285" spans="11:14" ht="12.75" hidden="1" customHeight="1" x14ac:dyDescent="0.2">
      <c r="K1285" s="149"/>
      <c r="N1285" s="149"/>
    </row>
    <row r="1286" spans="11:14" ht="12.75" hidden="1" customHeight="1" x14ac:dyDescent="0.2">
      <c r="K1286" s="149"/>
      <c r="N1286" s="149"/>
    </row>
    <row r="1287" spans="11:14" ht="12.75" hidden="1" customHeight="1" x14ac:dyDescent="0.2">
      <c r="K1287" s="153"/>
      <c r="N1287" s="153"/>
    </row>
    <row r="1288" spans="11:14" ht="12.75" hidden="1" customHeight="1" x14ac:dyDescent="0.2">
      <c r="K1288" s="149"/>
      <c r="N1288" s="149"/>
    </row>
    <row r="1289" spans="11:14" ht="12.75" hidden="1" customHeight="1" x14ac:dyDescent="0.2">
      <c r="K1289" s="149"/>
      <c r="N1289" s="149"/>
    </row>
    <row r="1290" spans="11:14" ht="12.75" hidden="1" customHeight="1" x14ac:dyDescent="0.2">
      <c r="K1290" s="149"/>
      <c r="N1290" s="149"/>
    </row>
    <row r="1291" spans="11:14" ht="12.75" hidden="1" customHeight="1" x14ac:dyDescent="0.2">
      <c r="K1291" s="153"/>
      <c r="N1291" s="153"/>
    </row>
    <row r="1292" spans="11:14" ht="12.75" hidden="1" customHeight="1" x14ac:dyDescent="0.2">
      <c r="K1292" s="149"/>
      <c r="N1292" s="149"/>
    </row>
    <row r="1293" spans="11:14" ht="12.75" hidden="1" customHeight="1" x14ac:dyDescent="0.2">
      <c r="K1293" s="149"/>
      <c r="N1293" s="149"/>
    </row>
    <row r="1294" spans="11:14" ht="12.75" hidden="1" customHeight="1" x14ac:dyDescent="0.2">
      <c r="K1294" s="149"/>
      <c r="N1294" s="149"/>
    </row>
    <row r="1295" spans="11:14" ht="12.75" hidden="1" customHeight="1" x14ac:dyDescent="0.2">
      <c r="K1295" s="153"/>
      <c r="N1295" s="153"/>
    </row>
    <row r="1296" spans="11:14" ht="12.75" hidden="1" customHeight="1" x14ac:dyDescent="0.2">
      <c r="K1296" s="149"/>
      <c r="N1296" s="149"/>
    </row>
    <row r="1297" spans="11:14" ht="12.75" hidden="1" customHeight="1" x14ac:dyDescent="0.2">
      <c r="K1297" s="149"/>
      <c r="N1297" s="149"/>
    </row>
    <row r="1298" spans="11:14" ht="12.75" hidden="1" customHeight="1" x14ac:dyDescent="0.2">
      <c r="K1298" s="149"/>
      <c r="N1298" s="149"/>
    </row>
    <row r="1299" spans="11:14" ht="12.75" hidden="1" customHeight="1" x14ac:dyDescent="0.2">
      <c r="K1299" s="153"/>
      <c r="N1299" s="153"/>
    </row>
    <row r="1300" spans="11:14" ht="12.75" hidden="1" customHeight="1" x14ac:dyDescent="0.2">
      <c r="K1300" s="149"/>
      <c r="N1300" s="149"/>
    </row>
    <row r="1301" spans="11:14" ht="12.75" hidden="1" customHeight="1" x14ac:dyDescent="0.2">
      <c r="K1301" s="149"/>
      <c r="N1301" s="149"/>
    </row>
    <row r="1302" spans="11:14" ht="12.75" hidden="1" customHeight="1" x14ac:dyDescent="0.2">
      <c r="K1302" s="149"/>
      <c r="N1302" s="149"/>
    </row>
    <row r="1303" spans="11:14" ht="12.75" hidden="1" customHeight="1" x14ac:dyDescent="0.2">
      <c r="K1303" s="153"/>
      <c r="N1303" s="153"/>
    </row>
    <row r="1304" spans="11:14" ht="12.75" hidden="1" customHeight="1" x14ac:dyDescent="0.2">
      <c r="K1304" s="149"/>
      <c r="N1304" s="149"/>
    </row>
    <row r="1305" spans="11:14" ht="12.75" hidden="1" customHeight="1" x14ac:dyDescent="0.2">
      <c r="K1305" s="149"/>
      <c r="N1305" s="149"/>
    </row>
    <row r="1306" spans="11:14" ht="12.75" hidden="1" customHeight="1" x14ac:dyDescent="0.2">
      <c r="K1306" s="149"/>
      <c r="N1306" s="149"/>
    </row>
    <row r="1307" spans="11:14" ht="12.75" hidden="1" customHeight="1" x14ac:dyDescent="0.2">
      <c r="K1307" s="153"/>
      <c r="N1307" s="153"/>
    </row>
    <row r="1308" spans="11:14" ht="12.75" hidden="1" customHeight="1" x14ac:dyDescent="0.2">
      <c r="K1308" s="149"/>
      <c r="N1308" s="149"/>
    </row>
    <row r="1309" spans="11:14" ht="12.75" hidden="1" customHeight="1" x14ac:dyDescent="0.2">
      <c r="K1309" s="149"/>
      <c r="N1309" s="149"/>
    </row>
    <row r="1310" spans="11:14" ht="12.75" hidden="1" customHeight="1" x14ac:dyDescent="0.2">
      <c r="K1310" s="149"/>
      <c r="N1310" s="149"/>
    </row>
    <row r="1311" spans="11:14" ht="12.75" hidden="1" customHeight="1" x14ac:dyDescent="0.2">
      <c r="K1311" s="153"/>
      <c r="N1311" s="153"/>
    </row>
    <row r="1312" spans="11:14" ht="12.75" hidden="1" customHeight="1" x14ac:dyDescent="0.2">
      <c r="K1312" s="149"/>
      <c r="N1312" s="149"/>
    </row>
    <row r="1313" spans="11:14" ht="12.75" hidden="1" customHeight="1" x14ac:dyDescent="0.2">
      <c r="K1313" s="149"/>
      <c r="N1313" s="149"/>
    </row>
    <row r="1314" spans="11:14" ht="12.75" hidden="1" customHeight="1" x14ac:dyDescent="0.2">
      <c r="K1314" s="149"/>
      <c r="N1314" s="149"/>
    </row>
    <row r="1315" spans="11:14" ht="12.75" hidden="1" customHeight="1" x14ac:dyDescent="0.2">
      <c r="K1315" s="153"/>
      <c r="N1315" s="153"/>
    </row>
    <row r="1316" spans="11:14" ht="12.75" hidden="1" customHeight="1" x14ac:dyDescent="0.2">
      <c r="K1316" s="149"/>
      <c r="N1316" s="149"/>
    </row>
    <row r="1317" spans="11:14" ht="12.75" hidden="1" customHeight="1" x14ac:dyDescent="0.2">
      <c r="K1317" s="149"/>
      <c r="N1317" s="149"/>
    </row>
    <row r="1318" spans="11:14" ht="12.75" hidden="1" customHeight="1" x14ac:dyDescent="0.2">
      <c r="K1318" s="149"/>
      <c r="N1318" s="149"/>
    </row>
    <row r="1319" spans="11:14" ht="12.75" hidden="1" customHeight="1" x14ac:dyDescent="0.2">
      <c r="K1319" s="153"/>
      <c r="N1319" s="153"/>
    </row>
    <row r="1320" spans="11:14" ht="12.75" hidden="1" customHeight="1" x14ac:dyDescent="0.2">
      <c r="K1320" s="149"/>
      <c r="N1320" s="149"/>
    </row>
    <row r="1321" spans="11:14" ht="12.75" hidden="1" customHeight="1" x14ac:dyDescent="0.2">
      <c r="K1321" s="149"/>
      <c r="N1321" s="149"/>
    </row>
    <row r="1322" spans="11:14" ht="12.75" hidden="1" customHeight="1" x14ac:dyDescent="0.2">
      <c r="K1322" s="149"/>
      <c r="N1322" s="149"/>
    </row>
    <row r="1323" spans="11:14" ht="12.75" hidden="1" customHeight="1" x14ac:dyDescent="0.2">
      <c r="K1323" s="153"/>
      <c r="N1323" s="153"/>
    </row>
    <row r="1324" spans="11:14" ht="12.75" hidden="1" customHeight="1" x14ac:dyDescent="0.2">
      <c r="K1324" s="149"/>
      <c r="N1324" s="149"/>
    </row>
    <row r="1325" spans="11:14" ht="12.75" hidden="1" customHeight="1" x14ac:dyDescent="0.2">
      <c r="K1325" s="149"/>
      <c r="N1325" s="149"/>
    </row>
    <row r="1326" spans="11:14" ht="12.75" hidden="1" customHeight="1" x14ac:dyDescent="0.2">
      <c r="K1326" s="149"/>
      <c r="N1326" s="149"/>
    </row>
    <row r="1327" spans="11:14" ht="12.75" hidden="1" customHeight="1" x14ac:dyDescent="0.2">
      <c r="K1327" s="153"/>
      <c r="N1327" s="153"/>
    </row>
    <row r="1328" spans="11:14" ht="12.75" hidden="1" customHeight="1" x14ac:dyDescent="0.2">
      <c r="K1328" s="149"/>
      <c r="N1328" s="149"/>
    </row>
    <row r="1329" spans="11:14" ht="12.75" hidden="1" customHeight="1" x14ac:dyDescent="0.2">
      <c r="K1329" s="149"/>
      <c r="N1329" s="149"/>
    </row>
    <row r="1330" spans="11:14" ht="12.75" hidden="1" customHeight="1" x14ac:dyDescent="0.2">
      <c r="K1330" s="149"/>
      <c r="N1330" s="149"/>
    </row>
    <row r="1331" spans="11:14" ht="12.75" hidden="1" customHeight="1" x14ac:dyDescent="0.2">
      <c r="K1331" s="153"/>
      <c r="N1331" s="153"/>
    </row>
    <row r="1332" spans="11:14" ht="12.75" hidden="1" customHeight="1" x14ac:dyDescent="0.2">
      <c r="K1332" s="149"/>
      <c r="N1332" s="149"/>
    </row>
    <row r="1333" spans="11:14" ht="12.75" hidden="1" customHeight="1" x14ac:dyDescent="0.2">
      <c r="K1333" s="149"/>
      <c r="N1333" s="149"/>
    </row>
    <row r="1334" spans="11:14" ht="12.75" hidden="1" customHeight="1" x14ac:dyDescent="0.2">
      <c r="K1334" s="149"/>
      <c r="N1334" s="149"/>
    </row>
    <row r="1335" spans="11:14" ht="12.75" hidden="1" customHeight="1" x14ac:dyDescent="0.2">
      <c r="K1335" s="153"/>
      <c r="N1335" s="153"/>
    </row>
    <row r="1336" spans="11:14" ht="12.75" hidden="1" customHeight="1" x14ac:dyDescent="0.2">
      <c r="K1336" s="149"/>
      <c r="N1336" s="149"/>
    </row>
    <row r="1337" spans="11:14" ht="12.75" hidden="1" customHeight="1" x14ac:dyDescent="0.2">
      <c r="K1337" s="149"/>
      <c r="N1337" s="149"/>
    </row>
    <row r="1338" spans="11:14" ht="12.75" hidden="1" customHeight="1" x14ac:dyDescent="0.2">
      <c r="K1338" s="149"/>
      <c r="N1338" s="149"/>
    </row>
    <row r="1339" spans="11:14" ht="12.75" hidden="1" customHeight="1" x14ac:dyDescent="0.2">
      <c r="K1339" s="153"/>
      <c r="N1339" s="153"/>
    </row>
    <row r="1340" spans="11:14" ht="12.75" hidden="1" customHeight="1" x14ac:dyDescent="0.2">
      <c r="K1340" s="149"/>
      <c r="N1340" s="149"/>
    </row>
    <row r="1341" spans="11:14" ht="12.75" hidden="1" customHeight="1" x14ac:dyDescent="0.2">
      <c r="K1341" s="149"/>
      <c r="N1341" s="149"/>
    </row>
    <row r="1342" spans="11:14" ht="12.75" hidden="1" customHeight="1" x14ac:dyDescent="0.2">
      <c r="K1342" s="149"/>
      <c r="N1342" s="149"/>
    </row>
    <row r="1343" spans="11:14" ht="12.75" hidden="1" customHeight="1" x14ac:dyDescent="0.2">
      <c r="K1343" s="153"/>
      <c r="N1343" s="153"/>
    </row>
    <row r="1344" spans="11:14" ht="12.75" hidden="1" customHeight="1" x14ac:dyDescent="0.2">
      <c r="K1344" s="149"/>
      <c r="N1344" s="149"/>
    </row>
    <row r="1345" spans="11:14" ht="12.75" hidden="1" customHeight="1" x14ac:dyDescent="0.2">
      <c r="K1345" s="149"/>
      <c r="N1345" s="149"/>
    </row>
    <row r="1346" spans="11:14" ht="12.75" hidden="1" customHeight="1" x14ac:dyDescent="0.2">
      <c r="K1346" s="149"/>
      <c r="N1346" s="149"/>
    </row>
    <row r="1347" spans="11:14" ht="12.75" hidden="1" customHeight="1" x14ac:dyDescent="0.2">
      <c r="K1347" s="153"/>
      <c r="N1347" s="153"/>
    </row>
    <row r="1348" spans="11:14" ht="12.75" hidden="1" customHeight="1" x14ac:dyDescent="0.2">
      <c r="K1348" s="149"/>
      <c r="N1348" s="149"/>
    </row>
    <row r="1349" spans="11:14" ht="12.75" hidden="1" customHeight="1" x14ac:dyDescent="0.2">
      <c r="K1349" s="149"/>
      <c r="N1349" s="149"/>
    </row>
    <row r="1350" spans="11:14" ht="12.75" hidden="1" customHeight="1" x14ac:dyDescent="0.2">
      <c r="K1350" s="149"/>
      <c r="N1350" s="149"/>
    </row>
    <row r="1351" spans="11:14" ht="12.75" hidden="1" customHeight="1" x14ac:dyDescent="0.2">
      <c r="K1351" s="153"/>
      <c r="N1351" s="153"/>
    </row>
    <row r="1352" spans="11:14" ht="12.75" hidden="1" customHeight="1" x14ac:dyDescent="0.2">
      <c r="K1352" s="149"/>
      <c r="N1352" s="149"/>
    </row>
    <row r="1353" spans="11:14" ht="12.75" hidden="1" customHeight="1" x14ac:dyDescent="0.2">
      <c r="K1353" s="149"/>
      <c r="N1353" s="149"/>
    </row>
    <row r="1354" spans="11:14" ht="12.75" hidden="1" customHeight="1" x14ac:dyDescent="0.2">
      <c r="K1354" s="149"/>
      <c r="N1354" s="149"/>
    </row>
    <row r="1355" spans="11:14" ht="12.75" hidden="1" customHeight="1" x14ac:dyDescent="0.2">
      <c r="K1355" s="153"/>
      <c r="N1355" s="153"/>
    </row>
    <row r="1356" spans="11:14" ht="12.75" hidden="1" customHeight="1" x14ac:dyDescent="0.2">
      <c r="K1356" s="149"/>
      <c r="N1356" s="149"/>
    </row>
    <row r="1357" spans="11:14" ht="12.75" hidden="1" customHeight="1" x14ac:dyDescent="0.2">
      <c r="K1357" s="149"/>
      <c r="N1357" s="149"/>
    </row>
    <row r="1358" spans="11:14" ht="12.75" hidden="1" customHeight="1" x14ac:dyDescent="0.2">
      <c r="K1358" s="149"/>
      <c r="N1358" s="149"/>
    </row>
    <row r="1359" spans="11:14" ht="12.75" hidden="1" customHeight="1" x14ac:dyDescent="0.2">
      <c r="K1359" s="153"/>
      <c r="N1359" s="153"/>
    </row>
    <row r="1360" spans="11:14" ht="12.75" hidden="1" customHeight="1" x14ac:dyDescent="0.2">
      <c r="K1360" s="149"/>
      <c r="N1360" s="149"/>
    </row>
    <row r="1361" spans="11:14" ht="12.75" hidden="1" customHeight="1" x14ac:dyDescent="0.2">
      <c r="K1361" s="149"/>
      <c r="N1361" s="149"/>
    </row>
    <row r="1362" spans="11:14" ht="12.75" hidden="1" customHeight="1" x14ac:dyDescent="0.2">
      <c r="K1362" s="149"/>
      <c r="N1362" s="149"/>
    </row>
    <row r="1363" spans="11:14" ht="12.75" hidden="1" customHeight="1" x14ac:dyDescent="0.2">
      <c r="K1363" s="153"/>
      <c r="N1363" s="153"/>
    </row>
    <row r="1364" spans="11:14" ht="12.75" hidden="1" customHeight="1" x14ac:dyDescent="0.2">
      <c r="K1364" s="149"/>
      <c r="N1364" s="149"/>
    </row>
    <row r="1365" spans="11:14" ht="12.75" hidden="1" customHeight="1" x14ac:dyDescent="0.2">
      <c r="K1365" s="149"/>
      <c r="N1365" s="149"/>
    </row>
    <row r="1366" spans="11:14" ht="12.75" hidden="1" customHeight="1" x14ac:dyDescent="0.2">
      <c r="K1366" s="149"/>
      <c r="N1366" s="149"/>
    </row>
    <row r="1367" spans="11:14" ht="12.75" hidden="1" customHeight="1" x14ac:dyDescent="0.2">
      <c r="K1367" s="153"/>
      <c r="N1367" s="153"/>
    </row>
    <row r="1368" spans="11:14" ht="12.75" hidden="1" customHeight="1" x14ac:dyDescent="0.2">
      <c r="K1368" s="149"/>
      <c r="N1368" s="149"/>
    </row>
    <row r="1369" spans="11:14" ht="12.75" hidden="1" customHeight="1" x14ac:dyDescent="0.2">
      <c r="K1369" s="149"/>
      <c r="N1369" s="149"/>
    </row>
    <row r="1370" spans="11:14" ht="12.75" hidden="1" customHeight="1" x14ac:dyDescent="0.2">
      <c r="K1370" s="149"/>
      <c r="N1370" s="149"/>
    </row>
    <row r="1371" spans="11:14" ht="12.75" hidden="1" customHeight="1" x14ac:dyDescent="0.2">
      <c r="K1371" s="153"/>
      <c r="N1371" s="153"/>
    </row>
    <row r="1372" spans="11:14" ht="12.75" hidden="1" customHeight="1" x14ac:dyDescent="0.2">
      <c r="K1372" s="149"/>
      <c r="N1372" s="149"/>
    </row>
    <row r="1373" spans="11:14" ht="12.75" hidden="1" customHeight="1" x14ac:dyDescent="0.2">
      <c r="K1373" s="149"/>
      <c r="N1373" s="149"/>
    </row>
    <row r="1374" spans="11:14" ht="12.75" hidden="1" customHeight="1" x14ac:dyDescent="0.2">
      <c r="K1374" s="149"/>
      <c r="N1374" s="149"/>
    </row>
    <row r="1375" spans="11:14" ht="12.75" hidden="1" customHeight="1" x14ac:dyDescent="0.2">
      <c r="K1375" s="153"/>
      <c r="N1375" s="153"/>
    </row>
    <row r="1376" spans="11:14" ht="12.75" hidden="1" customHeight="1" x14ac:dyDescent="0.2">
      <c r="K1376" s="149"/>
      <c r="N1376" s="149"/>
    </row>
    <row r="1377" spans="11:14" ht="12.75" hidden="1" customHeight="1" x14ac:dyDescent="0.2">
      <c r="K1377" s="149"/>
      <c r="N1377" s="149"/>
    </row>
    <row r="1378" spans="11:14" ht="12.75" hidden="1" customHeight="1" x14ac:dyDescent="0.2">
      <c r="K1378" s="149"/>
      <c r="N1378" s="149"/>
    </row>
    <row r="1379" spans="11:14" ht="12.75" hidden="1" customHeight="1" x14ac:dyDescent="0.2">
      <c r="K1379" s="153"/>
      <c r="N1379" s="153"/>
    </row>
    <row r="1380" spans="11:14" ht="12.75" hidden="1" customHeight="1" x14ac:dyDescent="0.2">
      <c r="K1380" s="149"/>
      <c r="N1380" s="149"/>
    </row>
    <row r="1381" spans="11:14" ht="12.75" hidden="1" customHeight="1" x14ac:dyDescent="0.2">
      <c r="K1381" s="149"/>
      <c r="N1381" s="149"/>
    </row>
    <row r="1382" spans="11:14" ht="12.75" hidden="1" customHeight="1" x14ac:dyDescent="0.2">
      <c r="K1382" s="149"/>
      <c r="N1382" s="149"/>
    </row>
    <row r="1383" spans="11:14" ht="12.75" hidden="1" customHeight="1" x14ac:dyDescent="0.2">
      <c r="K1383" s="153"/>
      <c r="N1383" s="153"/>
    </row>
    <row r="1384" spans="11:14" ht="12.75" hidden="1" customHeight="1" x14ac:dyDescent="0.2">
      <c r="K1384" s="149"/>
      <c r="N1384" s="149"/>
    </row>
    <row r="1385" spans="11:14" ht="12.75" hidden="1" customHeight="1" x14ac:dyDescent="0.2">
      <c r="K1385" s="149"/>
      <c r="N1385" s="149"/>
    </row>
    <row r="1386" spans="11:14" ht="12.75" hidden="1" customHeight="1" x14ac:dyDescent="0.2">
      <c r="K1386" s="149"/>
      <c r="N1386" s="149"/>
    </row>
    <row r="1387" spans="11:14" ht="12.75" hidden="1" customHeight="1" x14ac:dyDescent="0.2">
      <c r="K1387" s="153"/>
      <c r="N1387" s="153"/>
    </row>
    <row r="1388" spans="11:14" ht="12.75" hidden="1" customHeight="1" x14ac:dyDescent="0.2">
      <c r="K1388" s="149"/>
      <c r="N1388" s="149"/>
    </row>
    <row r="1389" spans="11:14" ht="12.75" hidden="1" customHeight="1" x14ac:dyDescent="0.2">
      <c r="K1389" s="149"/>
      <c r="N1389" s="149"/>
    </row>
    <row r="1390" spans="11:14" ht="12.75" hidden="1" customHeight="1" x14ac:dyDescent="0.2">
      <c r="K1390" s="149"/>
      <c r="N1390" s="149"/>
    </row>
    <row r="1391" spans="11:14" ht="12.75" hidden="1" customHeight="1" x14ac:dyDescent="0.2">
      <c r="K1391" s="153"/>
      <c r="N1391" s="153"/>
    </row>
    <row r="1392" spans="11:14" ht="12.75" hidden="1" customHeight="1" x14ac:dyDescent="0.2">
      <c r="K1392" s="149"/>
      <c r="N1392" s="149"/>
    </row>
    <row r="1393" spans="11:14" ht="12.75" hidden="1" customHeight="1" x14ac:dyDescent="0.2">
      <c r="K1393" s="149"/>
      <c r="N1393" s="149"/>
    </row>
    <row r="1394" spans="11:14" ht="12.75" hidden="1" customHeight="1" x14ac:dyDescent="0.2">
      <c r="K1394" s="149"/>
      <c r="N1394" s="149"/>
    </row>
    <row r="1395" spans="11:14" ht="12.75" hidden="1" customHeight="1" x14ac:dyDescent="0.2">
      <c r="K1395" s="153"/>
      <c r="N1395" s="153"/>
    </row>
    <row r="1396" spans="11:14" ht="12.75" hidden="1" customHeight="1" x14ac:dyDescent="0.2">
      <c r="K1396" s="149"/>
      <c r="N1396" s="149"/>
    </row>
    <row r="1397" spans="11:14" ht="12.75" hidden="1" customHeight="1" x14ac:dyDescent="0.2">
      <c r="K1397" s="149"/>
      <c r="N1397" s="149"/>
    </row>
    <row r="1398" spans="11:14" ht="12.75" hidden="1" customHeight="1" x14ac:dyDescent="0.2">
      <c r="K1398" s="149"/>
      <c r="N1398" s="149"/>
    </row>
    <row r="1399" spans="11:14" ht="12.75" hidden="1" customHeight="1" x14ac:dyDescent="0.2">
      <c r="K1399" s="153"/>
      <c r="N1399" s="153"/>
    </row>
    <row r="1400" spans="11:14" ht="12.75" hidden="1" customHeight="1" x14ac:dyDescent="0.2">
      <c r="K1400" s="149"/>
      <c r="N1400" s="149"/>
    </row>
    <row r="1401" spans="11:14" ht="12.75" hidden="1" customHeight="1" x14ac:dyDescent="0.2">
      <c r="K1401" s="149"/>
      <c r="N1401" s="149"/>
    </row>
    <row r="1402" spans="11:14" ht="12.75" hidden="1" customHeight="1" x14ac:dyDescent="0.2">
      <c r="K1402" s="149"/>
      <c r="N1402" s="149"/>
    </row>
    <row r="1403" spans="11:14" ht="12.75" hidden="1" customHeight="1" x14ac:dyDescent="0.2">
      <c r="K1403" s="153"/>
      <c r="N1403" s="153"/>
    </row>
    <row r="1404" spans="11:14" ht="12.75" hidden="1" customHeight="1" x14ac:dyDescent="0.2">
      <c r="K1404" s="149"/>
      <c r="N1404" s="149"/>
    </row>
    <row r="1405" spans="11:14" ht="12.75" hidden="1" customHeight="1" x14ac:dyDescent="0.2">
      <c r="K1405" s="149"/>
      <c r="N1405" s="149"/>
    </row>
    <row r="1406" spans="11:14" ht="12.75" hidden="1" customHeight="1" x14ac:dyDescent="0.2">
      <c r="K1406" s="149"/>
      <c r="N1406" s="149"/>
    </row>
    <row r="1407" spans="11:14" ht="12.75" hidden="1" customHeight="1" x14ac:dyDescent="0.2">
      <c r="K1407" s="153"/>
      <c r="N1407" s="153"/>
    </row>
    <row r="1408" spans="11:14" ht="12.75" hidden="1" customHeight="1" x14ac:dyDescent="0.2">
      <c r="K1408" s="149"/>
      <c r="N1408" s="149"/>
    </row>
    <row r="1409" spans="11:14" ht="12.75" hidden="1" customHeight="1" x14ac:dyDescent="0.2">
      <c r="K1409" s="149"/>
      <c r="N1409" s="149"/>
    </row>
    <row r="1410" spans="11:14" ht="12.75" hidden="1" customHeight="1" x14ac:dyDescent="0.2">
      <c r="K1410" s="149"/>
      <c r="N1410" s="149"/>
    </row>
    <row r="1411" spans="11:14" ht="12.75" hidden="1" customHeight="1" x14ac:dyDescent="0.2">
      <c r="K1411" s="153"/>
      <c r="N1411" s="153"/>
    </row>
    <row r="1412" spans="11:14" ht="12.75" hidden="1" customHeight="1" x14ac:dyDescent="0.2">
      <c r="K1412" s="149"/>
      <c r="N1412" s="149"/>
    </row>
    <row r="1413" spans="11:14" ht="12.75" hidden="1" customHeight="1" x14ac:dyDescent="0.2">
      <c r="K1413" s="149"/>
      <c r="N1413" s="149"/>
    </row>
    <row r="1414" spans="11:14" ht="12.75" hidden="1" customHeight="1" x14ac:dyDescent="0.2">
      <c r="K1414" s="149"/>
      <c r="N1414" s="149"/>
    </row>
    <row r="1415" spans="11:14" ht="12.75" hidden="1" customHeight="1" x14ac:dyDescent="0.2">
      <c r="K1415" s="153"/>
      <c r="N1415" s="153"/>
    </row>
    <row r="1416" spans="11:14" ht="12.75" hidden="1" customHeight="1" x14ac:dyDescent="0.2">
      <c r="K1416" s="149"/>
      <c r="N1416" s="149"/>
    </row>
    <row r="1417" spans="11:14" ht="12.75" hidden="1" customHeight="1" x14ac:dyDescent="0.2">
      <c r="K1417" s="149"/>
      <c r="N1417" s="149"/>
    </row>
    <row r="1418" spans="11:14" ht="12.75" hidden="1" customHeight="1" x14ac:dyDescent="0.2">
      <c r="K1418" s="149"/>
      <c r="N1418" s="149"/>
    </row>
    <row r="1419" spans="11:14" ht="12.75" hidden="1" customHeight="1" x14ac:dyDescent="0.2">
      <c r="K1419" s="153"/>
      <c r="N1419" s="153"/>
    </row>
    <row r="1420" spans="11:14" ht="12.75" hidden="1" customHeight="1" x14ac:dyDescent="0.2">
      <c r="K1420" s="149"/>
      <c r="N1420" s="149"/>
    </row>
    <row r="1421" spans="11:14" ht="12.75" hidden="1" customHeight="1" x14ac:dyDescent="0.2">
      <c r="K1421" s="149"/>
      <c r="N1421" s="149"/>
    </row>
    <row r="1422" spans="11:14" ht="12.75" hidden="1" customHeight="1" x14ac:dyDescent="0.2">
      <c r="K1422" s="149"/>
      <c r="N1422" s="149"/>
    </row>
    <row r="1423" spans="11:14" ht="12.75" hidden="1" customHeight="1" x14ac:dyDescent="0.2">
      <c r="K1423" s="153"/>
      <c r="N1423" s="153"/>
    </row>
    <row r="1424" spans="11:14" ht="12.75" hidden="1" customHeight="1" x14ac:dyDescent="0.2">
      <c r="K1424" s="149"/>
      <c r="N1424" s="149"/>
    </row>
    <row r="1425" spans="11:14" ht="12.75" hidden="1" customHeight="1" x14ac:dyDescent="0.2">
      <c r="K1425" s="149"/>
      <c r="N1425" s="149"/>
    </row>
    <row r="1426" spans="11:14" ht="12.75" hidden="1" customHeight="1" x14ac:dyDescent="0.2">
      <c r="K1426" s="149"/>
      <c r="N1426" s="149"/>
    </row>
    <row r="1427" spans="11:14" ht="12.75" hidden="1" customHeight="1" x14ac:dyDescent="0.2">
      <c r="K1427" s="153"/>
      <c r="N1427" s="153"/>
    </row>
    <row r="1428" spans="11:14" ht="12.75" hidden="1" customHeight="1" x14ac:dyDescent="0.2">
      <c r="K1428" s="149"/>
      <c r="N1428" s="149"/>
    </row>
    <row r="1429" spans="11:14" ht="12.75" hidden="1" customHeight="1" x14ac:dyDescent="0.2">
      <c r="K1429" s="149"/>
      <c r="N1429" s="149"/>
    </row>
    <row r="1430" spans="11:14" ht="12.75" hidden="1" customHeight="1" x14ac:dyDescent="0.2">
      <c r="K1430" s="149"/>
      <c r="N1430" s="149"/>
    </row>
    <row r="1431" spans="11:14" ht="12.75" hidden="1" customHeight="1" x14ac:dyDescent="0.2">
      <c r="K1431" s="153"/>
      <c r="N1431" s="153"/>
    </row>
    <row r="1432" spans="11:14" ht="12.75" hidden="1" customHeight="1" x14ac:dyDescent="0.2">
      <c r="K1432" s="149"/>
      <c r="N1432" s="149"/>
    </row>
    <row r="1433" spans="11:14" ht="12.75" hidden="1" customHeight="1" x14ac:dyDescent="0.2">
      <c r="K1433" s="149"/>
      <c r="N1433" s="149"/>
    </row>
    <row r="1434" spans="11:14" ht="12.75" hidden="1" customHeight="1" x14ac:dyDescent="0.2">
      <c r="K1434" s="149"/>
      <c r="N1434" s="149"/>
    </row>
    <row r="1435" spans="11:14" ht="12.75" hidden="1" customHeight="1" x14ac:dyDescent="0.2">
      <c r="K1435" s="153"/>
      <c r="N1435" s="153"/>
    </row>
    <row r="1436" spans="11:14" ht="12.75" hidden="1" customHeight="1" x14ac:dyDescent="0.2">
      <c r="K1436" s="149"/>
      <c r="N1436" s="149"/>
    </row>
    <row r="1437" spans="11:14" ht="12.75" hidden="1" customHeight="1" x14ac:dyDescent="0.2">
      <c r="K1437" s="149"/>
      <c r="N1437" s="149"/>
    </row>
    <row r="1438" spans="11:14" ht="12.75" hidden="1" customHeight="1" x14ac:dyDescent="0.2">
      <c r="K1438" s="149"/>
      <c r="N1438" s="149"/>
    </row>
    <row r="1439" spans="11:14" ht="12.75" hidden="1" customHeight="1" x14ac:dyDescent="0.2">
      <c r="K1439" s="153"/>
      <c r="N1439" s="153"/>
    </row>
    <row r="1440" spans="11:14" ht="12.75" hidden="1" customHeight="1" x14ac:dyDescent="0.2">
      <c r="K1440" s="149"/>
      <c r="N1440" s="149"/>
    </row>
    <row r="1441" spans="11:14" ht="12.75" hidden="1" customHeight="1" x14ac:dyDescent="0.2">
      <c r="K1441" s="149"/>
      <c r="N1441" s="149"/>
    </row>
    <row r="1442" spans="11:14" ht="12.75" hidden="1" customHeight="1" x14ac:dyDescent="0.2">
      <c r="K1442" s="149"/>
      <c r="N1442" s="149"/>
    </row>
    <row r="1443" spans="11:14" ht="12.75" hidden="1" customHeight="1" x14ac:dyDescent="0.2">
      <c r="K1443" s="153"/>
      <c r="N1443" s="153"/>
    </row>
    <row r="1444" spans="11:14" ht="12.75" hidden="1" customHeight="1" x14ac:dyDescent="0.2">
      <c r="K1444" s="149"/>
      <c r="N1444" s="149"/>
    </row>
    <row r="1445" spans="11:14" ht="12.75" hidden="1" customHeight="1" x14ac:dyDescent="0.2">
      <c r="K1445" s="149"/>
      <c r="N1445" s="149"/>
    </row>
    <row r="1446" spans="11:14" ht="12.75" hidden="1" customHeight="1" x14ac:dyDescent="0.2">
      <c r="K1446" s="149"/>
      <c r="N1446" s="149"/>
    </row>
    <row r="1447" spans="11:14" ht="12.75" hidden="1" customHeight="1" x14ac:dyDescent="0.2">
      <c r="K1447" s="153"/>
      <c r="N1447" s="153"/>
    </row>
    <row r="1448" spans="11:14" ht="12.75" hidden="1" customHeight="1" x14ac:dyDescent="0.2">
      <c r="K1448" s="149"/>
      <c r="N1448" s="149"/>
    </row>
    <row r="1449" spans="11:14" ht="12.75" hidden="1" customHeight="1" x14ac:dyDescent="0.2">
      <c r="K1449" s="149"/>
      <c r="N1449" s="149"/>
    </row>
    <row r="1450" spans="11:14" ht="12.75" hidden="1" customHeight="1" x14ac:dyDescent="0.2">
      <c r="K1450" s="149"/>
      <c r="N1450" s="149"/>
    </row>
    <row r="1451" spans="11:14" ht="12.75" hidden="1" customHeight="1" x14ac:dyDescent="0.2">
      <c r="K1451" s="153"/>
      <c r="N1451" s="153"/>
    </row>
    <row r="1452" spans="11:14" ht="12.75" hidden="1" customHeight="1" x14ac:dyDescent="0.2">
      <c r="K1452" s="149"/>
      <c r="N1452" s="149"/>
    </row>
    <row r="1453" spans="11:14" ht="12.75" hidden="1" customHeight="1" x14ac:dyDescent="0.2">
      <c r="K1453" s="149"/>
      <c r="N1453" s="149"/>
    </row>
    <row r="1454" spans="11:14" ht="12.75" hidden="1" customHeight="1" x14ac:dyDescent="0.2">
      <c r="K1454" s="149"/>
      <c r="N1454" s="149"/>
    </row>
    <row r="1455" spans="11:14" ht="12.75" hidden="1" customHeight="1" x14ac:dyDescent="0.2">
      <c r="K1455" s="153"/>
      <c r="N1455" s="153"/>
    </row>
    <row r="1456" spans="11:14" ht="12.75" hidden="1" customHeight="1" x14ac:dyDescent="0.2">
      <c r="K1456" s="149"/>
      <c r="N1456" s="149"/>
    </row>
    <row r="1457" spans="11:14" ht="12.75" hidden="1" customHeight="1" x14ac:dyDescent="0.2">
      <c r="K1457" s="149"/>
      <c r="N1457" s="149"/>
    </row>
    <row r="1458" spans="11:14" ht="12.75" hidden="1" customHeight="1" x14ac:dyDescent="0.2">
      <c r="K1458" s="149"/>
      <c r="N1458" s="149"/>
    </row>
    <row r="1459" spans="11:14" ht="12.75" hidden="1" customHeight="1" x14ac:dyDescent="0.2">
      <c r="K1459" s="153"/>
      <c r="N1459" s="153"/>
    </row>
    <row r="1460" spans="11:14" ht="12.75" hidden="1" customHeight="1" x14ac:dyDescent="0.2">
      <c r="K1460" s="149"/>
      <c r="N1460" s="149"/>
    </row>
    <row r="1461" spans="11:14" ht="12.75" hidden="1" customHeight="1" x14ac:dyDescent="0.2">
      <c r="K1461" s="149"/>
      <c r="N1461" s="149"/>
    </row>
    <row r="1462" spans="11:14" ht="12.75" hidden="1" customHeight="1" x14ac:dyDescent="0.2">
      <c r="K1462" s="149"/>
      <c r="N1462" s="149"/>
    </row>
    <row r="1463" spans="11:14" ht="12.75" hidden="1" customHeight="1" x14ac:dyDescent="0.2">
      <c r="K1463" s="153"/>
      <c r="N1463" s="153"/>
    </row>
    <row r="1464" spans="11:14" ht="12.75" hidden="1" customHeight="1" x14ac:dyDescent="0.2">
      <c r="K1464" s="149"/>
      <c r="N1464" s="149"/>
    </row>
    <row r="1465" spans="11:14" ht="12.75" hidden="1" customHeight="1" x14ac:dyDescent="0.2">
      <c r="K1465" s="149"/>
      <c r="N1465" s="149"/>
    </row>
    <row r="1466" spans="11:14" ht="12.75" hidden="1" customHeight="1" x14ac:dyDescent="0.2">
      <c r="K1466" s="149"/>
      <c r="N1466" s="149"/>
    </row>
    <row r="1467" spans="11:14" ht="12.75" hidden="1" customHeight="1" x14ac:dyDescent="0.2">
      <c r="K1467" s="153"/>
      <c r="N1467" s="153"/>
    </row>
    <row r="1468" spans="11:14" ht="12.75" hidden="1" customHeight="1" x14ac:dyDescent="0.2">
      <c r="K1468" s="149"/>
      <c r="N1468" s="149"/>
    </row>
    <row r="1469" spans="11:14" ht="12.75" hidden="1" customHeight="1" x14ac:dyDescent="0.2">
      <c r="K1469" s="149"/>
      <c r="N1469" s="149"/>
    </row>
    <row r="1470" spans="11:14" ht="12.75" hidden="1" customHeight="1" x14ac:dyDescent="0.2">
      <c r="K1470" s="149"/>
      <c r="N1470" s="149"/>
    </row>
    <row r="1471" spans="11:14" ht="12.75" hidden="1" customHeight="1" x14ac:dyDescent="0.2">
      <c r="K1471" s="153"/>
      <c r="N1471" s="153"/>
    </row>
    <row r="1472" spans="11:14" ht="12.75" hidden="1" customHeight="1" x14ac:dyDescent="0.2">
      <c r="K1472" s="149"/>
      <c r="N1472" s="149"/>
    </row>
    <row r="1473" spans="11:14" ht="12.75" hidden="1" customHeight="1" x14ac:dyDescent="0.2">
      <c r="K1473" s="149"/>
      <c r="N1473" s="149"/>
    </row>
    <row r="1474" spans="11:14" ht="12.75" hidden="1" customHeight="1" x14ac:dyDescent="0.2">
      <c r="K1474" s="149"/>
      <c r="N1474" s="149"/>
    </row>
    <row r="1475" spans="11:14" ht="12.75" hidden="1" customHeight="1" x14ac:dyDescent="0.2">
      <c r="K1475" s="153"/>
      <c r="N1475" s="153"/>
    </row>
    <row r="1476" spans="11:14" ht="12.75" hidden="1" customHeight="1" x14ac:dyDescent="0.2">
      <c r="K1476" s="149"/>
      <c r="N1476" s="149"/>
    </row>
    <row r="1477" spans="11:14" ht="12.75" hidden="1" customHeight="1" x14ac:dyDescent="0.2">
      <c r="K1477" s="149"/>
      <c r="N1477" s="149"/>
    </row>
    <row r="1478" spans="11:14" ht="12.75" hidden="1" customHeight="1" x14ac:dyDescent="0.2">
      <c r="K1478" s="149"/>
      <c r="N1478" s="149"/>
    </row>
    <row r="1479" spans="11:14" ht="12.75" hidden="1" customHeight="1" x14ac:dyDescent="0.2">
      <c r="K1479" s="153"/>
      <c r="N1479" s="153"/>
    </row>
    <row r="1480" spans="11:14" ht="12.75" hidden="1" customHeight="1" x14ac:dyDescent="0.2">
      <c r="K1480" s="149"/>
      <c r="N1480" s="149"/>
    </row>
    <row r="1481" spans="11:14" ht="12.75" hidden="1" customHeight="1" x14ac:dyDescent="0.2">
      <c r="K1481" s="149"/>
      <c r="N1481" s="149"/>
    </row>
    <row r="1482" spans="11:14" ht="12.75" hidden="1" customHeight="1" x14ac:dyDescent="0.2">
      <c r="K1482" s="149"/>
      <c r="N1482" s="149"/>
    </row>
    <row r="1483" spans="11:14" ht="12.75" hidden="1" customHeight="1" x14ac:dyDescent="0.2">
      <c r="K1483" s="153"/>
      <c r="N1483" s="153"/>
    </row>
    <row r="1484" spans="11:14" ht="12.75" hidden="1" customHeight="1" x14ac:dyDescent="0.2">
      <c r="K1484" s="149"/>
      <c r="N1484" s="149"/>
    </row>
    <row r="1485" spans="11:14" ht="12.75" hidden="1" customHeight="1" x14ac:dyDescent="0.2">
      <c r="K1485" s="149"/>
      <c r="N1485" s="149"/>
    </row>
    <row r="1486" spans="11:14" ht="12.75" hidden="1" customHeight="1" x14ac:dyDescent="0.2">
      <c r="K1486" s="149"/>
      <c r="N1486" s="149"/>
    </row>
    <row r="1487" spans="11:14" ht="12.75" hidden="1" customHeight="1" x14ac:dyDescent="0.2">
      <c r="K1487" s="153"/>
      <c r="N1487" s="153"/>
    </row>
    <row r="1488" spans="11:14" ht="12.75" hidden="1" customHeight="1" x14ac:dyDescent="0.2">
      <c r="K1488" s="149"/>
      <c r="N1488" s="149"/>
    </row>
    <row r="1489" spans="11:14" ht="12.75" hidden="1" customHeight="1" x14ac:dyDescent="0.2">
      <c r="K1489" s="149"/>
      <c r="N1489" s="149"/>
    </row>
    <row r="1490" spans="11:14" ht="12.75" hidden="1" customHeight="1" x14ac:dyDescent="0.2">
      <c r="K1490" s="149"/>
      <c r="N1490" s="149"/>
    </row>
    <row r="1491" spans="11:14" ht="12.75" hidden="1" customHeight="1" x14ac:dyDescent="0.2">
      <c r="K1491" s="153"/>
      <c r="N1491" s="153"/>
    </row>
    <row r="1492" spans="11:14" ht="12.75" hidden="1" customHeight="1" x14ac:dyDescent="0.2">
      <c r="K1492" s="149"/>
      <c r="N1492" s="149"/>
    </row>
    <row r="1493" spans="11:14" ht="12.75" hidden="1" customHeight="1" x14ac:dyDescent="0.2">
      <c r="K1493" s="149"/>
      <c r="N1493" s="149"/>
    </row>
    <row r="1494" spans="11:14" ht="12.75" hidden="1" customHeight="1" x14ac:dyDescent="0.2">
      <c r="K1494" s="149"/>
      <c r="N1494" s="149"/>
    </row>
    <row r="1495" spans="11:14" ht="12.75" hidden="1" customHeight="1" x14ac:dyDescent="0.2">
      <c r="K1495" s="153"/>
      <c r="N1495" s="153"/>
    </row>
    <row r="1496" spans="11:14" ht="12.75" hidden="1" customHeight="1" x14ac:dyDescent="0.2">
      <c r="K1496" s="149"/>
      <c r="N1496" s="149"/>
    </row>
    <row r="1497" spans="11:14" ht="12.75" hidden="1" customHeight="1" x14ac:dyDescent="0.2">
      <c r="K1497" s="149"/>
      <c r="N1497" s="149"/>
    </row>
    <row r="1498" spans="11:14" ht="12.75" hidden="1" customHeight="1" x14ac:dyDescent="0.2">
      <c r="K1498" s="149"/>
      <c r="N1498" s="149"/>
    </row>
    <row r="1499" spans="11:14" ht="12.75" hidden="1" customHeight="1" x14ac:dyDescent="0.2">
      <c r="K1499" s="153"/>
      <c r="N1499" s="153"/>
    </row>
    <row r="1500" spans="11:14" ht="12.75" hidden="1" customHeight="1" x14ac:dyDescent="0.2">
      <c r="K1500" s="149"/>
      <c r="N1500" s="149"/>
    </row>
    <row r="1501" spans="11:14" ht="12.75" hidden="1" customHeight="1" x14ac:dyDescent="0.2">
      <c r="K1501" s="149"/>
      <c r="N1501" s="149"/>
    </row>
    <row r="1502" spans="11:14" ht="12.75" hidden="1" customHeight="1" x14ac:dyDescent="0.2">
      <c r="K1502" s="149"/>
      <c r="N1502" s="149"/>
    </row>
    <row r="1503" spans="11:14" ht="12.75" hidden="1" customHeight="1" x14ac:dyDescent="0.2">
      <c r="K1503" s="153"/>
      <c r="N1503" s="153"/>
    </row>
    <row r="1504" spans="11:14" ht="12.75" hidden="1" customHeight="1" x14ac:dyDescent="0.2">
      <c r="K1504" s="149"/>
      <c r="N1504" s="149"/>
    </row>
    <row r="1505" spans="11:14" ht="12.75" hidden="1" customHeight="1" x14ac:dyDescent="0.2">
      <c r="K1505" s="149"/>
      <c r="N1505" s="149"/>
    </row>
    <row r="1506" spans="11:14" ht="12.75" hidden="1" customHeight="1" x14ac:dyDescent="0.2">
      <c r="K1506" s="149"/>
      <c r="N1506" s="149"/>
    </row>
    <row r="1507" spans="11:14" ht="12.75" hidden="1" customHeight="1" x14ac:dyDescent="0.2">
      <c r="K1507" s="153"/>
      <c r="N1507" s="153"/>
    </row>
    <row r="1508" spans="11:14" ht="12.75" hidden="1" customHeight="1" x14ac:dyDescent="0.2">
      <c r="K1508" s="149"/>
      <c r="N1508" s="149"/>
    </row>
    <row r="1509" spans="11:14" ht="12.75" hidden="1" customHeight="1" x14ac:dyDescent="0.2">
      <c r="K1509" s="149"/>
      <c r="N1509" s="149"/>
    </row>
    <row r="1510" spans="11:14" ht="12.75" hidden="1" customHeight="1" x14ac:dyDescent="0.2">
      <c r="K1510" s="149"/>
      <c r="N1510" s="149"/>
    </row>
    <row r="1511" spans="11:14" ht="12.75" hidden="1" customHeight="1" x14ac:dyDescent="0.2">
      <c r="K1511" s="153"/>
      <c r="N1511" s="153"/>
    </row>
    <row r="1512" spans="11:14" ht="12.75" hidden="1" customHeight="1" x14ac:dyDescent="0.2">
      <c r="K1512" s="149"/>
      <c r="N1512" s="149"/>
    </row>
    <row r="1513" spans="11:14" ht="12.75" hidden="1" customHeight="1" x14ac:dyDescent="0.2">
      <c r="K1513" s="149"/>
      <c r="N1513" s="149"/>
    </row>
    <row r="1514" spans="11:14" ht="12.75" hidden="1" customHeight="1" x14ac:dyDescent="0.2">
      <c r="K1514" s="149"/>
      <c r="N1514" s="149"/>
    </row>
    <row r="1515" spans="11:14" ht="12.75" hidden="1" customHeight="1" x14ac:dyDescent="0.2">
      <c r="K1515" s="153"/>
      <c r="N1515" s="153"/>
    </row>
    <row r="1516" spans="11:14" ht="12.75" hidden="1" customHeight="1" x14ac:dyDescent="0.2">
      <c r="K1516" s="149"/>
      <c r="N1516" s="149"/>
    </row>
    <row r="1517" spans="11:14" ht="12.75" hidden="1" customHeight="1" x14ac:dyDescent="0.2">
      <c r="K1517" s="149"/>
      <c r="N1517" s="149"/>
    </row>
    <row r="1518" spans="11:14" ht="12.75" hidden="1" customHeight="1" x14ac:dyDescent="0.2">
      <c r="K1518" s="149"/>
      <c r="N1518" s="149"/>
    </row>
    <row r="1519" spans="11:14" ht="12.75" hidden="1" customHeight="1" x14ac:dyDescent="0.2">
      <c r="K1519" s="153"/>
      <c r="N1519" s="153"/>
    </row>
    <row r="1520" spans="11:14" ht="12.75" hidden="1" customHeight="1" x14ac:dyDescent="0.2">
      <c r="K1520" s="149"/>
      <c r="N1520" s="149"/>
    </row>
    <row r="1521" spans="11:14" ht="12.75" hidden="1" customHeight="1" x14ac:dyDescent="0.2">
      <c r="K1521" s="149"/>
      <c r="N1521" s="149"/>
    </row>
    <row r="1522" spans="11:14" ht="12.75" hidden="1" customHeight="1" x14ac:dyDescent="0.2">
      <c r="K1522" s="149"/>
      <c r="N1522" s="149"/>
    </row>
    <row r="1523" spans="11:14" ht="12.75" hidden="1" customHeight="1" x14ac:dyDescent="0.2">
      <c r="K1523" s="153"/>
      <c r="N1523" s="153"/>
    </row>
    <row r="1524" spans="11:14" ht="12.75" hidden="1" customHeight="1" x14ac:dyDescent="0.2">
      <c r="K1524" s="149"/>
      <c r="N1524" s="149"/>
    </row>
    <row r="1525" spans="11:14" ht="12.75" hidden="1" customHeight="1" x14ac:dyDescent="0.2">
      <c r="K1525" s="149"/>
      <c r="N1525" s="149"/>
    </row>
    <row r="1526" spans="11:14" ht="12.75" hidden="1" customHeight="1" x14ac:dyDescent="0.2">
      <c r="K1526" s="149"/>
      <c r="N1526" s="149"/>
    </row>
    <row r="1527" spans="11:14" ht="12.75" hidden="1" customHeight="1" x14ac:dyDescent="0.2">
      <c r="K1527" s="153"/>
      <c r="N1527" s="153"/>
    </row>
    <row r="1528" spans="11:14" ht="12.75" hidden="1" customHeight="1" x14ac:dyDescent="0.2">
      <c r="K1528" s="149"/>
      <c r="N1528" s="149"/>
    </row>
    <row r="1529" spans="11:14" ht="12.75" hidden="1" customHeight="1" x14ac:dyDescent="0.2">
      <c r="K1529" s="149"/>
      <c r="N1529" s="149"/>
    </row>
    <row r="1530" spans="11:14" ht="12.75" hidden="1" customHeight="1" x14ac:dyDescent="0.2">
      <c r="K1530" s="149"/>
      <c r="N1530" s="149"/>
    </row>
    <row r="1531" spans="11:14" ht="12.75" hidden="1" customHeight="1" x14ac:dyDescent="0.2">
      <c r="K1531" s="153"/>
      <c r="N1531" s="153"/>
    </row>
    <row r="1532" spans="11:14" ht="12.75" hidden="1" customHeight="1" x14ac:dyDescent="0.2">
      <c r="K1532" s="149"/>
      <c r="N1532" s="149"/>
    </row>
    <row r="1533" spans="11:14" ht="12.75" hidden="1" customHeight="1" x14ac:dyDescent="0.2">
      <c r="K1533" s="149"/>
      <c r="N1533" s="149"/>
    </row>
    <row r="1534" spans="11:14" ht="12.75" hidden="1" customHeight="1" x14ac:dyDescent="0.2">
      <c r="K1534" s="149"/>
      <c r="N1534" s="149"/>
    </row>
    <row r="1535" spans="11:14" ht="12.75" hidden="1" customHeight="1" x14ac:dyDescent="0.2">
      <c r="K1535" s="153"/>
      <c r="N1535" s="153"/>
    </row>
    <row r="1536" spans="11:14" ht="12.75" hidden="1" customHeight="1" x14ac:dyDescent="0.2">
      <c r="K1536" s="149"/>
      <c r="N1536" s="149"/>
    </row>
    <row r="1537" spans="11:14" ht="12.75" hidden="1" customHeight="1" x14ac:dyDescent="0.2">
      <c r="K1537" s="149"/>
      <c r="N1537" s="149"/>
    </row>
    <row r="1538" spans="11:14" ht="12.75" hidden="1" customHeight="1" x14ac:dyDescent="0.2">
      <c r="K1538" s="149"/>
      <c r="N1538" s="149"/>
    </row>
    <row r="1539" spans="11:14" ht="12.75" hidden="1" customHeight="1" x14ac:dyDescent="0.2">
      <c r="K1539" s="153"/>
      <c r="N1539" s="153"/>
    </row>
    <row r="1540" spans="11:14" ht="12.75" hidden="1" customHeight="1" x14ac:dyDescent="0.2">
      <c r="K1540" s="149"/>
      <c r="N1540" s="149"/>
    </row>
    <row r="1541" spans="11:14" ht="12.75" hidden="1" customHeight="1" x14ac:dyDescent="0.2">
      <c r="K1541" s="149"/>
      <c r="N1541" s="149"/>
    </row>
    <row r="1542" spans="11:14" ht="12.75" hidden="1" customHeight="1" x14ac:dyDescent="0.2">
      <c r="K1542" s="149"/>
      <c r="N1542" s="149"/>
    </row>
    <row r="1543" spans="11:14" ht="12.75" hidden="1" customHeight="1" x14ac:dyDescent="0.2">
      <c r="K1543" s="153"/>
      <c r="N1543" s="153"/>
    </row>
    <row r="1544" spans="11:14" ht="12.75" hidden="1" customHeight="1" x14ac:dyDescent="0.2">
      <c r="K1544" s="149"/>
      <c r="N1544" s="149"/>
    </row>
    <row r="1545" spans="11:14" ht="12.75" hidden="1" customHeight="1" x14ac:dyDescent="0.2">
      <c r="K1545" s="149"/>
      <c r="N1545" s="149"/>
    </row>
    <row r="1546" spans="11:14" ht="12.75" hidden="1" customHeight="1" x14ac:dyDescent="0.2">
      <c r="K1546" s="149"/>
      <c r="N1546" s="149"/>
    </row>
    <row r="1547" spans="11:14" ht="12.75" hidden="1" customHeight="1" x14ac:dyDescent="0.2">
      <c r="K1547" s="153"/>
      <c r="N1547" s="153"/>
    </row>
    <row r="1548" spans="11:14" ht="12.75" hidden="1" customHeight="1" x14ac:dyDescent="0.2">
      <c r="K1548" s="149"/>
      <c r="N1548" s="149"/>
    </row>
    <row r="1549" spans="11:14" ht="12.75" hidden="1" customHeight="1" x14ac:dyDescent="0.2">
      <c r="K1549" s="149"/>
      <c r="N1549" s="149"/>
    </row>
    <row r="1550" spans="11:14" ht="12.75" hidden="1" customHeight="1" x14ac:dyDescent="0.2">
      <c r="K1550" s="149"/>
      <c r="N1550" s="149"/>
    </row>
    <row r="1551" spans="11:14" ht="12.75" hidden="1" customHeight="1" x14ac:dyDescent="0.2">
      <c r="K1551" s="153"/>
      <c r="N1551" s="153"/>
    </row>
    <row r="1552" spans="11:14" ht="12.75" hidden="1" customHeight="1" x14ac:dyDescent="0.2">
      <c r="K1552" s="149"/>
      <c r="N1552" s="149"/>
    </row>
    <row r="1553" spans="11:14" ht="12.75" hidden="1" customHeight="1" x14ac:dyDescent="0.2">
      <c r="K1553" s="149"/>
      <c r="N1553" s="149"/>
    </row>
    <row r="1554" spans="11:14" ht="12.75" hidden="1" customHeight="1" x14ac:dyDescent="0.2">
      <c r="K1554" s="149"/>
      <c r="N1554" s="149"/>
    </row>
    <row r="1555" spans="11:14" ht="12.75" hidden="1" customHeight="1" x14ac:dyDescent="0.2">
      <c r="K1555" s="153"/>
      <c r="N1555" s="153"/>
    </row>
    <row r="1556" spans="11:14" ht="12.75" hidden="1" customHeight="1" x14ac:dyDescent="0.2">
      <c r="K1556" s="149"/>
      <c r="N1556" s="149"/>
    </row>
    <row r="1557" spans="11:14" ht="12.75" hidden="1" customHeight="1" x14ac:dyDescent="0.2">
      <c r="K1557" s="149"/>
      <c r="N1557" s="149"/>
    </row>
    <row r="1558" spans="11:14" ht="12.75" hidden="1" customHeight="1" x14ac:dyDescent="0.2">
      <c r="K1558" s="149"/>
      <c r="N1558" s="149"/>
    </row>
    <row r="1559" spans="11:14" ht="12.75" hidden="1" customHeight="1" x14ac:dyDescent="0.2">
      <c r="K1559" s="153"/>
      <c r="N1559" s="153"/>
    </row>
    <row r="1560" spans="11:14" ht="12.75" hidden="1" customHeight="1" x14ac:dyDescent="0.2">
      <c r="K1560" s="149"/>
      <c r="N1560" s="149"/>
    </row>
    <row r="1561" spans="11:14" ht="12.75" hidden="1" customHeight="1" x14ac:dyDescent="0.2">
      <c r="K1561" s="149"/>
      <c r="N1561" s="149"/>
    </row>
    <row r="1562" spans="11:14" ht="12.75" hidden="1" customHeight="1" x14ac:dyDescent="0.2">
      <c r="K1562" s="149"/>
      <c r="N1562" s="149"/>
    </row>
    <row r="1563" spans="11:14" ht="12.75" hidden="1" customHeight="1" x14ac:dyDescent="0.2">
      <c r="K1563" s="153"/>
      <c r="N1563" s="153"/>
    </row>
    <row r="1564" spans="11:14" ht="12.75" hidden="1" customHeight="1" x14ac:dyDescent="0.2">
      <c r="K1564" s="149"/>
      <c r="N1564" s="149"/>
    </row>
    <row r="1565" spans="11:14" ht="12.75" hidden="1" customHeight="1" x14ac:dyDescent="0.2">
      <c r="K1565" s="149"/>
      <c r="N1565" s="149"/>
    </row>
    <row r="1566" spans="11:14" ht="12.75" hidden="1" customHeight="1" x14ac:dyDescent="0.2">
      <c r="K1566" s="149"/>
      <c r="N1566" s="149"/>
    </row>
    <row r="1567" spans="11:14" ht="12.75" hidden="1" customHeight="1" x14ac:dyDescent="0.2">
      <c r="K1567" s="153"/>
      <c r="N1567" s="153"/>
    </row>
    <row r="1568" spans="11:14" ht="12.75" hidden="1" customHeight="1" x14ac:dyDescent="0.2">
      <c r="K1568" s="149"/>
      <c r="N1568" s="149"/>
    </row>
    <row r="1569" spans="11:14" ht="12.75" hidden="1" customHeight="1" x14ac:dyDescent="0.2">
      <c r="K1569" s="149"/>
      <c r="N1569" s="149"/>
    </row>
    <row r="1570" spans="11:14" ht="12.75" hidden="1" customHeight="1" x14ac:dyDescent="0.2">
      <c r="K1570" s="149"/>
      <c r="N1570" s="149"/>
    </row>
    <row r="1571" spans="11:14" ht="12.75" hidden="1" customHeight="1" x14ac:dyDescent="0.2">
      <c r="K1571" s="153"/>
      <c r="N1571" s="153"/>
    </row>
    <row r="1572" spans="11:14" ht="12.75" hidden="1" customHeight="1" x14ac:dyDescent="0.2">
      <c r="K1572" s="149"/>
      <c r="N1572" s="149"/>
    </row>
    <row r="1573" spans="11:14" ht="12.75" hidden="1" customHeight="1" x14ac:dyDescent="0.2">
      <c r="K1573" s="149"/>
      <c r="N1573" s="149"/>
    </row>
    <row r="1574" spans="11:14" ht="12.75" hidden="1" customHeight="1" x14ac:dyDescent="0.2">
      <c r="K1574" s="149"/>
      <c r="N1574" s="149"/>
    </row>
    <row r="1575" spans="11:14" ht="12.75" hidden="1" customHeight="1" x14ac:dyDescent="0.2">
      <c r="K1575" s="153"/>
      <c r="N1575" s="153"/>
    </row>
    <row r="1576" spans="11:14" ht="12.75" hidden="1" customHeight="1" x14ac:dyDescent="0.2">
      <c r="K1576" s="149"/>
      <c r="N1576" s="149"/>
    </row>
    <row r="1577" spans="11:14" ht="12.75" hidden="1" customHeight="1" x14ac:dyDescent="0.2">
      <c r="K1577" s="149"/>
      <c r="N1577" s="149"/>
    </row>
    <row r="1578" spans="11:14" ht="12.75" hidden="1" customHeight="1" x14ac:dyDescent="0.2">
      <c r="K1578" s="149"/>
      <c r="N1578" s="149"/>
    </row>
    <row r="1579" spans="11:14" ht="12.75" hidden="1" customHeight="1" x14ac:dyDescent="0.2">
      <c r="K1579" s="153"/>
      <c r="N1579" s="153"/>
    </row>
    <row r="1580" spans="11:14" ht="12.75" hidden="1" customHeight="1" x14ac:dyDescent="0.2">
      <c r="K1580" s="149"/>
      <c r="N1580" s="149"/>
    </row>
    <row r="1581" spans="11:14" ht="12.75" hidden="1" customHeight="1" x14ac:dyDescent="0.2">
      <c r="K1581" s="149"/>
      <c r="N1581" s="149"/>
    </row>
    <row r="1582" spans="11:14" ht="12.75" hidden="1" customHeight="1" x14ac:dyDescent="0.2">
      <c r="K1582" s="149"/>
      <c r="N1582" s="149"/>
    </row>
    <row r="1583" spans="11:14" ht="12.75" hidden="1" customHeight="1" x14ac:dyDescent="0.2">
      <c r="K1583" s="153"/>
      <c r="N1583" s="153"/>
    </row>
    <row r="1584" spans="11:14" ht="12.75" hidden="1" customHeight="1" x14ac:dyDescent="0.2">
      <c r="K1584" s="149"/>
      <c r="N1584" s="149"/>
    </row>
    <row r="1585" spans="11:14" ht="12.75" hidden="1" customHeight="1" x14ac:dyDescent="0.2">
      <c r="K1585" s="149"/>
      <c r="N1585" s="149"/>
    </row>
    <row r="1586" spans="11:14" ht="12.75" hidden="1" customHeight="1" x14ac:dyDescent="0.2">
      <c r="K1586" s="149"/>
      <c r="N1586" s="149"/>
    </row>
    <row r="1587" spans="11:14" ht="12.75" hidden="1" customHeight="1" x14ac:dyDescent="0.2">
      <c r="K1587" s="153"/>
      <c r="N1587" s="153"/>
    </row>
    <row r="1588" spans="11:14" ht="12.75" hidden="1" customHeight="1" x14ac:dyDescent="0.2">
      <c r="K1588" s="149"/>
      <c r="N1588" s="149"/>
    </row>
    <row r="1589" spans="11:14" ht="12.75" hidden="1" customHeight="1" x14ac:dyDescent="0.2">
      <c r="K1589" s="149"/>
      <c r="N1589" s="149"/>
    </row>
    <row r="1590" spans="11:14" ht="12.75" hidden="1" customHeight="1" x14ac:dyDescent="0.2">
      <c r="K1590" s="149"/>
      <c r="N1590" s="149"/>
    </row>
    <row r="1591" spans="11:14" ht="12.75" hidden="1" customHeight="1" x14ac:dyDescent="0.2">
      <c r="K1591" s="153"/>
      <c r="N1591" s="153"/>
    </row>
    <row r="1592" spans="11:14" ht="12.75" hidden="1" customHeight="1" x14ac:dyDescent="0.2">
      <c r="K1592" s="149"/>
      <c r="N1592" s="149"/>
    </row>
    <row r="1593" spans="11:14" ht="12.75" hidden="1" customHeight="1" x14ac:dyDescent="0.2">
      <c r="K1593" s="149"/>
      <c r="N1593" s="149"/>
    </row>
    <row r="1594" spans="11:14" ht="12.75" hidden="1" customHeight="1" x14ac:dyDescent="0.2">
      <c r="K1594" s="149"/>
      <c r="N1594" s="149"/>
    </row>
    <row r="1595" spans="11:14" ht="12.75" hidden="1" customHeight="1" x14ac:dyDescent="0.2">
      <c r="K1595" s="153"/>
      <c r="N1595" s="153"/>
    </row>
    <row r="1596" spans="11:14" ht="12.75" hidden="1" customHeight="1" x14ac:dyDescent="0.2">
      <c r="K1596" s="149"/>
      <c r="N1596" s="149"/>
    </row>
    <row r="1597" spans="11:14" ht="12.75" hidden="1" customHeight="1" x14ac:dyDescent="0.2">
      <c r="K1597" s="149"/>
      <c r="N1597" s="149"/>
    </row>
    <row r="1598" spans="11:14" ht="12.75" hidden="1" customHeight="1" x14ac:dyDescent="0.2">
      <c r="K1598" s="149"/>
      <c r="N1598" s="149"/>
    </row>
    <row r="1599" spans="11:14" ht="12.75" hidden="1" customHeight="1" x14ac:dyDescent="0.2">
      <c r="K1599" s="153"/>
      <c r="N1599" s="153"/>
    </row>
    <row r="1600" spans="11:14" ht="12.75" hidden="1" customHeight="1" x14ac:dyDescent="0.2">
      <c r="K1600" s="149"/>
      <c r="N1600" s="149"/>
    </row>
    <row r="1601" spans="11:14" ht="12.75" hidden="1" customHeight="1" x14ac:dyDescent="0.2">
      <c r="K1601" s="149"/>
      <c r="N1601" s="149"/>
    </row>
    <row r="1602" spans="11:14" ht="12.75" hidden="1" customHeight="1" x14ac:dyDescent="0.2">
      <c r="K1602" s="149"/>
      <c r="N1602" s="149"/>
    </row>
    <row r="1603" spans="11:14" ht="12.75" hidden="1" customHeight="1" x14ac:dyDescent="0.2">
      <c r="K1603" s="153"/>
      <c r="N1603" s="153"/>
    </row>
    <row r="1604" spans="11:14" ht="12.75" hidden="1" customHeight="1" x14ac:dyDescent="0.2">
      <c r="K1604" s="149"/>
      <c r="N1604" s="149"/>
    </row>
    <row r="1605" spans="11:14" ht="12.75" hidden="1" customHeight="1" x14ac:dyDescent="0.2">
      <c r="K1605" s="149"/>
      <c r="N1605" s="149"/>
    </row>
    <row r="1606" spans="11:14" ht="12.75" hidden="1" customHeight="1" x14ac:dyDescent="0.2">
      <c r="K1606" s="149"/>
      <c r="N1606" s="149"/>
    </row>
    <row r="1607" spans="11:14" ht="12.75" hidden="1" customHeight="1" x14ac:dyDescent="0.2">
      <c r="K1607" s="153"/>
      <c r="N1607" s="153"/>
    </row>
    <row r="1608" spans="11:14" ht="12.75" hidden="1" customHeight="1" x14ac:dyDescent="0.2">
      <c r="K1608" s="149"/>
      <c r="N1608" s="149"/>
    </row>
    <row r="1609" spans="11:14" ht="12.75" hidden="1" customHeight="1" x14ac:dyDescent="0.2">
      <c r="K1609" s="149"/>
      <c r="N1609" s="149"/>
    </row>
    <row r="1610" spans="11:14" ht="12.75" hidden="1" customHeight="1" x14ac:dyDescent="0.2">
      <c r="K1610" s="149"/>
      <c r="N1610" s="149"/>
    </row>
    <row r="1611" spans="11:14" ht="12.75" hidden="1" customHeight="1" x14ac:dyDescent="0.2">
      <c r="K1611" s="153"/>
      <c r="N1611" s="153"/>
    </row>
    <row r="1612" spans="11:14" ht="12.75" hidden="1" customHeight="1" x14ac:dyDescent="0.2">
      <c r="K1612" s="149"/>
      <c r="N1612" s="149"/>
    </row>
    <row r="1613" spans="11:14" ht="12.75" hidden="1" customHeight="1" x14ac:dyDescent="0.2">
      <c r="K1613" s="149"/>
      <c r="N1613" s="149"/>
    </row>
    <row r="1614" spans="11:14" ht="12.75" hidden="1" customHeight="1" x14ac:dyDescent="0.2">
      <c r="K1614" s="149"/>
      <c r="N1614" s="149"/>
    </row>
    <row r="1615" spans="11:14" ht="12.75" hidden="1" customHeight="1" x14ac:dyDescent="0.2">
      <c r="K1615" s="153"/>
      <c r="N1615" s="153"/>
    </row>
    <row r="1616" spans="11:14" ht="12.75" hidden="1" customHeight="1" x14ac:dyDescent="0.2">
      <c r="K1616" s="149"/>
      <c r="N1616" s="149"/>
    </row>
    <row r="1617" spans="11:14" ht="12.75" hidden="1" customHeight="1" x14ac:dyDescent="0.2">
      <c r="K1617" s="149"/>
      <c r="N1617" s="149"/>
    </row>
    <row r="1618" spans="11:14" ht="12.75" hidden="1" customHeight="1" x14ac:dyDescent="0.2">
      <c r="K1618" s="149"/>
      <c r="N1618" s="149"/>
    </row>
    <row r="1619" spans="11:14" ht="12.75" hidden="1" customHeight="1" x14ac:dyDescent="0.2">
      <c r="K1619" s="153"/>
      <c r="N1619" s="153"/>
    </row>
    <row r="1620" spans="11:14" ht="12.75" hidden="1" customHeight="1" x14ac:dyDescent="0.2">
      <c r="K1620" s="149"/>
      <c r="N1620" s="149"/>
    </row>
    <row r="1621" spans="11:14" ht="12.75" hidden="1" customHeight="1" x14ac:dyDescent="0.2">
      <c r="K1621" s="149"/>
      <c r="N1621" s="149"/>
    </row>
    <row r="1622" spans="11:14" ht="12.75" hidden="1" customHeight="1" x14ac:dyDescent="0.2">
      <c r="K1622" s="149"/>
      <c r="N1622" s="149"/>
    </row>
    <row r="1623" spans="11:14" ht="12.75" hidden="1" customHeight="1" x14ac:dyDescent="0.2">
      <c r="K1623" s="153"/>
      <c r="N1623" s="153"/>
    </row>
    <row r="1624" spans="11:14" ht="12.75" hidden="1" customHeight="1" x14ac:dyDescent="0.2">
      <c r="K1624" s="149"/>
      <c r="N1624" s="149"/>
    </row>
    <row r="1625" spans="11:14" ht="12.75" hidden="1" customHeight="1" x14ac:dyDescent="0.2">
      <c r="K1625" s="149"/>
      <c r="N1625" s="149"/>
    </row>
    <row r="1626" spans="11:14" ht="12.75" hidden="1" customHeight="1" x14ac:dyDescent="0.2">
      <c r="K1626" s="149"/>
      <c r="N1626" s="149"/>
    </row>
    <row r="1627" spans="11:14" ht="12.75" hidden="1" customHeight="1" x14ac:dyDescent="0.2">
      <c r="K1627" s="153"/>
      <c r="N1627" s="153"/>
    </row>
    <row r="1628" spans="11:14" ht="12.75" hidden="1" customHeight="1" x14ac:dyDescent="0.2">
      <c r="K1628" s="149"/>
      <c r="N1628" s="149"/>
    </row>
    <row r="1629" spans="11:14" ht="12.75" hidden="1" customHeight="1" x14ac:dyDescent="0.2">
      <c r="K1629" s="149"/>
      <c r="N1629" s="149"/>
    </row>
    <row r="1630" spans="11:14" ht="12.75" hidden="1" customHeight="1" x14ac:dyDescent="0.2">
      <c r="K1630" s="149"/>
      <c r="N1630" s="149"/>
    </row>
    <row r="1631" spans="11:14" ht="12.75" hidden="1" customHeight="1" x14ac:dyDescent="0.2">
      <c r="K1631" s="153"/>
      <c r="N1631" s="153"/>
    </row>
    <row r="1632" spans="11:14" ht="12.75" hidden="1" customHeight="1" x14ac:dyDescent="0.2">
      <c r="K1632" s="149"/>
      <c r="N1632" s="149"/>
    </row>
    <row r="1633" spans="11:14" ht="12.75" hidden="1" customHeight="1" x14ac:dyDescent="0.2">
      <c r="K1633" s="149"/>
      <c r="N1633" s="149"/>
    </row>
    <row r="1634" spans="11:14" ht="12.75" hidden="1" customHeight="1" x14ac:dyDescent="0.2">
      <c r="K1634" s="149"/>
      <c r="N1634" s="149"/>
    </row>
    <row r="1635" spans="11:14" ht="12.75" hidden="1" customHeight="1" x14ac:dyDescent="0.2">
      <c r="K1635" s="153"/>
      <c r="N1635" s="153"/>
    </row>
    <row r="1636" spans="11:14" ht="12.75" hidden="1" customHeight="1" x14ac:dyDescent="0.2">
      <c r="K1636" s="149"/>
      <c r="N1636" s="149"/>
    </row>
    <row r="1637" spans="11:14" ht="12.75" hidden="1" customHeight="1" x14ac:dyDescent="0.2">
      <c r="K1637" s="149"/>
      <c r="N1637" s="149"/>
    </row>
    <row r="1638" spans="11:14" ht="12.75" hidden="1" customHeight="1" x14ac:dyDescent="0.2">
      <c r="K1638" s="149"/>
      <c r="N1638" s="149"/>
    </row>
    <row r="1639" spans="11:14" ht="12.75" hidden="1" customHeight="1" x14ac:dyDescent="0.2">
      <c r="K1639" s="153"/>
      <c r="N1639" s="153"/>
    </row>
    <row r="1640" spans="11:14" ht="12.75" hidden="1" customHeight="1" x14ac:dyDescent="0.2">
      <c r="K1640" s="149"/>
      <c r="N1640" s="149"/>
    </row>
    <row r="1641" spans="11:14" ht="12.75" hidden="1" customHeight="1" x14ac:dyDescent="0.2">
      <c r="K1641" s="149"/>
      <c r="N1641" s="149"/>
    </row>
    <row r="1642" spans="11:14" ht="12.75" hidden="1" customHeight="1" x14ac:dyDescent="0.2">
      <c r="K1642" s="149"/>
      <c r="N1642" s="149"/>
    </row>
    <row r="1643" spans="11:14" ht="12.75" hidden="1" customHeight="1" x14ac:dyDescent="0.2">
      <c r="K1643" s="153"/>
      <c r="N1643" s="153"/>
    </row>
    <row r="1644" spans="11:14" ht="12.75" hidden="1" customHeight="1" x14ac:dyDescent="0.2">
      <c r="K1644" s="149"/>
      <c r="N1644" s="149"/>
    </row>
    <row r="1645" spans="11:14" ht="12.75" hidden="1" customHeight="1" x14ac:dyDescent="0.2">
      <c r="K1645" s="149"/>
      <c r="N1645" s="149"/>
    </row>
    <row r="1646" spans="11:14" ht="12.75" hidden="1" customHeight="1" x14ac:dyDescent="0.2">
      <c r="K1646" s="149"/>
      <c r="N1646" s="149"/>
    </row>
    <row r="1647" spans="11:14" ht="12.75" hidden="1" customHeight="1" x14ac:dyDescent="0.2">
      <c r="K1647" s="153"/>
      <c r="N1647" s="153"/>
    </row>
    <row r="1648" spans="11:14" ht="12.75" hidden="1" customHeight="1" x14ac:dyDescent="0.2">
      <c r="K1648" s="149"/>
      <c r="N1648" s="149"/>
    </row>
    <row r="1649" spans="11:14" ht="12.75" hidden="1" customHeight="1" x14ac:dyDescent="0.2">
      <c r="K1649" s="149"/>
      <c r="N1649" s="149"/>
    </row>
    <row r="1650" spans="11:14" ht="12.75" hidden="1" customHeight="1" x14ac:dyDescent="0.2">
      <c r="K1650" s="149"/>
      <c r="N1650" s="149"/>
    </row>
    <row r="1651" spans="11:14" ht="12.75" hidden="1" customHeight="1" x14ac:dyDescent="0.2">
      <c r="K1651" s="153"/>
      <c r="N1651" s="153"/>
    </row>
    <row r="1652" spans="11:14" ht="12.75" hidden="1" customHeight="1" x14ac:dyDescent="0.2">
      <c r="K1652" s="149"/>
      <c r="N1652" s="149"/>
    </row>
    <row r="1653" spans="11:14" ht="12.75" hidden="1" customHeight="1" x14ac:dyDescent="0.2">
      <c r="K1653" s="149"/>
      <c r="N1653" s="149"/>
    </row>
    <row r="1654" spans="11:14" ht="12.75" hidden="1" customHeight="1" x14ac:dyDescent="0.2">
      <c r="K1654" s="149"/>
      <c r="N1654" s="149"/>
    </row>
    <row r="1655" spans="11:14" ht="12.75" hidden="1" customHeight="1" x14ac:dyDescent="0.2">
      <c r="K1655" s="153"/>
      <c r="N1655" s="153"/>
    </row>
    <row r="1656" spans="11:14" ht="12.75" hidden="1" customHeight="1" x14ac:dyDescent="0.2">
      <c r="K1656" s="149"/>
      <c r="N1656" s="149"/>
    </row>
    <row r="1657" spans="11:14" ht="12.75" hidden="1" customHeight="1" x14ac:dyDescent="0.2">
      <c r="K1657" s="149"/>
      <c r="N1657" s="149"/>
    </row>
    <row r="1658" spans="11:14" ht="12.75" hidden="1" customHeight="1" x14ac:dyDescent="0.2">
      <c r="K1658" s="149"/>
      <c r="N1658" s="149"/>
    </row>
    <row r="1659" spans="11:14" ht="12.75" hidden="1" customHeight="1" x14ac:dyDescent="0.2">
      <c r="K1659" s="153"/>
      <c r="N1659" s="153"/>
    </row>
    <row r="1660" spans="11:14" ht="12.75" hidden="1" customHeight="1" x14ac:dyDescent="0.2">
      <c r="K1660" s="149"/>
      <c r="N1660" s="149"/>
    </row>
    <row r="1661" spans="11:14" ht="12.75" hidden="1" customHeight="1" x14ac:dyDescent="0.2">
      <c r="K1661" s="149"/>
      <c r="N1661" s="149"/>
    </row>
    <row r="1662" spans="11:14" ht="12.75" hidden="1" customHeight="1" x14ac:dyDescent="0.2">
      <c r="K1662" s="149"/>
      <c r="N1662" s="149"/>
    </row>
    <row r="1663" spans="11:14" ht="12.75" hidden="1" customHeight="1" x14ac:dyDescent="0.2">
      <c r="K1663" s="153"/>
      <c r="N1663" s="153"/>
    </row>
    <row r="1664" spans="11:14" ht="12.75" hidden="1" customHeight="1" x14ac:dyDescent="0.2">
      <c r="K1664" s="149"/>
      <c r="N1664" s="149"/>
    </row>
    <row r="1665" spans="11:14" ht="12.75" hidden="1" customHeight="1" x14ac:dyDescent="0.2">
      <c r="K1665" s="149"/>
      <c r="N1665" s="149"/>
    </row>
    <row r="1666" spans="11:14" ht="12.75" hidden="1" customHeight="1" x14ac:dyDescent="0.2">
      <c r="K1666" s="149"/>
      <c r="N1666" s="149"/>
    </row>
    <row r="1667" spans="11:14" ht="12.75" hidden="1" customHeight="1" x14ac:dyDescent="0.2">
      <c r="K1667" s="153"/>
      <c r="N1667" s="153"/>
    </row>
    <row r="1668" spans="11:14" ht="12.75" hidden="1" customHeight="1" x14ac:dyDescent="0.2">
      <c r="K1668" s="149"/>
      <c r="N1668" s="149"/>
    </row>
    <row r="1669" spans="11:14" ht="12.75" hidden="1" customHeight="1" x14ac:dyDescent="0.2">
      <c r="K1669" s="149"/>
      <c r="N1669" s="149"/>
    </row>
    <row r="1670" spans="11:14" ht="12.75" hidden="1" customHeight="1" x14ac:dyDescent="0.2">
      <c r="K1670" s="149"/>
      <c r="N1670" s="149"/>
    </row>
    <row r="1671" spans="11:14" ht="12.75" hidden="1" customHeight="1" x14ac:dyDescent="0.2">
      <c r="K1671" s="153"/>
      <c r="N1671" s="153"/>
    </row>
    <row r="1672" spans="11:14" ht="12.75" hidden="1" customHeight="1" x14ac:dyDescent="0.2">
      <c r="K1672" s="149"/>
      <c r="N1672" s="149"/>
    </row>
    <row r="1673" spans="11:14" ht="12.75" hidden="1" customHeight="1" x14ac:dyDescent="0.2">
      <c r="K1673" s="149"/>
      <c r="N1673" s="149"/>
    </row>
    <row r="1674" spans="11:14" ht="12.75" hidden="1" customHeight="1" x14ac:dyDescent="0.2">
      <c r="K1674" s="149"/>
      <c r="N1674" s="149"/>
    </row>
    <row r="1675" spans="11:14" ht="12.75" hidden="1" customHeight="1" x14ac:dyDescent="0.2">
      <c r="K1675" s="153"/>
      <c r="N1675" s="153"/>
    </row>
    <row r="1676" spans="11:14" ht="12.75" hidden="1" customHeight="1" x14ac:dyDescent="0.2">
      <c r="K1676" s="149"/>
      <c r="N1676" s="149"/>
    </row>
    <row r="1677" spans="11:14" ht="12.75" hidden="1" customHeight="1" x14ac:dyDescent="0.2">
      <c r="K1677" s="149"/>
      <c r="N1677" s="149"/>
    </row>
    <row r="1678" spans="11:14" ht="12.75" hidden="1" customHeight="1" x14ac:dyDescent="0.2">
      <c r="K1678" s="149"/>
      <c r="N1678" s="149"/>
    </row>
    <row r="1679" spans="11:14" ht="12.75" hidden="1" customHeight="1" x14ac:dyDescent="0.2">
      <c r="K1679" s="153"/>
      <c r="N1679" s="153"/>
    </row>
    <row r="1680" spans="11:14" ht="12.75" hidden="1" customHeight="1" x14ac:dyDescent="0.2">
      <c r="K1680" s="149"/>
      <c r="N1680" s="149"/>
    </row>
    <row r="1681" spans="11:14" ht="12.75" hidden="1" customHeight="1" x14ac:dyDescent="0.2">
      <c r="K1681" s="149"/>
      <c r="N1681" s="149"/>
    </row>
    <row r="1682" spans="11:14" ht="12.75" hidden="1" customHeight="1" x14ac:dyDescent="0.2">
      <c r="K1682" s="149"/>
      <c r="N1682" s="149"/>
    </row>
    <row r="1683" spans="11:14" ht="12.75" hidden="1" customHeight="1" x14ac:dyDescent="0.2">
      <c r="K1683" s="153"/>
      <c r="N1683" s="153"/>
    </row>
    <row r="1684" spans="11:14" ht="12.75" hidden="1" customHeight="1" x14ac:dyDescent="0.2">
      <c r="K1684" s="149"/>
      <c r="N1684" s="149"/>
    </row>
    <row r="1685" spans="11:14" ht="12.75" hidden="1" customHeight="1" x14ac:dyDescent="0.2">
      <c r="K1685" s="149"/>
      <c r="N1685" s="149"/>
    </row>
    <row r="1686" spans="11:14" ht="12.75" hidden="1" customHeight="1" x14ac:dyDescent="0.2">
      <c r="K1686" s="149"/>
      <c r="N1686" s="149"/>
    </row>
    <row r="1687" spans="11:14" ht="12.75" hidden="1" customHeight="1" x14ac:dyDescent="0.2">
      <c r="K1687" s="153"/>
      <c r="N1687" s="153"/>
    </row>
    <row r="1688" spans="11:14" ht="12.75" hidden="1" customHeight="1" x14ac:dyDescent="0.2">
      <c r="K1688" s="149"/>
      <c r="N1688" s="149"/>
    </row>
    <row r="1689" spans="11:14" ht="12.75" hidden="1" customHeight="1" x14ac:dyDescent="0.2">
      <c r="K1689" s="149"/>
      <c r="N1689" s="149"/>
    </row>
    <row r="1690" spans="11:14" ht="12.75" hidden="1" customHeight="1" x14ac:dyDescent="0.2">
      <c r="K1690" s="149"/>
      <c r="N1690" s="149"/>
    </row>
    <row r="1691" spans="11:14" ht="12.75" hidden="1" customHeight="1" x14ac:dyDescent="0.2">
      <c r="K1691" s="153"/>
      <c r="N1691" s="153"/>
    </row>
    <row r="1692" spans="11:14" ht="12.75" hidden="1" customHeight="1" x14ac:dyDescent="0.2">
      <c r="K1692" s="149"/>
      <c r="N1692" s="149"/>
    </row>
    <row r="1693" spans="11:14" ht="12.75" hidden="1" customHeight="1" x14ac:dyDescent="0.2">
      <c r="K1693" s="149"/>
      <c r="N1693" s="149"/>
    </row>
    <row r="1694" spans="11:14" ht="12.75" hidden="1" customHeight="1" x14ac:dyDescent="0.2">
      <c r="K1694" s="149"/>
      <c r="N1694" s="149"/>
    </row>
    <row r="1695" spans="11:14" ht="12.75" hidden="1" customHeight="1" x14ac:dyDescent="0.2">
      <c r="K1695" s="153"/>
      <c r="N1695" s="153"/>
    </row>
    <row r="1696" spans="11:14" ht="12.75" hidden="1" customHeight="1" x14ac:dyDescent="0.2">
      <c r="K1696" s="149"/>
      <c r="N1696" s="149"/>
    </row>
    <row r="1697" spans="11:14" ht="12.75" hidden="1" customHeight="1" x14ac:dyDescent="0.2">
      <c r="K1697" s="149"/>
      <c r="N1697" s="149"/>
    </row>
    <row r="1698" spans="11:14" ht="12.75" hidden="1" customHeight="1" x14ac:dyDescent="0.2">
      <c r="K1698" s="149"/>
      <c r="N1698" s="149"/>
    </row>
    <row r="1699" spans="11:14" ht="12.75" hidden="1" customHeight="1" x14ac:dyDescent="0.2">
      <c r="K1699" s="153"/>
      <c r="N1699" s="153"/>
    </row>
    <row r="1700" spans="11:14" ht="12.75" hidden="1" customHeight="1" x14ac:dyDescent="0.2">
      <c r="K1700" s="149"/>
      <c r="N1700" s="149"/>
    </row>
    <row r="1701" spans="11:14" ht="12.75" hidden="1" customHeight="1" x14ac:dyDescent="0.2">
      <c r="K1701" s="149"/>
      <c r="N1701" s="149"/>
    </row>
    <row r="1702" spans="11:14" ht="12.75" hidden="1" customHeight="1" x14ac:dyDescent="0.2">
      <c r="K1702" s="149"/>
      <c r="N1702" s="149"/>
    </row>
    <row r="1703" spans="11:14" ht="12.75" hidden="1" customHeight="1" x14ac:dyDescent="0.2">
      <c r="K1703" s="153"/>
      <c r="N1703" s="153"/>
    </row>
    <row r="1704" spans="11:14" ht="12.75" hidden="1" customHeight="1" x14ac:dyDescent="0.2">
      <c r="K1704" s="149"/>
      <c r="N1704" s="149"/>
    </row>
    <row r="1705" spans="11:14" ht="12.75" hidden="1" customHeight="1" x14ac:dyDescent="0.2">
      <c r="K1705" s="149"/>
      <c r="N1705" s="149"/>
    </row>
    <row r="1706" spans="11:14" ht="12.75" hidden="1" customHeight="1" x14ac:dyDescent="0.2">
      <c r="K1706" s="149"/>
      <c r="N1706" s="149"/>
    </row>
    <row r="1707" spans="11:14" ht="12.75" hidden="1" customHeight="1" x14ac:dyDescent="0.2">
      <c r="K1707" s="153"/>
      <c r="N1707" s="153"/>
    </row>
    <row r="1708" spans="11:14" ht="12.75" hidden="1" customHeight="1" x14ac:dyDescent="0.2">
      <c r="K1708" s="149"/>
      <c r="N1708" s="149"/>
    </row>
    <row r="1709" spans="11:14" ht="12.75" hidden="1" customHeight="1" x14ac:dyDescent="0.2">
      <c r="K1709" s="149"/>
      <c r="N1709" s="149"/>
    </row>
    <row r="1710" spans="11:14" ht="12.75" hidden="1" customHeight="1" x14ac:dyDescent="0.2">
      <c r="K1710" s="149"/>
      <c r="N1710" s="149"/>
    </row>
    <row r="1711" spans="11:14" ht="12.75" hidden="1" customHeight="1" x14ac:dyDescent="0.2">
      <c r="K1711" s="153"/>
      <c r="N1711" s="153"/>
    </row>
    <row r="1712" spans="11:14" ht="12.75" hidden="1" customHeight="1" x14ac:dyDescent="0.2">
      <c r="K1712" s="149"/>
      <c r="N1712" s="149"/>
    </row>
    <row r="1713" spans="11:14" ht="12.75" hidden="1" customHeight="1" x14ac:dyDescent="0.2">
      <c r="K1713" s="149"/>
      <c r="N1713" s="149"/>
    </row>
    <row r="1714" spans="11:14" ht="12.75" hidden="1" customHeight="1" x14ac:dyDescent="0.2">
      <c r="K1714" s="149"/>
      <c r="N1714" s="149"/>
    </row>
    <row r="1715" spans="11:14" ht="12.75" hidden="1" customHeight="1" x14ac:dyDescent="0.2">
      <c r="K1715" s="153"/>
      <c r="N1715" s="153"/>
    </row>
    <row r="1716" spans="11:14" ht="12.75" hidden="1" customHeight="1" x14ac:dyDescent="0.2">
      <c r="K1716" s="149"/>
      <c r="N1716" s="149"/>
    </row>
    <row r="1717" spans="11:14" ht="12.75" hidden="1" customHeight="1" x14ac:dyDescent="0.2">
      <c r="K1717" s="149"/>
      <c r="N1717" s="149"/>
    </row>
    <row r="1718" spans="11:14" ht="12.75" hidden="1" customHeight="1" x14ac:dyDescent="0.2">
      <c r="K1718" s="149"/>
      <c r="N1718" s="149"/>
    </row>
    <row r="1719" spans="11:14" ht="12.75" hidden="1" customHeight="1" x14ac:dyDescent="0.2">
      <c r="K1719" s="153"/>
      <c r="N1719" s="153"/>
    </row>
    <row r="1720" spans="11:14" ht="12.75" hidden="1" customHeight="1" x14ac:dyDescent="0.2">
      <c r="K1720" s="149"/>
      <c r="N1720" s="149"/>
    </row>
    <row r="1721" spans="11:14" ht="12.75" hidden="1" customHeight="1" x14ac:dyDescent="0.2">
      <c r="K1721" s="149"/>
      <c r="N1721" s="149"/>
    </row>
    <row r="1722" spans="11:14" ht="12.75" hidden="1" customHeight="1" x14ac:dyDescent="0.2">
      <c r="K1722" s="149"/>
      <c r="N1722" s="149"/>
    </row>
    <row r="1723" spans="11:14" ht="12.75" hidden="1" customHeight="1" x14ac:dyDescent="0.2">
      <c r="K1723" s="153"/>
      <c r="N1723" s="153"/>
    </row>
    <row r="1724" spans="11:14" ht="12.75" hidden="1" customHeight="1" x14ac:dyDescent="0.2">
      <c r="K1724" s="149"/>
      <c r="N1724" s="149"/>
    </row>
    <row r="1725" spans="11:14" ht="12.75" hidden="1" customHeight="1" x14ac:dyDescent="0.2">
      <c r="K1725" s="149"/>
      <c r="N1725" s="149"/>
    </row>
    <row r="1726" spans="11:14" ht="12.75" hidden="1" customHeight="1" x14ac:dyDescent="0.2">
      <c r="K1726" s="149"/>
      <c r="N1726" s="149"/>
    </row>
    <row r="1727" spans="11:14" ht="12.75" hidden="1" customHeight="1" x14ac:dyDescent="0.2">
      <c r="K1727" s="153"/>
      <c r="N1727" s="153"/>
    </row>
    <row r="1728" spans="11:14" ht="12.75" hidden="1" customHeight="1" x14ac:dyDescent="0.2">
      <c r="K1728" s="149"/>
      <c r="N1728" s="149"/>
    </row>
    <row r="1729" spans="11:14" ht="12.75" hidden="1" customHeight="1" x14ac:dyDescent="0.2">
      <c r="K1729" s="149"/>
      <c r="N1729" s="149"/>
    </row>
    <row r="1730" spans="11:14" ht="12.75" hidden="1" customHeight="1" x14ac:dyDescent="0.2">
      <c r="K1730" s="149"/>
      <c r="N1730" s="149"/>
    </row>
    <row r="1731" spans="11:14" ht="12.75" hidden="1" customHeight="1" x14ac:dyDescent="0.2">
      <c r="K1731" s="153"/>
      <c r="N1731" s="153"/>
    </row>
    <row r="1732" spans="11:14" ht="12.75" hidden="1" customHeight="1" x14ac:dyDescent="0.2">
      <c r="K1732" s="149"/>
      <c r="N1732" s="149"/>
    </row>
    <row r="1733" spans="11:14" ht="12.75" hidden="1" customHeight="1" x14ac:dyDescent="0.2">
      <c r="K1733" s="149"/>
      <c r="N1733" s="149"/>
    </row>
    <row r="1734" spans="11:14" ht="12.75" hidden="1" customHeight="1" x14ac:dyDescent="0.2">
      <c r="K1734" s="149"/>
      <c r="N1734" s="149"/>
    </row>
    <row r="1735" spans="11:14" ht="12.75" hidden="1" customHeight="1" x14ac:dyDescent="0.2">
      <c r="K1735" s="153"/>
      <c r="N1735" s="153"/>
    </row>
    <row r="1736" spans="11:14" ht="12.75" hidden="1" customHeight="1" x14ac:dyDescent="0.2">
      <c r="K1736" s="149"/>
      <c r="N1736" s="149"/>
    </row>
    <row r="1737" spans="11:14" ht="12.75" hidden="1" customHeight="1" x14ac:dyDescent="0.2">
      <c r="K1737" s="149"/>
      <c r="N1737" s="149"/>
    </row>
    <row r="1738" spans="11:14" ht="12.75" hidden="1" customHeight="1" x14ac:dyDescent="0.2">
      <c r="K1738" s="149"/>
      <c r="N1738" s="149"/>
    </row>
    <row r="1739" spans="11:14" ht="12.75" hidden="1" customHeight="1" x14ac:dyDescent="0.2">
      <c r="K1739" s="153"/>
      <c r="N1739" s="153"/>
    </row>
    <row r="1740" spans="11:14" ht="12.75" hidden="1" customHeight="1" x14ac:dyDescent="0.2">
      <c r="K1740" s="149"/>
      <c r="N1740" s="149"/>
    </row>
    <row r="1741" spans="11:14" ht="12.75" hidden="1" customHeight="1" x14ac:dyDescent="0.2">
      <c r="K1741" s="149"/>
      <c r="N1741" s="149"/>
    </row>
    <row r="1742" spans="11:14" ht="12.75" hidden="1" customHeight="1" x14ac:dyDescent="0.2">
      <c r="K1742" s="149"/>
      <c r="N1742" s="149"/>
    </row>
    <row r="1743" spans="11:14" ht="12.75" hidden="1" customHeight="1" x14ac:dyDescent="0.2">
      <c r="K1743" s="153"/>
      <c r="N1743" s="153"/>
    </row>
    <row r="1744" spans="11:14" ht="12.75" hidden="1" customHeight="1" x14ac:dyDescent="0.2">
      <c r="K1744" s="149"/>
      <c r="N1744" s="149"/>
    </row>
    <row r="1745" spans="11:14" ht="12.75" hidden="1" customHeight="1" x14ac:dyDescent="0.2">
      <c r="K1745" s="149"/>
      <c r="N1745" s="149"/>
    </row>
    <row r="1746" spans="11:14" ht="12.75" hidden="1" customHeight="1" x14ac:dyDescent="0.2">
      <c r="K1746" s="149"/>
      <c r="N1746" s="149"/>
    </row>
    <row r="1747" spans="11:14" ht="12.75" hidden="1" customHeight="1" x14ac:dyDescent="0.2">
      <c r="K1747" s="153"/>
      <c r="N1747" s="153"/>
    </row>
    <row r="1748" spans="11:14" ht="12.75" hidden="1" customHeight="1" x14ac:dyDescent="0.2">
      <c r="K1748" s="149"/>
      <c r="N1748" s="149"/>
    </row>
    <row r="1749" spans="11:14" ht="12.75" hidden="1" customHeight="1" x14ac:dyDescent="0.2">
      <c r="K1749" s="149"/>
      <c r="N1749" s="149"/>
    </row>
    <row r="1750" spans="11:14" ht="12.75" hidden="1" customHeight="1" x14ac:dyDescent="0.2">
      <c r="K1750" s="149"/>
      <c r="N1750" s="149"/>
    </row>
    <row r="1751" spans="11:14" ht="12.75" hidden="1" customHeight="1" x14ac:dyDescent="0.2">
      <c r="K1751" s="153"/>
      <c r="N1751" s="153"/>
    </row>
    <row r="1752" spans="11:14" ht="12.75" hidden="1" customHeight="1" x14ac:dyDescent="0.2">
      <c r="K1752" s="149"/>
      <c r="N1752" s="149"/>
    </row>
    <row r="1753" spans="11:14" ht="12.75" hidden="1" customHeight="1" x14ac:dyDescent="0.2">
      <c r="K1753" s="149"/>
      <c r="N1753" s="149"/>
    </row>
    <row r="1754" spans="11:14" ht="12.75" hidden="1" customHeight="1" x14ac:dyDescent="0.2">
      <c r="K1754" s="149"/>
      <c r="N1754" s="149"/>
    </row>
    <row r="1755" spans="11:14" ht="12.75" hidden="1" customHeight="1" x14ac:dyDescent="0.2">
      <c r="K1755" s="153"/>
      <c r="N1755" s="153"/>
    </row>
    <row r="1756" spans="11:14" ht="12.75" hidden="1" customHeight="1" x14ac:dyDescent="0.2">
      <c r="K1756" s="149"/>
      <c r="N1756" s="149"/>
    </row>
    <row r="1757" spans="11:14" ht="12.75" hidden="1" customHeight="1" x14ac:dyDescent="0.2">
      <c r="K1757" s="149"/>
      <c r="N1757" s="149"/>
    </row>
    <row r="1758" spans="11:14" ht="12.75" hidden="1" customHeight="1" x14ac:dyDescent="0.2">
      <c r="K1758" s="149"/>
      <c r="N1758" s="149"/>
    </row>
    <row r="1759" spans="11:14" ht="12.75" hidden="1" customHeight="1" x14ac:dyDescent="0.2">
      <c r="K1759" s="153"/>
      <c r="N1759" s="153"/>
    </row>
    <row r="1760" spans="11:14" ht="12.75" hidden="1" customHeight="1" x14ac:dyDescent="0.2">
      <c r="K1760" s="149"/>
      <c r="N1760" s="149"/>
    </row>
    <row r="1761" spans="11:14" ht="12.75" hidden="1" customHeight="1" x14ac:dyDescent="0.2">
      <c r="K1761" s="149"/>
      <c r="N1761" s="149"/>
    </row>
    <row r="1762" spans="11:14" ht="12.75" hidden="1" customHeight="1" x14ac:dyDescent="0.2">
      <c r="K1762" s="149"/>
      <c r="N1762" s="149"/>
    </row>
    <row r="1763" spans="11:14" ht="12.75" hidden="1" customHeight="1" x14ac:dyDescent="0.2">
      <c r="K1763" s="153"/>
      <c r="N1763" s="153"/>
    </row>
    <row r="1764" spans="11:14" ht="12.75" hidden="1" customHeight="1" x14ac:dyDescent="0.2">
      <c r="K1764" s="149"/>
      <c r="N1764" s="149"/>
    </row>
    <row r="1765" spans="11:14" ht="12.75" hidden="1" customHeight="1" x14ac:dyDescent="0.2">
      <c r="K1765" s="149"/>
      <c r="N1765" s="149"/>
    </row>
    <row r="1766" spans="11:14" ht="12.75" hidden="1" customHeight="1" x14ac:dyDescent="0.2">
      <c r="K1766" s="149"/>
      <c r="N1766" s="149"/>
    </row>
    <row r="1767" spans="11:14" ht="12.75" hidden="1" customHeight="1" x14ac:dyDescent="0.2">
      <c r="K1767" s="153"/>
      <c r="N1767" s="153"/>
    </row>
    <row r="1768" spans="11:14" ht="12.75" hidden="1" customHeight="1" x14ac:dyDescent="0.2">
      <c r="K1768" s="149"/>
      <c r="N1768" s="149"/>
    </row>
    <row r="1769" spans="11:14" ht="12.75" hidden="1" customHeight="1" x14ac:dyDescent="0.2">
      <c r="K1769" s="149"/>
      <c r="N1769" s="149"/>
    </row>
    <row r="1770" spans="11:14" ht="12.75" hidden="1" customHeight="1" x14ac:dyDescent="0.2">
      <c r="K1770" s="149"/>
      <c r="N1770" s="149"/>
    </row>
    <row r="1771" spans="11:14" ht="12.75" hidden="1" customHeight="1" x14ac:dyDescent="0.2">
      <c r="K1771" s="153"/>
      <c r="N1771" s="153"/>
    </row>
    <row r="1772" spans="11:14" ht="12.75" hidden="1" customHeight="1" x14ac:dyDescent="0.2">
      <c r="K1772" s="149"/>
      <c r="N1772" s="149"/>
    </row>
    <row r="1773" spans="11:14" ht="12.75" hidden="1" customHeight="1" x14ac:dyDescent="0.2">
      <c r="K1773" s="149"/>
      <c r="N1773" s="149"/>
    </row>
    <row r="1774" spans="11:14" ht="12.75" hidden="1" customHeight="1" x14ac:dyDescent="0.2">
      <c r="K1774" s="149"/>
      <c r="N1774" s="149"/>
    </row>
    <row r="1775" spans="11:14" ht="12.75" hidden="1" customHeight="1" x14ac:dyDescent="0.2">
      <c r="K1775" s="153"/>
      <c r="N1775" s="153"/>
    </row>
    <row r="1776" spans="11:14" ht="12.75" hidden="1" customHeight="1" x14ac:dyDescent="0.2">
      <c r="K1776" s="149"/>
      <c r="N1776" s="149"/>
    </row>
    <row r="1777" spans="11:14" ht="12.75" hidden="1" customHeight="1" x14ac:dyDescent="0.2">
      <c r="K1777" s="149"/>
      <c r="N1777" s="149"/>
    </row>
    <row r="1778" spans="11:14" ht="12.75" hidden="1" customHeight="1" x14ac:dyDescent="0.2">
      <c r="K1778" s="149"/>
      <c r="N1778" s="149"/>
    </row>
    <row r="1779" spans="11:14" ht="12.75" hidden="1" customHeight="1" x14ac:dyDescent="0.2">
      <c r="K1779" s="153"/>
      <c r="N1779" s="153"/>
    </row>
    <row r="1780" spans="11:14" ht="12.75" hidden="1" customHeight="1" x14ac:dyDescent="0.2">
      <c r="K1780" s="149"/>
      <c r="N1780" s="149"/>
    </row>
    <row r="1781" spans="11:14" ht="12.75" hidden="1" customHeight="1" x14ac:dyDescent="0.2">
      <c r="K1781" s="149"/>
      <c r="N1781" s="149"/>
    </row>
    <row r="1782" spans="11:14" ht="12.75" hidden="1" customHeight="1" x14ac:dyDescent="0.2">
      <c r="K1782" s="149"/>
      <c r="N1782" s="149"/>
    </row>
    <row r="1783" spans="11:14" ht="12.75" hidden="1" customHeight="1" x14ac:dyDescent="0.2">
      <c r="K1783" s="153"/>
      <c r="N1783" s="153"/>
    </row>
    <row r="1784" spans="11:14" ht="12.75" hidden="1" customHeight="1" x14ac:dyDescent="0.2">
      <c r="K1784" s="149"/>
      <c r="N1784" s="149"/>
    </row>
    <row r="1785" spans="11:14" ht="12.75" hidden="1" customHeight="1" x14ac:dyDescent="0.2">
      <c r="K1785" s="149"/>
      <c r="N1785" s="149"/>
    </row>
    <row r="1786" spans="11:14" ht="12.75" hidden="1" customHeight="1" x14ac:dyDescent="0.2">
      <c r="K1786" s="149"/>
      <c r="N1786" s="149"/>
    </row>
    <row r="1787" spans="11:14" ht="12.75" hidden="1" customHeight="1" x14ac:dyDescent="0.2">
      <c r="K1787" s="153"/>
      <c r="N1787" s="153"/>
    </row>
    <row r="1788" spans="11:14" ht="12.75" hidden="1" customHeight="1" x14ac:dyDescent="0.2">
      <c r="K1788" s="149"/>
      <c r="N1788" s="149"/>
    </row>
    <row r="1789" spans="11:14" ht="12.75" hidden="1" customHeight="1" x14ac:dyDescent="0.2">
      <c r="K1789" s="149"/>
      <c r="N1789" s="149"/>
    </row>
    <row r="1790" spans="11:14" ht="12.75" hidden="1" customHeight="1" x14ac:dyDescent="0.2">
      <c r="K1790" s="149"/>
      <c r="N1790" s="149"/>
    </row>
    <row r="1791" spans="11:14" ht="12.75" hidden="1" customHeight="1" x14ac:dyDescent="0.2">
      <c r="K1791" s="153"/>
      <c r="N1791" s="153"/>
    </row>
    <row r="1792" spans="11:14" ht="12.75" hidden="1" customHeight="1" x14ac:dyDescent="0.2">
      <c r="K1792" s="149"/>
      <c r="N1792" s="149"/>
    </row>
    <row r="1793" spans="11:14" ht="12.75" hidden="1" customHeight="1" x14ac:dyDescent="0.2">
      <c r="K1793" s="149"/>
      <c r="N1793" s="149"/>
    </row>
    <row r="1794" spans="11:14" ht="12.75" hidden="1" customHeight="1" x14ac:dyDescent="0.2">
      <c r="K1794" s="149"/>
      <c r="N1794" s="149"/>
    </row>
    <row r="1795" spans="11:14" ht="12.75" hidden="1" customHeight="1" x14ac:dyDescent="0.2">
      <c r="K1795" s="153"/>
      <c r="N1795" s="153"/>
    </row>
    <row r="1796" spans="11:14" ht="12.75" hidden="1" customHeight="1" x14ac:dyDescent="0.2">
      <c r="K1796" s="149"/>
      <c r="N1796" s="149"/>
    </row>
    <row r="1797" spans="11:14" ht="12.75" hidden="1" customHeight="1" x14ac:dyDescent="0.2">
      <c r="K1797" s="149"/>
      <c r="N1797" s="149"/>
    </row>
    <row r="1798" spans="11:14" ht="12.75" hidden="1" customHeight="1" x14ac:dyDescent="0.2">
      <c r="K1798" s="149"/>
      <c r="N1798" s="149"/>
    </row>
    <row r="1799" spans="11:14" ht="12.75" hidden="1" customHeight="1" x14ac:dyDescent="0.2">
      <c r="K1799" s="153"/>
      <c r="N1799" s="153"/>
    </row>
    <row r="1800" spans="11:14" ht="12.75" hidden="1" customHeight="1" x14ac:dyDescent="0.2">
      <c r="K1800" s="149"/>
      <c r="N1800" s="149"/>
    </row>
    <row r="1801" spans="11:14" ht="12.75" hidden="1" customHeight="1" x14ac:dyDescent="0.2">
      <c r="K1801" s="149"/>
      <c r="N1801" s="149"/>
    </row>
    <row r="1802" spans="11:14" ht="12.75" hidden="1" customHeight="1" x14ac:dyDescent="0.2">
      <c r="K1802" s="149"/>
      <c r="N1802" s="149"/>
    </row>
    <row r="1803" spans="11:14" ht="12.75" hidden="1" customHeight="1" x14ac:dyDescent="0.2">
      <c r="K1803" s="153"/>
      <c r="N1803" s="153"/>
    </row>
    <row r="1804" spans="11:14" ht="12.75" hidden="1" customHeight="1" x14ac:dyDescent="0.2">
      <c r="K1804" s="149"/>
      <c r="N1804" s="149"/>
    </row>
    <row r="1805" spans="11:14" ht="12.75" hidden="1" customHeight="1" x14ac:dyDescent="0.2">
      <c r="K1805" s="149"/>
      <c r="N1805" s="149"/>
    </row>
    <row r="1806" spans="11:14" ht="12.75" hidden="1" customHeight="1" x14ac:dyDescent="0.2">
      <c r="K1806" s="149"/>
      <c r="N1806" s="149"/>
    </row>
    <row r="1807" spans="11:14" ht="12.75" hidden="1" customHeight="1" x14ac:dyDescent="0.2">
      <c r="K1807" s="153"/>
      <c r="N1807" s="153"/>
    </row>
    <row r="1808" spans="11:14" ht="12.75" hidden="1" customHeight="1" x14ac:dyDescent="0.2">
      <c r="K1808" s="149"/>
      <c r="N1808" s="149"/>
    </row>
    <row r="1809" spans="11:14" ht="12.75" hidden="1" customHeight="1" x14ac:dyDescent="0.2">
      <c r="K1809" s="149"/>
      <c r="N1809" s="149"/>
    </row>
    <row r="1810" spans="11:14" ht="12.75" hidden="1" customHeight="1" x14ac:dyDescent="0.2">
      <c r="K1810" s="149"/>
      <c r="N1810" s="149"/>
    </row>
    <row r="1811" spans="11:14" ht="12.75" hidden="1" customHeight="1" x14ac:dyDescent="0.2">
      <c r="K1811" s="153"/>
      <c r="N1811" s="153"/>
    </row>
    <row r="1812" spans="11:14" ht="12.75" hidden="1" customHeight="1" x14ac:dyDescent="0.2">
      <c r="K1812" s="149"/>
      <c r="N1812" s="149"/>
    </row>
    <row r="1813" spans="11:14" ht="12.75" hidden="1" customHeight="1" x14ac:dyDescent="0.2">
      <c r="K1813" s="149"/>
      <c r="N1813" s="149"/>
    </row>
    <row r="1814" spans="11:14" ht="12.75" hidden="1" customHeight="1" x14ac:dyDescent="0.2">
      <c r="K1814" s="149"/>
      <c r="N1814" s="149"/>
    </row>
    <row r="1815" spans="11:14" ht="12.75" hidden="1" customHeight="1" x14ac:dyDescent="0.2">
      <c r="K1815" s="153"/>
      <c r="N1815" s="153"/>
    </row>
    <row r="1816" spans="11:14" ht="12.75" hidden="1" customHeight="1" x14ac:dyDescent="0.2">
      <c r="K1816" s="149"/>
      <c r="N1816" s="149"/>
    </row>
    <row r="1817" spans="11:14" ht="12.75" hidden="1" customHeight="1" x14ac:dyDescent="0.2">
      <c r="K1817" s="149"/>
      <c r="N1817" s="149"/>
    </row>
    <row r="1818" spans="11:14" ht="12.75" hidden="1" customHeight="1" x14ac:dyDescent="0.2">
      <c r="K1818" s="149"/>
      <c r="N1818" s="149"/>
    </row>
    <row r="1819" spans="11:14" ht="12.75" hidden="1" customHeight="1" x14ac:dyDescent="0.2">
      <c r="K1819" s="153"/>
      <c r="N1819" s="153"/>
    </row>
    <row r="1820" spans="11:14" ht="12.75" hidden="1" customHeight="1" x14ac:dyDescent="0.2">
      <c r="K1820" s="149"/>
      <c r="N1820" s="149"/>
    </row>
    <row r="1821" spans="11:14" ht="12.75" hidden="1" customHeight="1" x14ac:dyDescent="0.2">
      <c r="K1821" s="149"/>
      <c r="N1821" s="149"/>
    </row>
    <row r="1822" spans="11:14" ht="12.75" hidden="1" customHeight="1" x14ac:dyDescent="0.2">
      <c r="K1822" s="149"/>
      <c r="N1822" s="149"/>
    </row>
    <row r="1823" spans="11:14" ht="12.75" hidden="1" customHeight="1" x14ac:dyDescent="0.2">
      <c r="K1823" s="153"/>
      <c r="N1823" s="153"/>
    </row>
    <row r="1824" spans="11:14" ht="12.75" hidden="1" customHeight="1" x14ac:dyDescent="0.2">
      <c r="K1824" s="149"/>
      <c r="N1824" s="149"/>
    </row>
    <row r="1825" spans="11:14" ht="12.75" hidden="1" customHeight="1" x14ac:dyDescent="0.2">
      <c r="K1825" s="149"/>
      <c r="N1825" s="149"/>
    </row>
    <row r="1826" spans="11:14" ht="12.75" hidden="1" customHeight="1" x14ac:dyDescent="0.2">
      <c r="K1826" s="149"/>
      <c r="N1826" s="149"/>
    </row>
    <row r="1827" spans="11:14" ht="12.75" hidden="1" customHeight="1" x14ac:dyDescent="0.2">
      <c r="K1827" s="153"/>
      <c r="N1827" s="153"/>
    </row>
    <row r="1828" spans="11:14" ht="12.75" hidden="1" customHeight="1" x14ac:dyDescent="0.2">
      <c r="K1828" s="149"/>
      <c r="N1828" s="149"/>
    </row>
    <row r="1829" spans="11:14" ht="12.75" hidden="1" customHeight="1" x14ac:dyDescent="0.2">
      <c r="K1829" s="149"/>
      <c r="N1829" s="149"/>
    </row>
    <row r="1830" spans="11:14" ht="12.75" hidden="1" customHeight="1" x14ac:dyDescent="0.2">
      <c r="K1830" s="149"/>
      <c r="N1830" s="149"/>
    </row>
    <row r="1831" spans="11:14" ht="12.75" hidden="1" customHeight="1" x14ac:dyDescent="0.2">
      <c r="K1831" s="153"/>
      <c r="N1831" s="153"/>
    </row>
    <row r="1832" spans="11:14" ht="12.75" hidden="1" customHeight="1" x14ac:dyDescent="0.2">
      <c r="K1832" s="149"/>
      <c r="N1832" s="149"/>
    </row>
    <row r="1833" spans="11:14" ht="12.75" hidden="1" customHeight="1" x14ac:dyDescent="0.2">
      <c r="K1833" s="149"/>
      <c r="N1833" s="149"/>
    </row>
    <row r="1834" spans="11:14" ht="12.75" hidden="1" customHeight="1" x14ac:dyDescent="0.2">
      <c r="K1834" s="149"/>
      <c r="N1834" s="149"/>
    </row>
    <row r="1835" spans="11:14" ht="12.75" hidden="1" customHeight="1" x14ac:dyDescent="0.2">
      <c r="K1835" s="153"/>
      <c r="N1835" s="153"/>
    </row>
    <row r="1836" spans="11:14" ht="12.75" hidden="1" customHeight="1" x14ac:dyDescent="0.2">
      <c r="K1836" s="149"/>
      <c r="N1836" s="149"/>
    </row>
    <row r="1837" spans="11:14" ht="12.75" hidden="1" customHeight="1" x14ac:dyDescent="0.2">
      <c r="K1837" s="149"/>
      <c r="N1837" s="149"/>
    </row>
    <row r="1838" spans="11:14" ht="12.75" hidden="1" customHeight="1" x14ac:dyDescent="0.2">
      <c r="K1838" s="149"/>
      <c r="N1838" s="149"/>
    </row>
    <row r="1839" spans="11:14" ht="12.75" hidden="1" customHeight="1" x14ac:dyDescent="0.2">
      <c r="K1839" s="153"/>
      <c r="N1839" s="153"/>
    </row>
    <row r="1840" spans="11:14" ht="12.75" hidden="1" customHeight="1" x14ac:dyDescent="0.2">
      <c r="K1840" s="149"/>
      <c r="N1840" s="149"/>
    </row>
    <row r="1841" spans="11:14" ht="12.75" hidden="1" customHeight="1" x14ac:dyDescent="0.2">
      <c r="K1841" s="149"/>
      <c r="N1841" s="149"/>
    </row>
    <row r="1842" spans="11:14" ht="12.75" hidden="1" customHeight="1" x14ac:dyDescent="0.2">
      <c r="K1842" s="149"/>
      <c r="N1842" s="149"/>
    </row>
    <row r="1843" spans="11:14" ht="12.75" hidden="1" customHeight="1" x14ac:dyDescent="0.2">
      <c r="K1843" s="153"/>
      <c r="N1843" s="153"/>
    </row>
    <row r="1844" spans="11:14" ht="12.75" hidden="1" customHeight="1" x14ac:dyDescent="0.2">
      <c r="K1844" s="149"/>
      <c r="N1844" s="149"/>
    </row>
    <row r="1845" spans="11:14" ht="12.75" hidden="1" customHeight="1" x14ac:dyDescent="0.2">
      <c r="K1845" s="149"/>
      <c r="N1845" s="149"/>
    </row>
    <row r="1846" spans="11:14" ht="12.75" hidden="1" customHeight="1" x14ac:dyDescent="0.2">
      <c r="K1846" s="149"/>
      <c r="N1846" s="149"/>
    </row>
    <row r="1847" spans="11:14" ht="12.75" hidden="1" customHeight="1" x14ac:dyDescent="0.2">
      <c r="K1847" s="153"/>
      <c r="N1847" s="153"/>
    </row>
    <row r="1848" spans="11:14" ht="12.75" hidden="1" customHeight="1" x14ac:dyDescent="0.2">
      <c r="K1848" s="149"/>
      <c r="N1848" s="149"/>
    </row>
    <row r="1849" spans="11:14" ht="12.75" hidden="1" customHeight="1" x14ac:dyDescent="0.2">
      <c r="K1849" s="149"/>
      <c r="N1849" s="149"/>
    </row>
    <row r="1850" spans="11:14" ht="12.75" hidden="1" customHeight="1" x14ac:dyDescent="0.2">
      <c r="K1850" s="149"/>
      <c r="N1850" s="149"/>
    </row>
    <row r="1851" spans="11:14" ht="12.75" hidden="1" customHeight="1" x14ac:dyDescent="0.2">
      <c r="K1851" s="153"/>
      <c r="N1851" s="153"/>
    </row>
    <row r="1852" spans="11:14" ht="12.75" hidden="1" customHeight="1" x14ac:dyDescent="0.2">
      <c r="K1852" s="149"/>
      <c r="N1852" s="149"/>
    </row>
    <row r="1853" spans="11:14" ht="12.75" hidden="1" customHeight="1" x14ac:dyDescent="0.2">
      <c r="K1853" s="149"/>
      <c r="N1853" s="149"/>
    </row>
    <row r="1854" spans="11:14" ht="12.75" hidden="1" customHeight="1" x14ac:dyDescent="0.2">
      <c r="K1854" s="149"/>
      <c r="N1854" s="149"/>
    </row>
    <row r="1855" spans="11:14" ht="12.75" hidden="1" customHeight="1" x14ac:dyDescent="0.2">
      <c r="K1855" s="153"/>
      <c r="N1855" s="153"/>
    </row>
    <row r="1856" spans="11:14" ht="12.75" hidden="1" customHeight="1" x14ac:dyDescent="0.2">
      <c r="K1856" s="149"/>
      <c r="N1856" s="149"/>
    </row>
    <row r="1857" spans="11:14" ht="12.75" hidden="1" customHeight="1" x14ac:dyDescent="0.2">
      <c r="K1857" s="149"/>
      <c r="N1857" s="149"/>
    </row>
    <row r="1858" spans="11:14" ht="12.75" hidden="1" customHeight="1" x14ac:dyDescent="0.2">
      <c r="K1858" s="149"/>
      <c r="N1858" s="149"/>
    </row>
    <row r="1859" spans="11:14" ht="12.75" hidden="1" customHeight="1" x14ac:dyDescent="0.2">
      <c r="K1859" s="153"/>
      <c r="N1859" s="153"/>
    </row>
    <row r="1860" spans="11:14" ht="12.75" hidden="1" customHeight="1" x14ac:dyDescent="0.2">
      <c r="K1860" s="149"/>
      <c r="N1860" s="149"/>
    </row>
    <row r="1861" spans="11:14" ht="12.75" hidden="1" customHeight="1" x14ac:dyDescent="0.2">
      <c r="K1861" s="149"/>
      <c r="N1861" s="149"/>
    </row>
    <row r="1862" spans="11:14" ht="12.75" hidden="1" customHeight="1" x14ac:dyDescent="0.2">
      <c r="K1862" s="149"/>
      <c r="N1862" s="149"/>
    </row>
    <row r="1863" spans="11:14" ht="12.75" hidden="1" customHeight="1" x14ac:dyDescent="0.2">
      <c r="K1863" s="153"/>
      <c r="N1863" s="153"/>
    </row>
    <row r="1864" spans="11:14" ht="12.75" hidden="1" customHeight="1" x14ac:dyDescent="0.2">
      <c r="K1864" s="149"/>
      <c r="N1864" s="149"/>
    </row>
    <row r="1865" spans="11:14" ht="12.75" hidden="1" customHeight="1" x14ac:dyDescent="0.2">
      <c r="K1865" s="149"/>
      <c r="N1865" s="149"/>
    </row>
    <row r="1866" spans="11:14" ht="12.75" hidden="1" customHeight="1" x14ac:dyDescent="0.2">
      <c r="K1866" s="149"/>
      <c r="N1866" s="149"/>
    </row>
    <row r="1867" spans="11:14" ht="12.75" hidden="1" customHeight="1" x14ac:dyDescent="0.2">
      <c r="K1867" s="153"/>
      <c r="N1867" s="153"/>
    </row>
    <row r="1868" spans="11:14" ht="12.75" hidden="1" customHeight="1" x14ac:dyDescent="0.2">
      <c r="K1868" s="149"/>
      <c r="N1868" s="149"/>
    </row>
    <row r="1869" spans="11:14" ht="12.75" hidden="1" customHeight="1" x14ac:dyDescent="0.2">
      <c r="K1869" s="149"/>
      <c r="N1869" s="149"/>
    </row>
    <row r="1870" spans="11:14" ht="12.75" hidden="1" customHeight="1" x14ac:dyDescent="0.2">
      <c r="K1870" s="149"/>
      <c r="N1870" s="149"/>
    </row>
    <row r="1871" spans="11:14" ht="12.75" hidden="1" customHeight="1" x14ac:dyDescent="0.2">
      <c r="K1871" s="153"/>
      <c r="N1871" s="153"/>
    </row>
    <row r="1872" spans="11:14" ht="12.75" hidden="1" customHeight="1" x14ac:dyDescent="0.2">
      <c r="K1872" s="149"/>
      <c r="N1872" s="149"/>
    </row>
    <row r="1873" spans="11:14" ht="12.75" hidden="1" customHeight="1" x14ac:dyDescent="0.2">
      <c r="K1873" s="149"/>
      <c r="N1873" s="149"/>
    </row>
    <row r="1874" spans="11:14" ht="12.75" hidden="1" customHeight="1" x14ac:dyDescent="0.2">
      <c r="K1874" s="149"/>
      <c r="N1874" s="149"/>
    </row>
    <row r="1875" spans="11:14" ht="12.75" hidden="1" customHeight="1" x14ac:dyDescent="0.2">
      <c r="K1875" s="153"/>
      <c r="N1875" s="153"/>
    </row>
    <row r="1876" spans="11:14" ht="12.75" hidden="1" customHeight="1" x14ac:dyDescent="0.2">
      <c r="K1876" s="149"/>
      <c r="N1876" s="149"/>
    </row>
    <row r="1877" spans="11:14" ht="12.75" hidden="1" customHeight="1" x14ac:dyDescent="0.2">
      <c r="K1877" s="149"/>
      <c r="N1877" s="149"/>
    </row>
    <row r="1878" spans="11:14" ht="12.75" hidden="1" customHeight="1" x14ac:dyDescent="0.2">
      <c r="K1878" s="149"/>
      <c r="N1878" s="149"/>
    </row>
    <row r="1879" spans="11:14" ht="12.75" hidden="1" customHeight="1" x14ac:dyDescent="0.2">
      <c r="K1879" s="153"/>
      <c r="N1879" s="153"/>
    </row>
    <row r="1880" spans="11:14" ht="12.75" hidden="1" customHeight="1" x14ac:dyDescent="0.2">
      <c r="K1880" s="149"/>
      <c r="N1880" s="149"/>
    </row>
    <row r="1881" spans="11:14" ht="12.75" hidden="1" customHeight="1" x14ac:dyDescent="0.2">
      <c r="K1881" s="149"/>
      <c r="N1881" s="149"/>
    </row>
    <row r="1882" spans="11:14" ht="12.75" hidden="1" customHeight="1" x14ac:dyDescent="0.2">
      <c r="K1882" s="149"/>
      <c r="N1882" s="149"/>
    </row>
    <row r="1883" spans="11:14" ht="12.75" hidden="1" customHeight="1" x14ac:dyDescent="0.2">
      <c r="K1883" s="153"/>
      <c r="N1883" s="153"/>
    </row>
    <row r="1884" spans="11:14" ht="12.75" hidden="1" customHeight="1" x14ac:dyDescent="0.2">
      <c r="K1884" s="149"/>
      <c r="N1884" s="149"/>
    </row>
    <row r="1885" spans="11:14" ht="12.75" hidden="1" customHeight="1" x14ac:dyDescent="0.2">
      <c r="K1885" s="149"/>
      <c r="N1885" s="149"/>
    </row>
    <row r="1886" spans="11:14" ht="12.75" hidden="1" customHeight="1" x14ac:dyDescent="0.2">
      <c r="K1886" s="149"/>
      <c r="N1886" s="149"/>
    </row>
    <row r="1887" spans="11:14" ht="12.75" hidden="1" customHeight="1" x14ac:dyDescent="0.2">
      <c r="K1887" s="153"/>
      <c r="N1887" s="153"/>
    </row>
    <row r="1888" spans="11:14" ht="12.75" hidden="1" customHeight="1" x14ac:dyDescent="0.2">
      <c r="K1888" s="149"/>
      <c r="N1888" s="149"/>
    </row>
    <row r="1889" spans="11:14" ht="12.75" hidden="1" customHeight="1" x14ac:dyDescent="0.2">
      <c r="K1889" s="149"/>
      <c r="N1889" s="149"/>
    </row>
    <row r="1890" spans="11:14" ht="12.75" hidden="1" customHeight="1" x14ac:dyDescent="0.2">
      <c r="K1890" s="149"/>
      <c r="N1890" s="149"/>
    </row>
    <row r="1891" spans="11:14" ht="12.75" hidden="1" customHeight="1" x14ac:dyDescent="0.2">
      <c r="K1891" s="153"/>
      <c r="N1891" s="153"/>
    </row>
    <row r="1892" spans="11:14" ht="12.75" hidden="1" customHeight="1" x14ac:dyDescent="0.2">
      <c r="K1892" s="149"/>
      <c r="N1892" s="149"/>
    </row>
    <row r="1893" spans="11:14" ht="12.75" hidden="1" customHeight="1" x14ac:dyDescent="0.2">
      <c r="K1893" s="149"/>
      <c r="N1893" s="149"/>
    </row>
    <row r="1894" spans="11:14" ht="12.75" hidden="1" customHeight="1" x14ac:dyDescent="0.2">
      <c r="K1894" s="149"/>
      <c r="N1894" s="149"/>
    </row>
    <row r="1895" spans="11:14" ht="12.75" hidden="1" customHeight="1" x14ac:dyDescent="0.2">
      <c r="K1895" s="153"/>
      <c r="N1895" s="153"/>
    </row>
    <row r="1896" spans="11:14" ht="12.75" hidden="1" customHeight="1" x14ac:dyDescent="0.2">
      <c r="K1896" s="149"/>
      <c r="N1896" s="149"/>
    </row>
    <row r="1897" spans="11:14" ht="12.75" hidden="1" customHeight="1" x14ac:dyDescent="0.2">
      <c r="K1897" s="149"/>
      <c r="N1897" s="149"/>
    </row>
    <row r="1898" spans="11:14" ht="12.75" hidden="1" customHeight="1" x14ac:dyDescent="0.2">
      <c r="K1898" s="149"/>
      <c r="N1898" s="149"/>
    </row>
    <row r="1899" spans="11:14" ht="12.75" hidden="1" customHeight="1" x14ac:dyDescent="0.2">
      <c r="K1899" s="153"/>
      <c r="N1899" s="153"/>
    </row>
    <row r="1900" spans="11:14" ht="12.75" hidden="1" customHeight="1" x14ac:dyDescent="0.2">
      <c r="K1900" s="149"/>
      <c r="N1900" s="149"/>
    </row>
    <row r="1901" spans="11:14" ht="12.75" hidden="1" customHeight="1" x14ac:dyDescent="0.2">
      <c r="K1901" s="149"/>
      <c r="N1901" s="149"/>
    </row>
    <row r="1902" spans="11:14" ht="12.75" hidden="1" customHeight="1" x14ac:dyDescent="0.2">
      <c r="K1902" s="149"/>
      <c r="N1902" s="149"/>
    </row>
    <row r="1903" spans="11:14" ht="12.75" hidden="1" customHeight="1" x14ac:dyDescent="0.2">
      <c r="K1903" s="153"/>
      <c r="N1903" s="153"/>
    </row>
    <row r="1904" spans="11:14" ht="12.75" hidden="1" customHeight="1" x14ac:dyDescent="0.2">
      <c r="K1904" s="149"/>
      <c r="N1904" s="149"/>
    </row>
    <row r="1905" spans="11:14" ht="12.75" hidden="1" customHeight="1" x14ac:dyDescent="0.2">
      <c r="K1905" s="149"/>
      <c r="N1905" s="149"/>
    </row>
    <row r="1906" spans="11:14" ht="12.75" hidden="1" customHeight="1" x14ac:dyDescent="0.2">
      <c r="K1906" s="149"/>
      <c r="N1906" s="149"/>
    </row>
    <row r="1907" spans="11:14" ht="12.75" hidden="1" customHeight="1" x14ac:dyDescent="0.2">
      <c r="K1907" s="153"/>
      <c r="N1907" s="153"/>
    </row>
    <row r="1908" spans="11:14" ht="12.75" hidden="1" customHeight="1" x14ac:dyDescent="0.2">
      <c r="K1908" s="149"/>
      <c r="N1908" s="149"/>
    </row>
    <row r="1909" spans="11:14" ht="12.75" hidden="1" customHeight="1" x14ac:dyDescent="0.2">
      <c r="K1909" s="149"/>
      <c r="N1909" s="149"/>
    </row>
    <row r="1910" spans="11:14" ht="12.75" hidden="1" customHeight="1" x14ac:dyDescent="0.2">
      <c r="K1910" s="149"/>
      <c r="N1910" s="149"/>
    </row>
    <row r="1911" spans="11:14" ht="12.75" hidden="1" customHeight="1" x14ac:dyDescent="0.2">
      <c r="K1911" s="153"/>
      <c r="N1911" s="153"/>
    </row>
    <row r="1912" spans="11:14" ht="12.75" hidden="1" customHeight="1" x14ac:dyDescent="0.2">
      <c r="K1912" s="149"/>
      <c r="N1912" s="149"/>
    </row>
    <row r="1913" spans="11:14" ht="12.75" hidden="1" customHeight="1" x14ac:dyDescent="0.2">
      <c r="K1913" s="149"/>
      <c r="N1913" s="149"/>
    </row>
    <row r="1914" spans="11:14" ht="12.75" hidden="1" customHeight="1" x14ac:dyDescent="0.2">
      <c r="K1914" s="149"/>
      <c r="N1914" s="149"/>
    </row>
    <row r="1915" spans="11:14" ht="12.75" hidden="1" customHeight="1" x14ac:dyDescent="0.2">
      <c r="K1915" s="153"/>
      <c r="N1915" s="153"/>
    </row>
    <row r="1916" spans="11:14" ht="12.75" hidden="1" customHeight="1" x14ac:dyDescent="0.2">
      <c r="K1916" s="149"/>
      <c r="N1916" s="149"/>
    </row>
    <row r="1917" spans="11:14" ht="12.75" hidden="1" customHeight="1" x14ac:dyDescent="0.2">
      <c r="K1917" s="149"/>
      <c r="N1917" s="149"/>
    </row>
    <row r="1918" spans="11:14" ht="12.75" hidden="1" customHeight="1" x14ac:dyDescent="0.2">
      <c r="K1918" s="149"/>
      <c r="N1918" s="149"/>
    </row>
    <row r="1919" spans="11:14" ht="12.75" hidden="1" customHeight="1" x14ac:dyDescent="0.2">
      <c r="K1919" s="153"/>
      <c r="N1919" s="153"/>
    </row>
    <row r="1920" spans="11:14" ht="12.75" hidden="1" customHeight="1" x14ac:dyDescent="0.2">
      <c r="K1920" s="149"/>
      <c r="N1920" s="149"/>
    </row>
    <row r="1921" spans="11:14" ht="12.75" hidden="1" customHeight="1" x14ac:dyDescent="0.2">
      <c r="K1921" s="149"/>
      <c r="N1921" s="149"/>
    </row>
    <row r="1922" spans="11:14" ht="12.75" hidden="1" customHeight="1" x14ac:dyDescent="0.2">
      <c r="K1922" s="149"/>
      <c r="N1922" s="149"/>
    </row>
    <row r="1923" spans="11:14" ht="12.75" hidden="1" customHeight="1" x14ac:dyDescent="0.2">
      <c r="K1923" s="153"/>
      <c r="N1923" s="153"/>
    </row>
    <row r="1924" spans="11:14" ht="12.75" hidden="1" customHeight="1" x14ac:dyDescent="0.2">
      <c r="K1924" s="149"/>
      <c r="N1924" s="149"/>
    </row>
    <row r="1925" spans="11:14" ht="12.75" hidden="1" customHeight="1" x14ac:dyDescent="0.2">
      <c r="K1925" s="149"/>
      <c r="N1925" s="149"/>
    </row>
    <row r="1926" spans="11:14" ht="12.75" hidden="1" customHeight="1" x14ac:dyDescent="0.2">
      <c r="K1926" s="149"/>
      <c r="N1926" s="149"/>
    </row>
    <row r="1927" spans="11:14" ht="12.75" hidden="1" customHeight="1" x14ac:dyDescent="0.2">
      <c r="K1927" s="153"/>
      <c r="N1927" s="153"/>
    </row>
    <row r="1928" spans="11:14" ht="12.75" hidden="1" customHeight="1" x14ac:dyDescent="0.2">
      <c r="K1928" s="149"/>
      <c r="N1928" s="149"/>
    </row>
    <row r="1929" spans="11:14" ht="12.75" hidden="1" customHeight="1" x14ac:dyDescent="0.2">
      <c r="K1929" s="149"/>
      <c r="N1929" s="149"/>
    </row>
    <row r="1930" spans="11:14" ht="12.75" hidden="1" customHeight="1" x14ac:dyDescent="0.2">
      <c r="K1930" s="149"/>
      <c r="N1930" s="149"/>
    </row>
    <row r="1931" spans="11:14" ht="12.75" hidden="1" customHeight="1" x14ac:dyDescent="0.2">
      <c r="K1931" s="153"/>
      <c r="N1931" s="153"/>
    </row>
    <row r="1932" spans="11:14" ht="12.75" hidden="1" customHeight="1" x14ac:dyDescent="0.2">
      <c r="K1932" s="149"/>
      <c r="N1932" s="149"/>
    </row>
    <row r="1933" spans="11:14" ht="12.75" hidden="1" customHeight="1" x14ac:dyDescent="0.2">
      <c r="K1933" s="149"/>
      <c r="N1933" s="149"/>
    </row>
    <row r="1934" spans="11:14" ht="12.75" hidden="1" customHeight="1" x14ac:dyDescent="0.2">
      <c r="K1934" s="149"/>
      <c r="N1934" s="149"/>
    </row>
    <row r="1935" spans="11:14" ht="12.75" hidden="1" customHeight="1" x14ac:dyDescent="0.2">
      <c r="K1935" s="153"/>
      <c r="N1935" s="153"/>
    </row>
    <row r="1936" spans="11:14" ht="12.75" hidden="1" customHeight="1" x14ac:dyDescent="0.2">
      <c r="K1936" s="149"/>
      <c r="N1936" s="149"/>
    </row>
    <row r="1937" spans="11:14" ht="12.75" hidden="1" customHeight="1" x14ac:dyDescent="0.2">
      <c r="K1937" s="149"/>
      <c r="N1937" s="149"/>
    </row>
    <row r="1938" spans="11:14" ht="12.75" hidden="1" customHeight="1" x14ac:dyDescent="0.2">
      <c r="K1938" s="149"/>
      <c r="N1938" s="149"/>
    </row>
    <row r="1939" spans="11:14" ht="12.75" hidden="1" customHeight="1" x14ac:dyDescent="0.2">
      <c r="K1939" s="153"/>
      <c r="N1939" s="153"/>
    </row>
    <row r="1940" spans="11:14" ht="12.75" hidden="1" customHeight="1" x14ac:dyDescent="0.2">
      <c r="K1940" s="149"/>
      <c r="N1940" s="149"/>
    </row>
    <row r="1941" spans="11:14" ht="12.75" hidden="1" customHeight="1" x14ac:dyDescent="0.2">
      <c r="K1941" s="149"/>
      <c r="N1941" s="149"/>
    </row>
    <row r="1942" spans="11:14" ht="12.75" hidden="1" customHeight="1" x14ac:dyDescent="0.2">
      <c r="K1942" s="149"/>
      <c r="N1942" s="149"/>
    </row>
    <row r="1943" spans="11:14" ht="12.75" hidden="1" customHeight="1" x14ac:dyDescent="0.2">
      <c r="K1943" s="153"/>
      <c r="N1943" s="153"/>
    </row>
    <row r="1944" spans="11:14" ht="12.75" hidden="1" customHeight="1" x14ac:dyDescent="0.2">
      <c r="K1944" s="149"/>
      <c r="N1944" s="149"/>
    </row>
    <row r="1945" spans="11:14" ht="12.75" hidden="1" customHeight="1" x14ac:dyDescent="0.2">
      <c r="K1945" s="149"/>
      <c r="N1945" s="149"/>
    </row>
    <row r="1946" spans="11:14" ht="12.75" hidden="1" customHeight="1" x14ac:dyDescent="0.2">
      <c r="K1946" s="149"/>
      <c r="N1946" s="149"/>
    </row>
    <row r="1947" spans="11:14" ht="12.75" hidden="1" customHeight="1" x14ac:dyDescent="0.2">
      <c r="K1947" s="153"/>
      <c r="N1947" s="153"/>
    </row>
    <row r="1948" spans="11:14" ht="12.75" hidden="1" customHeight="1" x14ac:dyDescent="0.2">
      <c r="K1948" s="149"/>
      <c r="N1948" s="149"/>
    </row>
    <row r="1949" spans="11:14" ht="12.75" hidden="1" customHeight="1" x14ac:dyDescent="0.2">
      <c r="K1949" s="149"/>
      <c r="N1949" s="149"/>
    </row>
    <row r="1950" spans="11:14" ht="12.75" hidden="1" customHeight="1" x14ac:dyDescent="0.2">
      <c r="K1950" s="149"/>
      <c r="N1950" s="149"/>
    </row>
    <row r="1951" spans="11:14" ht="12.75" hidden="1" customHeight="1" x14ac:dyDescent="0.2">
      <c r="K1951" s="153"/>
      <c r="N1951" s="153"/>
    </row>
    <row r="1952" spans="11:14" ht="12.75" hidden="1" customHeight="1" x14ac:dyDescent="0.2">
      <c r="K1952" s="149"/>
      <c r="N1952" s="149"/>
    </row>
    <row r="1953" spans="11:14" ht="12.75" hidden="1" customHeight="1" x14ac:dyDescent="0.2">
      <c r="K1953" s="149"/>
      <c r="N1953" s="149"/>
    </row>
    <row r="1954" spans="11:14" ht="12.75" hidden="1" customHeight="1" x14ac:dyDescent="0.2">
      <c r="K1954" s="149"/>
      <c r="N1954" s="149"/>
    </row>
    <row r="1955" spans="11:14" ht="12.75" hidden="1" customHeight="1" x14ac:dyDescent="0.2">
      <c r="K1955" s="153"/>
      <c r="N1955" s="153"/>
    </row>
    <row r="1956" spans="11:14" ht="12.75" hidden="1" customHeight="1" x14ac:dyDescent="0.2">
      <c r="K1956" s="149"/>
      <c r="N1956" s="149"/>
    </row>
    <row r="1957" spans="11:14" ht="12.75" hidden="1" customHeight="1" x14ac:dyDescent="0.2">
      <c r="K1957" s="149"/>
      <c r="N1957" s="149"/>
    </row>
    <row r="1958" spans="11:14" ht="12.75" hidden="1" customHeight="1" x14ac:dyDescent="0.2">
      <c r="K1958" s="149"/>
      <c r="N1958" s="149"/>
    </row>
    <row r="1959" spans="11:14" ht="12.75" hidden="1" customHeight="1" x14ac:dyDescent="0.2">
      <c r="K1959" s="153"/>
      <c r="N1959" s="153"/>
    </row>
    <row r="1960" spans="11:14" ht="12.75" hidden="1" customHeight="1" x14ac:dyDescent="0.2">
      <c r="K1960" s="149"/>
      <c r="N1960" s="149"/>
    </row>
    <row r="1961" spans="11:14" ht="12.75" hidden="1" customHeight="1" x14ac:dyDescent="0.2">
      <c r="K1961" s="149"/>
      <c r="N1961" s="149"/>
    </row>
    <row r="1962" spans="11:14" ht="12.75" hidden="1" customHeight="1" x14ac:dyDescent="0.2">
      <c r="K1962" s="149"/>
      <c r="N1962" s="149"/>
    </row>
    <row r="1963" spans="11:14" ht="12.75" hidden="1" customHeight="1" x14ac:dyDescent="0.2">
      <c r="K1963" s="153"/>
      <c r="N1963" s="153"/>
    </row>
    <row r="1964" spans="11:14" ht="12.75" hidden="1" customHeight="1" x14ac:dyDescent="0.2">
      <c r="K1964" s="149"/>
      <c r="N1964" s="149"/>
    </row>
    <row r="1965" spans="11:14" ht="12.75" hidden="1" customHeight="1" x14ac:dyDescent="0.2">
      <c r="K1965" s="149"/>
      <c r="N1965" s="149"/>
    </row>
    <row r="1966" spans="11:14" ht="12.75" hidden="1" customHeight="1" x14ac:dyDescent="0.2">
      <c r="K1966" s="149"/>
      <c r="N1966" s="149"/>
    </row>
    <row r="1967" spans="11:14" ht="12.75" hidden="1" customHeight="1" x14ac:dyDescent="0.2">
      <c r="K1967" s="153"/>
      <c r="N1967" s="153"/>
    </row>
    <row r="1968" spans="11:14" ht="12.75" hidden="1" customHeight="1" x14ac:dyDescent="0.2">
      <c r="K1968" s="149"/>
      <c r="N1968" s="149"/>
    </row>
    <row r="1969" spans="11:14" ht="12.75" hidden="1" customHeight="1" x14ac:dyDescent="0.2">
      <c r="K1969" s="149"/>
      <c r="N1969" s="149"/>
    </row>
    <row r="1970" spans="11:14" ht="12.75" hidden="1" customHeight="1" x14ac:dyDescent="0.2">
      <c r="K1970" s="149"/>
      <c r="N1970" s="149"/>
    </row>
    <row r="1971" spans="11:14" ht="12.75" hidden="1" customHeight="1" x14ac:dyDescent="0.2">
      <c r="K1971" s="153"/>
      <c r="N1971" s="153"/>
    </row>
    <row r="1972" spans="11:14" ht="12.75" hidden="1" customHeight="1" x14ac:dyDescent="0.2">
      <c r="K1972" s="149"/>
      <c r="N1972" s="149"/>
    </row>
    <row r="1973" spans="11:14" ht="12.75" hidden="1" customHeight="1" x14ac:dyDescent="0.2">
      <c r="K1973" s="149"/>
      <c r="N1973" s="149"/>
    </row>
    <row r="1974" spans="11:14" ht="12.75" hidden="1" customHeight="1" x14ac:dyDescent="0.2">
      <c r="K1974" s="149"/>
      <c r="N1974" s="149"/>
    </row>
    <row r="1975" spans="11:14" ht="12.75" hidden="1" customHeight="1" x14ac:dyDescent="0.2">
      <c r="K1975" s="153"/>
      <c r="N1975" s="153"/>
    </row>
    <row r="1976" spans="11:14" ht="12.75" hidden="1" customHeight="1" x14ac:dyDescent="0.2">
      <c r="K1976" s="149"/>
      <c r="N1976" s="149"/>
    </row>
    <row r="1977" spans="11:14" ht="12.75" hidden="1" customHeight="1" x14ac:dyDescent="0.2">
      <c r="K1977" s="149"/>
      <c r="N1977" s="149"/>
    </row>
    <row r="1978" spans="11:14" ht="12.75" hidden="1" customHeight="1" x14ac:dyDescent="0.2">
      <c r="K1978" s="149"/>
      <c r="N1978" s="149"/>
    </row>
    <row r="1979" spans="11:14" ht="12.75" hidden="1" customHeight="1" x14ac:dyDescent="0.2">
      <c r="K1979" s="153"/>
      <c r="N1979" s="153"/>
    </row>
    <row r="1980" spans="11:14" ht="12.75" hidden="1" customHeight="1" x14ac:dyDescent="0.2">
      <c r="K1980" s="149"/>
      <c r="N1980" s="149"/>
    </row>
    <row r="1981" spans="11:14" ht="12.75" hidden="1" customHeight="1" x14ac:dyDescent="0.2">
      <c r="K1981" s="149"/>
      <c r="N1981" s="149"/>
    </row>
    <row r="1982" spans="11:14" ht="12.75" hidden="1" customHeight="1" x14ac:dyDescent="0.2">
      <c r="K1982" s="149"/>
      <c r="N1982" s="149"/>
    </row>
    <row r="1983" spans="11:14" ht="12.75" hidden="1" customHeight="1" x14ac:dyDescent="0.2">
      <c r="K1983" s="153"/>
      <c r="N1983" s="153"/>
    </row>
    <row r="1984" spans="11:14" ht="12.75" hidden="1" customHeight="1" x14ac:dyDescent="0.2">
      <c r="K1984" s="149"/>
      <c r="N1984" s="149"/>
    </row>
    <row r="1985" spans="11:14" ht="12.75" hidden="1" customHeight="1" x14ac:dyDescent="0.2">
      <c r="K1985" s="149"/>
      <c r="N1985" s="149"/>
    </row>
    <row r="1986" spans="11:14" ht="12.75" hidden="1" customHeight="1" x14ac:dyDescent="0.2">
      <c r="K1986" s="149"/>
      <c r="N1986" s="149"/>
    </row>
    <row r="1987" spans="11:14" ht="12.75" hidden="1" customHeight="1" x14ac:dyDescent="0.2">
      <c r="K1987" s="153"/>
      <c r="N1987" s="153"/>
    </row>
    <row r="1988" spans="11:14" ht="12.75" hidden="1" customHeight="1" x14ac:dyDescent="0.2">
      <c r="K1988" s="149"/>
      <c r="N1988" s="149"/>
    </row>
    <row r="1989" spans="11:14" ht="12.75" hidden="1" customHeight="1" x14ac:dyDescent="0.2">
      <c r="K1989" s="149"/>
      <c r="N1989" s="149"/>
    </row>
    <row r="1990" spans="11:14" ht="12.75" hidden="1" customHeight="1" x14ac:dyDescent="0.2">
      <c r="K1990" s="149"/>
      <c r="N1990" s="149"/>
    </row>
    <row r="1991" spans="11:14" ht="12.75" hidden="1" customHeight="1" x14ac:dyDescent="0.2">
      <c r="K1991" s="153"/>
      <c r="N1991" s="153"/>
    </row>
    <row r="1992" spans="11:14" ht="12.75" hidden="1" customHeight="1" x14ac:dyDescent="0.2">
      <c r="K1992" s="149"/>
      <c r="N1992" s="149"/>
    </row>
    <row r="1993" spans="11:14" ht="12.75" hidden="1" customHeight="1" x14ac:dyDescent="0.2">
      <c r="K1993" s="149"/>
      <c r="N1993" s="149"/>
    </row>
    <row r="1994" spans="11:14" ht="12.75" hidden="1" customHeight="1" x14ac:dyDescent="0.2">
      <c r="K1994" s="149"/>
      <c r="N1994" s="149"/>
    </row>
    <row r="1995" spans="11:14" ht="12.75" hidden="1" customHeight="1" x14ac:dyDescent="0.2">
      <c r="K1995" s="153"/>
      <c r="N1995" s="153"/>
    </row>
    <row r="1996" spans="11:14" ht="12.75" hidden="1" customHeight="1" x14ac:dyDescent="0.2">
      <c r="K1996" s="149"/>
      <c r="N1996" s="149"/>
    </row>
    <row r="1997" spans="11:14" ht="12.75" hidden="1" customHeight="1" x14ac:dyDescent="0.2">
      <c r="K1997" s="149"/>
      <c r="N1997" s="149"/>
    </row>
    <row r="1998" spans="11:14" ht="12.75" hidden="1" customHeight="1" x14ac:dyDescent="0.2">
      <c r="K1998" s="149"/>
      <c r="N1998" s="149"/>
    </row>
    <row r="1999" spans="11:14" ht="12.75" hidden="1" customHeight="1" x14ac:dyDescent="0.2">
      <c r="K1999" s="153"/>
      <c r="N1999" s="153"/>
    </row>
    <row r="2000" spans="11:14" ht="12.75" hidden="1" customHeight="1" x14ac:dyDescent="0.2">
      <c r="K2000" s="149"/>
      <c r="N2000" s="149"/>
    </row>
    <row r="2001" spans="11:14" ht="12.75" hidden="1" customHeight="1" x14ac:dyDescent="0.2">
      <c r="K2001" s="149"/>
      <c r="N2001" s="149"/>
    </row>
    <row r="2002" spans="11:14" ht="12.75" hidden="1" customHeight="1" x14ac:dyDescent="0.2">
      <c r="K2002" s="149"/>
      <c r="N2002" s="149"/>
    </row>
    <row r="2003" spans="11:14" ht="12.75" hidden="1" customHeight="1" x14ac:dyDescent="0.2">
      <c r="K2003" s="153"/>
      <c r="N2003" s="153"/>
    </row>
    <row r="2004" spans="11:14" ht="12.75" hidden="1" customHeight="1" x14ac:dyDescent="0.2">
      <c r="K2004" s="149"/>
      <c r="N2004" s="149"/>
    </row>
    <row r="2005" spans="11:14" ht="12.75" hidden="1" customHeight="1" x14ac:dyDescent="0.2">
      <c r="K2005" s="149"/>
      <c r="N2005" s="149"/>
    </row>
    <row r="2006" spans="11:14" ht="12.75" hidden="1" customHeight="1" x14ac:dyDescent="0.2">
      <c r="K2006" s="149"/>
      <c r="N2006" s="149"/>
    </row>
    <row r="2007" spans="11:14" ht="12.75" hidden="1" customHeight="1" x14ac:dyDescent="0.2">
      <c r="K2007" s="153"/>
      <c r="N2007" s="153"/>
    </row>
    <row r="2008" spans="11:14" ht="12.75" hidden="1" customHeight="1" x14ac:dyDescent="0.2">
      <c r="K2008" s="149"/>
      <c r="N2008" s="149"/>
    </row>
    <row r="2009" spans="11:14" ht="12.75" hidden="1" customHeight="1" x14ac:dyDescent="0.2">
      <c r="K2009" s="149"/>
      <c r="N2009" s="149"/>
    </row>
    <row r="2010" spans="11:14" ht="12.75" hidden="1" customHeight="1" x14ac:dyDescent="0.2">
      <c r="K2010" s="149"/>
      <c r="N2010" s="149"/>
    </row>
    <row r="2011" spans="11:14" ht="12.75" hidden="1" customHeight="1" x14ac:dyDescent="0.2">
      <c r="K2011" s="153"/>
      <c r="N2011" s="153"/>
    </row>
    <row r="2012" spans="11:14" ht="12.75" hidden="1" customHeight="1" x14ac:dyDescent="0.2">
      <c r="K2012" s="149"/>
      <c r="N2012" s="149"/>
    </row>
    <row r="2013" spans="11:14" ht="12.75" hidden="1" customHeight="1" x14ac:dyDescent="0.2">
      <c r="K2013" s="149"/>
      <c r="N2013" s="149"/>
    </row>
    <row r="2014" spans="11:14" ht="12.75" hidden="1" customHeight="1" x14ac:dyDescent="0.2">
      <c r="K2014" s="149"/>
      <c r="N2014" s="149"/>
    </row>
    <row r="2015" spans="11:14" ht="12.75" hidden="1" customHeight="1" x14ac:dyDescent="0.2">
      <c r="K2015" s="153"/>
      <c r="N2015" s="153"/>
    </row>
    <row r="2016" spans="11:14" ht="12.75" hidden="1" customHeight="1" x14ac:dyDescent="0.2">
      <c r="K2016" s="149"/>
      <c r="N2016" s="149"/>
    </row>
    <row r="2017" spans="11:14" ht="12.75" hidden="1" customHeight="1" x14ac:dyDescent="0.2">
      <c r="K2017" s="149"/>
      <c r="N2017" s="149"/>
    </row>
    <row r="2018" spans="11:14" ht="12.75" hidden="1" customHeight="1" x14ac:dyDescent="0.2">
      <c r="K2018" s="149"/>
      <c r="N2018" s="149"/>
    </row>
    <row r="2019" spans="11:14" ht="12.75" hidden="1" customHeight="1" x14ac:dyDescent="0.2">
      <c r="K2019" s="153"/>
      <c r="N2019" s="153"/>
    </row>
    <row r="2020" spans="11:14" ht="12.75" hidden="1" customHeight="1" x14ac:dyDescent="0.2">
      <c r="K2020" s="149"/>
      <c r="N2020" s="149"/>
    </row>
    <row r="2021" spans="11:14" ht="12.75" hidden="1" customHeight="1" x14ac:dyDescent="0.2">
      <c r="K2021" s="149"/>
      <c r="N2021" s="149"/>
    </row>
    <row r="2022" spans="11:14" ht="12.75" hidden="1" customHeight="1" x14ac:dyDescent="0.2">
      <c r="K2022" s="149"/>
      <c r="N2022" s="149"/>
    </row>
    <row r="2023" spans="11:14" ht="12.75" hidden="1" customHeight="1" x14ac:dyDescent="0.2">
      <c r="K2023" s="153"/>
      <c r="N2023" s="153"/>
    </row>
    <row r="2024" spans="11:14" ht="12.75" hidden="1" customHeight="1" x14ac:dyDescent="0.2">
      <c r="K2024" s="149"/>
      <c r="N2024" s="149"/>
    </row>
    <row r="2025" spans="11:14" ht="12.75" hidden="1" customHeight="1" x14ac:dyDescent="0.2">
      <c r="K2025" s="149"/>
      <c r="N2025" s="149"/>
    </row>
    <row r="2026" spans="11:14" ht="12.75" hidden="1" customHeight="1" x14ac:dyDescent="0.2">
      <c r="K2026" s="149"/>
      <c r="N2026" s="149"/>
    </row>
    <row r="2027" spans="11:14" ht="12.75" hidden="1" customHeight="1" x14ac:dyDescent="0.2">
      <c r="K2027" s="153"/>
      <c r="N2027" s="153"/>
    </row>
    <row r="2028" spans="11:14" ht="12.75" hidden="1" customHeight="1" x14ac:dyDescent="0.2">
      <c r="K2028" s="149"/>
      <c r="N2028" s="149"/>
    </row>
    <row r="2029" spans="11:14" ht="12.75" hidden="1" customHeight="1" x14ac:dyDescent="0.2">
      <c r="K2029" s="149"/>
      <c r="N2029" s="149"/>
    </row>
    <row r="2030" spans="11:14" ht="12.75" hidden="1" customHeight="1" x14ac:dyDescent="0.2">
      <c r="K2030" s="149"/>
      <c r="N2030" s="149"/>
    </row>
    <row r="2031" spans="11:14" ht="12.75" hidden="1" customHeight="1" x14ac:dyDescent="0.2">
      <c r="K2031" s="153"/>
      <c r="N2031" s="153"/>
    </row>
    <row r="2032" spans="11:14" ht="12.75" hidden="1" customHeight="1" x14ac:dyDescent="0.2">
      <c r="K2032" s="149"/>
      <c r="N2032" s="149"/>
    </row>
    <row r="2033" spans="11:14" ht="12.75" hidden="1" customHeight="1" x14ac:dyDescent="0.2">
      <c r="K2033" s="149"/>
      <c r="N2033" s="149"/>
    </row>
    <row r="2034" spans="11:14" ht="12.75" hidden="1" customHeight="1" x14ac:dyDescent="0.2">
      <c r="K2034" s="149"/>
      <c r="N2034" s="149"/>
    </row>
    <row r="2035" spans="11:14" ht="12.75" hidden="1" customHeight="1" x14ac:dyDescent="0.2">
      <c r="K2035" s="153"/>
      <c r="N2035" s="153"/>
    </row>
    <row r="2036" spans="11:14" ht="12.75" hidden="1" customHeight="1" x14ac:dyDescent="0.2">
      <c r="K2036" s="149"/>
      <c r="N2036" s="149"/>
    </row>
    <row r="2037" spans="11:14" ht="12.75" hidden="1" customHeight="1" x14ac:dyDescent="0.2">
      <c r="K2037" s="149"/>
      <c r="N2037" s="149"/>
    </row>
    <row r="2038" spans="11:14" ht="12.75" hidden="1" customHeight="1" x14ac:dyDescent="0.2">
      <c r="K2038" s="149"/>
      <c r="N2038" s="149"/>
    </row>
    <row r="2039" spans="11:14" ht="12.75" hidden="1" customHeight="1" x14ac:dyDescent="0.2">
      <c r="K2039" s="153"/>
      <c r="N2039" s="153"/>
    </row>
    <row r="2040" spans="11:14" ht="12.75" hidden="1" customHeight="1" x14ac:dyDescent="0.2">
      <c r="K2040" s="149"/>
      <c r="N2040" s="149"/>
    </row>
    <row r="2041" spans="11:14" ht="12.75" hidden="1" customHeight="1" x14ac:dyDescent="0.2">
      <c r="K2041" s="149"/>
      <c r="N2041" s="149"/>
    </row>
    <row r="2042" spans="11:14" ht="12.75" hidden="1" customHeight="1" x14ac:dyDescent="0.2">
      <c r="K2042" s="149"/>
      <c r="N2042" s="149"/>
    </row>
    <row r="2043" spans="11:14" ht="12.75" hidden="1" customHeight="1" x14ac:dyDescent="0.2">
      <c r="K2043" s="153"/>
      <c r="N2043" s="153"/>
    </row>
    <row r="2044" spans="11:14" ht="12.75" hidden="1" customHeight="1" x14ac:dyDescent="0.2">
      <c r="K2044" s="149"/>
      <c r="N2044" s="149"/>
    </row>
    <row r="2045" spans="11:14" ht="12.75" hidden="1" customHeight="1" x14ac:dyDescent="0.2">
      <c r="K2045" s="149"/>
      <c r="N2045" s="149"/>
    </row>
    <row r="2046" spans="11:14" ht="12.75" hidden="1" customHeight="1" x14ac:dyDescent="0.2">
      <c r="K2046" s="149"/>
      <c r="N2046" s="149"/>
    </row>
    <row r="2047" spans="11:14" ht="12.75" hidden="1" customHeight="1" x14ac:dyDescent="0.2">
      <c r="K2047" s="153"/>
      <c r="N2047" s="153"/>
    </row>
    <row r="2048" spans="11:14" ht="12.75" hidden="1" customHeight="1" x14ac:dyDescent="0.2">
      <c r="K2048" s="149"/>
      <c r="N2048" s="149"/>
    </row>
    <row r="2049" spans="11:14" ht="12.75" hidden="1" customHeight="1" x14ac:dyDescent="0.2">
      <c r="K2049" s="149"/>
      <c r="N2049" s="149"/>
    </row>
    <row r="2050" spans="11:14" ht="12.75" hidden="1" customHeight="1" x14ac:dyDescent="0.2">
      <c r="K2050" s="149"/>
      <c r="N2050" s="149"/>
    </row>
    <row r="2051" spans="11:14" ht="12.75" hidden="1" customHeight="1" x14ac:dyDescent="0.2">
      <c r="K2051" s="153"/>
      <c r="N2051" s="153"/>
    </row>
    <row r="2052" spans="11:14" ht="12.75" hidden="1" customHeight="1" x14ac:dyDescent="0.2">
      <c r="K2052" s="149"/>
      <c r="N2052" s="149"/>
    </row>
    <row r="2053" spans="11:14" ht="12.75" hidden="1" customHeight="1" x14ac:dyDescent="0.2">
      <c r="K2053" s="149"/>
      <c r="N2053" s="149"/>
    </row>
    <row r="2054" spans="11:14" ht="12.75" hidden="1" customHeight="1" x14ac:dyDescent="0.2">
      <c r="K2054" s="149"/>
      <c r="N2054" s="149"/>
    </row>
    <row r="2055" spans="11:14" ht="12.75" hidden="1" customHeight="1" x14ac:dyDescent="0.2">
      <c r="K2055" s="153"/>
      <c r="N2055" s="153"/>
    </row>
    <row r="2056" spans="11:14" ht="12.75" hidden="1" customHeight="1" x14ac:dyDescent="0.2">
      <c r="K2056" s="149"/>
      <c r="N2056" s="149"/>
    </row>
    <row r="2057" spans="11:14" ht="12.75" hidden="1" customHeight="1" x14ac:dyDescent="0.2">
      <c r="K2057" s="149"/>
      <c r="N2057" s="149"/>
    </row>
    <row r="2058" spans="11:14" ht="12.75" hidden="1" customHeight="1" x14ac:dyDescent="0.2">
      <c r="K2058" s="149"/>
      <c r="N2058" s="149"/>
    </row>
    <row r="2059" spans="11:14" ht="12.75" hidden="1" customHeight="1" x14ac:dyDescent="0.2">
      <c r="K2059" s="153"/>
      <c r="N2059" s="153"/>
    </row>
    <row r="2060" spans="11:14" ht="12.75" hidden="1" customHeight="1" x14ac:dyDescent="0.2">
      <c r="K2060" s="149"/>
      <c r="N2060" s="149"/>
    </row>
    <row r="2061" spans="11:14" ht="12.75" hidden="1" customHeight="1" x14ac:dyDescent="0.2">
      <c r="K2061" s="149"/>
      <c r="N2061" s="149"/>
    </row>
    <row r="2062" spans="11:14" ht="12.75" hidden="1" customHeight="1" x14ac:dyDescent="0.2">
      <c r="K2062" s="149"/>
      <c r="N2062" s="149"/>
    </row>
    <row r="2063" spans="11:14" ht="12.75" hidden="1" customHeight="1" x14ac:dyDescent="0.2">
      <c r="K2063" s="153"/>
      <c r="N2063" s="153"/>
    </row>
    <row r="2064" spans="11:14" ht="12.75" hidden="1" customHeight="1" x14ac:dyDescent="0.2">
      <c r="K2064" s="149"/>
      <c r="N2064" s="149"/>
    </row>
    <row r="2065" spans="11:14" ht="12.75" hidden="1" customHeight="1" x14ac:dyDescent="0.2">
      <c r="K2065" s="149"/>
      <c r="N2065" s="149"/>
    </row>
    <row r="2066" spans="11:14" ht="12.75" hidden="1" customHeight="1" x14ac:dyDescent="0.2">
      <c r="K2066" s="149"/>
      <c r="N2066" s="149"/>
    </row>
    <row r="2067" spans="11:14" ht="12.75" hidden="1" customHeight="1" x14ac:dyDescent="0.2">
      <c r="K2067" s="153"/>
      <c r="N2067" s="153"/>
    </row>
    <row r="2068" spans="11:14" ht="12.75" hidden="1" customHeight="1" x14ac:dyDescent="0.2">
      <c r="K2068" s="149"/>
      <c r="N2068" s="149"/>
    </row>
    <row r="2069" spans="11:14" ht="12.75" hidden="1" customHeight="1" x14ac:dyDescent="0.2">
      <c r="K2069" s="149"/>
      <c r="N2069" s="149"/>
    </row>
    <row r="2070" spans="11:14" ht="12.75" hidden="1" customHeight="1" x14ac:dyDescent="0.2">
      <c r="K2070" s="149"/>
      <c r="N2070" s="149"/>
    </row>
    <row r="2071" spans="11:14" ht="12.75" hidden="1" customHeight="1" x14ac:dyDescent="0.2">
      <c r="K2071" s="153"/>
      <c r="N2071" s="153"/>
    </row>
    <row r="2072" spans="11:14" ht="12.75" hidden="1" customHeight="1" x14ac:dyDescent="0.2">
      <c r="K2072" s="149"/>
      <c r="N2072" s="149"/>
    </row>
    <row r="2073" spans="11:14" ht="12.75" hidden="1" customHeight="1" x14ac:dyDescent="0.2">
      <c r="K2073" s="149"/>
      <c r="N2073" s="149"/>
    </row>
    <row r="2074" spans="11:14" ht="12.75" hidden="1" customHeight="1" x14ac:dyDescent="0.2">
      <c r="K2074" s="149"/>
      <c r="N2074" s="149"/>
    </row>
    <row r="2075" spans="11:14" ht="12.75" hidden="1" customHeight="1" x14ac:dyDescent="0.2">
      <c r="K2075" s="153"/>
      <c r="N2075" s="153"/>
    </row>
    <row r="2076" spans="11:14" ht="12.75" hidden="1" customHeight="1" x14ac:dyDescent="0.2">
      <c r="K2076" s="149"/>
      <c r="N2076" s="149"/>
    </row>
    <row r="2077" spans="11:14" ht="12.75" hidden="1" customHeight="1" x14ac:dyDescent="0.2">
      <c r="K2077" s="149"/>
      <c r="N2077" s="149"/>
    </row>
    <row r="2078" spans="11:14" ht="12.75" hidden="1" customHeight="1" x14ac:dyDescent="0.2">
      <c r="K2078" s="149"/>
      <c r="N2078" s="149"/>
    </row>
    <row r="2079" spans="11:14" ht="12.75" hidden="1" customHeight="1" x14ac:dyDescent="0.2">
      <c r="K2079" s="153"/>
      <c r="N2079" s="153"/>
    </row>
    <row r="2080" spans="11:14" ht="12.75" hidden="1" customHeight="1" x14ac:dyDescent="0.2">
      <c r="K2080" s="149"/>
      <c r="N2080" s="149"/>
    </row>
    <row r="2081" spans="11:14" ht="12.75" hidden="1" customHeight="1" x14ac:dyDescent="0.2">
      <c r="K2081" s="149"/>
      <c r="N2081" s="149"/>
    </row>
    <row r="2082" spans="11:14" ht="12.75" hidden="1" customHeight="1" x14ac:dyDescent="0.2">
      <c r="K2082" s="149"/>
      <c r="N2082" s="149"/>
    </row>
    <row r="2083" spans="11:14" ht="12.75" hidden="1" customHeight="1" x14ac:dyDescent="0.2">
      <c r="K2083" s="153"/>
      <c r="N2083" s="153"/>
    </row>
    <row r="2084" spans="11:14" ht="12.75" hidden="1" customHeight="1" x14ac:dyDescent="0.2">
      <c r="K2084" s="149"/>
      <c r="N2084" s="149"/>
    </row>
    <row r="2085" spans="11:14" ht="12.75" hidden="1" customHeight="1" x14ac:dyDescent="0.2">
      <c r="K2085" s="149"/>
      <c r="N2085" s="149"/>
    </row>
    <row r="2086" spans="11:14" ht="12.75" hidden="1" customHeight="1" x14ac:dyDescent="0.2">
      <c r="K2086" s="149"/>
      <c r="N2086" s="149"/>
    </row>
    <row r="2087" spans="11:14" ht="12.75" hidden="1" customHeight="1" x14ac:dyDescent="0.2">
      <c r="K2087" s="153"/>
      <c r="N2087" s="153"/>
    </row>
    <row r="2088" spans="11:14" ht="12.75" hidden="1" customHeight="1" x14ac:dyDescent="0.2">
      <c r="K2088" s="149"/>
      <c r="N2088" s="149"/>
    </row>
    <row r="2089" spans="11:14" ht="12.75" hidden="1" customHeight="1" x14ac:dyDescent="0.2">
      <c r="K2089" s="149"/>
      <c r="N2089" s="149"/>
    </row>
    <row r="2090" spans="11:14" ht="12.75" hidden="1" customHeight="1" x14ac:dyDescent="0.2">
      <c r="K2090" s="149"/>
      <c r="N2090" s="149"/>
    </row>
    <row r="2091" spans="11:14" ht="12.75" hidden="1" customHeight="1" x14ac:dyDescent="0.2">
      <c r="K2091" s="153"/>
      <c r="N2091" s="153"/>
    </row>
    <row r="2092" spans="11:14" ht="12.75" hidden="1" customHeight="1" x14ac:dyDescent="0.2">
      <c r="K2092" s="149"/>
      <c r="N2092" s="149"/>
    </row>
    <row r="2093" spans="11:14" ht="12.75" hidden="1" customHeight="1" x14ac:dyDescent="0.2">
      <c r="K2093" s="149"/>
      <c r="N2093" s="149"/>
    </row>
    <row r="2094" spans="11:14" ht="12.75" hidden="1" customHeight="1" x14ac:dyDescent="0.2">
      <c r="K2094" s="149"/>
      <c r="N2094" s="149"/>
    </row>
    <row r="2095" spans="11:14" ht="12.75" hidden="1" customHeight="1" x14ac:dyDescent="0.2">
      <c r="K2095" s="153"/>
      <c r="N2095" s="153"/>
    </row>
    <row r="2096" spans="11:14" ht="12.75" hidden="1" customHeight="1" x14ac:dyDescent="0.2">
      <c r="K2096" s="149"/>
      <c r="N2096" s="149"/>
    </row>
    <row r="2097" spans="11:14" ht="12.75" hidden="1" customHeight="1" x14ac:dyDescent="0.2">
      <c r="K2097" s="149"/>
      <c r="N2097" s="149"/>
    </row>
    <row r="2098" spans="11:14" ht="12.75" hidden="1" customHeight="1" x14ac:dyDescent="0.2">
      <c r="K2098" s="149"/>
      <c r="N2098" s="149"/>
    </row>
    <row r="2099" spans="11:14" ht="12.75" hidden="1" customHeight="1" x14ac:dyDescent="0.2">
      <c r="K2099" s="153"/>
      <c r="N2099" s="153"/>
    </row>
    <row r="2100" spans="11:14" ht="12.75" hidden="1" customHeight="1" x14ac:dyDescent="0.2">
      <c r="K2100" s="149"/>
      <c r="N2100" s="149"/>
    </row>
    <row r="2101" spans="11:14" ht="12.75" hidden="1" customHeight="1" x14ac:dyDescent="0.2">
      <c r="K2101" s="149"/>
      <c r="N2101" s="149"/>
    </row>
    <row r="2102" spans="11:14" ht="12.75" hidden="1" customHeight="1" x14ac:dyDescent="0.2">
      <c r="K2102" s="149"/>
      <c r="N2102" s="149"/>
    </row>
    <row r="2103" spans="11:14" ht="12.75" hidden="1" customHeight="1" x14ac:dyDescent="0.2">
      <c r="K2103" s="153"/>
      <c r="N2103" s="153"/>
    </row>
    <row r="2104" spans="11:14" ht="12.75" hidden="1" customHeight="1" x14ac:dyDescent="0.2">
      <c r="K2104" s="149"/>
      <c r="N2104" s="149"/>
    </row>
    <row r="2105" spans="11:14" ht="12.75" hidden="1" customHeight="1" x14ac:dyDescent="0.2">
      <c r="K2105" s="149"/>
      <c r="N2105" s="149"/>
    </row>
    <row r="2106" spans="11:14" ht="12.75" hidden="1" customHeight="1" x14ac:dyDescent="0.2">
      <c r="K2106" s="149"/>
      <c r="N2106" s="149"/>
    </row>
    <row r="2107" spans="11:14" ht="12.75" hidden="1" customHeight="1" x14ac:dyDescent="0.2">
      <c r="K2107" s="153"/>
      <c r="N2107" s="153"/>
    </row>
    <row r="2108" spans="11:14" ht="12.75" hidden="1" customHeight="1" x14ac:dyDescent="0.2">
      <c r="K2108" s="149"/>
      <c r="N2108" s="149"/>
    </row>
    <row r="2109" spans="11:14" ht="12.75" hidden="1" customHeight="1" x14ac:dyDescent="0.2">
      <c r="K2109" s="149"/>
      <c r="N2109" s="149"/>
    </row>
    <row r="2110" spans="11:14" ht="12.75" hidden="1" customHeight="1" x14ac:dyDescent="0.2">
      <c r="K2110" s="149"/>
      <c r="N2110" s="149"/>
    </row>
    <row r="2111" spans="11:14" ht="12.75" hidden="1" customHeight="1" x14ac:dyDescent="0.2">
      <c r="K2111" s="153"/>
      <c r="N2111" s="153"/>
    </row>
    <row r="2112" spans="11:14" ht="12.75" hidden="1" customHeight="1" x14ac:dyDescent="0.2">
      <c r="K2112" s="149"/>
      <c r="N2112" s="149"/>
    </row>
    <row r="2113" spans="11:14" ht="12.75" hidden="1" customHeight="1" x14ac:dyDescent="0.2">
      <c r="K2113" s="149"/>
      <c r="N2113" s="149"/>
    </row>
    <row r="2114" spans="11:14" ht="12.75" hidden="1" customHeight="1" x14ac:dyDescent="0.2">
      <c r="K2114" s="149"/>
      <c r="N2114" s="149"/>
    </row>
    <row r="2115" spans="11:14" ht="12.75" hidden="1" customHeight="1" x14ac:dyDescent="0.2">
      <c r="K2115" s="153"/>
      <c r="N2115" s="153"/>
    </row>
    <row r="2116" spans="11:14" ht="12.75" hidden="1" customHeight="1" x14ac:dyDescent="0.2">
      <c r="K2116" s="149"/>
      <c r="N2116" s="149"/>
    </row>
    <row r="2117" spans="11:14" ht="12.75" hidden="1" customHeight="1" x14ac:dyDescent="0.2">
      <c r="K2117" s="149"/>
      <c r="N2117" s="149"/>
    </row>
    <row r="2118" spans="11:14" ht="12.75" hidden="1" customHeight="1" x14ac:dyDescent="0.2">
      <c r="K2118" s="149"/>
      <c r="N2118" s="149"/>
    </row>
    <row r="2119" spans="11:14" ht="12.75" hidden="1" customHeight="1" x14ac:dyDescent="0.2">
      <c r="K2119" s="153"/>
      <c r="N2119" s="153"/>
    </row>
    <row r="2120" spans="11:14" ht="12.75" hidden="1" customHeight="1" x14ac:dyDescent="0.2">
      <c r="K2120" s="149"/>
      <c r="N2120" s="149"/>
    </row>
    <row r="2121" spans="11:14" ht="12.75" hidden="1" customHeight="1" x14ac:dyDescent="0.2">
      <c r="K2121" s="149"/>
      <c r="N2121" s="149"/>
    </row>
    <row r="2122" spans="11:14" ht="12.75" hidden="1" customHeight="1" x14ac:dyDescent="0.2">
      <c r="K2122" s="149"/>
      <c r="N2122" s="149"/>
    </row>
    <row r="2123" spans="11:14" ht="12.75" hidden="1" customHeight="1" x14ac:dyDescent="0.2">
      <c r="K2123" s="153"/>
      <c r="N2123" s="153"/>
    </row>
    <row r="2124" spans="11:14" ht="12.75" hidden="1" customHeight="1" x14ac:dyDescent="0.2">
      <c r="K2124" s="149"/>
      <c r="N2124" s="149"/>
    </row>
    <row r="2125" spans="11:14" ht="12.75" hidden="1" customHeight="1" x14ac:dyDescent="0.2">
      <c r="K2125" s="149"/>
      <c r="N2125" s="149"/>
    </row>
    <row r="2126" spans="11:14" ht="12.75" hidden="1" customHeight="1" x14ac:dyDescent="0.2">
      <c r="K2126" s="149"/>
      <c r="N2126" s="149"/>
    </row>
    <row r="2127" spans="11:14" ht="12.75" hidden="1" customHeight="1" x14ac:dyDescent="0.2">
      <c r="K2127" s="153"/>
      <c r="N2127" s="153"/>
    </row>
    <row r="2128" spans="11:14" ht="12.75" hidden="1" customHeight="1" x14ac:dyDescent="0.2">
      <c r="K2128" s="149"/>
      <c r="N2128" s="149"/>
    </row>
    <row r="2129" spans="11:14" ht="12.75" hidden="1" customHeight="1" x14ac:dyDescent="0.2">
      <c r="K2129" s="149"/>
      <c r="N2129" s="149"/>
    </row>
    <row r="2130" spans="11:14" ht="12.75" hidden="1" customHeight="1" x14ac:dyDescent="0.2">
      <c r="K2130" s="149"/>
      <c r="N2130" s="149"/>
    </row>
    <row r="2131" spans="11:14" ht="12.75" hidden="1" customHeight="1" x14ac:dyDescent="0.2">
      <c r="K2131" s="153"/>
      <c r="N2131" s="153"/>
    </row>
    <row r="2132" spans="11:14" ht="12.75" hidden="1" customHeight="1" x14ac:dyDescent="0.2">
      <c r="K2132" s="149"/>
      <c r="N2132" s="149"/>
    </row>
    <row r="2133" spans="11:14" ht="12.75" hidden="1" customHeight="1" x14ac:dyDescent="0.2">
      <c r="K2133" s="149"/>
      <c r="N2133" s="149"/>
    </row>
    <row r="2134" spans="11:14" ht="12.75" hidden="1" customHeight="1" x14ac:dyDescent="0.2">
      <c r="K2134" s="149"/>
      <c r="N2134" s="149"/>
    </row>
    <row r="2135" spans="11:14" ht="12.75" hidden="1" customHeight="1" x14ac:dyDescent="0.2">
      <c r="K2135" s="153"/>
      <c r="N2135" s="153"/>
    </row>
    <row r="2136" spans="11:14" ht="12.75" hidden="1" customHeight="1" x14ac:dyDescent="0.2">
      <c r="K2136" s="149"/>
      <c r="N2136" s="149"/>
    </row>
    <row r="2137" spans="11:14" ht="12.75" hidden="1" customHeight="1" x14ac:dyDescent="0.2">
      <c r="K2137" s="149"/>
      <c r="N2137" s="149"/>
    </row>
    <row r="2138" spans="11:14" ht="12.75" hidden="1" customHeight="1" x14ac:dyDescent="0.2">
      <c r="K2138" s="149"/>
      <c r="N2138" s="149"/>
    </row>
    <row r="2139" spans="11:14" ht="12.75" hidden="1" customHeight="1" x14ac:dyDescent="0.2">
      <c r="K2139" s="153"/>
      <c r="N2139" s="153"/>
    </row>
    <row r="2140" spans="11:14" ht="12.75" hidden="1" customHeight="1" x14ac:dyDescent="0.2">
      <c r="K2140" s="149"/>
      <c r="N2140" s="149"/>
    </row>
    <row r="2141" spans="11:14" ht="12.75" hidden="1" customHeight="1" x14ac:dyDescent="0.2">
      <c r="K2141" s="149"/>
      <c r="N2141" s="149"/>
    </row>
    <row r="2142" spans="11:14" ht="12.75" hidden="1" customHeight="1" x14ac:dyDescent="0.2">
      <c r="K2142" s="149"/>
      <c r="N2142" s="149"/>
    </row>
    <row r="2143" spans="11:14" ht="12.75" hidden="1" customHeight="1" x14ac:dyDescent="0.2">
      <c r="K2143" s="153"/>
      <c r="N2143" s="153"/>
    </row>
    <row r="2144" spans="11:14" ht="12.75" hidden="1" customHeight="1" x14ac:dyDescent="0.2">
      <c r="K2144" s="149"/>
      <c r="N2144" s="149"/>
    </row>
    <row r="2145" spans="11:14" ht="12.75" hidden="1" customHeight="1" x14ac:dyDescent="0.2">
      <c r="K2145" s="149"/>
      <c r="N2145" s="149"/>
    </row>
    <row r="2146" spans="11:14" ht="12.75" hidden="1" customHeight="1" x14ac:dyDescent="0.2">
      <c r="K2146" s="149"/>
      <c r="N2146" s="149"/>
    </row>
    <row r="2147" spans="11:14" ht="12.75" hidden="1" customHeight="1" x14ac:dyDescent="0.2">
      <c r="K2147" s="153"/>
      <c r="N2147" s="153"/>
    </row>
    <row r="2148" spans="11:14" ht="12.75" hidden="1" customHeight="1" x14ac:dyDescent="0.2">
      <c r="K2148" s="149"/>
      <c r="N2148" s="149"/>
    </row>
    <row r="2149" spans="11:14" ht="12.75" hidden="1" customHeight="1" x14ac:dyDescent="0.2">
      <c r="K2149" s="149"/>
      <c r="N2149" s="149"/>
    </row>
    <row r="2150" spans="11:14" ht="12.75" hidden="1" customHeight="1" x14ac:dyDescent="0.2">
      <c r="K2150" s="149"/>
      <c r="N2150" s="149"/>
    </row>
    <row r="2151" spans="11:14" ht="12.75" hidden="1" customHeight="1" x14ac:dyDescent="0.2">
      <c r="K2151" s="153"/>
      <c r="N2151" s="153"/>
    </row>
    <row r="2152" spans="11:14" ht="12.75" hidden="1" customHeight="1" x14ac:dyDescent="0.2">
      <c r="K2152" s="149"/>
      <c r="N2152" s="149"/>
    </row>
    <row r="2153" spans="11:14" ht="12.75" hidden="1" customHeight="1" x14ac:dyDescent="0.2">
      <c r="K2153" s="149"/>
      <c r="N2153" s="149"/>
    </row>
    <row r="2154" spans="11:14" ht="12.75" hidden="1" customHeight="1" x14ac:dyDescent="0.2">
      <c r="K2154" s="149"/>
      <c r="N2154" s="149"/>
    </row>
    <row r="2155" spans="11:14" ht="12.75" hidden="1" customHeight="1" x14ac:dyDescent="0.2">
      <c r="K2155" s="153"/>
      <c r="N2155" s="153"/>
    </row>
    <row r="2156" spans="11:14" ht="12.75" hidden="1" customHeight="1" x14ac:dyDescent="0.2">
      <c r="K2156" s="149"/>
      <c r="N2156" s="149"/>
    </row>
    <row r="2157" spans="11:14" ht="12.75" hidden="1" customHeight="1" x14ac:dyDescent="0.2">
      <c r="K2157" s="149"/>
      <c r="N2157" s="149"/>
    </row>
    <row r="2158" spans="11:14" ht="12.75" hidden="1" customHeight="1" x14ac:dyDescent="0.2">
      <c r="K2158" s="149"/>
      <c r="N2158" s="149"/>
    </row>
    <row r="2159" spans="11:14" ht="12.75" hidden="1" customHeight="1" x14ac:dyDescent="0.2">
      <c r="K2159" s="153"/>
      <c r="N2159" s="153"/>
    </row>
    <row r="2160" spans="11:14" ht="12.75" hidden="1" customHeight="1" x14ac:dyDescent="0.2">
      <c r="K2160" s="149"/>
      <c r="N2160" s="149"/>
    </row>
    <row r="2161" spans="11:14" ht="12.75" hidden="1" customHeight="1" x14ac:dyDescent="0.2">
      <c r="K2161" s="149"/>
      <c r="N2161" s="149"/>
    </row>
    <row r="2162" spans="11:14" ht="12.75" hidden="1" customHeight="1" x14ac:dyDescent="0.2">
      <c r="K2162" s="149"/>
      <c r="N2162" s="149"/>
    </row>
    <row r="2163" spans="11:14" ht="12.75" hidden="1" customHeight="1" x14ac:dyDescent="0.2">
      <c r="K2163" s="153"/>
      <c r="N2163" s="153"/>
    </row>
    <row r="2164" spans="11:14" ht="12.75" hidden="1" customHeight="1" x14ac:dyDescent="0.2">
      <c r="K2164" s="149"/>
      <c r="N2164" s="149"/>
    </row>
    <row r="2165" spans="11:14" ht="12.75" hidden="1" customHeight="1" x14ac:dyDescent="0.2">
      <c r="K2165" s="149"/>
      <c r="N2165" s="149"/>
    </row>
    <row r="2166" spans="11:14" ht="12.75" hidden="1" customHeight="1" x14ac:dyDescent="0.2">
      <c r="K2166" s="149"/>
      <c r="N2166" s="149"/>
    </row>
    <row r="2167" spans="11:14" ht="12.75" hidden="1" customHeight="1" x14ac:dyDescent="0.2">
      <c r="K2167" s="153"/>
      <c r="N2167" s="153"/>
    </row>
    <row r="2168" spans="11:14" ht="12.75" hidden="1" customHeight="1" x14ac:dyDescent="0.2">
      <c r="K2168" s="149"/>
      <c r="N2168" s="149"/>
    </row>
    <row r="2169" spans="11:14" ht="12.75" hidden="1" customHeight="1" x14ac:dyDescent="0.2">
      <c r="K2169" s="149"/>
      <c r="N2169" s="149"/>
    </row>
    <row r="2170" spans="11:14" ht="12.75" hidden="1" customHeight="1" x14ac:dyDescent="0.2">
      <c r="K2170" s="149"/>
      <c r="N2170" s="149"/>
    </row>
    <row r="2171" spans="11:14" ht="12.75" hidden="1" customHeight="1" x14ac:dyDescent="0.2">
      <c r="K2171" s="153"/>
      <c r="N2171" s="153"/>
    </row>
    <row r="2172" spans="11:14" ht="12.75" hidden="1" customHeight="1" x14ac:dyDescent="0.2">
      <c r="K2172" s="149"/>
      <c r="N2172" s="149"/>
    </row>
    <row r="2173" spans="11:14" ht="12.75" hidden="1" customHeight="1" x14ac:dyDescent="0.2">
      <c r="K2173" s="149"/>
      <c r="N2173" s="149"/>
    </row>
    <row r="2174" spans="11:14" ht="12.75" hidden="1" customHeight="1" x14ac:dyDescent="0.2">
      <c r="K2174" s="149"/>
      <c r="N2174" s="149"/>
    </row>
    <row r="2175" spans="11:14" ht="12.75" hidden="1" customHeight="1" x14ac:dyDescent="0.2">
      <c r="K2175" s="153"/>
      <c r="N2175" s="153"/>
    </row>
    <row r="2176" spans="11:14" ht="12.75" hidden="1" customHeight="1" x14ac:dyDescent="0.2">
      <c r="K2176" s="149"/>
      <c r="N2176" s="149"/>
    </row>
    <row r="2177" spans="11:14" ht="12.75" hidden="1" customHeight="1" x14ac:dyDescent="0.2">
      <c r="K2177" s="149"/>
      <c r="N2177" s="149"/>
    </row>
    <row r="2178" spans="11:14" ht="12.75" hidden="1" customHeight="1" x14ac:dyDescent="0.2">
      <c r="K2178" s="149"/>
      <c r="N2178" s="149"/>
    </row>
    <row r="2179" spans="11:14" ht="12.75" hidden="1" customHeight="1" x14ac:dyDescent="0.2">
      <c r="K2179" s="153"/>
      <c r="N2179" s="153"/>
    </row>
    <row r="2180" spans="11:14" ht="12.75" hidden="1" customHeight="1" x14ac:dyDescent="0.2">
      <c r="K2180" s="149"/>
      <c r="N2180" s="149"/>
    </row>
    <row r="2181" spans="11:14" ht="12.75" hidden="1" customHeight="1" x14ac:dyDescent="0.2">
      <c r="K2181" s="149"/>
      <c r="N2181" s="149"/>
    </row>
    <row r="2182" spans="11:14" ht="12.75" hidden="1" customHeight="1" x14ac:dyDescent="0.2">
      <c r="K2182" s="149"/>
      <c r="N2182" s="149"/>
    </row>
    <row r="2183" spans="11:14" ht="12.75" hidden="1" customHeight="1" x14ac:dyDescent="0.2">
      <c r="K2183" s="153"/>
      <c r="N2183" s="153"/>
    </row>
    <row r="2184" spans="11:14" ht="12.75" hidden="1" customHeight="1" x14ac:dyDescent="0.2">
      <c r="K2184" s="149"/>
      <c r="N2184" s="149"/>
    </row>
    <row r="2185" spans="11:14" ht="12.75" hidden="1" customHeight="1" x14ac:dyDescent="0.2">
      <c r="K2185" s="149"/>
      <c r="N2185" s="149"/>
    </row>
    <row r="2186" spans="11:14" ht="12.75" hidden="1" customHeight="1" x14ac:dyDescent="0.2">
      <c r="K2186" s="149"/>
      <c r="N2186" s="149"/>
    </row>
    <row r="2187" spans="11:14" ht="12.75" hidden="1" customHeight="1" x14ac:dyDescent="0.2">
      <c r="K2187" s="153"/>
      <c r="N2187" s="153"/>
    </row>
    <row r="2188" spans="11:14" ht="12.75" hidden="1" customHeight="1" x14ac:dyDescent="0.2">
      <c r="K2188" s="149"/>
      <c r="N2188" s="149"/>
    </row>
    <row r="2189" spans="11:14" ht="12.75" hidden="1" customHeight="1" x14ac:dyDescent="0.2">
      <c r="K2189" s="149"/>
      <c r="N2189" s="149"/>
    </row>
    <row r="2190" spans="11:14" ht="12.75" hidden="1" customHeight="1" x14ac:dyDescent="0.2">
      <c r="K2190" s="149"/>
      <c r="N2190" s="149"/>
    </row>
    <row r="2191" spans="11:14" ht="12.75" hidden="1" customHeight="1" x14ac:dyDescent="0.2">
      <c r="K2191" s="153"/>
      <c r="N2191" s="153"/>
    </row>
    <row r="2192" spans="11:14" ht="12.75" hidden="1" customHeight="1" x14ac:dyDescent="0.2">
      <c r="K2192" s="149"/>
      <c r="N2192" s="149"/>
    </row>
    <row r="2193" spans="11:14" ht="12.75" hidden="1" customHeight="1" x14ac:dyDescent="0.2">
      <c r="K2193" s="149"/>
      <c r="N2193" s="149"/>
    </row>
    <row r="2194" spans="11:14" ht="12.75" hidden="1" customHeight="1" x14ac:dyDescent="0.2">
      <c r="K2194" s="149"/>
      <c r="N2194" s="149"/>
    </row>
    <row r="2195" spans="11:14" ht="12.75" hidden="1" customHeight="1" x14ac:dyDescent="0.2">
      <c r="K2195" s="153"/>
      <c r="N2195" s="153"/>
    </row>
    <row r="2196" spans="11:14" ht="12.75" hidden="1" customHeight="1" x14ac:dyDescent="0.2">
      <c r="K2196" s="149"/>
      <c r="N2196" s="149"/>
    </row>
    <row r="2197" spans="11:14" ht="12.75" hidden="1" customHeight="1" x14ac:dyDescent="0.2">
      <c r="K2197" s="149"/>
      <c r="N2197" s="149"/>
    </row>
    <row r="2198" spans="11:14" ht="12.75" hidden="1" customHeight="1" x14ac:dyDescent="0.2">
      <c r="K2198" s="149"/>
      <c r="N2198" s="149"/>
    </row>
    <row r="2199" spans="11:14" ht="12.75" hidden="1" customHeight="1" x14ac:dyDescent="0.2">
      <c r="K2199" s="153"/>
      <c r="N2199" s="153"/>
    </row>
    <row r="2200" spans="11:14" ht="12.75" hidden="1" customHeight="1" x14ac:dyDescent="0.2">
      <c r="K2200" s="149"/>
      <c r="N2200" s="149"/>
    </row>
    <row r="2201" spans="11:14" ht="12.75" hidden="1" customHeight="1" x14ac:dyDescent="0.2">
      <c r="K2201" s="149"/>
      <c r="N2201" s="149"/>
    </row>
    <row r="2202" spans="11:14" ht="12.75" hidden="1" customHeight="1" x14ac:dyDescent="0.2">
      <c r="K2202" s="149"/>
      <c r="N2202" s="149"/>
    </row>
    <row r="2203" spans="11:14" ht="12.75" hidden="1" customHeight="1" x14ac:dyDescent="0.2">
      <c r="K2203" s="153"/>
      <c r="N2203" s="153"/>
    </row>
    <row r="2204" spans="11:14" ht="12.75" hidden="1" customHeight="1" x14ac:dyDescent="0.2">
      <c r="K2204" s="149"/>
      <c r="N2204" s="149"/>
    </row>
    <row r="2205" spans="11:14" ht="12.75" hidden="1" customHeight="1" x14ac:dyDescent="0.2">
      <c r="K2205" s="149"/>
      <c r="N2205" s="149"/>
    </row>
    <row r="2206" spans="11:14" ht="12.75" hidden="1" customHeight="1" x14ac:dyDescent="0.2">
      <c r="K2206" s="149"/>
      <c r="N2206" s="149"/>
    </row>
    <row r="2207" spans="11:14" ht="12.75" hidden="1" customHeight="1" x14ac:dyDescent="0.2">
      <c r="K2207" s="153"/>
      <c r="N2207" s="153"/>
    </row>
    <row r="2208" spans="11:14" ht="12.75" hidden="1" customHeight="1" x14ac:dyDescent="0.2">
      <c r="K2208" s="149"/>
      <c r="N2208" s="149"/>
    </row>
    <row r="2209" spans="11:14" ht="12.75" hidden="1" customHeight="1" x14ac:dyDescent="0.2">
      <c r="K2209" s="149"/>
      <c r="N2209" s="149"/>
    </row>
    <row r="2210" spans="11:14" ht="12.75" hidden="1" customHeight="1" x14ac:dyDescent="0.2">
      <c r="K2210" s="149"/>
      <c r="N2210" s="149"/>
    </row>
    <row r="2211" spans="11:14" ht="12.75" hidden="1" customHeight="1" x14ac:dyDescent="0.2">
      <c r="K2211" s="153"/>
      <c r="N2211" s="153"/>
    </row>
    <row r="2212" spans="11:14" ht="12.75" hidden="1" customHeight="1" x14ac:dyDescent="0.2">
      <c r="K2212" s="149"/>
      <c r="N2212" s="149"/>
    </row>
    <row r="2213" spans="11:14" ht="12.75" hidden="1" customHeight="1" x14ac:dyDescent="0.2">
      <c r="K2213" s="149"/>
      <c r="N2213" s="149"/>
    </row>
    <row r="2214" spans="11:14" ht="12.75" hidden="1" customHeight="1" x14ac:dyDescent="0.2">
      <c r="K2214" s="149"/>
      <c r="N2214" s="149"/>
    </row>
    <row r="2215" spans="11:14" ht="12.75" hidden="1" customHeight="1" x14ac:dyDescent="0.2">
      <c r="K2215" s="153"/>
      <c r="N2215" s="153"/>
    </row>
    <row r="2216" spans="11:14" ht="12.75" hidden="1" customHeight="1" x14ac:dyDescent="0.2">
      <c r="K2216" s="149"/>
      <c r="N2216" s="149"/>
    </row>
    <row r="2217" spans="11:14" ht="12.75" hidden="1" customHeight="1" x14ac:dyDescent="0.2">
      <c r="K2217" s="149"/>
      <c r="N2217" s="149"/>
    </row>
    <row r="2218" spans="11:14" ht="12.75" hidden="1" customHeight="1" x14ac:dyDescent="0.2">
      <c r="K2218" s="149"/>
      <c r="N2218" s="149"/>
    </row>
    <row r="2219" spans="11:14" ht="12.75" hidden="1" customHeight="1" x14ac:dyDescent="0.2">
      <c r="K2219" s="153"/>
      <c r="N2219" s="153"/>
    </row>
    <row r="2220" spans="11:14" ht="12.75" hidden="1" customHeight="1" x14ac:dyDescent="0.2">
      <c r="K2220" s="149"/>
      <c r="N2220" s="149"/>
    </row>
    <row r="2221" spans="11:14" ht="12.75" hidden="1" customHeight="1" x14ac:dyDescent="0.2">
      <c r="K2221" s="149"/>
      <c r="N2221" s="149"/>
    </row>
    <row r="2222" spans="11:14" ht="12.75" hidden="1" customHeight="1" x14ac:dyDescent="0.2">
      <c r="K2222" s="149"/>
      <c r="N2222" s="149"/>
    </row>
    <row r="2223" spans="11:14" ht="12.75" hidden="1" customHeight="1" x14ac:dyDescent="0.2">
      <c r="K2223" s="153"/>
      <c r="N2223" s="153"/>
    </row>
    <row r="2224" spans="11:14" ht="12.75" hidden="1" customHeight="1" x14ac:dyDescent="0.2">
      <c r="K2224" s="149"/>
      <c r="N2224" s="149"/>
    </row>
    <row r="2225" spans="11:14" ht="12.75" hidden="1" customHeight="1" x14ac:dyDescent="0.2">
      <c r="K2225" s="149"/>
      <c r="N2225" s="149"/>
    </row>
    <row r="2226" spans="11:14" ht="12.75" hidden="1" customHeight="1" x14ac:dyDescent="0.2">
      <c r="K2226" s="149"/>
      <c r="N2226" s="149"/>
    </row>
    <row r="2227" spans="11:14" ht="12.75" hidden="1" customHeight="1" x14ac:dyDescent="0.2">
      <c r="K2227" s="153"/>
      <c r="N2227" s="153"/>
    </row>
    <row r="2228" spans="11:14" ht="12.75" hidden="1" customHeight="1" x14ac:dyDescent="0.2">
      <c r="K2228" s="149"/>
      <c r="N2228" s="149"/>
    </row>
    <row r="2229" spans="11:14" ht="12.75" hidden="1" customHeight="1" x14ac:dyDescent="0.2">
      <c r="K2229" s="149"/>
      <c r="N2229" s="149"/>
    </row>
    <row r="2230" spans="11:14" ht="12.75" hidden="1" customHeight="1" x14ac:dyDescent="0.2">
      <c r="K2230" s="149"/>
      <c r="N2230" s="149"/>
    </row>
    <row r="2231" spans="11:14" ht="12.75" hidden="1" customHeight="1" x14ac:dyDescent="0.2">
      <c r="K2231" s="153"/>
      <c r="N2231" s="153"/>
    </row>
    <row r="2232" spans="11:14" ht="12.75" hidden="1" customHeight="1" x14ac:dyDescent="0.2">
      <c r="K2232" s="149"/>
      <c r="N2232" s="149"/>
    </row>
    <row r="2233" spans="11:14" ht="12.75" hidden="1" customHeight="1" x14ac:dyDescent="0.2">
      <c r="K2233" s="149"/>
      <c r="N2233" s="149"/>
    </row>
    <row r="2234" spans="11:14" ht="12.75" hidden="1" customHeight="1" x14ac:dyDescent="0.2">
      <c r="K2234" s="149"/>
      <c r="N2234" s="149"/>
    </row>
    <row r="2235" spans="11:14" ht="12.75" hidden="1" customHeight="1" x14ac:dyDescent="0.2">
      <c r="K2235" s="153"/>
      <c r="N2235" s="153"/>
    </row>
    <row r="2236" spans="11:14" ht="12.75" hidden="1" customHeight="1" x14ac:dyDescent="0.2">
      <c r="K2236" s="149"/>
      <c r="N2236" s="149"/>
    </row>
    <row r="2237" spans="11:14" ht="12.75" hidden="1" customHeight="1" x14ac:dyDescent="0.2">
      <c r="K2237" s="149"/>
      <c r="N2237" s="149"/>
    </row>
    <row r="2238" spans="11:14" ht="12.75" hidden="1" customHeight="1" x14ac:dyDescent="0.2">
      <c r="K2238" s="149"/>
      <c r="N2238" s="149"/>
    </row>
    <row r="2239" spans="11:14" ht="12.75" hidden="1" customHeight="1" x14ac:dyDescent="0.2">
      <c r="K2239" s="153"/>
      <c r="N2239" s="153"/>
    </row>
    <row r="2240" spans="11:14" ht="12.75" hidden="1" customHeight="1" x14ac:dyDescent="0.2">
      <c r="K2240" s="149"/>
      <c r="N2240" s="149"/>
    </row>
    <row r="2241" spans="11:14" ht="12.75" hidden="1" customHeight="1" x14ac:dyDescent="0.2">
      <c r="K2241" s="149"/>
      <c r="N2241" s="149"/>
    </row>
    <row r="2242" spans="11:14" ht="12.75" hidden="1" customHeight="1" x14ac:dyDescent="0.2">
      <c r="K2242" s="149"/>
      <c r="N2242" s="149"/>
    </row>
    <row r="2243" spans="11:14" ht="12.75" hidden="1" customHeight="1" x14ac:dyDescent="0.2">
      <c r="K2243" s="153"/>
      <c r="N2243" s="153"/>
    </row>
    <row r="2244" spans="11:14" ht="12.75" hidden="1" customHeight="1" x14ac:dyDescent="0.2">
      <c r="K2244" s="149"/>
      <c r="N2244" s="149"/>
    </row>
    <row r="2245" spans="11:14" ht="12.75" hidden="1" customHeight="1" x14ac:dyDescent="0.2">
      <c r="K2245" s="149"/>
      <c r="N2245" s="149"/>
    </row>
    <row r="2246" spans="11:14" ht="12.75" hidden="1" customHeight="1" x14ac:dyDescent="0.2">
      <c r="K2246" s="149"/>
      <c r="N2246" s="149"/>
    </row>
    <row r="2247" spans="11:14" ht="12.75" hidden="1" customHeight="1" x14ac:dyDescent="0.2">
      <c r="K2247" s="153"/>
      <c r="N2247" s="153"/>
    </row>
    <row r="2248" spans="11:14" ht="12.75" hidden="1" customHeight="1" x14ac:dyDescent="0.2">
      <c r="K2248" s="149"/>
      <c r="N2248" s="149"/>
    </row>
    <row r="2249" spans="11:14" ht="12.75" hidden="1" customHeight="1" x14ac:dyDescent="0.2">
      <c r="K2249" s="149"/>
      <c r="N2249" s="149"/>
    </row>
    <row r="2250" spans="11:14" ht="12.75" hidden="1" customHeight="1" x14ac:dyDescent="0.2">
      <c r="K2250" s="149"/>
      <c r="N2250" s="149"/>
    </row>
    <row r="2251" spans="11:14" ht="12.75" hidden="1" customHeight="1" x14ac:dyDescent="0.2">
      <c r="K2251" s="153"/>
      <c r="N2251" s="153"/>
    </row>
    <row r="2252" spans="11:14" ht="12.75" hidden="1" customHeight="1" x14ac:dyDescent="0.2">
      <c r="K2252" s="149"/>
      <c r="N2252" s="149"/>
    </row>
    <row r="2253" spans="11:14" ht="12.75" hidden="1" customHeight="1" x14ac:dyDescent="0.2">
      <c r="K2253" s="149"/>
      <c r="N2253" s="149"/>
    </row>
    <row r="2254" spans="11:14" ht="12.75" hidden="1" customHeight="1" x14ac:dyDescent="0.2">
      <c r="K2254" s="149"/>
      <c r="N2254" s="149"/>
    </row>
    <row r="2255" spans="11:14" ht="12.75" hidden="1" customHeight="1" x14ac:dyDescent="0.2">
      <c r="K2255" s="153"/>
      <c r="N2255" s="153"/>
    </row>
    <row r="2256" spans="11:14" ht="12.75" hidden="1" customHeight="1" x14ac:dyDescent="0.2">
      <c r="K2256" s="149"/>
      <c r="N2256" s="149"/>
    </row>
    <row r="2257" spans="11:14" ht="12.75" hidden="1" customHeight="1" x14ac:dyDescent="0.2">
      <c r="K2257" s="149"/>
      <c r="N2257" s="149"/>
    </row>
    <row r="2258" spans="11:14" ht="12.75" hidden="1" customHeight="1" x14ac:dyDescent="0.2">
      <c r="K2258" s="149"/>
      <c r="N2258" s="149"/>
    </row>
    <row r="2259" spans="11:14" ht="12.75" hidden="1" customHeight="1" x14ac:dyDescent="0.2">
      <c r="K2259" s="153"/>
      <c r="N2259" s="153"/>
    </row>
    <row r="2260" spans="11:14" ht="12.75" hidden="1" customHeight="1" x14ac:dyDescent="0.2">
      <c r="K2260" s="149"/>
      <c r="N2260" s="149"/>
    </row>
    <row r="2261" spans="11:14" ht="12.75" hidden="1" customHeight="1" x14ac:dyDescent="0.2">
      <c r="K2261" s="149"/>
      <c r="N2261" s="149"/>
    </row>
    <row r="2262" spans="11:14" ht="12.75" hidden="1" customHeight="1" x14ac:dyDescent="0.2">
      <c r="K2262" s="149"/>
      <c r="N2262" s="149"/>
    </row>
    <row r="2263" spans="11:14" ht="12.75" hidden="1" customHeight="1" x14ac:dyDescent="0.2">
      <c r="K2263" s="153"/>
      <c r="N2263" s="153"/>
    </row>
    <row r="2264" spans="11:14" ht="12.75" hidden="1" customHeight="1" x14ac:dyDescent="0.2">
      <c r="K2264" s="149"/>
      <c r="N2264" s="149"/>
    </row>
    <row r="2265" spans="11:14" ht="12.75" hidden="1" customHeight="1" x14ac:dyDescent="0.2">
      <c r="K2265" s="149"/>
      <c r="N2265" s="149"/>
    </row>
    <row r="2266" spans="11:14" ht="12.75" hidden="1" customHeight="1" x14ac:dyDescent="0.2">
      <c r="K2266" s="149"/>
      <c r="N2266" s="149"/>
    </row>
    <row r="2267" spans="11:14" ht="12.75" hidden="1" customHeight="1" x14ac:dyDescent="0.2">
      <c r="K2267" s="153"/>
      <c r="N2267" s="153"/>
    </row>
    <row r="2268" spans="11:14" ht="12.75" hidden="1" customHeight="1" x14ac:dyDescent="0.2">
      <c r="K2268" s="149"/>
      <c r="N2268" s="149"/>
    </row>
    <row r="2269" spans="11:14" ht="12.75" hidden="1" customHeight="1" x14ac:dyDescent="0.2">
      <c r="K2269" s="149"/>
      <c r="N2269" s="149"/>
    </row>
    <row r="2270" spans="11:14" ht="12.75" hidden="1" customHeight="1" x14ac:dyDescent="0.2">
      <c r="K2270" s="149"/>
      <c r="N2270" s="149"/>
    </row>
    <row r="2271" spans="11:14" ht="12.75" hidden="1" customHeight="1" x14ac:dyDescent="0.2">
      <c r="K2271" s="153"/>
      <c r="N2271" s="153"/>
    </row>
    <row r="2272" spans="11:14" ht="12.75" hidden="1" customHeight="1" x14ac:dyDescent="0.2">
      <c r="K2272" s="149"/>
      <c r="N2272" s="149"/>
    </row>
    <row r="2273" spans="11:14" ht="12.75" hidden="1" customHeight="1" x14ac:dyDescent="0.2">
      <c r="K2273" s="149"/>
      <c r="N2273" s="149"/>
    </row>
    <row r="2274" spans="11:14" ht="12.75" hidden="1" customHeight="1" x14ac:dyDescent="0.2">
      <c r="K2274" s="149"/>
      <c r="N2274" s="149"/>
    </row>
    <row r="2275" spans="11:14" ht="12.75" hidden="1" customHeight="1" x14ac:dyDescent="0.2">
      <c r="K2275" s="153"/>
      <c r="N2275" s="153"/>
    </row>
    <row r="2276" spans="11:14" ht="12.75" hidden="1" customHeight="1" x14ac:dyDescent="0.2">
      <c r="K2276" s="149"/>
      <c r="N2276" s="149"/>
    </row>
    <row r="2277" spans="11:14" ht="12.75" hidden="1" customHeight="1" x14ac:dyDescent="0.2">
      <c r="K2277" s="149"/>
      <c r="N2277" s="149"/>
    </row>
    <row r="2278" spans="11:14" ht="12.75" hidden="1" customHeight="1" x14ac:dyDescent="0.2">
      <c r="K2278" s="149"/>
      <c r="N2278" s="149"/>
    </row>
    <row r="2279" spans="11:14" ht="12.75" hidden="1" customHeight="1" x14ac:dyDescent="0.2">
      <c r="K2279" s="153"/>
      <c r="N2279" s="153"/>
    </row>
    <row r="2280" spans="11:14" ht="12.75" hidden="1" customHeight="1" x14ac:dyDescent="0.2">
      <c r="K2280" s="149"/>
      <c r="N2280" s="149"/>
    </row>
    <row r="2281" spans="11:14" ht="12.75" hidden="1" customHeight="1" x14ac:dyDescent="0.2">
      <c r="K2281" s="149"/>
      <c r="N2281" s="149"/>
    </row>
    <row r="2282" spans="11:14" ht="12.75" hidden="1" customHeight="1" x14ac:dyDescent="0.2">
      <c r="K2282" s="149"/>
      <c r="N2282" s="149"/>
    </row>
    <row r="2283" spans="11:14" ht="12.75" hidden="1" customHeight="1" x14ac:dyDescent="0.2">
      <c r="K2283" s="153"/>
      <c r="N2283" s="153"/>
    </row>
    <row r="2284" spans="11:14" ht="12.75" hidden="1" customHeight="1" x14ac:dyDescent="0.2">
      <c r="K2284" s="149"/>
      <c r="N2284" s="149"/>
    </row>
    <row r="2285" spans="11:14" ht="12.75" hidden="1" customHeight="1" x14ac:dyDescent="0.2">
      <c r="K2285" s="149"/>
      <c r="N2285" s="149"/>
    </row>
    <row r="2286" spans="11:14" ht="12.75" hidden="1" customHeight="1" x14ac:dyDescent="0.2">
      <c r="K2286" s="149"/>
      <c r="N2286" s="149"/>
    </row>
    <row r="2287" spans="11:14" ht="12.75" hidden="1" customHeight="1" x14ac:dyDescent="0.2">
      <c r="K2287" s="153"/>
      <c r="N2287" s="153"/>
    </row>
    <row r="2288" spans="11:14" ht="12.75" hidden="1" customHeight="1" x14ac:dyDescent="0.2">
      <c r="K2288" s="149"/>
      <c r="N2288" s="149"/>
    </row>
    <row r="2289" spans="11:14" ht="12.75" hidden="1" customHeight="1" x14ac:dyDescent="0.2">
      <c r="K2289" s="149"/>
      <c r="N2289" s="149"/>
    </row>
    <row r="2290" spans="11:14" ht="12.75" hidden="1" customHeight="1" x14ac:dyDescent="0.2">
      <c r="K2290" s="149"/>
      <c r="N2290" s="149"/>
    </row>
    <row r="2291" spans="11:14" ht="12.75" hidden="1" customHeight="1" x14ac:dyDescent="0.2">
      <c r="K2291" s="153"/>
      <c r="N2291" s="153"/>
    </row>
    <row r="2292" spans="11:14" ht="12.75" hidden="1" customHeight="1" x14ac:dyDescent="0.2">
      <c r="K2292" s="149"/>
      <c r="N2292" s="149"/>
    </row>
    <row r="2293" spans="11:14" ht="12.75" hidden="1" customHeight="1" x14ac:dyDescent="0.2">
      <c r="K2293" s="149"/>
      <c r="N2293" s="149"/>
    </row>
    <row r="2294" spans="11:14" ht="12.75" hidden="1" customHeight="1" x14ac:dyDescent="0.2">
      <c r="K2294" s="149"/>
      <c r="N2294" s="149"/>
    </row>
    <row r="2295" spans="11:14" ht="12.75" hidden="1" customHeight="1" x14ac:dyDescent="0.2">
      <c r="K2295" s="153"/>
      <c r="N2295" s="153"/>
    </row>
    <row r="2296" spans="11:14" ht="12.75" hidden="1" customHeight="1" x14ac:dyDescent="0.2">
      <c r="K2296" s="149"/>
      <c r="N2296" s="149"/>
    </row>
    <row r="2297" spans="11:14" ht="12.75" hidden="1" customHeight="1" x14ac:dyDescent="0.2">
      <c r="K2297" s="149"/>
      <c r="N2297" s="149"/>
    </row>
    <row r="2298" spans="11:14" ht="12.75" hidden="1" customHeight="1" x14ac:dyDescent="0.2">
      <c r="K2298" s="149"/>
      <c r="N2298" s="149"/>
    </row>
    <row r="2299" spans="11:14" ht="12.75" hidden="1" customHeight="1" x14ac:dyDescent="0.2">
      <c r="K2299" s="153"/>
      <c r="N2299" s="153"/>
    </row>
    <row r="2300" spans="11:14" ht="12.75" hidden="1" customHeight="1" x14ac:dyDescent="0.2">
      <c r="K2300" s="149"/>
      <c r="N2300" s="149"/>
    </row>
    <row r="2301" spans="11:14" ht="12.75" hidden="1" customHeight="1" x14ac:dyDescent="0.2">
      <c r="K2301" s="149"/>
      <c r="N2301" s="149"/>
    </row>
    <row r="2302" spans="11:14" ht="12.75" hidden="1" customHeight="1" x14ac:dyDescent="0.2">
      <c r="K2302" s="149"/>
      <c r="N2302" s="149"/>
    </row>
    <row r="2303" spans="11:14" ht="12.75" hidden="1" customHeight="1" x14ac:dyDescent="0.2">
      <c r="K2303" s="153"/>
      <c r="N2303" s="153"/>
    </row>
    <row r="2304" spans="11:14" ht="12.75" hidden="1" customHeight="1" x14ac:dyDescent="0.2">
      <c r="K2304" s="149"/>
      <c r="N2304" s="149"/>
    </row>
    <row r="2305" spans="11:14" ht="12.75" hidden="1" customHeight="1" x14ac:dyDescent="0.2">
      <c r="K2305" s="149"/>
      <c r="N2305" s="149"/>
    </row>
    <row r="2306" spans="11:14" ht="12.75" hidden="1" customHeight="1" x14ac:dyDescent="0.2">
      <c r="K2306" s="149"/>
      <c r="N2306" s="149"/>
    </row>
    <row r="2307" spans="11:14" ht="12.75" hidden="1" customHeight="1" x14ac:dyDescent="0.2">
      <c r="K2307" s="153"/>
      <c r="N2307" s="153"/>
    </row>
    <row r="2308" spans="11:14" ht="12.75" hidden="1" customHeight="1" x14ac:dyDescent="0.2">
      <c r="K2308" s="149"/>
      <c r="N2308" s="149"/>
    </row>
    <row r="2309" spans="11:14" ht="12.75" hidden="1" customHeight="1" x14ac:dyDescent="0.2">
      <c r="K2309" s="149"/>
      <c r="N2309" s="149"/>
    </row>
    <row r="2310" spans="11:14" ht="12.75" hidden="1" customHeight="1" x14ac:dyDescent="0.2">
      <c r="K2310" s="149"/>
      <c r="N2310" s="149"/>
    </row>
    <row r="2311" spans="11:14" ht="12.75" hidden="1" customHeight="1" x14ac:dyDescent="0.2">
      <c r="K2311" s="153"/>
      <c r="N2311" s="153"/>
    </row>
    <row r="2312" spans="11:14" ht="12.75" hidden="1" customHeight="1" x14ac:dyDescent="0.2">
      <c r="K2312" s="149"/>
      <c r="N2312" s="149"/>
    </row>
    <row r="2313" spans="11:14" ht="12.75" hidden="1" customHeight="1" x14ac:dyDescent="0.2">
      <c r="K2313" s="149"/>
      <c r="N2313" s="149"/>
    </row>
    <row r="2314" spans="11:14" ht="12.75" hidden="1" customHeight="1" x14ac:dyDescent="0.2">
      <c r="K2314" s="149"/>
      <c r="N2314" s="149"/>
    </row>
    <row r="2315" spans="11:14" ht="12.75" hidden="1" customHeight="1" x14ac:dyDescent="0.2">
      <c r="K2315" s="153"/>
      <c r="N2315" s="153"/>
    </row>
    <row r="2316" spans="11:14" ht="12.75" hidden="1" customHeight="1" x14ac:dyDescent="0.2">
      <c r="K2316" s="149"/>
      <c r="N2316" s="149"/>
    </row>
    <row r="2317" spans="11:14" ht="12.75" hidden="1" customHeight="1" x14ac:dyDescent="0.2">
      <c r="K2317" s="149"/>
      <c r="N2317" s="149"/>
    </row>
    <row r="2318" spans="11:14" ht="12.75" hidden="1" customHeight="1" x14ac:dyDescent="0.2">
      <c r="K2318" s="149"/>
      <c r="N2318" s="149"/>
    </row>
    <row r="2319" spans="11:14" ht="12.75" hidden="1" customHeight="1" x14ac:dyDescent="0.2">
      <c r="K2319" s="153"/>
      <c r="N2319" s="153"/>
    </row>
    <row r="2320" spans="11:14" ht="12.75" hidden="1" customHeight="1" x14ac:dyDescent="0.2">
      <c r="K2320" s="149"/>
      <c r="N2320" s="149"/>
    </row>
    <row r="2321" spans="11:14" ht="12.75" hidden="1" customHeight="1" x14ac:dyDescent="0.2">
      <c r="K2321" s="149"/>
      <c r="N2321" s="149"/>
    </row>
    <row r="2322" spans="11:14" ht="12.75" hidden="1" customHeight="1" x14ac:dyDescent="0.2">
      <c r="K2322" s="149"/>
      <c r="N2322" s="149"/>
    </row>
    <row r="2323" spans="11:14" ht="12.75" hidden="1" customHeight="1" x14ac:dyDescent="0.2">
      <c r="K2323" s="153"/>
      <c r="N2323" s="153"/>
    </row>
    <row r="2324" spans="11:14" ht="12.75" hidden="1" customHeight="1" x14ac:dyDescent="0.2">
      <c r="K2324" s="149"/>
      <c r="N2324" s="149"/>
    </row>
    <row r="2325" spans="11:14" ht="12.75" hidden="1" customHeight="1" x14ac:dyDescent="0.2">
      <c r="K2325" s="149"/>
      <c r="N2325" s="149"/>
    </row>
    <row r="2326" spans="11:14" ht="12.75" hidden="1" customHeight="1" x14ac:dyDescent="0.2">
      <c r="K2326" s="149"/>
      <c r="N2326" s="149"/>
    </row>
    <row r="2327" spans="11:14" ht="12.75" hidden="1" customHeight="1" x14ac:dyDescent="0.2">
      <c r="K2327" s="153"/>
      <c r="N2327" s="153"/>
    </row>
    <row r="2328" spans="11:14" ht="12.75" hidden="1" customHeight="1" x14ac:dyDescent="0.2">
      <c r="K2328" s="149"/>
      <c r="N2328" s="149"/>
    </row>
    <row r="2329" spans="11:14" ht="12.75" hidden="1" customHeight="1" x14ac:dyDescent="0.2">
      <c r="K2329" s="149"/>
      <c r="N2329" s="149"/>
    </row>
    <row r="2330" spans="11:14" ht="12.75" hidden="1" customHeight="1" x14ac:dyDescent="0.2">
      <c r="K2330" s="149"/>
      <c r="N2330" s="149"/>
    </row>
    <row r="2331" spans="11:14" ht="12.75" hidden="1" customHeight="1" x14ac:dyDescent="0.2">
      <c r="K2331" s="153"/>
      <c r="N2331" s="153"/>
    </row>
    <row r="2332" spans="11:14" ht="12.75" hidden="1" customHeight="1" x14ac:dyDescent="0.2">
      <c r="K2332" s="149"/>
      <c r="N2332" s="149"/>
    </row>
    <row r="2333" spans="11:14" ht="12.75" hidden="1" customHeight="1" x14ac:dyDescent="0.2">
      <c r="K2333" s="149"/>
      <c r="N2333" s="149"/>
    </row>
    <row r="2334" spans="11:14" ht="12.75" hidden="1" customHeight="1" x14ac:dyDescent="0.2">
      <c r="K2334" s="149"/>
      <c r="N2334" s="149"/>
    </row>
    <row r="2335" spans="11:14" ht="12.75" hidden="1" customHeight="1" x14ac:dyDescent="0.2">
      <c r="K2335" s="153"/>
      <c r="N2335" s="153"/>
    </row>
    <row r="2336" spans="11:14" ht="12.75" hidden="1" customHeight="1" x14ac:dyDescent="0.2">
      <c r="K2336" s="149"/>
      <c r="N2336" s="149"/>
    </row>
    <row r="2337" spans="11:14" ht="12.75" hidden="1" customHeight="1" x14ac:dyDescent="0.2">
      <c r="K2337" s="149"/>
      <c r="N2337" s="149"/>
    </row>
    <row r="2338" spans="11:14" ht="12.75" hidden="1" customHeight="1" x14ac:dyDescent="0.2">
      <c r="K2338" s="149"/>
      <c r="N2338" s="149"/>
    </row>
    <row r="2339" spans="11:14" ht="12.75" hidden="1" customHeight="1" x14ac:dyDescent="0.2">
      <c r="K2339" s="153"/>
      <c r="N2339" s="153"/>
    </row>
    <row r="2340" spans="11:14" ht="12.75" hidden="1" customHeight="1" x14ac:dyDescent="0.2">
      <c r="K2340" s="149"/>
      <c r="N2340" s="149"/>
    </row>
    <row r="2341" spans="11:14" ht="12.75" hidden="1" customHeight="1" x14ac:dyDescent="0.2">
      <c r="K2341" s="149"/>
      <c r="N2341" s="149"/>
    </row>
    <row r="2342" spans="11:14" ht="12.75" hidden="1" customHeight="1" x14ac:dyDescent="0.2">
      <c r="K2342" s="149"/>
      <c r="N2342" s="149"/>
    </row>
    <row r="2343" spans="11:14" ht="12.75" hidden="1" customHeight="1" x14ac:dyDescent="0.2">
      <c r="K2343" s="153"/>
      <c r="N2343" s="153"/>
    </row>
    <row r="2344" spans="11:14" ht="12.75" hidden="1" customHeight="1" x14ac:dyDescent="0.2">
      <c r="K2344" s="149"/>
      <c r="N2344" s="149"/>
    </row>
    <row r="2345" spans="11:14" ht="12.75" hidden="1" customHeight="1" x14ac:dyDescent="0.2">
      <c r="K2345" s="149"/>
      <c r="N2345" s="149"/>
    </row>
    <row r="2346" spans="11:14" ht="12.75" hidden="1" customHeight="1" x14ac:dyDescent="0.2">
      <c r="K2346" s="149"/>
      <c r="N2346" s="149"/>
    </row>
    <row r="2347" spans="11:14" ht="12.75" hidden="1" customHeight="1" x14ac:dyDescent="0.2">
      <c r="K2347" s="153"/>
      <c r="N2347" s="153"/>
    </row>
    <row r="2348" spans="11:14" ht="12.75" hidden="1" customHeight="1" x14ac:dyDescent="0.2">
      <c r="K2348" s="149"/>
      <c r="N2348" s="149"/>
    </row>
    <row r="2349" spans="11:14" ht="12.75" hidden="1" customHeight="1" x14ac:dyDescent="0.2">
      <c r="K2349" s="149"/>
      <c r="N2349" s="149"/>
    </row>
    <row r="2350" spans="11:14" ht="12.75" hidden="1" customHeight="1" x14ac:dyDescent="0.2">
      <c r="K2350" s="149"/>
      <c r="N2350" s="149"/>
    </row>
    <row r="2351" spans="11:14" ht="12.75" hidden="1" customHeight="1" x14ac:dyDescent="0.2">
      <c r="K2351" s="153"/>
      <c r="N2351" s="153"/>
    </row>
    <row r="2352" spans="11:14" ht="12.75" hidden="1" customHeight="1" x14ac:dyDescent="0.2">
      <c r="K2352" s="149"/>
      <c r="N2352" s="149"/>
    </row>
    <row r="2353" spans="11:14" ht="12.75" hidden="1" customHeight="1" x14ac:dyDescent="0.2">
      <c r="K2353" s="149"/>
      <c r="N2353" s="149"/>
    </row>
    <row r="2354" spans="11:14" ht="12.75" hidden="1" customHeight="1" x14ac:dyDescent="0.2">
      <c r="K2354" s="149"/>
      <c r="N2354" s="149"/>
    </row>
    <row r="2355" spans="11:14" ht="12.75" hidden="1" customHeight="1" x14ac:dyDescent="0.2">
      <c r="K2355" s="153"/>
      <c r="N2355" s="153"/>
    </row>
    <row r="2356" spans="11:14" ht="12.75" hidden="1" customHeight="1" x14ac:dyDescent="0.2">
      <c r="K2356" s="149"/>
      <c r="N2356" s="149"/>
    </row>
    <row r="2357" spans="11:14" ht="12.75" hidden="1" customHeight="1" x14ac:dyDescent="0.2">
      <c r="K2357" s="149"/>
      <c r="N2357" s="149"/>
    </row>
    <row r="2358" spans="11:14" ht="12.75" hidden="1" customHeight="1" x14ac:dyDescent="0.2">
      <c r="K2358" s="149"/>
      <c r="N2358" s="149"/>
    </row>
    <row r="2359" spans="11:14" ht="12.75" hidden="1" customHeight="1" x14ac:dyDescent="0.2">
      <c r="K2359" s="153"/>
      <c r="N2359" s="153"/>
    </row>
    <row r="2360" spans="11:14" ht="12.75" hidden="1" customHeight="1" x14ac:dyDescent="0.2">
      <c r="K2360" s="149"/>
      <c r="N2360" s="149"/>
    </row>
    <row r="2361" spans="11:14" ht="12.75" hidden="1" customHeight="1" x14ac:dyDescent="0.2">
      <c r="K2361" s="149"/>
      <c r="N2361" s="149"/>
    </row>
    <row r="2362" spans="11:14" ht="12.75" hidden="1" customHeight="1" x14ac:dyDescent="0.2">
      <c r="K2362" s="149"/>
      <c r="N2362" s="149"/>
    </row>
    <row r="2363" spans="11:14" ht="12.75" hidden="1" customHeight="1" x14ac:dyDescent="0.2">
      <c r="K2363" s="153"/>
      <c r="N2363" s="153"/>
    </row>
    <row r="2364" spans="11:14" ht="12.75" hidden="1" customHeight="1" x14ac:dyDescent="0.2">
      <c r="K2364" s="149"/>
      <c r="N2364" s="149"/>
    </row>
    <row r="2365" spans="11:14" ht="12.75" hidden="1" customHeight="1" x14ac:dyDescent="0.2">
      <c r="K2365" s="149"/>
      <c r="N2365" s="149"/>
    </row>
    <row r="2366" spans="11:14" ht="12.75" hidden="1" customHeight="1" x14ac:dyDescent="0.2">
      <c r="K2366" s="149"/>
      <c r="N2366" s="149"/>
    </row>
    <row r="2367" spans="11:14" ht="12.75" hidden="1" customHeight="1" x14ac:dyDescent="0.2">
      <c r="K2367" s="153"/>
      <c r="N2367" s="153"/>
    </row>
    <row r="2368" spans="11:14" ht="12.75" hidden="1" customHeight="1" x14ac:dyDescent="0.2">
      <c r="K2368" s="149"/>
      <c r="N2368" s="149"/>
    </row>
    <row r="2369" spans="11:14" ht="12.75" hidden="1" customHeight="1" x14ac:dyDescent="0.2">
      <c r="K2369" s="149"/>
      <c r="N2369" s="149"/>
    </row>
    <row r="2370" spans="11:14" ht="12.75" hidden="1" customHeight="1" x14ac:dyDescent="0.2">
      <c r="K2370" s="149"/>
      <c r="N2370" s="149"/>
    </row>
    <row r="2371" spans="11:14" ht="12.75" hidden="1" customHeight="1" x14ac:dyDescent="0.2">
      <c r="K2371" s="153"/>
      <c r="N2371" s="153"/>
    </row>
    <row r="2372" spans="11:14" ht="12.75" hidden="1" customHeight="1" x14ac:dyDescent="0.2">
      <c r="K2372" s="149"/>
      <c r="N2372" s="149"/>
    </row>
    <row r="2373" spans="11:14" ht="12.75" hidden="1" customHeight="1" x14ac:dyDescent="0.2">
      <c r="K2373" s="149"/>
      <c r="N2373" s="149"/>
    </row>
    <row r="2374" spans="11:14" ht="12.75" hidden="1" customHeight="1" x14ac:dyDescent="0.2">
      <c r="K2374" s="149"/>
      <c r="N2374" s="149"/>
    </row>
    <row r="2375" spans="11:14" ht="12.75" hidden="1" customHeight="1" x14ac:dyDescent="0.2">
      <c r="K2375" s="153"/>
      <c r="N2375" s="153"/>
    </row>
    <row r="2376" spans="11:14" ht="12.75" hidden="1" customHeight="1" x14ac:dyDescent="0.2">
      <c r="K2376" s="149"/>
      <c r="N2376" s="149"/>
    </row>
    <row r="2377" spans="11:14" ht="12.75" hidden="1" customHeight="1" x14ac:dyDescent="0.2">
      <c r="K2377" s="149"/>
      <c r="N2377" s="149"/>
    </row>
    <row r="2378" spans="11:14" ht="12.75" hidden="1" customHeight="1" x14ac:dyDescent="0.2">
      <c r="K2378" s="149"/>
      <c r="N2378" s="149"/>
    </row>
    <row r="2379" spans="11:14" ht="12.75" hidden="1" customHeight="1" x14ac:dyDescent="0.2">
      <c r="K2379" s="153"/>
      <c r="N2379" s="153"/>
    </row>
    <row r="2380" spans="11:14" ht="12.75" hidden="1" customHeight="1" x14ac:dyDescent="0.2">
      <c r="K2380" s="149"/>
      <c r="N2380" s="149"/>
    </row>
    <row r="2381" spans="11:14" ht="12.75" hidden="1" customHeight="1" x14ac:dyDescent="0.2">
      <c r="K2381" s="149"/>
      <c r="N2381" s="149"/>
    </row>
    <row r="2382" spans="11:14" ht="12.75" hidden="1" customHeight="1" x14ac:dyDescent="0.2">
      <c r="K2382" s="149"/>
      <c r="N2382" s="149"/>
    </row>
    <row r="2383" spans="11:14" ht="12.75" hidden="1" customHeight="1" x14ac:dyDescent="0.2">
      <c r="K2383" s="153"/>
      <c r="N2383" s="153"/>
    </row>
    <row r="2384" spans="11:14" ht="12.75" hidden="1" customHeight="1" x14ac:dyDescent="0.2">
      <c r="K2384" s="149"/>
      <c r="N2384" s="149"/>
    </row>
    <row r="2385" spans="11:14" ht="12.75" hidden="1" customHeight="1" x14ac:dyDescent="0.2">
      <c r="K2385" s="149"/>
      <c r="N2385" s="149"/>
    </row>
    <row r="2386" spans="11:14" ht="12.75" hidden="1" customHeight="1" x14ac:dyDescent="0.2">
      <c r="K2386" s="149"/>
      <c r="N2386" s="149"/>
    </row>
    <row r="2387" spans="11:14" ht="12.75" hidden="1" customHeight="1" x14ac:dyDescent="0.2">
      <c r="K2387" s="153"/>
      <c r="N2387" s="153"/>
    </row>
    <row r="2388" spans="11:14" ht="12.75" hidden="1" customHeight="1" x14ac:dyDescent="0.2">
      <c r="K2388" s="149"/>
      <c r="N2388" s="149"/>
    </row>
    <row r="2389" spans="11:14" ht="12.75" hidden="1" customHeight="1" x14ac:dyDescent="0.2">
      <c r="K2389" s="149"/>
      <c r="N2389" s="149"/>
    </row>
    <row r="2390" spans="11:14" ht="12.75" hidden="1" customHeight="1" x14ac:dyDescent="0.2">
      <c r="K2390" s="149"/>
      <c r="N2390" s="149"/>
    </row>
    <row r="2391" spans="11:14" ht="12.75" hidden="1" customHeight="1" x14ac:dyDescent="0.2">
      <c r="K2391" s="153"/>
      <c r="N2391" s="153"/>
    </row>
    <row r="2392" spans="11:14" ht="12.75" hidden="1" customHeight="1" x14ac:dyDescent="0.2">
      <c r="K2392" s="149"/>
      <c r="N2392" s="149"/>
    </row>
    <row r="2393" spans="11:14" ht="12.75" hidden="1" customHeight="1" x14ac:dyDescent="0.2">
      <c r="K2393" s="149"/>
      <c r="N2393" s="149"/>
    </row>
    <row r="2394" spans="11:14" ht="12.75" hidden="1" customHeight="1" x14ac:dyDescent="0.2">
      <c r="K2394" s="149"/>
      <c r="N2394" s="149"/>
    </row>
    <row r="2395" spans="11:14" ht="12.75" hidden="1" customHeight="1" x14ac:dyDescent="0.2">
      <c r="K2395" s="153"/>
      <c r="N2395" s="153"/>
    </row>
    <row r="2396" spans="11:14" ht="12.75" hidden="1" customHeight="1" x14ac:dyDescent="0.2">
      <c r="K2396" s="149"/>
      <c r="N2396" s="149"/>
    </row>
    <row r="2397" spans="11:14" ht="12.75" hidden="1" customHeight="1" x14ac:dyDescent="0.2">
      <c r="K2397" s="149"/>
      <c r="N2397" s="149"/>
    </row>
    <row r="2398" spans="11:14" ht="12.75" hidden="1" customHeight="1" x14ac:dyDescent="0.2">
      <c r="K2398" s="149"/>
      <c r="N2398" s="149"/>
    </row>
    <row r="2399" spans="11:14" ht="12.75" hidden="1" customHeight="1" x14ac:dyDescent="0.2">
      <c r="K2399" s="153"/>
      <c r="N2399" s="153"/>
    </row>
    <row r="2400" spans="11:14" ht="12.75" hidden="1" customHeight="1" x14ac:dyDescent="0.2">
      <c r="K2400" s="149"/>
      <c r="N2400" s="149"/>
    </row>
    <row r="2401" spans="11:14" ht="12.75" hidden="1" customHeight="1" x14ac:dyDescent="0.2">
      <c r="K2401" s="149"/>
      <c r="N2401" s="149"/>
    </row>
    <row r="2402" spans="11:14" ht="12.75" hidden="1" customHeight="1" x14ac:dyDescent="0.2">
      <c r="K2402" s="149"/>
      <c r="N2402" s="149"/>
    </row>
    <row r="2403" spans="11:14" ht="12.75" hidden="1" customHeight="1" x14ac:dyDescent="0.2">
      <c r="K2403" s="153"/>
      <c r="N2403" s="153"/>
    </row>
    <row r="2404" spans="11:14" ht="12.75" hidden="1" customHeight="1" x14ac:dyDescent="0.2">
      <c r="K2404" s="149"/>
      <c r="N2404" s="149"/>
    </row>
    <row r="2405" spans="11:14" ht="12.75" hidden="1" customHeight="1" x14ac:dyDescent="0.2">
      <c r="K2405" s="149"/>
      <c r="N2405" s="149"/>
    </row>
    <row r="2406" spans="11:14" ht="12.75" hidden="1" customHeight="1" x14ac:dyDescent="0.2">
      <c r="K2406" s="149"/>
      <c r="N2406" s="149"/>
    </row>
    <row r="2407" spans="11:14" ht="12.75" hidden="1" customHeight="1" x14ac:dyDescent="0.2">
      <c r="K2407" s="153"/>
      <c r="N2407" s="153"/>
    </row>
    <row r="2408" spans="11:14" ht="12.75" hidden="1" customHeight="1" x14ac:dyDescent="0.2">
      <c r="K2408" s="149"/>
      <c r="N2408" s="149"/>
    </row>
    <row r="2409" spans="11:14" ht="12.75" hidden="1" customHeight="1" x14ac:dyDescent="0.2">
      <c r="K2409" s="149"/>
      <c r="N2409" s="149"/>
    </row>
    <row r="2410" spans="11:14" ht="12.75" hidden="1" customHeight="1" x14ac:dyDescent="0.2">
      <c r="K2410" s="149"/>
      <c r="N2410" s="149"/>
    </row>
    <row r="2411" spans="11:14" ht="12.75" hidden="1" customHeight="1" x14ac:dyDescent="0.2">
      <c r="K2411" s="153"/>
      <c r="N2411" s="153"/>
    </row>
    <row r="2412" spans="11:14" ht="12.75" hidden="1" customHeight="1" x14ac:dyDescent="0.2">
      <c r="K2412" s="149"/>
      <c r="N2412" s="149"/>
    </row>
    <row r="2413" spans="11:14" ht="12.75" hidden="1" customHeight="1" x14ac:dyDescent="0.2">
      <c r="K2413" s="149"/>
      <c r="N2413" s="149"/>
    </row>
    <row r="2414" spans="11:14" ht="12.75" hidden="1" customHeight="1" x14ac:dyDescent="0.2">
      <c r="K2414" s="149"/>
      <c r="N2414" s="149"/>
    </row>
    <row r="2415" spans="11:14" ht="12.75" hidden="1" customHeight="1" x14ac:dyDescent="0.2">
      <c r="K2415" s="153"/>
      <c r="N2415" s="153"/>
    </row>
    <row r="2416" spans="11:14" ht="12.75" hidden="1" customHeight="1" x14ac:dyDescent="0.2">
      <c r="K2416" s="149"/>
      <c r="N2416" s="149"/>
    </row>
    <row r="2417" spans="11:14" ht="12.75" hidden="1" customHeight="1" x14ac:dyDescent="0.2">
      <c r="K2417" s="149"/>
      <c r="N2417" s="149"/>
    </row>
    <row r="2418" spans="11:14" ht="12.75" hidden="1" customHeight="1" x14ac:dyDescent="0.2">
      <c r="K2418" s="149"/>
      <c r="N2418" s="149"/>
    </row>
    <row r="2419" spans="11:14" ht="12.75" hidden="1" customHeight="1" x14ac:dyDescent="0.2">
      <c r="K2419" s="153"/>
      <c r="N2419" s="153"/>
    </row>
    <row r="2420" spans="11:14" ht="12.75" hidden="1" customHeight="1" x14ac:dyDescent="0.2">
      <c r="K2420" s="149"/>
      <c r="N2420" s="149"/>
    </row>
    <row r="2421" spans="11:14" ht="12.75" hidden="1" customHeight="1" x14ac:dyDescent="0.2">
      <c r="K2421" s="149"/>
      <c r="N2421" s="149"/>
    </row>
    <row r="2422" spans="11:14" ht="12.75" hidden="1" customHeight="1" x14ac:dyDescent="0.2">
      <c r="K2422" s="149"/>
      <c r="N2422" s="149"/>
    </row>
    <row r="2423" spans="11:14" ht="12.75" hidden="1" customHeight="1" x14ac:dyDescent="0.2">
      <c r="K2423" s="153"/>
      <c r="N2423" s="153"/>
    </row>
    <row r="2424" spans="11:14" ht="12.75" hidden="1" customHeight="1" x14ac:dyDescent="0.2">
      <c r="K2424" s="149"/>
      <c r="N2424" s="149"/>
    </row>
    <row r="2425" spans="11:14" ht="12.75" hidden="1" customHeight="1" x14ac:dyDescent="0.2">
      <c r="K2425" s="149"/>
      <c r="N2425" s="149"/>
    </row>
    <row r="2426" spans="11:14" ht="12.75" hidden="1" customHeight="1" x14ac:dyDescent="0.2">
      <c r="K2426" s="149"/>
      <c r="N2426" s="149"/>
    </row>
    <row r="2427" spans="11:14" ht="12.75" hidden="1" customHeight="1" x14ac:dyDescent="0.2">
      <c r="K2427" s="153"/>
      <c r="N2427" s="153"/>
    </row>
    <row r="2428" spans="11:14" ht="12.75" hidden="1" customHeight="1" x14ac:dyDescent="0.2">
      <c r="K2428" s="149"/>
      <c r="N2428" s="149"/>
    </row>
    <row r="2429" spans="11:14" ht="12.75" hidden="1" customHeight="1" x14ac:dyDescent="0.2">
      <c r="K2429" s="149"/>
      <c r="N2429" s="149"/>
    </row>
    <row r="2430" spans="11:14" ht="12.75" hidden="1" customHeight="1" x14ac:dyDescent="0.2">
      <c r="K2430" s="149"/>
      <c r="N2430" s="149"/>
    </row>
    <row r="2431" spans="11:14" ht="12.75" hidden="1" customHeight="1" x14ac:dyDescent="0.2">
      <c r="K2431" s="153"/>
      <c r="N2431" s="153"/>
    </row>
    <row r="2432" spans="11:14" ht="12.75" hidden="1" customHeight="1" x14ac:dyDescent="0.2">
      <c r="K2432" s="149"/>
      <c r="N2432" s="149"/>
    </row>
    <row r="2433" spans="11:14" ht="12.75" hidden="1" customHeight="1" x14ac:dyDescent="0.2">
      <c r="K2433" s="149"/>
      <c r="N2433" s="149"/>
    </row>
    <row r="2434" spans="11:14" ht="12.75" hidden="1" customHeight="1" x14ac:dyDescent="0.2">
      <c r="K2434" s="149"/>
      <c r="N2434" s="149"/>
    </row>
    <row r="2435" spans="11:14" ht="12.75" hidden="1" customHeight="1" x14ac:dyDescent="0.2">
      <c r="K2435" s="153"/>
      <c r="N2435" s="153"/>
    </row>
    <row r="2436" spans="11:14" ht="12.75" hidden="1" customHeight="1" x14ac:dyDescent="0.2">
      <c r="K2436" s="149"/>
      <c r="N2436" s="149"/>
    </row>
    <row r="2437" spans="11:14" ht="12.75" hidden="1" customHeight="1" x14ac:dyDescent="0.2">
      <c r="K2437" s="149"/>
      <c r="N2437" s="149"/>
    </row>
    <row r="2438" spans="11:14" ht="12.75" hidden="1" customHeight="1" x14ac:dyDescent="0.2">
      <c r="K2438" s="149"/>
      <c r="N2438" s="149"/>
    </row>
    <row r="2439" spans="11:14" ht="12.75" hidden="1" customHeight="1" x14ac:dyDescent="0.2">
      <c r="K2439" s="153"/>
      <c r="N2439" s="153"/>
    </row>
    <row r="2440" spans="11:14" ht="12.75" hidden="1" customHeight="1" x14ac:dyDescent="0.2">
      <c r="K2440" s="149"/>
      <c r="N2440" s="149"/>
    </row>
    <row r="2441" spans="11:14" ht="12.75" hidden="1" customHeight="1" x14ac:dyDescent="0.2">
      <c r="K2441" s="149"/>
      <c r="N2441" s="149"/>
    </row>
    <row r="2442" spans="11:14" ht="12.75" hidden="1" customHeight="1" x14ac:dyDescent="0.2">
      <c r="K2442" s="149"/>
      <c r="N2442" s="149"/>
    </row>
    <row r="2443" spans="11:14" ht="12.75" hidden="1" customHeight="1" x14ac:dyDescent="0.2">
      <c r="K2443" s="153"/>
      <c r="N2443" s="153"/>
    </row>
    <row r="2444" spans="11:14" ht="12.75" hidden="1" customHeight="1" x14ac:dyDescent="0.2">
      <c r="K2444" s="149"/>
      <c r="N2444" s="149"/>
    </row>
    <row r="2445" spans="11:14" ht="12.75" hidden="1" customHeight="1" x14ac:dyDescent="0.2">
      <c r="K2445" s="149"/>
      <c r="N2445" s="149"/>
    </row>
    <row r="2446" spans="11:14" ht="12.75" hidden="1" customHeight="1" x14ac:dyDescent="0.2">
      <c r="K2446" s="149"/>
      <c r="N2446" s="149"/>
    </row>
    <row r="2447" spans="11:14" ht="12.75" hidden="1" customHeight="1" x14ac:dyDescent="0.2">
      <c r="K2447" s="153"/>
      <c r="N2447" s="153"/>
    </row>
    <row r="2448" spans="11:14" ht="12.75" hidden="1" customHeight="1" x14ac:dyDescent="0.2">
      <c r="K2448" s="149"/>
      <c r="N2448" s="149"/>
    </row>
    <row r="2449" spans="11:14" ht="12.75" hidden="1" customHeight="1" x14ac:dyDescent="0.2">
      <c r="K2449" s="149"/>
      <c r="N2449" s="149"/>
    </row>
    <row r="2450" spans="11:14" ht="12.75" hidden="1" customHeight="1" x14ac:dyDescent="0.2">
      <c r="K2450" s="149"/>
      <c r="N2450" s="149"/>
    </row>
    <row r="2451" spans="11:14" ht="12.75" hidden="1" customHeight="1" x14ac:dyDescent="0.2">
      <c r="K2451" s="153"/>
      <c r="N2451" s="153"/>
    </row>
    <row r="2452" spans="11:14" ht="12.75" hidden="1" customHeight="1" x14ac:dyDescent="0.2">
      <c r="K2452" s="149"/>
      <c r="N2452" s="149"/>
    </row>
    <row r="2453" spans="11:14" ht="12.75" hidden="1" customHeight="1" x14ac:dyDescent="0.2">
      <c r="K2453" s="149"/>
      <c r="N2453" s="149"/>
    </row>
    <row r="2454" spans="11:14" ht="12.75" hidden="1" customHeight="1" x14ac:dyDescent="0.2">
      <c r="K2454" s="149"/>
      <c r="N2454" s="149"/>
    </row>
    <row r="2455" spans="11:14" ht="12.75" hidden="1" customHeight="1" x14ac:dyDescent="0.2">
      <c r="K2455" s="153"/>
      <c r="N2455" s="153"/>
    </row>
    <row r="2456" spans="11:14" ht="12.75" hidden="1" customHeight="1" x14ac:dyDescent="0.2">
      <c r="K2456" s="149"/>
      <c r="N2456" s="149"/>
    </row>
    <row r="2457" spans="11:14" ht="12.75" hidden="1" customHeight="1" x14ac:dyDescent="0.2">
      <c r="K2457" s="149"/>
      <c r="N2457" s="149"/>
    </row>
    <row r="2458" spans="11:14" ht="12.75" hidden="1" customHeight="1" x14ac:dyDescent="0.2">
      <c r="K2458" s="149"/>
      <c r="N2458" s="149"/>
    </row>
    <row r="2459" spans="11:14" ht="12.75" hidden="1" customHeight="1" x14ac:dyDescent="0.2">
      <c r="K2459" s="153"/>
      <c r="N2459" s="153"/>
    </row>
    <row r="2460" spans="11:14" ht="12.75" hidden="1" customHeight="1" x14ac:dyDescent="0.2">
      <c r="K2460" s="149"/>
      <c r="N2460" s="149"/>
    </row>
    <row r="2461" spans="11:14" ht="12.75" hidden="1" customHeight="1" x14ac:dyDescent="0.2">
      <c r="K2461" s="149"/>
      <c r="N2461" s="149"/>
    </row>
    <row r="2462" spans="11:14" ht="12.75" hidden="1" customHeight="1" x14ac:dyDescent="0.2">
      <c r="K2462" s="149"/>
      <c r="N2462" s="149"/>
    </row>
    <row r="2463" spans="11:14" ht="12.75" hidden="1" customHeight="1" x14ac:dyDescent="0.2">
      <c r="K2463" s="153"/>
      <c r="N2463" s="153"/>
    </row>
    <row r="2464" spans="11:14" ht="12.75" hidden="1" customHeight="1" x14ac:dyDescent="0.2">
      <c r="K2464" s="149"/>
      <c r="N2464" s="149"/>
    </row>
    <row r="2465" spans="11:14" ht="12.75" hidden="1" customHeight="1" x14ac:dyDescent="0.2">
      <c r="K2465" s="149"/>
      <c r="N2465" s="149"/>
    </row>
    <row r="2466" spans="11:14" ht="12.75" hidden="1" customHeight="1" x14ac:dyDescent="0.2">
      <c r="K2466" s="149"/>
      <c r="N2466" s="149"/>
    </row>
    <row r="2467" spans="11:14" ht="12.75" hidden="1" customHeight="1" x14ac:dyDescent="0.2">
      <c r="K2467" s="153"/>
      <c r="N2467" s="153"/>
    </row>
    <row r="2468" spans="11:14" ht="12.75" hidden="1" customHeight="1" x14ac:dyDescent="0.2">
      <c r="K2468" s="149"/>
      <c r="N2468" s="149"/>
    </row>
    <row r="2469" spans="11:14" ht="12.75" hidden="1" customHeight="1" x14ac:dyDescent="0.2">
      <c r="K2469" s="149"/>
      <c r="N2469" s="149"/>
    </row>
    <row r="2470" spans="11:14" ht="12.75" hidden="1" customHeight="1" x14ac:dyDescent="0.2">
      <c r="K2470" s="149"/>
      <c r="N2470" s="149"/>
    </row>
    <row r="2471" spans="11:14" ht="12.75" hidden="1" customHeight="1" x14ac:dyDescent="0.2">
      <c r="K2471" s="153"/>
      <c r="N2471" s="153"/>
    </row>
    <row r="2472" spans="11:14" ht="12.75" hidden="1" customHeight="1" x14ac:dyDescent="0.2">
      <c r="K2472" s="149"/>
      <c r="N2472" s="149"/>
    </row>
    <row r="2473" spans="11:14" ht="12.75" hidden="1" customHeight="1" x14ac:dyDescent="0.2">
      <c r="K2473" s="149"/>
      <c r="N2473" s="149"/>
    </row>
    <row r="2474" spans="11:14" ht="12.75" hidden="1" customHeight="1" x14ac:dyDescent="0.2">
      <c r="K2474" s="149"/>
      <c r="N2474" s="149"/>
    </row>
    <row r="2475" spans="11:14" ht="12.75" hidden="1" customHeight="1" x14ac:dyDescent="0.2">
      <c r="K2475" s="153"/>
      <c r="N2475" s="153"/>
    </row>
    <row r="2476" spans="11:14" ht="12.75" hidden="1" customHeight="1" x14ac:dyDescent="0.2">
      <c r="K2476" s="149"/>
      <c r="N2476" s="149"/>
    </row>
    <row r="2477" spans="11:14" ht="12.75" hidden="1" customHeight="1" x14ac:dyDescent="0.2">
      <c r="K2477" s="149"/>
      <c r="N2477" s="149"/>
    </row>
    <row r="2478" spans="11:14" ht="12.75" hidden="1" customHeight="1" x14ac:dyDescent="0.2">
      <c r="K2478" s="149"/>
      <c r="N2478" s="149"/>
    </row>
    <row r="2479" spans="11:14" ht="12.75" hidden="1" customHeight="1" x14ac:dyDescent="0.2">
      <c r="K2479" s="153"/>
      <c r="N2479" s="153"/>
    </row>
    <row r="2480" spans="11:14" ht="12.75" hidden="1" customHeight="1" x14ac:dyDescent="0.2">
      <c r="K2480" s="149"/>
      <c r="N2480" s="149"/>
    </row>
    <row r="2481" spans="11:14" ht="12.75" hidden="1" customHeight="1" x14ac:dyDescent="0.2">
      <c r="K2481" s="149"/>
      <c r="N2481" s="149"/>
    </row>
    <row r="2482" spans="11:14" ht="12.75" hidden="1" customHeight="1" x14ac:dyDescent="0.2">
      <c r="K2482" s="149"/>
      <c r="N2482" s="149"/>
    </row>
    <row r="2483" spans="11:14" ht="12.75" hidden="1" customHeight="1" x14ac:dyDescent="0.2">
      <c r="K2483" s="153"/>
      <c r="N2483" s="153"/>
    </row>
    <row r="2484" spans="11:14" ht="12.75" hidden="1" customHeight="1" x14ac:dyDescent="0.2">
      <c r="K2484" s="149"/>
      <c r="N2484" s="149"/>
    </row>
    <row r="2485" spans="11:14" ht="12.75" hidden="1" customHeight="1" x14ac:dyDescent="0.2">
      <c r="K2485" s="149"/>
      <c r="N2485" s="149"/>
    </row>
    <row r="2486" spans="11:14" ht="12.75" hidden="1" customHeight="1" x14ac:dyDescent="0.2">
      <c r="K2486" s="149"/>
      <c r="N2486" s="149"/>
    </row>
    <row r="2487" spans="11:14" ht="12.75" hidden="1" customHeight="1" x14ac:dyDescent="0.2">
      <c r="K2487" s="153"/>
      <c r="N2487" s="153"/>
    </row>
    <row r="2488" spans="11:14" ht="12.75" hidden="1" customHeight="1" x14ac:dyDescent="0.2">
      <c r="K2488" s="149"/>
      <c r="N2488" s="149"/>
    </row>
    <row r="2489" spans="11:14" ht="12.75" hidden="1" customHeight="1" x14ac:dyDescent="0.2">
      <c r="K2489" s="149"/>
      <c r="N2489" s="149"/>
    </row>
    <row r="2490" spans="11:14" ht="12.75" hidden="1" customHeight="1" x14ac:dyDescent="0.2">
      <c r="K2490" s="149"/>
      <c r="N2490" s="149"/>
    </row>
    <row r="2491" spans="11:14" ht="12.75" hidden="1" customHeight="1" x14ac:dyDescent="0.2">
      <c r="K2491" s="153"/>
      <c r="N2491" s="153"/>
    </row>
    <row r="2492" spans="11:14" ht="12.75" hidden="1" customHeight="1" x14ac:dyDescent="0.2">
      <c r="K2492" s="149"/>
      <c r="N2492" s="149"/>
    </row>
    <row r="2493" spans="11:14" ht="12.75" hidden="1" customHeight="1" x14ac:dyDescent="0.2">
      <c r="K2493" s="149"/>
      <c r="N2493" s="149"/>
    </row>
    <row r="2494" spans="11:14" ht="12.75" hidden="1" customHeight="1" x14ac:dyDescent="0.2">
      <c r="K2494" s="149"/>
      <c r="N2494" s="149"/>
    </row>
    <row r="2495" spans="11:14" ht="12.75" hidden="1" customHeight="1" x14ac:dyDescent="0.2">
      <c r="K2495" s="153"/>
      <c r="N2495" s="153"/>
    </row>
    <row r="2496" spans="11:14" ht="12.75" hidden="1" customHeight="1" x14ac:dyDescent="0.2">
      <c r="K2496" s="149"/>
      <c r="N2496" s="149"/>
    </row>
    <row r="2497" spans="11:14" ht="12.75" hidden="1" customHeight="1" x14ac:dyDescent="0.2">
      <c r="K2497" s="149"/>
      <c r="N2497" s="149"/>
    </row>
    <row r="2498" spans="11:14" ht="12.75" hidden="1" customHeight="1" x14ac:dyDescent="0.2">
      <c r="K2498" s="149"/>
      <c r="N2498" s="149"/>
    </row>
    <row r="2499" spans="11:14" ht="12.75" hidden="1" customHeight="1" x14ac:dyDescent="0.2">
      <c r="K2499" s="153"/>
      <c r="N2499" s="153"/>
    </row>
    <row r="2500" spans="11:14" ht="12.75" hidden="1" customHeight="1" x14ac:dyDescent="0.2">
      <c r="K2500" s="149"/>
      <c r="N2500" s="149"/>
    </row>
    <row r="2501" spans="11:14" ht="12.75" hidden="1" customHeight="1" x14ac:dyDescent="0.2">
      <c r="K2501" s="149"/>
      <c r="N2501" s="149"/>
    </row>
    <row r="2502" spans="11:14" ht="12.75" hidden="1" customHeight="1" x14ac:dyDescent="0.2">
      <c r="K2502" s="149"/>
      <c r="N2502" s="149"/>
    </row>
    <row r="2503" spans="11:14" ht="12.75" hidden="1" customHeight="1" x14ac:dyDescent="0.2">
      <c r="K2503" s="153"/>
      <c r="N2503" s="153"/>
    </row>
    <row r="2504" spans="11:14" ht="12.75" hidden="1" customHeight="1" x14ac:dyDescent="0.2">
      <c r="K2504" s="149"/>
      <c r="N2504" s="149"/>
    </row>
    <row r="2505" spans="11:14" ht="12.75" hidden="1" customHeight="1" x14ac:dyDescent="0.2">
      <c r="K2505" s="149"/>
      <c r="N2505" s="149"/>
    </row>
    <row r="2506" spans="11:14" ht="12.75" hidden="1" customHeight="1" x14ac:dyDescent="0.2">
      <c r="K2506" s="149"/>
      <c r="N2506" s="149"/>
    </row>
    <row r="2507" spans="11:14" ht="12.75" hidden="1" customHeight="1" x14ac:dyDescent="0.2">
      <c r="K2507" s="153"/>
      <c r="N2507" s="153"/>
    </row>
    <row r="2508" spans="11:14" ht="12.75" hidden="1" customHeight="1" x14ac:dyDescent="0.2">
      <c r="K2508" s="149"/>
      <c r="N2508" s="149"/>
    </row>
    <row r="2509" spans="11:14" ht="12.75" hidden="1" customHeight="1" x14ac:dyDescent="0.2">
      <c r="K2509" s="149"/>
      <c r="N2509" s="149"/>
    </row>
    <row r="2510" spans="11:14" ht="12.75" hidden="1" customHeight="1" x14ac:dyDescent="0.2">
      <c r="K2510" s="149"/>
      <c r="N2510" s="149"/>
    </row>
    <row r="2511" spans="11:14" ht="12.75" hidden="1" customHeight="1" x14ac:dyDescent="0.2">
      <c r="K2511" s="153"/>
      <c r="N2511" s="153"/>
    </row>
    <row r="2512" spans="11:14" ht="12.75" hidden="1" customHeight="1" x14ac:dyDescent="0.2">
      <c r="K2512" s="149"/>
      <c r="N2512" s="149"/>
    </row>
    <row r="2513" spans="11:14" ht="12.75" hidden="1" customHeight="1" x14ac:dyDescent="0.2">
      <c r="K2513" s="149"/>
      <c r="N2513" s="149"/>
    </row>
    <row r="2514" spans="11:14" ht="12.75" hidden="1" customHeight="1" x14ac:dyDescent="0.2">
      <c r="K2514" s="149"/>
      <c r="N2514" s="149"/>
    </row>
    <row r="2515" spans="11:14" ht="12.75" hidden="1" customHeight="1" x14ac:dyDescent="0.2">
      <c r="K2515" s="153"/>
      <c r="N2515" s="153"/>
    </row>
    <row r="2516" spans="11:14" ht="12.75" hidden="1" customHeight="1" x14ac:dyDescent="0.2">
      <c r="K2516" s="149"/>
      <c r="N2516" s="149"/>
    </row>
    <row r="2517" spans="11:14" ht="12.75" hidden="1" customHeight="1" x14ac:dyDescent="0.2">
      <c r="K2517" s="149"/>
      <c r="N2517" s="149"/>
    </row>
    <row r="2518" spans="11:14" ht="12.75" hidden="1" customHeight="1" x14ac:dyDescent="0.2">
      <c r="K2518" s="149"/>
      <c r="N2518" s="149"/>
    </row>
    <row r="2519" spans="11:14" ht="12.75" hidden="1" customHeight="1" x14ac:dyDescent="0.2">
      <c r="K2519" s="153"/>
      <c r="N2519" s="153"/>
    </row>
    <row r="2520" spans="11:14" ht="12.75" hidden="1" customHeight="1" x14ac:dyDescent="0.2">
      <c r="K2520" s="149"/>
      <c r="N2520" s="149"/>
    </row>
    <row r="2521" spans="11:14" ht="12.75" hidden="1" customHeight="1" x14ac:dyDescent="0.2">
      <c r="K2521" s="149"/>
      <c r="N2521" s="149"/>
    </row>
    <row r="2522" spans="11:14" ht="12.75" hidden="1" customHeight="1" x14ac:dyDescent="0.2">
      <c r="K2522" s="149"/>
      <c r="N2522" s="149"/>
    </row>
    <row r="2523" spans="11:14" ht="12.75" hidden="1" customHeight="1" x14ac:dyDescent="0.2">
      <c r="K2523" s="153"/>
      <c r="N2523" s="153"/>
    </row>
    <row r="2524" spans="11:14" ht="12.75" hidden="1" customHeight="1" x14ac:dyDescent="0.2">
      <c r="K2524" s="149"/>
      <c r="N2524" s="149"/>
    </row>
    <row r="2525" spans="11:14" ht="12.75" hidden="1" customHeight="1" x14ac:dyDescent="0.2">
      <c r="K2525" s="149"/>
      <c r="N2525" s="149"/>
    </row>
    <row r="2526" spans="11:14" ht="12.75" hidden="1" customHeight="1" x14ac:dyDescent="0.2">
      <c r="K2526" s="149"/>
      <c r="N2526" s="149"/>
    </row>
    <row r="2527" spans="11:14" ht="12.75" hidden="1" customHeight="1" x14ac:dyDescent="0.2">
      <c r="K2527" s="153"/>
      <c r="N2527" s="153"/>
    </row>
    <row r="2528" spans="11:14" ht="12.75" hidden="1" customHeight="1" x14ac:dyDescent="0.2">
      <c r="K2528" s="149"/>
      <c r="N2528" s="149"/>
    </row>
    <row r="2529" spans="11:14" ht="12.75" hidden="1" customHeight="1" x14ac:dyDescent="0.2">
      <c r="K2529" s="149"/>
      <c r="N2529" s="149"/>
    </row>
    <row r="2530" spans="11:14" ht="12.75" hidden="1" customHeight="1" x14ac:dyDescent="0.2">
      <c r="K2530" s="149"/>
      <c r="N2530" s="149"/>
    </row>
    <row r="2531" spans="11:14" ht="12.75" hidden="1" customHeight="1" x14ac:dyDescent="0.2">
      <c r="K2531" s="153"/>
      <c r="N2531" s="153"/>
    </row>
    <row r="2532" spans="11:14" ht="12.75" hidden="1" customHeight="1" x14ac:dyDescent="0.2">
      <c r="K2532" s="149"/>
      <c r="N2532" s="149"/>
    </row>
    <row r="2533" spans="11:14" ht="12.75" hidden="1" customHeight="1" x14ac:dyDescent="0.2">
      <c r="K2533" s="149"/>
      <c r="N2533" s="149"/>
    </row>
    <row r="2534" spans="11:14" ht="12.75" hidden="1" customHeight="1" x14ac:dyDescent="0.2">
      <c r="K2534" s="149"/>
      <c r="N2534" s="149"/>
    </row>
    <row r="2535" spans="11:14" ht="12.75" hidden="1" customHeight="1" x14ac:dyDescent="0.2">
      <c r="K2535" s="153"/>
      <c r="N2535" s="153"/>
    </row>
    <row r="2536" spans="11:14" ht="12.75" hidden="1" customHeight="1" x14ac:dyDescent="0.2">
      <c r="K2536" s="149"/>
      <c r="N2536" s="149"/>
    </row>
    <row r="2537" spans="11:14" ht="12.75" hidden="1" customHeight="1" x14ac:dyDescent="0.2">
      <c r="K2537" s="149"/>
      <c r="N2537" s="149"/>
    </row>
    <row r="2538" spans="11:14" ht="12.75" hidden="1" customHeight="1" x14ac:dyDescent="0.2">
      <c r="K2538" s="149"/>
      <c r="N2538" s="149"/>
    </row>
    <row r="2539" spans="11:14" ht="12.75" hidden="1" customHeight="1" x14ac:dyDescent="0.2">
      <c r="K2539" s="153"/>
      <c r="N2539" s="153"/>
    </row>
    <row r="2540" spans="11:14" ht="12.75" hidden="1" customHeight="1" x14ac:dyDescent="0.2">
      <c r="K2540" s="149"/>
      <c r="N2540" s="149"/>
    </row>
    <row r="2541" spans="11:14" ht="12.75" hidden="1" customHeight="1" x14ac:dyDescent="0.2">
      <c r="K2541" s="149"/>
      <c r="N2541" s="149"/>
    </row>
    <row r="2542" spans="11:14" ht="12.75" hidden="1" customHeight="1" x14ac:dyDescent="0.2">
      <c r="K2542" s="149"/>
      <c r="N2542" s="149"/>
    </row>
    <row r="2543" spans="11:14" ht="12.75" hidden="1" customHeight="1" x14ac:dyDescent="0.2">
      <c r="K2543" s="153"/>
      <c r="N2543" s="153"/>
    </row>
    <row r="2544" spans="11:14" ht="12.75" hidden="1" customHeight="1" x14ac:dyDescent="0.2">
      <c r="K2544" s="149"/>
      <c r="N2544" s="149"/>
    </row>
    <row r="2545" spans="11:14" ht="12.75" hidden="1" customHeight="1" x14ac:dyDescent="0.2">
      <c r="K2545" s="149"/>
      <c r="N2545" s="149"/>
    </row>
    <row r="2546" spans="11:14" ht="12.75" hidden="1" customHeight="1" x14ac:dyDescent="0.2">
      <c r="K2546" s="149"/>
      <c r="N2546" s="149"/>
    </row>
    <row r="2547" spans="11:14" ht="12.75" hidden="1" customHeight="1" x14ac:dyDescent="0.2">
      <c r="K2547" s="153"/>
      <c r="N2547" s="153"/>
    </row>
    <row r="2548" spans="11:14" ht="12.75" hidden="1" customHeight="1" x14ac:dyDescent="0.2">
      <c r="K2548" s="149"/>
      <c r="N2548" s="149"/>
    </row>
    <row r="2549" spans="11:14" ht="12.75" hidden="1" customHeight="1" x14ac:dyDescent="0.2">
      <c r="K2549" s="149"/>
      <c r="N2549" s="149"/>
    </row>
    <row r="2550" spans="11:14" ht="12.75" hidden="1" customHeight="1" x14ac:dyDescent="0.2">
      <c r="K2550" s="149"/>
      <c r="N2550" s="149"/>
    </row>
    <row r="2551" spans="11:14" ht="12.75" hidden="1" customHeight="1" x14ac:dyDescent="0.2">
      <c r="K2551" s="153"/>
      <c r="N2551" s="153"/>
    </row>
    <row r="2552" spans="11:14" ht="12.75" hidden="1" customHeight="1" x14ac:dyDescent="0.2">
      <c r="K2552" s="149"/>
      <c r="N2552" s="149"/>
    </row>
    <row r="2553" spans="11:14" ht="12.75" hidden="1" customHeight="1" x14ac:dyDescent="0.2">
      <c r="K2553" s="149"/>
      <c r="N2553" s="149"/>
    </row>
    <row r="2554" spans="11:14" ht="12.75" hidden="1" customHeight="1" x14ac:dyDescent="0.2">
      <c r="K2554" s="149"/>
      <c r="N2554" s="149"/>
    </row>
    <row r="2555" spans="11:14" ht="12.75" hidden="1" customHeight="1" x14ac:dyDescent="0.2">
      <c r="K2555" s="153"/>
      <c r="N2555" s="153"/>
    </row>
    <row r="2556" spans="11:14" ht="12.75" hidden="1" customHeight="1" x14ac:dyDescent="0.2">
      <c r="K2556" s="149"/>
      <c r="N2556" s="149"/>
    </row>
    <row r="2557" spans="11:14" ht="12.75" hidden="1" customHeight="1" x14ac:dyDescent="0.2">
      <c r="K2557" s="149"/>
      <c r="N2557" s="149"/>
    </row>
    <row r="2558" spans="11:14" ht="12.75" hidden="1" customHeight="1" x14ac:dyDescent="0.2">
      <c r="K2558" s="149"/>
      <c r="N2558" s="149"/>
    </row>
    <row r="2559" spans="11:14" ht="12.75" hidden="1" customHeight="1" x14ac:dyDescent="0.2">
      <c r="K2559" s="153"/>
      <c r="N2559" s="153"/>
    </row>
    <row r="2560" spans="11:14" ht="12.75" hidden="1" customHeight="1" x14ac:dyDescent="0.2">
      <c r="K2560" s="149"/>
      <c r="N2560" s="149"/>
    </row>
    <row r="2561" spans="11:14" ht="12.75" hidden="1" customHeight="1" x14ac:dyDescent="0.2">
      <c r="K2561" s="149"/>
      <c r="N2561" s="149"/>
    </row>
    <row r="2562" spans="11:14" ht="12.75" hidden="1" customHeight="1" x14ac:dyDescent="0.2">
      <c r="K2562" s="149"/>
      <c r="N2562" s="149"/>
    </row>
    <row r="2563" spans="11:14" ht="12.75" hidden="1" customHeight="1" x14ac:dyDescent="0.2">
      <c r="K2563" s="153"/>
      <c r="N2563" s="153"/>
    </row>
    <row r="2564" spans="11:14" ht="12.75" hidden="1" customHeight="1" x14ac:dyDescent="0.2">
      <c r="K2564" s="149"/>
      <c r="N2564" s="149"/>
    </row>
    <row r="2565" spans="11:14" ht="12.75" hidden="1" customHeight="1" x14ac:dyDescent="0.2">
      <c r="K2565" s="149"/>
      <c r="N2565" s="149"/>
    </row>
    <row r="2566" spans="11:14" ht="12.75" hidden="1" customHeight="1" x14ac:dyDescent="0.2">
      <c r="K2566" s="149"/>
      <c r="N2566" s="149"/>
    </row>
    <row r="2567" spans="11:14" ht="12.75" hidden="1" customHeight="1" x14ac:dyDescent="0.2">
      <c r="K2567" s="153"/>
      <c r="N2567" s="153"/>
    </row>
    <row r="2568" spans="11:14" ht="12.75" hidden="1" customHeight="1" x14ac:dyDescent="0.2">
      <c r="K2568" s="149"/>
      <c r="N2568" s="149"/>
    </row>
    <row r="2569" spans="11:14" ht="12.75" hidden="1" customHeight="1" x14ac:dyDescent="0.2">
      <c r="K2569" s="149"/>
      <c r="N2569" s="149"/>
    </row>
    <row r="2570" spans="11:14" ht="12.75" hidden="1" customHeight="1" x14ac:dyDescent="0.2">
      <c r="K2570" s="149"/>
      <c r="N2570" s="149"/>
    </row>
    <row r="2571" spans="11:14" ht="12.75" hidden="1" customHeight="1" x14ac:dyDescent="0.2">
      <c r="K2571" s="153"/>
      <c r="N2571" s="153"/>
    </row>
    <row r="2572" spans="11:14" ht="12.75" hidden="1" customHeight="1" x14ac:dyDescent="0.2">
      <c r="K2572" s="149"/>
      <c r="N2572" s="149"/>
    </row>
    <row r="2573" spans="11:14" ht="12.75" hidden="1" customHeight="1" x14ac:dyDescent="0.2">
      <c r="K2573" s="149"/>
      <c r="N2573" s="149"/>
    </row>
    <row r="2574" spans="11:14" ht="12.75" hidden="1" customHeight="1" x14ac:dyDescent="0.2">
      <c r="K2574" s="149"/>
      <c r="N2574" s="149"/>
    </row>
    <row r="2575" spans="11:14" ht="12.75" hidden="1" customHeight="1" x14ac:dyDescent="0.2">
      <c r="K2575" s="153"/>
      <c r="N2575" s="153"/>
    </row>
    <row r="2576" spans="11:14" ht="12.75" hidden="1" customHeight="1" x14ac:dyDescent="0.2">
      <c r="K2576" s="149"/>
      <c r="N2576" s="149"/>
    </row>
    <row r="2577" spans="11:14" ht="12.75" hidden="1" customHeight="1" x14ac:dyDescent="0.2">
      <c r="K2577" s="149"/>
      <c r="N2577" s="149"/>
    </row>
    <row r="2578" spans="11:14" ht="12.75" hidden="1" customHeight="1" x14ac:dyDescent="0.2">
      <c r="K2578" s="149"/>
      <c r="N2578" s="149"/>
    </row>
    <row r="2579" spans="11:14" ht="12.75" hidden="1" customHeight="1" x14ac:dyDescent="0.2">
      <c r="K2579" s="153"/>
      <c r="N2579" s="153"/>
    </row>
    <row r="2580" spans="11:14" ht="12.75" hidden="1" customHeight="1" x14ac:dyDescent="0.2">
      <c r="K2580" s="149"/>
      <c r="N2580" s="149"/>
    </row>
    <row r="2581" spans="11:14" ht="12.75" hidden="1" customHeight="1" x14ac:dyDescent="0.2">
      <c r="K2581" s="149"/>
      <c r="N2581" s="149"/>
    </row>
    <row r="2582" spans="11:14" ht="12.75" hidden="1" customHeight="1" x14ac:dyDescent="0.2">
      <c r="K2582" s="149"/>
      <c r="N2582" s="149"/>
    </row>
    <row r="2583" spans="11:14" ht="12.75" hidden="1" customHeight="1" x14ac:dyDescent="0.2">
      <c r="K2583" s="153"/>
      <c r="N2583" s="153"/>
    </row>
    <row r="2584" spans="11:14" ht="12.75" hidden="1" customHeight="1" x14ac:dyDescent="0.2">
      <c r="K2584" s="149"/>
      <c r="N2584" s="149"/>
    </row>
    <row r="2585" spans="11:14" ht="12.75" hidden="1" customHeight="1" x14ac:dyDescent="0.2">
      <c r="K2585" s="149"/>
      <c r="N2585" s="149"/>
    </row>
    <row r="2586" spans="11:14" ht="12.75" hidden="1" customHeight="1" x14ac:dyDescent="0.2">
      <c r="K2586" s="149"/>
      <c r="N2586" s="149"/>
    </row>
    <row r="2587" spans="11:14" ht="12.75" hidden="1" customHeight="1" x14ac:dyDescent="0.2">
      <c r="K2587" s="153"/>
      <c r="N2587" s="153"/>
    </row>
    <row r="2588" spans="11:14" ht="12.75" hidden="1" customHeight="1" x14ac:dyDescent="0.2">
      <c r="K2588" s="149"/>
      <c r="N2588" s="149"/>
    </row>
    <row r="2589" spans="11:14" ht="12.75" hidden="1" customHeight="1" x14ac:dyDescent="0.2">
      <c r="K2589" s="149"/>
      <c r="N2589" s="149"/>
    </row>
    <row r="2590" spans="11:14" ht="12.75" hidden="1" customHeight="1" x14ac:dyDescent="0.2">
      <c r="K2590" s="149"/>
      <c r="N2590" s="149"/>
    </row>
    <row r="2591" spans="11:14" ht="12.75" hidden="1" customHeight="1" x14ac:dyDescent="0.2">
      <c r="K2591" s="153"/>
      <c r="N2591" s="153"/>
    </row>
    <row r="2592" spans="11:14" ht="12.75" hidden="1" customHeight="1" x14ac:dyDescent="0.2">
      <c r="K2592" s="149"/>
      <c r="N2592" s="149"/>
    </row>
    <row r="2593" spans="11:14" ht="12.75" hidden="1" customHeight="1" x14ac:dyDescent="0.2">
      <c r="K2593" s="149"/>
      <c r="N2593" s="149"/>
    </row>
    <row r="2594" spans="11:14" ht="12.75" hidden="1" customHeight="1" x14ac:dyDescent="0.2">
      <c r="K2594" s="149"/>
      <c r="N2594" s="149"/>
    </row>
    <row r="2595" spans="11:14" ht="12.75" hidden="1" customHeight="1" x14ac:dyDescent="0.2">
      <c r="K2595" s="153"/>
      <c r="N2595" s="153"/>
    </row>
    <row r="2596" spans="11:14" ht="12.75" hidden="1" customHeight="1" x14ac:dyDescent="0.2">
      <c r="K2596" s="149"/>
      <c r="N2596" s="149"/>
    </row>
    <row r="2597" spans="11:14" ht="12.75" hidden="1" customHeight="1" x14ac:dyDescent="0.2">
      <c r="K2597" s="149"/>
      <c r="N2597" s="149"/>
    </row>
    <row r="2598" spans="11:14" ht="12.75" hidden="1" customHeight="1" x14ac:dyDescent="0.2">
      <c r="K2598" s="149"/>
      <c r="N2598" s="149"/>
    </row>
    <row r="2599" spans="11:14" ht="12.75" hidden="1" customHeight="1" x14ac:dyDescent="0.2">
      <c r="K2599" s="153"/>
      <c r="N2599" s="153"/>
    </row>
    <row r="2600" spans="11:14" ht="12.75" hidden="1" customHeight="1" x14ac:dyDescent="0.2">
      <c r="K2600" s="149"/>
      <c r="N2600" s="149"/>
    </row>
    <row r="2601" spans="11:14" ht="12.75" hidden="1" customHeight="1" x14ac:dyDescent="0.2">
      <c r="K2601" s="149"/>
      <c r="N2601" s="149"/>
    </row>
    <row r="2602" spans="11:14" ht="12.75" hidden="1" customHeight="1" x14ac:dyDescent="0.2">
      <c r="K2602" s="149"/>
      <c r="N2602" s="149"/>
    </row>
    <row r="2603" spans="11:14" ht="12.75" hidden="1" customHeight="1" x14ac:dyDescent="0.2">
      <c r="K2603" s="153"/>
      <c r="N2603" s="153"/>
    </row>
    <row r="2604" spans="11:14" ht="12.75" hidden="1" customHeight="1" x14ac:dyDescent="0.2">
      <c r="K2604" s="149"/>
      <c r="N2604" s="149"/>
    </row>
    <row r="2605" spans="11:14" ht="12.75" hidden="1" customHeight="1" x14ac:dyDescent="0.2">
      <c r="K2605" s="149"/>
      <c r="N2605" s="149"/>
    </row>
    <row r="2606" spans="11:14" ht="12.75" hidden="1" customHeight="1" x14ac:dyDescent="0.2">
      <c r="K2606" s="149"/>
      <c r="N2606" s="149"/>
    </row>
    <row r="2607" spans="11:14" ht="12.75" hidden="1" customHeight="1" x14ac:dyDescent="0.2">
      <c r="K2607" s="153"/>
      <c r="N2607" s="153"/>
    </row>
    <row r="2608" spans="11:14" ht="12.75" hidden="1" customHeight="1" x14ac:dyDescent="0.2">
      <c r="K2608" s="149"/>
      <c r="N2608" s="149"/>
    </row>
    <row r="2609" spans="11:14" ht="12.75" hidden="1" customHeight="1" x14ac:dyDescent="0.2">
      <c r="K2609" s="149"/>
      <c r="N2609" s="149"/>
    </row>
    <row r="2610" spans="11:14" ht="12.75" hidden="1" customHeight="1" x14ac:dyDescent="0.2">
      <c r="K2610" s="149"/>
      <c r="N2610" s="149"/>
    </row>
    <row r="2611" spans="11:14" ht="12.75" hidden="1" customHeight="1" x14ac:dyDescent="0.2">
      <c r="K2611" s="153"/>
      <c r="N2611" s="153"/>
    </row>
    <row r="2612" spans="11:14" ht="12.75" hidden="1" customHeight="1" x14ac:dyDescent="0.2">
      <c r="K2612" s="149"/>
      <c r="N2612" s="149"/>
    </row>
    <row r="2613" spans="11:14" ht="12.75" hidden="1" customHeight="1" x14ac:dyDescent="0.2">
      <c r="K2613" s="149"/>
      <c r="N2613" s="149"/>
    </row>
    <row r="2614" spans="11:14" ht="12.75" hidden="1" customHeight="1" x14ac:dyDescent="0.2">
      <c r="K2614" s="149"/>
      <c r="N2614" s="149"/>
    </row>
    <row r="2615" spans="11:14" ht="12.75" hidden="1" customHeight="1" x14ac:dyDescent="0.2">
      <c r="K2615" s="153"/>
      <c r="N2615" s="153"/>
    </row>
    <row r="2616" spans="11:14" ht="12.75" hidden="1" customHeight="1" x14ac:dyDescent="0.2">
      <c r="K2616" s="149"/>
      <c r="N2616" s="149"/>
    </row>
    <row r="2617" spans="11:14" ht="12.75" hidden="1" customHeight="1" x14ac:dyDescent="0.2">
      <c r="K2617" s="149"/>
      <c r="N2617" s="149"/>
    </row>
    <row r="2618" spans="11:14" ht="12.75" hidden="1" customHeight="1" x14ac:dyDescent="0.2">
      <c r="K2618" s="149"/>
      <c r="N2618" s="149"/>
    </row>
    <row r="2619" spans="11:14" ht="12.75" hidden="1" customHeight="1" x14ac:dyDescent="0.2">
      <c r="K2619" s="153"/>
      <c r="N2619" s="153"/>
    </row>
    <row r="2620" spans="11:14" ht="12.75" hidden="1" customHeight="1" x14ac:dyDescent="0.2">
      <c r="K2620" s="149"/>
      <c r="N2620" s="149"/>
    </row>
    <row r="2621" spans="11:14" ht="12.75" hidden="1" customHeight="1" x14ac:dyDescent="0.2">
      <c r="K2621" s="149"/>
      <c r="N2621" s="149"/>
    </row>
    <row r="2622" spans="11:14" ht="12.75" hidden="1" customHeight="1" x14ac:dyDescent="0.2">
      <c r="K2622" s="149"/>
      <c r="N2622" s="149"/>
    </row>
    <row r="2623" spans="11:14" ht="12.75" hidden="1" customHeight="1" x14ac:dyDescent="0.2">
      <c r="K2623" s="153"/>
      <c r="N2623" s="153"/>
    </row>
    <row r="2624" spans="11:14" ht="12.75" hidden="1" customHeight="1" x14ac:dyDescent="0.2">
      <c r="K2624" s="149"/>
      <c r="N2624" s="149"/>
    </row>
    <row r="2625" spans="11:14" ht="12.75" hidden="1" customHeight="1" x14ac:dyDescent="0.2">
      <c r="K2625" s="149"/>
      <c r="N2625" s="149"/>
    </row>
    <row r="2626" spans="11:14" ht="12.75" hidden="1" customHeight="1" x14ac:dyDescent="0.2">
      <c r="K2626" s="149"/>
      <c r="N2626" s="149"/>
    </row>
    <row r="2627" spans="11:14" ht="12.75" hidden="1" customHeight="1" x14ac:dyDescent="0.2">
      <c r="K2627" s="153"/>
      <c r="N2627" s="153"/>
    </row>
    <row r="2628" spans="11:14" ht="12.75" hidden="1" customHeight="1" x14ac:dyDescent="0.2">
      <c r="K2628" s="149"/>
      <c r="N2628" s="149"/>
    </row>
    <row r="2629" spans="11:14" ht="12.75" hidden="1" customHeight="1" x14ac:dyDescent="0.2">
      <c r="K2629" s="149"/>
      <c r="N2629" s="149"/>
    </row>
    <row r="2630" spans="11:14" ht="12.75" hidden="1" customHeight="1" x14ac:dyDescent="0.2">
      <c r="K2630" s="149"/>
      <c r="N2630" s="149"/>
    </row>
    <row r="2631" spans="11:14" ht="12.75" hidden="1" customHeight="1" x14ac:dyDescent="0.2">
      <c r="K2631" s="153"/>
      <c r="N2631" s="153"/>
    </row>
    <row r="2632" spans="11:14" ht="12.75" hidden="1" customHeight="1" x14ac:dyDescent="0.2">
      <c r="K2632" s="149"/>
      <c r="N2632" s="149"/>
    </row>
    <row r="2633" spans="11:14" ht="12.75" hidden="1" customHeight="1" x14ac:dyDescent="0.2">
      <c r="K2633" s="149"/>
      <c r="N2633" s="149"/>
    </row>
    <row r="2634" spans="11:14" ht="12.75" hidden="1" customHeight="1" x14ac:dyDescent="0.2">
      <c r="K2634" s="149"/>
      <c r="N2634" s="149"/>
    </row>
    <row r="2635" spans="11:14" ht="12.75" hidden="1" customHeight="1" x14ac:dyDescent="0.2">
      <c r="K2635" s="153"/>
      <c r="N2635" s="153"/>
    </row>
    <row r="2636" spans="11:14" ht="12.75" hidden="1" customHeight="1" x14ac:dyDescent="0.2">
      <c r="K2636" s="149"/>
      <c r="N2636" s="149"/>
    </row>
    <row r="2637" spans="11:14" ht="12.75" hidden="1" customHeight="1" x14ac:dyDescent="0.2">
      <c r="K2637" s="149"/>
      <c r="N2637" s="149"/>
    </row>
    <row r="2638" spans="11:14" ht="12.75" hidden="1" customHeight="1" x14ac:dyDescent="0.2">
      <c r="K2638" s="149"/>
      <c r="N2638" s="149"/>
    </row>
    <row r="2639" spans="11:14" ht="12.75" hidden="1" customHeight="1" x14ac:dyDescent="0.2">
      <c r="K2639" s="153"/>
      <c r="N2639" s="153"/>
    </row>
    <row r="2640" spans="11:14" ht="12.75" hidden="1" customHeight="1" x14ac:dyDescent="0.2">
      <c r="K2640" s="149"/>
      <c r="N2640" s="149"/>
    </row>
    <row r="2641" spans="11:14" ht="12.75" hidden="1" customHeight="1" x14ac:dyDescent="0.2">
      <c r="K2641" s="149"/>
      <c r="N2641" s="149"/>
    </row>
    <row r="2642" spans="11:14" ht="12.75" hidden="1" customHeight="1" x14ac:dyDescent="0.2">
      <c r="K2642" s="149"/>
      <c r="N2642" s="149"/>
    </row>
    <row r="2643" spans="11:14" ht="12.75" hidden="1" customHeight="1" x14ac:dyDescent="0.2">
      <c r="K2643" s="153"/>
      <c r="N2643" s="153"/>
    </row>
    <row r="2644" spans="11:14" ht="12.75" hidden="1" customHeight="1" x14ac:dyDescent="0.2">
      <c r="K2644" s="149"/>
      <c r="N2644" s="149"/>
    </row>
    <row r="2645" spans="11:14" ht="12.75" hidden="1" customHeight="1" x14ac:dyDescent="0.2">
      <c r="K2645" s="149"/>
      <c r="N2645" s="149"/>
    </row>
    <row r="2646" spans="11:14" ht="12.75" hidden="1" customHeight="1" x14ac:dyDescent="0.2">
      <c r="K2646" s="149"/>
      <c r="N2646" s="149"/>
    </row>
    <row r="2647" spans="11:14" ht="12.75" hidden="1" customHeight="1" x14ac:dyDescent="0.2">
      <c r="K2647" s="153"/>
      <c r="N2647" s="153"/>
    </row>
    <row r="2648" spans="11:14" ht="12.75" hidden="1" customHeight="1" x14ac:dyDescent="0.2">
      <c r="K2648" s="149"/>
      <c r="N2648" s="149"/>
    </row>
    <row r="2649" spans="11:14" ht="12.75" hidden="1" customHeight="1" x14ac:dyDescent="0.2">
      <c r="K2649" s="149"/>
      <c r="N2649" s="149"/>
    </row>
    <row r="2650" spans="11:14" ht="12.75" hidden="1" customHeight="1" x14ac:dyDescent="0.2">
      <c r="K2650" s="149"/>
      <c r="N2650" s="149"/>
    </row>
    <row r="2651" spans="11:14" ht="12.75" hidden="1" customHeight="1" x14ac:dyDescent="0.2">
      <c r="K2651" s="153"/>
      <c r="N2651" s="153"/>
    </row>
    <row r="2652" spans="11:14" ht="12.75" hidden="1" customHeight="1" x14ac:dyDescent="0.2">
      <c r="K2652" s="149"/>
      <c r="N2652" s="149"/>
    </row>
    <row r="2653" spans="11:14" ht="12.75" hidden="1" customHeight="1" x14ac:dyDescent="0.2">
      <c r="K2653" s="149"/>
      <c r="N2653" s="149"/>
    </row>
    <row r="2654" spans="11:14" ht="12.75" hidden="1" customHeight="1" x14ac:dyDescent="0.2">
      <c r="K2654" s="149"/>
      <c r="N2654" s="149"/>
    </row>
    <row r="2655" spans="11:14" ht="12.75" hidden="1" customHeight="1" x14ac:dyDescent="0.2">
      <c r="K2655" s="153"/>
      <c r="N2655" s="153"/>
    </row>
    <row r="2656" spans="11:14" ht="12.75" hidden="1" customHeight="1" x14ac:dyDescent="0.2">
      <c r="K2656" s="149"/>
      <c r="N2656" s="149"/>
    </row>
    <row r="2657" spans="11:14" ht="12.75" hidden="1" customHeight="1" x14ac:dyDescent="0.2">
      <c r="K2657" s="149"/>
      <c r="N2657" s="149"/>
    </row>
    <row r="2658" spans="11:14" ht="12.75" hidden="1" customHeight="1" x14ac:dyDescent="0.2">
      <c r="K2658" s="149"/>
      <c r="N2658" s="149"/>
    </row>
    <row r="2659" spans="11:14" ht="12.75" hidden="1" customHeight="1" x14ac:dyDescent="0.2">
      <c r="K2659" s="153"/>
      <c r="N2659" s="153"/>
    </row>
    <row r="2660" spans="11:14" ht="12.75" hidden="1" customHeight="1" x14ac:dyDescent="0.2">
      <c r="K2660" s="149"/>
      <c r="N2660" s="149"/>
    </row>
    <row r="2661" spans="11:14" ht="12.75" hidden="1" customHeight="1" x14ac:dyDescent="0.2">
      <c r="K2661" s="149"/>
      <c r="N2661" s="149"/>
    </row>
    <row r="2662" spans="11:14" ht="12.75" hidden="1" customHeight="1" x14ac:dyDescent="0.2">
      <c r="K2662" s="149"/>
      <c r="N2662" s="149"/>
    </row>
    <row r="2663" spans="11:14" ht="12.75" hidden="1" customHeight="1" x14ac:dyDescent="0.2">
      <c r="K2663" s="153"/>
      <c r="N2663" s="153"/>
    </row>
    <row r="2664" spans="11:14" ht="12.75" hidden="1" customHeight="1" x14ac:dyDescent="0.2">
      <c r="K2664" s="149"/>
      <c r="N2664" s="149"/>
    </row>
    <row r="2665" spans="11:14" ht="12.75" hidden="1" customHeight="1" x14ac:dyDescent="0.2">
      <c r="K2665" s="149"/>
      <c r="N2665" s="149"/>
    </row>
    <row r="2666" spans="11:14" ht="12.75" hidden="1" customHeight="1" x14ac:dyDescent="0.2">
      <c r="K2666" s="149"/>
      <c r="N2666" s="149"/>
    </row>
    <row r="2667" spans="11:14" ht="12.75" hidden="1" customHeight="1" x14ac:dyDescent="0.2">
      <c r="K2667" s="153"/>
      <c r="N2667" s="153"/>
    </row>
    <row r="2668" spans="11:14" ht="12.75" hidden="1" customHeight="1" x14ac:dyDescent="0.2">
      <c r="K2668" s="149"/>
      <c r="N2668" s="149"/>
    </row>
    <row r="2669" spans="11:14" ht="12.75" hidden="1" customHeight="1" x14ac:dyDescent="0.2">
      <c r="K2669" s="149"/>
      <c r="N2669" s="149"/>
    </row>
    <row r="2670" spans="11:14" ht="12.75" hidden="1" customHeight="1" x14ac:dyDescent="0.2">
      <c r="K2670" s="149"/>
      <c r="N2670" s="149"/>
    </row>
    <row r="2671" spans="11:14" ht="12.75" hidden="1" customHeight="1" x14ac:dyDescent="0.2">
      <c r="K2671" s="153"/>
      <c r="N2671" s="153"/>
    </row>
    <row r="2672" spans="11:14" ht="12.75" hidden="1" customHeight="1" x14ac:dyDescent="0.2">
      <c r="K2672" s="149"/>
      <c r="N2672" s="149"/>
    </row>
    <row r="2673" spans="11:14" ht="12.75" hidden="1" customHeight="1" x14ac:dyDescent="0.2">
      <c r="K2673" s="149"/>
      <c r="N2673" s="149"/>
    </row>
    <row r="2674" spans="11:14" ht="12.75" hidden="1" customHeight="1" x14ac:dyDescent="0.2">
      <c r="K2674" s="149"/>
      <c r="N2674" s="149"/>
    </row>
    <row r="2675" spans="11:14" ht="12.75" hidden="1" customHeight="1" x14ac:dyDescent="0.2">
      <c r="K2675" s="153"/>
      <c r="N2675" s="153"/>
    </row>
    <row r="2676" spans="11:14" ht="12.75" hidden="1" customHeight="1" x14ac:dyDescent="0.2">
      <c r="K2676" s="149"/>
      <c r="N2676" s="149"/>
    </row>
    <row r="2677" spans="11:14" ht="12.75" hidden="1" customHeight="1" x14ac:dyDescent="0.2">
      <c r="K2677" s="149"/>
      <c r="N2677" s="149"/>
    </row>
    <row r="2678" spans="11:14" ht="12.75" hidden="1" customHeight="1" x14ac:dyDescent="0.2">
      <c r="K2678" s="149"/>
      <c r="N2678" s="149"/>
    </row>
    <row r="2679" spans="11:14" ht="12.75" hidden="1" customHeight="1" x14ac:dyDescent="0.2">
      <c r="K2679" s="153"/>
      <c r="N2679" s="153"/>
    </row>
    <row r="2680" spans="11:14" ht="12.75" hidden="1" customHeight="1" x14ac:dyDescent="0.2">
      <c r="K2680" s="149"/>
      <c r="N2680" s="149"/>
    </row>
    <row r="2681" spans="11:14" ht="12.75" hidden="1" customHeight="1" x14ac:dyDescent="0.2">
      <c r="K2681" s="149"/>
      <c r="N2681" s="149"/>
    </row>
    <row r="2682" spans="11:14" ht="12.75" hidden="1" customHeight="1" x14ac:dyDescent="0.2">
      <c r="K2682" s="149"/>
      <c r="N2682" s="149"/>
    </row>
    <row r="2683" spans="11:14" ht="12.75" hidden="1" customHeight="1" x14ac:dyDescent="0.2">
      <c r="K2683" s="153"/>
      <c r="N2683" s="153"/>
    </row>
    <row r="2684" spans="11:14" ht="12.75" hidden="1" customHeight="1" x14ac:dyDescent="0.2">
      <c r="K2684" s="149"/>
      <c r="N2684" s="149"/>
    </row>
    <row r="2685" spans="11:14" ht="12.75" hidden="1" customHeight="1" x14ac:dyDescent="0.2">
      <c r="K2685" s="149"/>
      <c r="N2685" s="149"/>
    </row>
    <row r="2686" spans="11:14" ht="12.75" hidden="1" customHeight="1" x14ac:dyDescent="0.2">
      <c r="K2686" s="149"/>
      <c r="N2686" s="149"/>
    </row>
    <row r="2687" spans="11:14" ht="12.75" hidden="1" customHeight="1" x14ac:dyDescent="0.2">
      <c r="K2687" s="153"/>
      <c r="N2687" s="153"/>
    </row>
    <row r="2688" spans="11:14" ht="12.75" hidden="1" customHeight="1" x14ac:dyDescent="0.2">
      <c r="K2688" s="149"/>
      <c r="N2688" s="149"/>
    </row>
    <row r="2689" spans="11:14" ht="12.75" hidden="1" customHeight="1" x14ac:dyDescent="0.2">
      <c r="K2689" s="149"/>
      <c r="N2689" s="149"/>
    </row>
    <row r="2690" spans="11:14" ht="12.75" hidden="1" customHeight="1" x14ac:dyDescent="0.2">
      <c r="K2690" s="149"/>
      <c r="N2690" s="149"/>
    </row>
    <row r="2691" spans="11:14" ht="12.75" hidden="1" customHeight="1" x14ac:dyDescent="0.2">
      <c r="K2691" s="153"/>
      <c r="N2691" s="153"/>
    </row>
    <row r="2692" spans="11:14" ht="12.75" hidden="1" customHeight="1" x14ac:dyDescent="0.2">
      <c r="K2692" s="149"/>
      <c r="N2692" s="149"/>
    </row>
    <row r="2693" spans="11:14" ht="12.75" hidden="1" customHeight="1" x14ac:dyDescent="0.2">
      <c r="K2693" s="149"/>
      <c r="N2693" s="149"/>
    </row>
    <row r="2694" spans="11:14" ht="12.75" hidden="1" customHeight="1" x14ac:dyDescent="0.2">
      <c r="K2694" s="149"/>
      <c r="N2694" s="149"/>
    </row>
    <row r="2695" spans="11:14" ht="12.75" hidden="1" customHeight="1" x14ac:dyDescent="0.2">
      <c r="K2695" s="153"/>
      <c r="N2695" s="153"/>
    </row>
    <row r="2696" spans="11:14" ht="12.75" hidden="1" customHeight="1" x14ac:dyDescent="0.2">
      <c r="K2696" s="149"/>
      <c r="N2696" s="149"/>
    </row>
    <row r="2697" spans="11:14" ht="12.75" hidden="1" customHeight="1" x14ac:dyDescent="0.2">
      <c r="K2697" s="149"/>
      <c r="N2697" s="149"/>
    </row>
    <row r="2698" spans="11:14" ht="12.75" hidden="1" customHeight="1" x14ac:dyDescent="0.2">
      <c r="K2698" s="149"/>
      <c r="N2698" s="149"/>
    </row>
    <row r="2699" spans="11:14" ht="12.75" hidden="1" customHeight="1" x14ac:dyDescent="0.2">
      <c r="K2699" s="153"/>
      <c r="N2699" s="153"/>
    </row>
    <row r="2700" spans="11:14" ht="12.75" hidden="1" customHeight="1" x14ac:dyDescent="0.2">
      <c r="K2700" s="149"/>
      <c r="N2700" s="149"/>
    </row>
    <row r="2701" spans="11:14" ht="12.75" hidden="1" customHeight="1" x14ac:dyDescent="0.2">
      <c r="K2701" s="149"/>
      <c r="N2701" s="149"/>
    </row>
    <row r="2702" spans="11:14" ht="12.75" hidden="1" customHeight="1" x14ac:dyDescent="0.2">
      <c r="K2702" s="149"/>
      <c r="N2702" s="149"/>
    </row>
    <row r="2703" spans="11:14" ht="12.75" hidden="1" customHeight="1" x14ac:dyDescent="0.2">
      <c r="K2703" s="153"/>
      <c r="N2703" s="153"/>
    </row>
    <row r="2704" spans="11:14" ht="12.75" hidden="1" customHeight="1" x14ac:dyDescent="0.2">
      <c r="K2704" s="149"/>
      <c r="N2704" s="149"/>
    </row>
    <row r="2705" spans="11:14" ht="12.75" hidden="1" customHeight="1" x14ac:dyDescent="0.2">
      <c r="K2705" s="149"/>
      <c r="N2705" s="149"/>
    </row>
    <row r="2706" spans="11:14" ht="12.75" hidden="1" customHeight="1" x14ac:dyDescent="0.2">
      <c r="K2706" s="149"/>
      <c r="N2706" s="149"/>
    </row>
    <row r="2707" spans="11:14" ht="12.75" hidden="1" customHeight="1" x14ac:dyDescent="0.2">
      <c r="K2707" s="153"/>
      <c r="N2707" s="153"/>
    </row>
    <row r="2708" spans="11:14" ht="12.75" hidden="1" customHeight="1" x14ac:dyDescent="0.2">
      <c r="K2708" s="149"/>
      <c r="N2708" s="149"/>
    </row>
    <row r="2709" spans="11:14" ht="12.75" hidden="1" customHeight="1" x14ac:dyDescent="0.2">
      <c r="K2709" s="149"/>
      <c r="N2709" s="149"/>
    </row>
    <row r="2710" spans="11:14" ht="12.75" hidden="1" customHeight="1" x14ac:dyDescent="0.2">
      <c r="K2710" s="149"/>
      <c r="N2710" s="149"/>
    </row>
    <row r="2711" spans="11:14" ht="12.75" hidden="1" customHeight="1" x14ac:dyDescent="0.2">
      <c r="K2711" s="153"/>
      <c r="N2711" s="153"/>
    </row>
    <row r="2712" spans="11:14" ht="12.75" hidden="1" customHeight="1" x14ac:dyDescent="0.2">
      <c r="K2712" s="149"/>
      <c r="N2712" s="149"/>
    </row>
    <row r="2713" spans="11:14" ht="12.75" hidden="1" customHeight="1" x14ac:dyDescent="0.2">
      <c r="K2713" s="149"/>
      <c r="N2713" s="149"/>
    </row>
    <row r="2714" spans="11:14" ht="12.75" hidden="1" customHeight="1" x14ac:dyDescent="0.2">
      <c r="K2714" s="149"/>
      <c r="N2714" s="149"/>
    </row>
    <row r="2715" spans="11:14" ht="12.75" hidden="1" customHeight="1" x14ac:dyDescent="0.2">
      <c r="K2715" s="153"/>
      <c r="N2715" s="153"/>
    </row>
    <row r="2716" spans="11:14" ht="12.75" hidden="1" customHeight="1" x14ac:dyDescent="0.2">
      <c r="K2716" s="149"/>
      <c r="N2716" s="149"/>
    </row>
    <row r="2717" spans="11:14" ht="12.75" hidden="1" customHeight="1" x14ac:dyDescent="0.2">
      <c r="K2717" s="149"/>
      <c r="N2717" s="149"/>
    </row>
    <row r="2718" spans="11:14" ht="12.75" hidden="1" customHeight="1" x14ac:dyDescent="0.2">
      <c r="K2718" s="149"/>
      <c r="N2718" s="149"/>
    </row>
    <row r="2719" spans="11:14" ht="12.75" hidden="1" customHeight="1" x14ac:dyDescent="0.2">
      <c r="K2719" s="153"/>
      <c r="N2719" s="153"/>
    </row>
    <row r="2720" spans="11:14" ht="12.75" hidden="1" customHeight="1" x14ac:dyDescent="0.2">
      <c r="K2720" s="149"/>
      <c r="N2720" s="149"/>
    </row>
    <row r="2721" spans="11:14" ht="12.75" hidden="1" customHeight="1" x14ac:dyDescent="0.2">
      <c r="K2721" s="149"/>
      <c r="N2721" s="149"/>
    </row>
    <row r="2722" spans="11:14" ht="12.75" hidden="1" customHeight="1" x14ac:dyDescent="0.2">
      <c r="K2722" s="149"/>
      <c r="N2722" s="149"/>
    </row>
    <row r="2723" spans="11:14" ht="12.75" hidden="1" customHeight="1" x14ac:dyDescent="0.2">
      <c r="K2723" s="153"/>
      <c r="N2723" s="153"/>
    </row>
    <row r="2724" spans="11:14" ht="12.75" hidden="1" customHeight="1" x14ac:dyDescent="0.2">
      <c r="K2724" s="149"/>
      <c r="N2724" s="149"/>
    </row>
    <row r="2725" spans="11:14" ht="12.75" hidden="1" customHeight="1" x14ac:dyDescent="0.2">
      <c r="K2725" s="149"/>
      <c r="N2725" s="149"/>
    </row>
    <row r="2726" spans="11:14" ht="12.75" hidden="1" customHeight="1" x14ac:dyDescent="0.2">
      <c r="K2726" s="149"/>
      <c r="N2726" s="149"/>
    </row>
    <row r="2727" spans="11:14" ht="12.75" hidden="1" customHeight="1" x14ac:dyDescent="0.2">
      <c r="K2727" s="153"/>
      <c r="N2727" s="153"/>
    </row>
    <row r="2728" spans="11:14" ht="12.75" hidden="1" customHeight="1" x14ac:dyDescent="0.2">
      <c r="K2728" s="149"/>
      <c r="N2728" s="149"/>
    </row>
    <row r="2729" spans="11:14" ht="12.75" hidden="1" customHeight="1" x14ac:dyDescent="0.2">
      <c r="K2729" s="149"/>
      <c r="N2729" s="149"/>
    </row>
    <row r="2730" spans="11:14" ht="12.75" hidden="1" customHeight="1" x14ac:dyDescent="0.2">
      <c r="K2730" s="149"/>
      <c r="N2730" s="149"/>
    </row>
    <row r="2731" spans="11:14" ht="12.75" hidden="1" customHeight="1" x14ac:dyDescent="0.2">
      <c r="K2731" s="153"/>
      <c r="N2731" s="153"/>
    </row>
    <row r="2732" spans="11:14" ht="12.75" hidden="1" customHeight="1" x14ac:dyDescent="0.2">
      <c r="K2732" s="149"/>
      <c r="N2732" s="149"/>
    </row>
    <row r="2733" spans="11:14" ht="12.75" hidden="1" customHeight="1" x14ac:dyDescent="0.2">
      <c r="K2733" s="149"/>
      <c r="N2733" s="149"/>
    </row>
    <row r="2734" spans="11:14" ht="12.75" hidden="1" customHeight="1" x14ac:dyDescent="0.2">
      <c r="K2734" s="149"/>
      <c r="N2734" s="149"/>
    </row>
    <row r="2735" spans="11:14" ht="12.75" hidden="1" customHeight="1" x14ac:dyDescent="0.2">
      <c r="K2735" s="153"/>
      <c r="N2735" s="153"/>
    </row>
    <row r="2736" spans="11:14" ht="12.75" hidden="1" customHeight="1" x14ac:dyDescent="0.2">
      <c r="K2736" s="149"/>
      <c r="N2736" s="149"/>
    </row>
    <row r="2737" spans="11:14" ht="12.75" hidden="1" customHeight="1" x14ac:dyDescent="0.2">
      <c r="K2737" s="149"/>
      <c r="N2737" s="149"/>
    </row>
    <row r="2738" spans="11:14" ht="12.75" hidden="1" customHeight="1" x14ac:dyDescent="0.2">
      <c r="K2738" s="149"/>
      <c r="N2738" s="149"/>
    </row>
    <row r="2739" spans="11:14" ht="12.75" hidden="1" customHeight="1" x14ac:dyDescent="0.2">
      <c r="K2739" s="153"/>
      <c r="N2739" s="153"/>
    </row>
    <row r="2740" spans="11:14" ht="12.75" hidden="1" customHeight="1" x14ac:dyDescent="0.2">
      <c r="K2740" s="149"/>
      <c r="N2740" s="149"/>
    </row>
    <row r="2741" spans="11:14" ht="12.75" hidden="1" customHeight="1" x14ac:dyDescent="0.2">
      <c r="K2741" s="149"/>
      <c r="N2741" s="149"/>
    </row>
    <row r="2742" spans="11:14" ht="12.75" hidden="1" customHeight="1" x14ac:dyDescent="0.2">
      <c r="K2742" s="149"/>
      <c r="N2742" s="149"/>
    </row>
    <row r="2743" spans="11:14" ht="12.75" hidden="1" customHeight="1" x14ac:dyDescent="0.2">
      <c r="K2743" s="153"/>
      <c r="N2743" s="153"/>
    </row>
    <row r="2744" spans="11:14" ht="12.75" hidden="1" customHeight="1" x14ac:dyDescent="0.2">
      <c r="K2744" s="149"/>
      <c r="N2744" s="149"/>
    </row>
    <row r="2745" spans="11:14" ht="12.75" hidden="1" customHeight="1" x14ac:dyDescent="0.2">
      <c r="K2745" s="149"/>
      <c r="N2745" s="149"/>
    </row>
    <row r="2746" spans="11:14" ht="12.75" hidden="1" customHeight="1" x14ac:dyDescent="0.2">
      <c r="K2746" s="149"/>
      <c r="N2746" s="149"/>
    </row>
    <row r="2747" spans="11:14" ht="12.75" hidden="1" customHeight="1" x14ac:dyDescent="0.2">
      <c r="K2747" s="153"/>
      <c r="N2747" s="153"/>
    </row>
    <row r="2748" spans="11:14" ht="12.75" hidden="1" customHeight="1" x14ac:dyDescent="0.2">
      <c r="K2748" s="149"/>
      <c r="N2748" s="149"/>
    </row>
    <row r="2749" spans="11:14" ht="12.75" hidden="1" customHeight="1" x14ac:dyDescent="0.2">
      <c r="K2749" s="149"/>
      <c r="N2749" s="149"/>
    </row>
    <row r="2750" spans="11:14" ht="12.75" hidden="1" customHeight="1" x14ac:dyDescent="0.2">
      <c r="K2750" s="149"/>
      <c r="N2750" s="149"/>
    </row>
    <row r="2751" spans="11:14" ht="12.75" hidden="1" customHeight="1" x14ac:dyDescent="0.2">
      <c r="K2751" s="153"/>
      <c r="N2751" s="153"/>
    </row>
    <row r="2752" spans="11:14" ht="12.75" hidden="1" customHeight="1" x14ac:dyDescent="0.2">
      <c r="K2752" s="149"/>
      <c r="N2752" s="149"/>
    </row>
    <row r="2753" spans="11:14" ht="12.75" hidden="1" customHeight="1" x14ac:dyDescent="0.2">
      <c r="K2753" s="149"/>
      <c r="N2753" s="149"/>
    </row>
    <row r="2754" spans="11:14" ht="12.75" hidden="1" customHeight="1" x14ac:dyDescent="0.2">
      <c r="K2754" s="149"/>
      <c r="N2754" s="149"/>
    </row>
    <row r="2755" spans="11:14" ht="12.75" hidden="1" customHeight="1" x14ac:dyDescent="0.2">
      <c r="K2755" s="153"/>
      <c r="N2755" s="153"/>
    </row>
    <row r="2756" spans="11:14" ht="12.75" hidden="1" customHeight="1" x14ac:dyDescent="0.2">
      <c r="K2756" s="149"/>
      <c r="N2756" s="149"/>
    </row>
    <row r="2757" spans="11:14" ht="12.75" hidden="1" customHeight="1" x14ac:dyDescent="0.2">
      <c r="K2757" s="149"/>
      <c r="N2757" s="149"/>
    </row>
    <row r="2758" spans="11:14" ht="12.75" hidden="1" customHeight="1" x14ac:dyDescent="0.2">
      <c r="K2758" s="149"/>
      <c r="N2758" s="149"/>
    </row>
    <row r="2759" spans="11:14" ht="12.75" hidden="1" customHeight="1" x14ac:dyDescent="0.2">
      <c r="K2759" s="153"/>
      <c r="N2759" s="153"/>
    </row>
    <row r="2760" spans="11:14" ht="12.75" hidden="1" customHeight="1" x14ac:dyDescent="0.2">
      <c r="K2760" s="149"/>
      <c r="N2760" s="149"/>
    </row>
    <row r="2761" spans="11:14" ht="12.75" hidden="1" customHeight="1" x14ac:dyDescent="0.2">
      <c r="K2761" s="149"/>
      <c r="N2761" s="149"/>
    </row>
    <row r="2762" spans="11:14" ht="12.75" hidden="1" customHeight="1" x14ac:dyDescent="0.2">
      <c r="K2762" s="149"/>
      <c r="N2762" s="149"/>
    </row>
    <row r="2763" spans="11:14" ht="12.75" hidden="1" customHeight="1" x14ac:dyDescent="0.2">
      <c r="K2763" s="153"/>
      <c r="N2763" s="153"/>
    </row>
    <row r="2764" spans="11:14" ht="12.75" hidden="1" customHeight="1" x14ac:dyDescent="0.2">
      <c r="K2764" s="149"/>
      <c r="N2764" s="149"/>
    </row>
    <row r="2765" spans="11:14" ht="12.75" hidden="1" customHeight="1" x14ac:dyDescent="0.2">
      <c r="K2765" s="149"/>
      <c r="N2765" s="149"/>
    </row>
    <row r="2766" spans="11:14" ht="12.75" hidden="1" customHeight="1" x14ac:dyDescent="0.2">
      <c r="K2766" s="149"/>
      <c r="N2766" s="149"/>
    </row>
    <row r="2767" spans="11:14" ht="12.75" hidden="1" customHeight="1" x14ac:dyDescent="0.2">
      <c r="K2767" s="153"/>
      <c r="N2767" s="153"/>
    </row>
    <row r="2768" spans="11:14" ht="12.75" hidden="1" customHeight="1" x14ac:dyDescent="0.2">
      <c r="K2768" s="149"/>
      <c r="N2768" s="149"/>
    </row>
    <row r="2769" spans="11:14" ht="12.75" hidden="1" customHeight="1" x14ac:dyDescent="0.2">
      <c r="K2769" s="149"/>
      <c r="N2769" s="149"/>
    </row>
    <row r="2770" spans="11:14" ht="12.75" hidden="1" customHeight="1" x14ac:dyDescent="0.2">
      <c r="K2770" s="149"/>
      <c r="N2770" s="149"/>
    </row>
    <row r="2771" spans="11:14" ht="12.75" hidden="1" customHeight="1" x14ac:dyDescent="0.2">
      <c r="K2771" s="153"/>
      <c r="N2771" s="153"/>
    </row>
    <row r="2772" spans="11:14" ht="12.75" hidden="1" customHeight="1" x14ac:dyDescent="0.2">
      <c r="K2772" s="149"/>
      <c r="N2772" s="149"/>
    </row>
    <row r="2773" spans="11:14" ht="12.75" hidden="1" customHeight="1" x14ac:dyDescent="0.2">
      <c r="K2773" s="149"/>
      <c r="N2773" s="149"/>
    </row>
    <row r="2774" spans="11:14" ht="12.75" hidden="1" customHeight="1" x14ac:dyDescent="0.2">
      <c r="K2774" s="149"/>
      <c r="N2774" s="149"/>
    </row>
    <row r="2775" spans="11:14" ht="12.75" hidden="1" customHeight="1" x14ac:dyDescent="0.2">
      <c r="K2775" s="153"/>
      <c r="N2775" s="153"/>
    </row>
    <row r="2776" spans="11:14" ht="12.75" hidden="1" customHeight="1" x14ac:dyDescent="0.2">
      <c r="K2776" s="149"/>
      <c r="N2776" s="149"/>
    </row>
    <row r="2777" spans="11:14" ht="12.75" hidden="1" customHeight="1" x14ac:dyDescent="0.2">
      <c r="K2777" s="149"/>
      <c r="N2777" s="149"/>
    </row>
    <row r="2778" spans="11:14" ht="12.75" hidden="1" customHeight="1" x14ac:dyDescent="0.2">
      <c r="K2778" s="149"/>
      <c r="N2778" s="149"/>
    </row>
    <row r="2779" spans="11:14" ht="12.75" hidden="1" customHeight="1" x14ac:dyDescent="0.2">
      <c r="K2779" s="153"/>
      <c r="N2779" s="153"/>
    </row>
    <row r="2780" spans="11:14" ht="12.75" hidden="1" customHeight="1" x14ac:dyDescent="0.2">
      <c r="K2780" s="149"/>
      <c r="N2780" s="149"/>
    </row>
    <row r="2781" spans="11:14" ht="12.75" hidden="1" customHeight="1" x14ac:dyDescent="0.2">
      <c r="K2781" s="149"/>
      <c r="N2781" s="149"/>
    </row>
    <row r="2782" spans="11:14" ht="12.75" hidden="1" customHeight="1" x14ac:dyDescent="0.2">
      <c r="K2782" s="149"/>
      <c r="N2782" s="149"/>
    </row>
    <row r="2783" spans="11:14" ht="12.75" hidden="1" customHeight="1" x14ac:dyDescent="0.2">
      <c r="K2783" s="153"/>
      <c r="N2783" s="153"/>
    </row>
    <row r="2784" spans="11:14" ht="12.75" hidden="1" customHeight="1" x14ac:dyDescent="0.2">
      <c r="K2784" s="149"/>
      <c r="N2784" s="149"/>
    </row>
    <row r="2785" spans="11:14" ht="12.75" hidden="1" customHeight="1" x14ac:dyDescent="0.2">
      <c r="K2785" s="149"/>
      <c r="N2785" s="149"/>
    </row>
    <row r="2786" spans="11:14" ht="12.75" hidden="1" customHeight="1" x14ac:dyDescent="0.2">
      <c r="K2786" s="149"/>
      <c r="N2786" s="149"/>
    </row>
    <row r="2787" spans="11:14" ht="12.75" hidden="1" customHeight="1" x14ac:dyDescent="0.2">
      <c r="K2787" s="153"/>
      <c r="N2787" s="153"/>
    </row>
    <row r="2788" spans="11:14" ht="12.75" hidden="1" customHeight="1" x14ac:dyDescent="0.2">
      <c r="K2788" s="149"/>
      <c r="N2788" s="149"/>
    </row>
    <row r="2789" spans="11:14" ht="12.75" hidden="1" customHeight="1" x14ac:dyDescent="0.2">
      <c r="K2789" s="149"/>
      <c r="N2789" s="149"/>
    </row>
    <row r="2790" spans="11:14" ht="12.75" hidden="1" customHeight="1" x14ac:dyDescent="0.2">
      <c r="K2790" s="149"/>
      <c r="N2790" s="149"/>
    </row>
    <row r="2791" spans="11:14" ht="12.75" hidden="1" customHeight="1" x14ac:dyDescent="0.2">
      <c r="K2791" s="153"/>
      <c r="N2791" s="153"/>
    </row>
    <row r="2792" spans="11:14" ht="12.75" hidden="1" customHeight="1" x14ac:dyDescent="0.2">
      <c r="K2792" s="149"/>
      <c r="N2792" s="149"/>
    </row>
    <row r="2793" spans="11:14" ht="12.75" hidden="1" customHeight="1" x14ac:dyDescent="0.2">
      <c r="K2793" s="149"/>
      <c r="N2793" s="149"/>
    </row>
    <row r="2794" spans="11:14" ht="12.75" hidden="1" customHeight="1" x14ac:dyDescent="0.2">
      <c r="K2794" s="149"/>
      <c r="N2794" s="149"/>
    </row>
    <row r="2795" spans="11:14" ht="12.75" hidden="1" customHeight="1" x14ac:dyDescent="0.2">
      <c r="K2795" s="153"/>
      <c r="N2795" s="153"/>
    </row>
    <row r="2796" spans="11:14" ht="12.75" hidden="1" customHeight="1" x14ac:dyDescent="0.2">
      <c r="K2796" s="149"/>
      <c r="N2796" s="149"/>
    </row>
    <row r="2797" spans="11:14" ht="12.75" hidden="1" customHeight="1" x14ac:dyDescent="0.2">
      <c r="K2797" s="149"/>
      <c r="N2797" s="149"/>
    </row>
    <row r="2798" spans="11:14" ht="12.75" hidden="1" customHeight="1" x14ac:dyDescent="0.2">
      <c r="K2798" s="149"/>
      <c r="N2798" s="149"/>
    </row>
    <row r="2799" spans="11:14" ht="12.75" hidden="1" customHeight="1" x14ac:dyDescent="0.2">
      <c r="K2799" s="153"/>
      <c r="N2799" s="153"/>
    </row>
    <row r="2800" spans="11:14" ht="12.75" hidden="1" customHeight="1" x14ac:dyDescent="0.2">
      <c r="K2800" s="149"/>
      <c r="N2800" s="149"/>
    </row>
    <row r="2801" spans="11:14" ht="12.75" hidden="1" customHeight="1" x14ac:dyDescent="0.2">
      <c r="K2801" s="149"/>
      <c r="N2801" s="149"/>
    </row>
    <row r="2802" spans="11:14" ht="12.75" hidden="1" customHeight="1" x14ac:dyDescent="0.2">
      <c r="K2802" s="149"/>
      <c r="N2802" s="149"/>
    </row>
    <row r="2803" spans="11:14" ht="12.75" hidden="1" customHeight="1" x14ac:dyDescent="0.2">
      <c r="K2803" s="153"/>
      <c r="N2803" s="153"/>
    </row>
    <row r="2804" spans="11:14" ht="12.75" hidden="1" customHeight="1" x14ac:dyDescent="0.2">
      <c r="K2804" s="149"/>
      <c r="N2804" s="149"/>
    </row>
    <row r="2805" spans="11:14" ht="12.75" hidden="1" customHeight="1" x14ac:dyDescent="0.2">
      <c r="K2805" s="149"/>
      <c r="N2805" s="149"/>
    </row>
    <row r="2806" spans="11:14" ht="12.75" hidden="1" customHeight="1" x14ac:dyDescent="0.2">
      <c r="K2806" s="149"/>
      <c r="N2806" s="149"/>
    </row>
    <row r="2807" spans="11:14" ht="12.75" hidden="1" customHeight="1" x14ac:dyDescent="0.2">
      <c r="K2807" s="153"/>
      <c r="N2807" s="153"/>
    </row>
    <row r="2808" spans="11:14" ht="12.75" hidden="1" customHeight="1" x14ac:dyDescent="0.2">
      <c r="K2808" s="149"/>
      <c r="N2808" s="149"/>
    </row>
    <row r="2809" spans="11:14" ht="12.75" hidden="1" customHeight="1" x14ac:dyDescent="0.2">
      <c r="K2809" s="149"/>
      <c r="N2809" s="149"/>
    </row>
    <row r="2810" spans="11:14" ht="12.75" hidden="1" customHeight="1" x14ac:dyDescent="0.2">
      <c r="K2810" s="149"/>
      <c r="N2810" s="149"/>
    </row>
    <row r="2811" spans="11:14" ht="12.75" hidden="1" customHeight="1" x14ac:dyDescent="0.2">
      <c r="K2811" s="153"/>
      <c r="N2811" s="153"/>
    </row>
    <row r="2812" spans="11:14" ht="12.75" hidden="1" customHeight="1" x14ac:dyDescent="0.2">
      <c r="K2812" s="149"/>
      <c r="N2812" s="149"/>
    </row>
    <row r="2813" spans="11:14" ht="12.75" hidden="1" customHeight="1" x14ac:dyDescent="0.2">
      <c r="K2813" s="149"/>
      <c r="N2813" s="149"/>
    </row>
    <row r="2814" spans="11:14" ht="12.75" hidden="1" customHeight="1" x14ac:dyDescent="0.2">
      <c r="K2814" s="149"/>
      <c r="N2814" s="149"/>
    </row>
    <row r="2815" spans="11:14" ht="12.75" hidden="1" customHeight="1" x14ac:dyDescent="0.2">
      <c r="K2815" s="153"/>
      <c r="N2815" s="153"/>
    </row>
    <row r="2816" spans="11:14" ht="12.75" hidden="1" customHeight="1" x14ac:dyDescent="0.2">
      <c r="K2816" s="149"/>
      <c r="N2816" s="149"/>
    </row>
    <row r="2817" spans="11:14" ht="12.75" hidden="1" customHeight="1" x14ac:dyDescent="0.2">
      <c r="K2817" s="149"/>
      <c r="N2817" s="149"/>
    </row>
    <row r="2818" spans="11:14" ht="12.75" hidden="1" customHeight="1" x14ac:dyDescent="0.2">
      <c r="K2818" s="149"/>
      <c r="N2818" s="149"/>
    </row>
    <row r="2819" spans="11:14" ht="12.75" hidden="1" customHeight="1" x14ac:dyDescent="0.2">
      <c r="K2819" s="153"/>
      <c r="N2819" s="153"/>
    </row>
    <row r="2820" spans="11:14" ht="12.75" hidden="1" customHeight="1" x14ac:dyDescent="0.2">
      <c r="K2820" s="149"/>
      <c r="N2820" s="149"/>
    </row>
    <row r="2821" spans="11:14" ht="12.75" hidden="1" customHeight="1" x14ac:dyDescent="0.2">
      <c r="K2821" s="149"/>
      <c r="N2821" s="149"/>
    </row>
    <row r="2822" spans="11:14" ht="12.75" hidden="1" customHeight="1" x14ac:dyDescent="0.2">
      <c r="K2822" s="149"/>
      <c r="N2822" s="149"/>
    </row>
    <row r="2823" spans="11:14" ht="12.75" hidden="1" customHeight="1" x14ac:dyDescent="0.2">
      <c r="K2823" s="153"/>
      <c r="N2823" s="153"/>
    </row>
    <row r="2824" spans="11:14" ht="12.75" hidden="1" customHeight="1" x14ac:dyDescent="0.2">
      <c r="K2824" s="149"/>
      <c r="N2824" s="149"/>
    </row>
    <row r="2825" spans="11:14" ht="12.75" hidden="1" customHeight="1" x14ac:dyDescent="0.2">
      <c r="K2825" s="149"/>
      <c r="N2825" s="149"/>
    </row>
    <row r="2826" spans="11:14" ht="12.75" hidden="1" customHeight="1" x14ac:dyDescent="0.2">
      <c r="K2826" s="149"/>
      <c r="N2826" s="149"/>
    </row>
    <row r="2827" spans="11:14" ht="12.75" hidden="1" customHeight="1" x14ac:dyDescent="0.2">
      <c r="K2827" s="153"/>
      <c r="N2827" s="153"/>
    </row>
    <row r="2828" spans="11:14" ht="12.75" hidden="1" customHeight="1" x14ac:dyDescent="0.2">
      <c r="K2828" s="149"/>
      <c r="N2828" s="149"/>
    </row>
    <row r="2829" spans="11:14" ht="12.75" hidden="1" customHeight="1" x14ac:dyDescent="0.2">
      <c r="K2829" s="149"/>
      <c r="N2829" s="149"/>
    </row>
    <row r="2830" spans="11:14" ht="12.75" hidden="1" customHeight="1" x14ac:dyDescent="0.2">
      <c r="K2830" s="149"/>
      <c r="N2830" s="149"/>
    </row>
    <row r="2831" spans="11:14" ht="12.75" hidden="1" customHeight="1" x14ac:dyDescent="0.2">
      <c r="K2831" s="153"/>
      <c r="N2831" s="153"/>
    </row>
    <row r="2832" spans="11:14" ht="12.75" hidden="1" customHeight="1" x14ac:dyDescent="0.2">
      <c r="K2832" s="149"/>
      <c r="N2832" s="149"/>
    </row>
    <row r="2833" spans="11:14" ht="12.75" hidden="1" customHeight="1" x14ac:dyDescent="0.2">
      <c r="K2833" s="149"/>
      <c r="N2833" s="149"/>
    </row>
    <row r="2834" spans="11:14" ht="12.75" hidden="1" customHeight="1" x14ac:dyDescent="0.2">
      <c r="K2834" s="149"/>
      <c r="N2834" s="149"/>
    </row>
    <row r="2835" spans="11:14" ht="12.75" hidden="1" customHeight="1" x14ac:dyDescent="0.2">
      <c r="K2835" s="153"/>
      <c r="N2835" s="153"/>
    </row>
    <row r="2836" spans="11:14" ht="12.75" hidden="1" customHeight="1" x14ac:dyDescent="0.2">
      <c r="K2836" s="149"/>
      <c r="N2836" s="149"/>
    </row>
    <row r="2837" spans="11:14" ht="12.75" hidden="1" customHeight="1" x14ac:dyDescent="0.2">
      <c r="K2837" s="149"/>
      <c r="N2837" s="149"/>
    </row>
    <row r="2838" spans="11:14" ht="12.75" hidden="1" customHeight="1" x14ac:dyDescent="0.2">
      <c r="K2838" s="149"/>
      <c r="N2838" s="149"/>
    </row>
    <row r="2839" spans="11:14" ht="12.75" hidden="1" customHeight="1" x14ac:dyDescent="0.2">
      <c r="K2839" s="153"/>
      <c r="N2839" s="153"/>
    </row>
    <row r="2840" spans="11:14" ht="12.75" hidden="1" customHeight="1" x14ac:dyDescent="0.2">
      <c r="K2840" s="149"/>
      <c r="N2840" s="149"/>
    </row>
    <row r="2841" spans="11:14" ht="12.75" hidden="1" customHeight="1" x14ac:dyDescent="0.2">
      <c r="K2841" s="149"/>
      <c r="N2841" s="149"/>
    </row>
    <row r="2842" spans="11:14" ht="12.75" hidden="1" customHeight="1" x14ac:dyDescent="0.2">
      <c r="K2842" s="149"/>
      <c r="N2842" s="149"/>
    </row>
    <row r="2843" spans="11:14" ht="12.75" hidden="1" customHeight="1" x14ac:dyDescent="0.2">
      <c r="K2843" s="153"/>
      <c r="N2843" s="153"/>
    </row>
    <row r="2844" spans="11:14" ht="12.75" hidden="1" customHeight="1" x14ac:dyDescent="0.2">
      <c r="K2844" s="149"/>
      <c r="N2844" s="149"/>
    </row>
    <row r="2845" spans="11:14" ht="12.75" hidden="1" customHeight="1" x14ac:dyDescent="0.2">
      <c r="K2845" s="149"/>
      <c r="N2845" s="149"/>
    </row>
    <row r="2846" spans="11:14" ht="12.75" hidden="1" customHeight="1" x14ac:dyDescent="0.2">
      <c r="K2846" s="149"/>
      <c r="N2846" s="149"/>
    </row>
    <row r="2847" spans="11:14" ht="12.75" hidden="1" customHeight="1" x14ac:dyDescent="0.2">
      <c r="K2847" s="153"/>
      <c r="N2847" s="153"/>
    </row>
    <row r="2848" spans="11:14" ht="12.75" hidden="1" customHeight="1" x14ac:dyDescent="0.2">
      <c r="K2848" s="149"/>
      <c r="N2848" s="149"/>
    </row>
    <row r="2849" spans="11:14" ht="12.75" hidden="1" customHeight="1" x14ac:dyDescent="0.2">
      <c r="K2849" s="149"/>
      <c r="N2849" s="149"/>
    </row>
    <row r="2850" spans="11:14" ht="12.75" hidden="1" customHeight="1" x14ac:dyDescent="0.2">
      <c r="K2850" s="149"/>
      <c r="N2850" s="149"/>
    </row>
    <row r="2851" spans="11:14" ht="12.75" hidden="1" customHeight="1" x14ac:dyDescent="0.2">
      <c r="K2851" s="153"/>
      <c r="N2851" s="153"/>
    </row>
    <row r="2852" spans="11:14" ht="12.75" hidden="1" customHeight="1" x14ac:dyDescent="0.2">
      <c r="K2852" s="149"/>
      <c r="N2852" s="149"/>
    </row>
    <row r="2853" spans="11:14" ht="12.75" hidden="1" customHeight="1" x14ac:dyDescent="0.2">
      <c r="K2853" s="149"/>
      <c r="N2853" s="149"/>
    </row>
    <row r="2854" spans="11:14" ht="12.75" hidden="1" customHeight="1" x14ac:dyDescent="0.2">
      <c r="K2854" s="149"/>
      <c r="N2854" s="149"/>
    </row>
    <row r="2855" spans="11:14" ht="12.75" hidden="1" customHeight="1" x14ac:dyDescent="0.2">
      <c r="K2855" s="153"/>
      <c r="N2855" s="153"/>
    </row>
    <row r="2856" spans="11:14" ht="12.75" hidden="1" customHeight="1" x14ac:dyDescent="0.2">
      <c r="K2856" s="149"/>
      <c r="N2856" s="149"/>
    </row>
    <row r="2857" spans="11:14" ht="12.75" hidden="1" customHeight="1" x14ac:dyDescent="0.2">
      <c r="K2857" s="149"/>
      <c r="N2857" s="149"/>
    </row>
    <row r="2858" spans="11:14" ht="12.75" hidden="1" customHeight="1" x14ac:dyDescent="0.2">
      <c r="K2858" s="149"/>
      <c r="N2858" s="149"/>
    </row>
    <row r="2859" spans="11:14" ht="12.75" hidden="1" customHeight="1" x14ac:dyDescent="0.2">
      <c r="K2859" s="153"/>
      <c r="N2859" s="153"/>
    </row>
    <row r="2860" spans="11:14" ht="12.75" hidden="1" customHeight="1" x14ac:dyDescent="0.2">
      <c r="K2860" s="149"/>
      <c r="N2860" s="149"/>
    </row>
    <row r="2861" spans="11:14" ht="12.75" hidden="1" customHeight="1" x14ac:dyDescent="0.2">
      <c r="K2861" s="149"/>
      <c r="N2861" s="149"/>
    </row>
    <row r="2862" spans="11:14" ht="12.75" hidden="1" customHeight="1" x14ac:dyDescent="0.2">
      <c r="K2862" s="149"/>
      <c r="N2862" s="149"/>
    </row>
    <row r="2863" spans="11:14" ht="12.75" hidden="1" customHeight="1" x14ac:dyDescent="0.2">
      <c r="K2863" s="153"/>
      <c r="N2863" s="153"/>
    </row>
    <row r="2864" spans="11:14" ht="12.75" hidden="1" customHeight="1" x14ac:dyDescent="0.2">
      <c r="K2864" s="149"/>
      <c r="N2864" s="149"/>
    </row>
    <row r="2865" spans="11:14" ht="12.75" hidden="1" customHeight="1" x14ac:dyDescent="0.2">
      <c r="K2865" s="149"/>
      <c r="N2865" s="149"/>
    </row>
    <row r="2866" spans="11:14" ht="12.75" hidden="1" customHeight="1" x14ac:dyDescent="0.2">
      <c r="K2866" s="149"/>
      <c r="N2866" s="149"/>
    </row>
    <row r="2867" spans="11:14" ht="12.75" hidden="1" customHeight="1" x14ac:dyDescent="0.2">
      <c r="K2867" s="153"/>
      <c r="N2867" s="153"/>
    </row>
    <row r="2868" spans="11:14" ht="12.75" hidden="1" customHeight="1" x14ac:dyDescent="0.2">
      <c r="K2868" s="149"/>
      <c r="N2868" s="149"/>
    </row>
    <row r="2869" spans="11:14" ht="12.75" hidden="1" customHeight="1" x14ac:dyDescent="0.2">
      <c r="K2869" s="149"/>
      <c r="N2869" s="149"/>
    </row>
    <row r="2870" spans="11:14" ht="12.75" hidden="1" customHeight="1" x14ac:dyDescent="0.2">
      <c r="K2870" s="149"/>
      <c r="N2870" s="149"/>
    </row>
    <row r="2871" spans="11:14" ht="12.75" hidden="1" customHeight="1" x14ac:dyDescent="0.2">
      <c r="K2871" s="153"/>
      <c r="N2871" s="153"/>
    </row>
    <row r="2872" spans="11:14" ht="12.75" hidden="1" customHeight="1" x14ac:dyDescent="0.2">
      <c r="K2872" s="149"/>
      <c r="N2872" s="149"/>
    </row>
    <row r="2873" spans="11:14" ht="12.75" hidden="1" customHeight="1" x14ac:dyDescent="0.2">
      <c r="K2873" s="149"/>
      <c r="N2873" s="149"/>
    </row>
    <row r="2874" spans="11:14" ht="12.75" hidden="1" customHeight="1" x14ac:dyDescent="0.2">
      <c r="K2874" s="149"/>
      <c r="N2874" s="149"/>
    </row>
    <row r="2875" spans="11:14" ht="12.75" hidden="1" customHeight="1" x14ac:dyDescent="0.2">
      <c r="K2875" s="153"/>
      <c r="N2875" s="153"/>
    </row>
    <row r="2876" spans="11:14" ht="12.75" hidden="1" customHeight="1" x14ac:dyDescent="0.2">
      <c r="K2876" s="149"/>
      <c r="N2876" s="149"/>
    </row>
    <row r="2877" spans="11:14" ht="12.75" hidden="1" customHeight="1" x14ac:dyDescent="0.2">
      <c r="K2877" s="149"/>
      <c r="N2877" s="149"/>
    </row>
    <row r="2878" spans="11:14" ht="12.75" hidden="1" customHeight="1" x14ac:dyDescent="0.2">
      <c r="K2878" s="149"/>
      <c r="N2878" s="149"/>
    </row>
    <row r="2879" spans="11:14" ht="12.75" hidden="1" customHeight="1" x14ac:dyDescent="0.2">
      <c r="K2879" s="153"/>
      <c r="N2879" s="153"/>
    </row>
    <row r="2880" spans="11:14" ht="12.75" hidden="1" customHeight="1" x14ac:dyDescent="0.2">
      <c r="K2880" s="149"/>
      <c r="N2880" s="149"/>
    </row>
    <row r="2881" spans="11:14" ht="12.75" hidden="1" customHeight="1" x14ac:dyDescent="0.2">
      <c r="K2881" s="149"/>
      <c r="N2881" s="149"/>
    </row>
    <row r="2882" spans="11:14" ht="12.75" hidden="1" customHeight="1" x14ac:dyDescent="0.2">
      <c r="K2882" s="149"/>
      <c r="N2882" s="149"/>
    </row>
    <row r="2883" spans="11:14" ht="12.75" hidden="1" customHeight="1" x14ac:dyDescent="0.2">
      <c r="K2883" s="153"/>
      <c r="N2883" s="153"/>
    </row>
    <row r="2884" spans="11:14" ht="12.75" hidden="1" customHeight="1" x14ac:dyDescent="0.2">
      <c r="K2884" s="149"/>
      <c r="N2884" s="149"/>
    </row>
    <row r="2885" spans="11:14" ht="12.75" hidden="1" customHeight="1" x14ac:dyDescent="0.2">
      <c r="K2885" s="149"/>
      <c r="N2885" s="149"/>
    </row>
    <row r="2886" spans="11:14" ht="12.75" hidden="1" customHeight="1" x14ac:dyDescent="0.2">
      <c r="K2886" s="149"/>
      <c r="N2886" s="149"/>
    </row>
    <row r="2887" spans="11:14" ht="12.75" hidden="1" customHeight="1" x14ac:dyDescent="0.2">
      <c r="K2887" s="153"/>
      <c r="N2887" s="153"/>
    </row>
    <row r="2888" spans="11:14" ht="12.75" hidden="1" customHeight="1" x14ac:dyDescent="0.2">
      <c r="K2888" s="149"/>
      <c r="N2888" s="149"/>
    </row>
    <row r="2889" spans="11:14" ht="12.75" hidden="1" customHeight="1" x14ac:dyDescent="0.2">
      <c r="K2889" s="149"/>
      <c r="N2889" s="149"/>
    </row>
    <row r="2890" spans="11:14" ht="12.75" hidden="1" customHeight="1" x14ac:dyDescent="0.2">
      <c r="K2890" s="149"/>
      <c r="N2890" s="149"/>
    </row>
    <row r="2891" spans="11:14" ht="12.75" hidden="1" customHeight="1" x14ac:dyDescent="0.2">
      <c r="K2891" s="153"/>
      <c r="N2891" s="153"/>
    </row>
    <row r="2892" spans="11:14" ht="12.75" hidden="1" customHeight="1" x14ac:dyDescent="0.2">
      <c r="K2892" s="149"/>
      <c r="N2892" s="149"/>
    </row>
    <row r="2893" spans="11:14" ht="12.75" hidden="1" customHeight="1" x14ac:dyDescent="0.2">
      <c r="K2893" s="149"/>
      <c r="N2893" s="149"/>
    </row>
    <row r="2894" spans="11:14" ht="12.75" hidden="1" customHeight="1" x14ac:dyDescent="0.2">
      <c r="K2894" s="149"/>
      <c r="N2894" s="149"/>
    </row>
    <row r="2895" spans="11:14" ht="12.75" hidden="1" customHeight="1" x14ac:dyDescent="0.2">
      <c r="K2895" s="153"/>
      <c r="N2895" s="153"/>
    </row>
    <row r="2896" spans="11:14" ht="12.75" hidden="1" customHeight="1" x14ac:dyDescent="0.2">
      <c r="K2896" s="149"/>
      <c r="N2896" s="149"/>
    </row>
    <row r="2897" spans="11:14" ht="12.75" hidden="1" customHeight="1" x14ac:dyDescent="0.2">
      <c r="K2897" s="149"/>
      <c r="N2897" s="149"/>
    </row>
    <row r="2898" spans="11:14" ht="12.75" hidden="1" customHeight="1" x14ac:dyDescent="0.2">
      <c r="K2898" s="149"/>
      <c r="N2898" s="149"/>
    </row>
    <row r="2899" spans="11:14" ht="12.75" hidden="1" customHeight="1" x14ac:dyDescent="0.2">
      <c r="K2899" s="153"/>
      <c r="N2899" s="153"/>
    </row>
    <row r="2900" spans="11:14" ht="12.75" hidden="1" customHeight="1" x14ac:dyDescent="0.2">
      <c r="K2900" s="149"/>
      <c r="N2900" s="149"/>
    </row>
    <row r="2901" spans="11:14" ht="12.75" hidden="1" customHeight="1" x14ac:dyDescent="0.2">
      <c r="K2901" s="149"/>
      <c r="N2901" s="149"/>
    </row>
    <row r="2902" spans="11:14" ht="12.75" hidden="1" customHeight="1" x14ac:dyDescent="0.2">
      <c r="K2902" s="149"/>
      <c r="N2902" s="149"/>
    </row>
    <row r="2903" spans="11:14" ht="12.75" hidden="1" customHeight="1" x14ac:dyDescent="0.2">
      <c r="K2903" s="153"/>
      <c r="N2903" s="153"/>
    </row>
    <row r="2904" spans="11:14" ht="12.75" hidden="1" customHeight="1" x14ac:dyDescent="0.2">
      <c r="K2904" s="149"/>
      <c r="N2904" s="149"/>
    </row>
    <row r="2905" spans="11:14" ht="12.75" hidden="1" customHeight="1" x14ac:dyDescent="0.2">
      <c r="K2905" s="149"/>
      <c r="N2905" s="149"/>
    </row>
    <row r="2906" spans="11:14" ht="12.75" hidden="1" customHeight="1" x14ac:dyDescent="0.2"/>
    <row r="2907" spans="11:14" ht="12.75" hidden="1" customHeight="1" x14ac:dyDescent="0.2"/>
    <row r="2908" spans="11:14" ht="12.75" hidden="1" customHeight="1" x14ac:dyDescent="0.2"/>
    <row r="2909" spans="11:14" ht="12.75" hidden="1" customHeight="1" x14ac:dyDescent="0.2"/>
    <row r="2910" spans="11:14" ht="12.75" hidden="1" customHeight="1" x14ac:dyDescent="0.2"/>
    <row r="2911" spans="11:14" ht="12.75" hidden="1" customHeight="1" x14ac:dyDescent="0.2"/>
    <row r="2912" spans="11:14" ht="12.75" hidden="1" customHeight="1" x14ac:dyDescent="0.2"/>
    <row r="2913" ht="12.75" hidden="1" customHeight="1" x14ac:dyDescent="0.2"/>
    <row r="2914" ht="12.75" hidden="1" customHeight="1" x14ac:dyDescent="0.2"/>
    <row r="2915" ht="12.75" hidden="1" customHeight="1" x14ac:dyDescent="0.2"/>
    <row r="2916" ht="12.75" hidden="1" customHeight="1" x14ac:dyDescent="0.2"/>
    <row r="2917" ht="12.75" hidden="1" customHeight="1" x14ac:dyDescent="0.2"/>
    <row r="2918" ht="12.75" hidden="1" customHeight="1" x14ac:dyDescent="0.2"/>
    <row r="2919" ht="12.75" hidden="1" customHeight="1" x14ac:dyDescent="0.2"/>
    <row r="2920" ht="12.75" hidden="1" customHeight="1" x14ac:dyDescent="0.2"/>
    <row r="2921" ht="12.75" hidden="1" customHeight="1" x14ac:dyDescent="0.2"/>
    <row r="2922" ht="12.75" hidden="1" customHeight="1" x14ac:dyDescent="0.2"/>
    <row r="2923" ht="12.75" hidden="1" customHeight="1" x14ac:dyDescent="0.2"/>
    <row r="2924" ht="12.75" hidden="1" customHeight="1" x14ac:dyDescent="0.2"/>
    <row r="2925" ht="12.75" hidden="1" customHeight="1" x14ac:dyDescent="0.2"/>
    <row r="2926" ht="12.75" hidden="1" customHeight="1" x14ac:dyDescent="0.2"/>
    <row r="2927" ht="12.75" hidden="1" customHeight="1" x14ac:dyDescent="0.2"/>
    <row r="2928" ht="12.75" hidden="1" customHeight="1" x14ac:dyDescent="0.2"/>
    <row r="2929" ht="12.75" hidden="1" customHeight="1" x14ac:dyDescent="0.2"/>
    <row r="2930" ht="12.75" hidden="1" customHeight="1" x14ac:dyDescent="0.2"/>
    <row r="2931" ht="12.75" hidden="1" customHeight="1" x14ac:dyDescent="0.2"/>
    <row r="2932" ht="12.75" hidden="1" customHeight="1" x14ac:dyDescent="0.2"/>
    <row r="2933" ht="12.75" hidden="1" customHeight="1" x14ac:dyDescent="0.2"/>
    <row r="2934" ht="12.75" hidden="1" customHeight="1" x14ac:dyDescent="0.2"/>
    <row r="2935" ht="12.75" hidden="1" customHeight="1" x14ac:dyDescent="0.2"/>
    <row r="2936" ht="12.75" hidden="1" customHeight="1" x14ac:dyDescent="0.2"/>
    <row r="2937" ht="12.75" hidden="1" customHeight="1" x14ac:dyDescent="0.2"/>
    <row r="2938" ht="12.75" hidden="1" customHeight="1" x14ac:dyDescent="0.2"/>
    <row r="2939" ht="12.75" hidden="1" customHeight="1" x14ac:dyDescent="0.2"/>
    <row r="2940" ht="12.75" hidden="1" customHeight="1" x14ac:dyDescent="0.2"/>
    <row r="2941" ht="12.75" hidden="1" customHeight="1" x14ac:dyDescent="0.2"/>
    <row r="2942" ht="12.75" hidden="1" customHeight="1" x14ac:dyDescent="0.2"/>
    <row r="2943" ht="12.75" hidden="1" customHeight="1" x14ac:dyDescent="0.2"/>
    <row r="2944" ht="12.75" hidden="1" customHeight="1" x14ac:dyDescent="0.2"/>
    <row r="2945" ht="12.75" hidden="1" customHeight="1" x14ac:dyDescent="0.2"/>
    <row r="2946" ht="12.75" hidden="1" customHeight="1" x14ac:dyDescent="0.2"/>
    <row r="2947" ht="12.75" hidden="1" customHeight="1" x14ac:dyDescent="0.2"/>
    <row r="2948" ht="12.75" hidden="1" customHeight="1" x14ac:dyDescent="0.2"/>
    <row r="2949" ht="12.75" hidden="1" customHeight="1" x14ac:dyDescent="0.2"/>
    <row r="2950" ht="12.75" hidden="1" customHeight="1" x14ac:dyDescent="0.2"/>
    <row r="2951" ht="12.75" hidden="1" customHeight="1" x14ac:dyDescent="0.2"/>
    <row r="2952" ht="12.75" hidden="1" customHeight="1" x14ac:dyDescent="0.2"/>
    <row r="2953" ht="12.75" hidden="1" customHeight="1" x14ac:dyDescent="0.2"/>
    <row r="2954" ht="12.75" hidden="1" customHeight="1" x14ac:dyDescent="0.2"/>
    <row r="2955" ht="12.75" hidden="1" customHeight="1" x14ac:dyDescent="0.2"/>
    <row r="2956" ht="12.75" hidden="1" customHeight="1" x14ac:dyDescent="0.2"/>
    <row r="2957" ht="12.75" hidden="1" customHeight="1" x14ac:dyDescent="0.2"/>
    <row r="2958" ht="12.75" hidden="1" customHeight="1" x14ac:dyDescent="0.2"/>
    <row r="2959" ht="12.75" hidden="1" customHeight="1" x14ac:dyDescent="0.2"/>
    <row r="2960" ht="12.75" hidden="1" customHeight="1" x14ac:dyDescent="0.2"/>
    <row r="2961" ht="12.75" hidden="1" customHeight="1" x14ac:dyDescent="0.2"/>
    <row r="2962" ht="12.75" hidden="1" customHeight="1" x14ac:dyDescent="0.2"/>
    <row r="2963" ht="12.75" hidden="1" customHeight="1" x14ac:dyDescent="0.2"/>
    <row r="2964" ht="12.75" hidden="1" customHeight="1" x14ac:dyDescent="0.2"/>
    <row r="2965" ht="12.75" hidden="1" customHeight="1" x14ac:dyDescent="0.2"/>
    <row r="2966" ht="12.75" hidden="1" customHeight="1" x14ac:dyDescent="0.2"/>
    <row r="2967" ht="12.75" hidden="1" customHeight="1" x14ac:dyDescent="0.2"/>
    <row r="2968" ht="12.75" hidden="1" customHeight="1" x14ac:dyDescent="0.2"/>
    <row r="2969" ht="12.75" hidden="1" customHeight="1" x14ac:dyDescent="0.2"/>
    <row r="2970" ht="12.75" hidden="1" customHeight="1" x14ac:dyDescent="0.2"/>
    <row r="2971" ht="12.75" hidden="1" customHeight="1" x14ac:dyDescent="0.2"/>
    <row r="2972" ht="12.75" hidden="1" customHeight="1" x14ac:dyDescent="0.2"/>
    <row r="2973" ht="12.75" hidden="1" customHeight="1" x14ac:dyDescent="0.2"/>
    <row r="2974" ht="12.75" hidden="1" customHeight="1" x14ac:dyDescent="0.2"/>
    <row r="2975" ht="12.75" hidden="1" customHeight="1" x14ac:dyDescent="0.2"/>
    <row r="2976" ht="12.75" hidden="1" customHeight="1" x14ac:dyDescent="0.2"/>
    <row r="2977" ht="12.75" hidden="1" customHeight="1" x14ac:dyDescent="0.2"/>
    <row r="2978" ht="12.75" hidden="1" customHeight="1" x14ac:dyDescent="0.2"/>
    <row r="2979" ht="12.75" hidden="1" customHeight="1" x14ac:dyDescent="0.2"/>
    <row r="2980" ht="12.75" hidden="1" customHeight="1" x14ac:dyDescent="0.2"/>
    <row r="2981" ht="12.75" hidden="1" customHeight="1" x14ac:dyDescent="0.2"/>
    <row r="2982" ht="12.75" hidden="1" customHeight="1" x14ac:dyDescent="0.2"/>
    <row r="2983" ht="12.75" hidden="1" customHeight="1" x14ac:dyDescent="0.2"/>
    <row r="2984" ht="12.75" hidden="1" customHeight="1" x14ac:dyDescent="0.2"/>
    <row r="2985" ht="12.75" hidden="1" customHeight="1" x14ac:dyDescent="0.2"/>
    <row r="2986" ht="12.75" hidden="1" customHeight="1" x14ac:dyDescent="0.2"/>
    <row r="2987" ht="12.75" hidden="1" customHeight="1" x14ac:dyDescent="0.2"/>
    <row r="2988" ht="12.75" hidden="1" customHeight="1" x14ac:dyDescent="0.2"/>
    <row r="2989" ht="12.75" hidden="1" customHeight="1" x14ac:dyDescent="0.2"/>
    <row r="2990" ht="12.75" hidden="1" customHeight="1" x14ac:dyDescent="0.2"/>
    <row r="2991" ht="12.75" hidden="1" customHeight="1" x14ac:dyDescent="0.2"/>
    <row r="2992" ht="12.75" hidden="1" customHeight="1" x14ac:dyDescent="0.2"/>
    <row r="2993" ht="12.75" hidden="1" customHeight="1" x14ac:dyDescent="0.2"/>
    <row r="2994" ht="12.75" hidden="1" customHeight="1" x14ac:dyDescent="0.2"/>
    <row r="2995" ht="12.75" hidden="1" customHeight="1" x14ac:dyDescent="0.2"/>
    <row r="2996" ht="12.75" hidden="1" customHeight="1" x14ac:dyDescent="0.2"/>
    <row r="2997" ht="12.75" hidden="1" customHeight="1" x14ac:dyDescent="0.2"/>
    <row r="2998" ht="12.75" hidden="1" customHeight="1" x14ac:dyDescent="0.2"/>
    <row r="2999" ht="12.75" hidden="1" customHeight="1" x14ac:dyDescent="0.2"/>
    <row r="3000" ht="12.75" hidden="1" customHeight="1" x14ac:dyDescent="0.2"/>
    <row r="3001" ht="12.75" hidden="1" customHeight="1" x14ac:dyDescent="0.2"/>
    <row r="3002" ht="12.75" hidden="1" customHeight="1" x14ac:dyDescent="0.2"/>
    <row r="3003" ht="12.75" hidden="1" customHeight="1" x14ac:dyDescent="0.2"/>
    <row r="3004" ht="12.75" hidden="1" customHeight="1" x14ac:dyDescent="0.2"/>
    <row r="3005" ht="12.75" hidden="1" customHeight="1" x14ac:dyDescent="0.2"/>
    <row r="3006" ht="12.75" hidden="1" customHeight="1" x14ac:dyDescent="0.2"/>
    <row r="3007" ht="12.75" hidden="1" customHeight="1" x14ac:dyDescent="0.2"/>
    <row r="3008" ht="12.75" hidden="1" customHeight="1" x14ac:dyDescent="0.2"/>
    <row r="3009" ht="12.75" hidden="1" customHeight="1" x14ac:dyDescent="0.2"/>
    <row r="3010" ht="12.75" hidden="1" customHeight="1" x14ac:dyDescent="0.2"/>
    <row r="3011" ht="12.75" hidden="1" customHeight="1" x14ac:dyDescent="0.2"/>
    <row r="3012" ht="12.75" hidden="1" customHeight="1" x14ac:dyDescent="0.2"/>
    <row r="3013" ht="12.75" hidden="1" customHeight="1" x14ac:dyDescent="0.2"/>
    <row r="3014" ht="12.75" hidden="1" customHeight="1" x14ac:dyDescent="0.2"/>
    <row r="3015" ht="12.75" hidden="1" customHeight="1" x14ac:dyDescent="0.2"/>
    <row r="3016" ht="12.75" hidden="1" customHeight="1" x14ac:dyDescent="0.2"/>
    <row r="3017" ht="12.75" hidden="1" customHeight="1" x14ac:dyDescent="0.2"/>
    <row r="3018" ht="12.75" hidden="1" customHeight="1" x14ac:dyDescent="0.2"/>
    <row r="3019" ht="12.75" hidden="1" customHeight="1" x14ac:dyDescent="0.2"/>
    <row r="3020" ht="12.75" hidden="1" customHeight="1" x14ac:dyDescent="0.2"/>
    <row r="3021" ht="12.75" hidden="1" customHeight="1" x14ac:dyDescent="0.2"/>
    <row r="3022" ht="12.75" hidden="1" customHeight="1" x14ac:dyDescent="0.2"/>
    <row r="3023" ht="12.75" hidden="1" customHeight="1" x14ac:dyDescent="0.2"/>
    <row r="3024" ht="12.75" hidden="1" customHeight="1" x14ac:dyDescent="0.2"/>
    <row r="3025" ht="12.75" hidden="1" customHeight="1" x14ac:dyDescent="0.2"/>
    <row r="3026" ht="12.75" hidden="1" customHeight="1" x14ac:dyDescent="0.2"/>
    <row r="3027" ht="12.75" hidden="1" customHeight="1" x14ac:dyDescent="0.2"/>
    <row r="3028" ht="12.75" hidden="1" customHeight="1" x14ac:dyDescent="0.2"/>
    <row r="3029" ht="12.75" hidden="1" customHeight="1" x14ac:dyDescent="0.2"/>
    <row r="3030" ht="12.75" hidden="1" customHeight="1" x14ac:dyDescent="0.2"/>
    <row r="3031" ht="12.75" hidden="1" customHeight="1" x14ac:dyDescent="0.2"/>
    <row r="3032" ht="12.75" hidden="1" customHeight="1" x14ac:dyDescent="0.2"/>
    <row r="3033" ht="12.75" hidden="1" customHeight="1" x14ac:dyDescent="0.2"/>
    <row r="3034" ht="12.75" hidden="1" customHeight="1" x14ac:dyDescent="0.2"/>
    <row r="3035" ht="12.75" hidden="1" customHeight="1" x14ac:dyDescent="0.2"/>
    <row r="3036" ht="12.75" hidden="1" customHeight="1" x14ac:dyDescent="0.2"/>
    <row r="3037" ht="12.75" hidden="1" customHeight="1" x14ac:dyDescent="0.2"/>
    <row r="3038" ht="12.75" hidden="1" customHeight="1" x14ac:dyDescent="0.2"/>
    <row r="3039" ht="12.75" hidden="1" customHeight="1" x14ac:dyDescent="0.2"/>
    <row r="3040" ht="12.75" hidden="1" customHeight="1" x14ac:dyDescent="0.2"/>
    <row r="3041" ht="12.75" hidden="1" customHeight="1" x14ac:dyDescent="0.2"/>
    <row r="3042" ht="12.75" hidden="1" customHeight="1" x14ac:dyDescent="0.2"/>
    <row r="3043" ht="12.75" hidden="1" customHeight="1" x14ac:dyDescent="0.2"/>
    <row r="3044" ht="12.75" hidden="1" customHeight="1" x14ac:dyDescent="0.2"/>
    <row r="3045" ht="12.75" hidden="1" customHeight="1" x14ac:dyDescent="0.2"/>
    <row r="3046" ht="12.75" hidden="1" customHeight="1" x14ac:dyDescent="0.2"/>
    <row r="3047" ht="12.75" hidden="1" customHeight="1" x14ac:dyDescent="0.2"/>
    <row r="3048" ht="12.75" hidden="1" customHeight="1" x14ac:dyDescent="0.2"/>
    <row r="3049" ht="12.75" hidden="1" customHeight="1" x14ac:dyDescent="0.2"/>
    <row r="3050" ht="12.75" hidden="1" customHeight="1" x14ac:dyDescent="0.2"/>
    <row r="3051" ht="12.75" hidden="1" customHeight="1" x14ac:dyDescent="0.2"/>
    <row r="3052" ht="12.75" hidden="1" customHeight="1" x14ac:dyDescent="0.2"/>
    <row r="3053" ht="12.75" hidden="1" customHeight="1" x14ac:dyDescent="0.2"/>
    <row r="3054" ht="12.75" hidden="1" customHeight="1" x14ac:dyDescent="0.2"/>
    <row r="3055" ht="12.75" hidden="1" customHeight="1" x14ac:dyDescent="0.2"/>
    <row r="3056" ht="12.75" hidden="1" customHeight="1" x14ac:dyDescent="0.2"/>
    <row r="3057" ht="12.75" hidden="1" customHeight="1" x14ac:dyDescent="0.2"/>
    <row r="3058" ht="12.75" hidden="1" customHeight="1" x14ac:dyDescent="0.2"/>
    <row r="3059" ht="12.75" hidden="1" customHeight="1" x14ac:dyDescent="0.2"/>
    <row r="3060" ht="12.75" hidden="1" customHeight="1" x14ac:dyDescent="0.2"/>
    <row r="3061" ht="12.75" hidden="1" customHeight="1" x14ac:dyDescent="0.2"/>
    <row r="3062" ht="12.75" hidden="1" customHeight="1" x14ac:dyDescent="0.2"/>
    <row r="3063" ht="12.75" hidden="1" customHeight="1" x14ac:dyDescent="0.2"/>
    <row r="3064" ht="12.75" hidden="1" customHeight="1" x14ac:dyDescent="0.2"/>
    <row r="3065" ht="12.75" hidden="1" customHeight="1" x14ac:dyDescent="0.2"/>
    <row r="3066" ht="12.75" hidden="1" customHeight="1" x14ac:dyDescent="0.2"/>
    <row r="3067" ht="12.75" hidden="1" customHeight="1" x14ac:dyDescent="0.2"/>
    <row r="3068" ht="12.75" hidden="1" customHeight="1" x14ac:dyDescent="0.2"/>
    <row r="3069" ht="12.75" hidden="1" customHeight="1" x14ac:dyDescent="0.2"/>
    <row r="3070" ht="12.75" hidden="1" customHeight="1" x14ac:dyDescent="0.2"/>
    <row r="3071" ht="12.75" hidden="1" customHeight="1" x14ac:dyDescent="0.2"/>
    <row r="3072" ht="12.75" hidden="1" customHeight="1" x14ac:dyDescent="0.2"/>
    <row r="3073" ht="12.75" hidden="1" customHeight="1" x14ac:dyDescent="0.2"/>
    <row r="3074" ht="12.75" hidden="1" customHeight="1" x14ac:dyDescent="0.2"/>
    <row r="3075" ht="12.75" hidden="1" customHeight="1" x14ac:dyDescent="0.2"/>
    <row r="3076" ht="12.75" hidden="1" customHeight="1" x14ac:dyDescent="0.2"/>
    <row r="3077" ht="12.75" hidden="1" customHeight="1" x14ac:dyDescent="0.2"/>
    <row r="3078" ht="12.75" hidden="1" customHeight="1" x14ac:dyDescent="0.2"/>
    <row r="3079" ht="12.75" hidden="1" customHeight="1" x14ac:dyDescent="0.2"/>
    <row r="3080" ht="12.75" hidden="1" customHeight="1" x14ac:dyDescent="0.2"/>
    <row r="3081" ht="12.75" hidden="1" customHeight="1" x14ac:dyDescent="0.2"/>
    <row r="3082" ht="12.75" hidden="1" customHeight="1" x14ac:dyDescent="0.2"/>
    <row r="3083" ht="12.75" hidden="1" customHeight="1" x14ac:dyDescent="0.2"/>
    <row r="3084" ht="12.75" hidden="1" customHeight="1" x14ac:dyDescent="0.2"/>
    <row r="3085" ht="12.75" hidden="1" customHeight="1" x14ac:dyDescent="0.2"/>
    <row r="3086" ht="12.75" hidden="1" customHeight="1" x14ac:dyDescent="0.2"/>
    <row r="3087" ht="12.75" hidden="1" customHeight="1" x14ac:dyDescent="0.2"/>
    <row r="3088" ht="12.75" hidden="1" customHeight="1" x14ac:dyDescent="0.2"/>
    <row r="3089" ht="12.75" hidden="1" customHeight="1" x14ac:dyDescent="0.2"/>
    <row r="3090" ht="12.75" hidden="1" customHeight="1" x14ac:dyDescent="0.2"/>
    <row r="3091" ht="12.75" hidden="1" customHeight="1" x14ac:dyDescent="0.2"/>
    <row r="3092" ht="12.75" hidden="1" customHeight="1" x14ac:dyDescent="0.2"/>
    <row r="3093" ht="12.75" hidden="1" customHeight="1" x14ac:dyDescent="0.2"/>
    <row r="3094" ht="12.75" hidden="1" customHeight="1" x14ac:dyDescent="0.2"/>
    <row r="3095" ht="12.75" hidden="1" customHeight="1" x14ac:dyDescent="0.2"/>
    <row r="3096" ht="12.75" hidden="1" customHeight="1" x14ac:dyDescent="0.2"/>
    <row r="3097" ht="12.75" hidden="1" customHeight="1" x14ac:dyDescent="0.2"/>
    <row r="3098" ht="12.75" hidden="1" customHeight="1" x14ac:dyDescent="0.2"/>
    <row r="3099" ht="12.75" hidden="1" customHeight="1" x14ac:dyDescent="0.2"/>
    <row r="3100" ht="12.75" hidden="1" customHeight="1" x14ac:dyDescent="0.2"/>
    <row r="3101" ht="12.75" hidden="1" customHeight="1" x14ac:dyDescent="0.2"/>
    <row r="3102" ht="12.75" hidden="1" customHeight="1" x14ac:dyDescent="0.2"/>
    <row r="3103" ht="12.75" hidden="1" customHeight="1" x14ac:dyDescent="0.2"/>
    <row r="3104" ht="12.75" hidden="1" customHeight="1" x14ac:dyDescent="0.2"/>
    <row r="3105" ht="12.75" hidden="1" customHeight="1" x14ac:dyDescent="0.2"/>
    <row r="3106" ht="12.75" hidden="1" customHeight="1" x14ac:dyDescent="0.2"/>
    <row r="3107" ht="12.75" hidden="1" customHeight="1" x14ac:dyDescent="0.2"/>
    <row r="3108" ht="12.75" hidden="1" customHeight="1" x14ac:dyDescent="0.2"/>
    <row r="3109" ht="12.75" hidden="1" customHeight="1" x14ac:dyDescent="0.2"/>
    <row r="3110" ht="12.75" hidden="1" customHeight="1" x14ac:dyDescent="0.2"/>
    <row r="3111" ht="12.75" hidden="1" customHeight="1" x14ac:dyDescent="0.2"/>
    <row r="3112" ht="12.75" hidden="1" customHeight="1" x14ac:dyDescent="0.2"/>
    <row r="3113" ht="12.75" hidden="1" customHeight="1" x14ac:dyDescent="0.2"/>
    <row r="3114" ht="12.75" hidden="1" customHeight="1" x14ac:dyDescent="0.2"/>
    <row r="3115" ht="12.75" hidden="1" customHeight="1" x14ac:dyDescent="0.2"/>
    <row r="3116" ht="12.75" hidden="1" customHeight="1" x14ac:dyDescent="0.2"/>
    <row r="3117" ht="12.75" hidden="1" customHeight="1" x14ac:dyDescent="0.2"/>
    <row r="3118" ht="12.75" hidden="1" customHeight="1" x14ac:dyDescent="0.2"/>
    <row r="3119" ht="12.75" hidden="1" customHeight="1" x14ac:dyDescent="0.2"/>
    <row r="3120" ht="12.75" hidden="1" customHeight="1" x14ac:dyDescent="0.2"/>
    <row r="3121" ht="12.75" hidden="1" customHeight="1" x14ac:dyDescent="0.2"/>
    <row r="3122" ht="12.75" hidden="1" customHeight="1" x14ac:dyDescent="0.2"/>
    <row r="3123" ht="12.75" hidden="1" customHeight="1" x14ac:dyDescent="0.2"/>
    <row r="3124" ht="12.75" hidden="1" customHeight="1" x14ac:dyDescent="0.2"/>
    <row r="3125" ht="12.75" hidden="1" customHeight="1" x14ac:dyDescent="0.2"/>
    <row r="3126" ht="12.75" hidden="1" customHeight="1" x14ac:dyDescent="0.2"/>
    <row r="3127" ht="12.75" hidden="1" customHeight="1" x14ac:dyDescent="0.2"/>
    <row r="3128" ht="12.75" hidden="1" customHeight="1" x14ac:dyDescent="0.2"/>
    <row r="3129" ht="12.75" hidden="1" customHeight="1" x14ac:dyDescent="0.2"/>
    <row r="3130" ht="12.75" hidden="1" customHeight="1" x14ac:dyDescent="0.2"/>
    <row r="3131" ht="12.75" hidden="1" customHeight="1" x14ac:dyDescent="0.2"/>
    <row r="3132" ht="12.75" hidden="1" customHeight="1" x14ac:dyDescent="0.2"/>
    <row r="3133" ht="12.75" hidden="1" customHeight="1" x14ac:dyDescent="0.2"/>
    <row r="3134" ht="12.75" hidden="1" customHeight="1" x14ac:dyDescent="0.2"/>
    <row r="3135" ht="12.75" hidden="1" customHeight="1" x14ac:dyDescent="0.2"/>
    <row r="3136" ht="12.75" hidden="1" customHeight="1" x14ac:dyDescent="0.2"/>
    <row r="3137" ht="12.75" hidden="1" customHeight="1" x14ac:dyDescent="0.2"/>
    <row r="3138" ht="12.75" hidden="1" customHeight="1" x14ac:dyDescent="0.2"/>
    <row r="3139" ht="12.75" hidden="1" customHeight="1" x14ac:dyDescent="0.2"/>
    <row r="3140" ht="12.75" hidden="1" customHeight="1" x14ac:dyDescent="0.2"/>
    <row r="3141" ht="12.75" hidden="1" customHeight="1" x14ac:dyDescent="0.2"/>
    <row r="3142" ht="12.75" hidden="1" customHeight="1" x14ac:dyDescent="0.2"/>
    <row r="3143" ht="12.75" hidden="1" customHeight="1" x14ac:dyDescent="0.2"/>
    <row r="3144" ht="12.75" hidden="1" customHeight="1" x14ac:dyDescent="0.2"/>
    <row r="3145" ht="12.75" hidden="1" customHeight="1" x14ac:dyDescent="0.2"/>
    <row r="3146" ht="12.75" hidden="1" customHeight="1" x14ac:dyDescent="0.2"/>
    <row r="3147" ht="12.75" hidden="1" customHeight="1" x14ac:dyDescent="0.2"/>
    <row r="3148" ht="12.75" hidden="1" customHeight="1" x14ac:dyDescent="0.2"/>
    <row r="3149" ht="12.75" hidden="1" customHeight="1" x14ac:dyDescent="0.2"/>
    <row r="3150" ht="12.75" hidden="1" customHeight="1" x14ac:dyDescent="0.2"/>
    <row r="3151" ht="12.75" hidden="1" customHeight="1" x14ac:dyDescent="0.2"/>
    <row r="3152" ht="12.75" hidden="1" customHeight="1" x14ac:dyDescent="0.2"/>
    <row r="3153" ht="12.75" hidden="1" customHeight="1" x14ac:dyDescent="0.2"/>
    <row r="3154" ht="12.75" hidden="1" customHeight="1" x14ac:dyDescent="0.2"/>
    <row r="3155" ht="12.75" hidden="1" customHeight="1" x14ac:dyDescent="0.2"/>
    <row r="3156" ht="12.75" hidden="1" customHeight="1" x14ac:dyDescent="0.2"/>
    <row r="3157" ht="12.75" hidden="1" customHeight="1" x14ac:dyDescent="0.2"/>
    <row r="3158" ht="12.75" hidden="1" customHeight="1" x14ac:dyDescent="0.2"/>
    <row r="3159" ht="12.75" hidden="1" customHeight="1" x14ac:dyDescent="0.2"/>
    <row r="3160" ht="12.75" hidden="1" customHeight="1" x14ac:dyDescent="0.2"/>
    <row r="3161" ht="12.75" hidden="1" customHeight="1" x14ac:dyDescent="0.2"/>
    <row r="3162" ht="12.75" hidden="1" customHeight="1" x14ac:dyDescent="0.2"/>
    <row r="3163" ht="12.75" hidden="1" customHeight="1" x14ac:dyDescent="0.2"/>
    <row r="3164" ht="12.75" hidden="1" customHeight="1" x14ac:dyDescent="0.2"/>
    <row r="3165" ht="12.75" hidden="1" customHeight="1" x14ac:dyDescent="0.2"/>
    <row r="3166" ht="12.75" hidden="1" customHeight="1" x14ac:dyDescent="0.2"/>
    <row r="3167" ht="12.75" hidden="1" customHeight="1" x14ac:dyDescent="0.2"/>
    <row r="3168" ht="12.75" hidden="1" customHeight="1" x14ac:dyDescent="0.2"/>
    <row r="3169" ht="12.75" hidden="1" customHeight="1" x14ac:dyDescent="0.2"/>
    <row r="3170" ht="12.75" hidden="1" customHeight="1" x14ac:dyDescent="0.2"/>
    <row r="3171" ht="12.75" hidden="1" customHeight="1" x14ac:dyDescent="0.2"/>
    <row r="3172" ht="12.75" hidden="1" customHeight="1" x14ac:dyDescent="0.2"/>
    <row r="3173" ht="12.75" hidden="1" customHeight="1" x14ac:dyDescent="0.2"/>
    <row r="3174" ht="12.75" hidden="1" customHeight="1" x14ac:dyDescent="0.2"/>
    <row r="3175" ht="12.75" hidden="1" customHeight="1" x14ac:dyDescent="0.2"/>
    <row r="3176" ht="12.75" hidden="1" customHeight="1" x14ac:dyDescent="0.2"/>
    <row r="3177" ht="12.75" hidden="1" customHeight="1" x14ac:dyDescent="0.2"/>
    <row r="3178" ht="12.75" hidden="1" customHeight="1" x14ac:dyDescent="0.2"/>
    <row r="3179" ht="12.75" hidden="1" customHeight="1" x14ac:dyDescent="0.2"/>
    <row r="3180" ht="12.75" hidden="1" customHeight="1" x14ac:dyDescent="0.2"/>
    <row r="3181" ht="12.75" hidden="1" customHeight="1" x14ac:dyDescent="0.2"/>
    <row r="3182" ht="12.75" hidden="1" customHeight="1" x14ac:dyDescent="0.2"/>
    <row r="3183" ht="12.75" hidden="1" customHeight="1" x14ac:dyDescent="0.2"/>
    <row r="3184" ht="12.75" hidden="1" customHeight="1" x14ac:dyDescent="0.2"/>
    <row r="3185" ht="12.75" hidden="1" customHeight="1" x14ac:dyDescent="0.2"/>
    <row r="3186" ht="12.75" hidden="1" customHeight="1" x14ac:dyDescent="0.2"/>
    <row r="3187" ht="12.75" hidden="1" customHeight="1" x14ac:dyDescent="0.2"/>
    <row r="3188" ht="12.75" hidden="1" customHeight="1" x14ac:dyDescent="0.2"/>
    <row r="3189" ht="12.75" hidden="1" customHeight="1" x14ac:dyDescent="0.2"/>
    <row r="3190" ht="12.75" hidden="1" customHeight="1" x14ac:dyDescent="0.2"/>
    <row r="3191" ht="12.75" hidden="1" customHeight="1" x14ac:dyDescent="0.2"/>
    <row r="3192" ht="12.75" hidden="1" customHeight="1" x14ac:dyDescent="0.2"/>
    <row r="3193" ht="12.75" hidden="1" customHeight="1" x14ac:dyDescent="0.2"/>
    <row r="3194" ht="12.75" hidden="1" customHeight="1" x14ac:dyDescent="0.2"/>
    <row r="3195" ht="12.75" hidden="1" customHeight="1" x14ac:dyDescent="0.2"/>
    <row r="3196" ht="12.75" hidden="1" customHeight="1" x14ac:dyDescent="0.2"/>
    <row r="3197" ht="12.75" hidden="1" customHeight="1" x14ac:dyDescent="0.2"/>
    <row r="3198" ht="12.75" hidden="1" customHeight="1" x14ac:dyDescent="0.2"/>
    <row r="3199" ht="12.75" hidden="1" customHeight="1" x14ac:dyDescent="0.2"/>
    <row r="3200" ht="12.75" hidden="1" customHeight="1" x14ac:dyDescent="0.2"/>
    <row r="3201" ht="12.75" hidden="1" customHeight="1" x14ac:dyDescent="0.2"/>
    <row r="3202" ht="12.75" hidden="1" customHeight="1" x14ac:dyDescent="0.2"/>
    <row r="3203" ht="12.75" hidden="1" customHeight="1" x14ac:dyDescent="0.2"/>
    <row r="3204" ht="12.75" hidden="1" customHeight="1" x14ac:dyDescent="0.2"/>
    <row r="3205" ht="12.75" hidden="1" customHeight="1" x14ac:dyDescent="0.2"/>
    <row r="3206" ht="12.75" hidden="1" customHeight="1" x14ac:dyDescent="0.2"/>
    <row r="3207" ht="12.75" hidden="1" customHeight="1" x14ac:dyDescent="0.2"/>
    <row r="3208" ht="12.75" hidden="1" customHeight="1" x14ac:dyDescent="0.2"/>
    <row r="3209" ht="12.75" hidden="1" customHeight="1" x14ac:dyDescent="0.2"/>
    <row r="3210" ht="12.75" hidden="1" customHeight="1" x14ac:dyDescent="0.2"/>
    <row r="3211" ht="12.75" hidden="1" customHeight="1" x14ac:dyDescent="0.2"/>
    <row r="3212" ht="12.75" hidden="1" customHeight="1" x14ac:dyDescent="0.2"/>
    <row r="3213" ht="12.75" hidden="1" customHeight="1" x14ac:dyDescent="0.2"/>
    <row r="3214" ht="12.75" hidden="1" customHeight="1" x14ac:dyDescent="0.2"/>
    <row r="3215" ht="12.75" hidden="1" customHeight="1" x14ac:dyDescent="0.2"/>
    <row r="3216" ht="12.75" hidden="1" customHeight="1" x14ac:dyDescent="0.2"/>
    <row r="3217" ht="12.75" hidden="1" customHeight="1" x14ac:dyDescent="0.2"/>
    <row r="3218" ht="12.75" hidden="1" customHeight="1" x14ac:dyDescent="0.2"/>
    <row r="3219" ht="12.75" hidden="1" customHeight="1" x14ac:dyDescent="0.2"/>
    <row r="3220" ht="12.75" hidden="1" customHeight="1" x14ac:dyDescent="0.2"/>
    <row r="3221" ht="12.75" hidden="1" customHeight="1" x14ac:dyDescent="0.2"/>
    <row r="3222" ht="12.75" hidden="1" customHeight="1" x14ac:dyDescent="0.2"/>
    <row r="3223" ht="12.75" hidden="1" customHeight="1" x14ac:dyDescent="0.2"/>
    <row r="3224" ht="12.75" hidden="1" customHeight="1" x14ac:dyDescent="0.2"/>
    <row r="3225" ht="12.75" hidden="1" customHeight="1" x14ac:dyDescent="0.2"/>
    <row r="3226" ht="12.75" hidden="1" customHeight="1" x14ac:dyDescent="0.2"/>
    <row r="3227" ht="12.75" hidden="1" customHeight="1" x14ac:dyDescent="0.2"/>
    <row r="3228" ht="12.75" hidden="1" customHeight="1" x14ac:dyDescent="0.2"/>
    <row r="3229" ht="12.75" hidden="1" customHeight="1" x14ac:dyDescent="0.2"/>
    <row r="3230" ht="12.75" hidden="1" customHeight="1" x14ac:dyDescent="0.2"/>
    <row r="3231" ht="12.75" hidden="1" customHeight="1" x14ac:dyDescent="0.2"/>
    <row r="3232" ht="12.75" hidden="1" customHeight="1" x14ac:dyDescent="0.2"/>
    <row r="3233" ht="12.75" hidden="1" customHeight="1" x14ac:dyDescent="0.2"/>
    <row r="3234" ht="12.75" hidden="1" customHeight="1" x14ac:dyDescent="0.2"/>
    <row r="3235" ht="12.75" hidden="1" customHeight="1" x14ac:dyDescent="0.2"/>
    <row r="3236" ht="12.75" hidden="1" customHeight="1" x14ac:dyDescent="0.2"/>
    <row r="3237" ht="12.75" hidden="1" customHeight="1" x14ac:dyDescent="0.2"/>
    <row r="3238" ht="12.75" hidden="1" customHeight="1" x14ac:dyDescent="0.2"/>
    <row r="3239" ht="12.75" hidden="1" customHeight="1" x14ac:dyDescent="0.2"/>
    <row r="3240" ht="12.75" hidden="1" customHeight="1" x14ac:dyDescent="0.2"/>
    <row r="3241" ht="12.75" hidden="1" customHeight="1" x14ac:dyDescent="0.2"/>
    <row r="3242" ht="12.75" hidden="1" customHeight="1" x14ac:dyDescent="0.2"/>
    <row r="3243" ht="12.75" hidden="1" customHeight="1" x14ac:dyDescent="0.2"/>
    <row r="3244" ht="12.75" hidden="1" customHeight="1" x14ac:dyDescent="0.2"/>
    <row r="3245" ht="12.75" hidden="1" customHeight="1" x14ac:dyDescent="0.2"/>
    <row r="3246" ht="12.75" hidden="1" customHeight="1" x14ac:dyDescent="0.2"/>
    <row r="3247" ht="12.75" hidden="1" customHeight="1" x14ac:dyDescent="0.2"/>
    <row r="3248" ht="12.75" hidden="1" customHeight="1" x14ac:dyDescent="0.2"/>
    <row r="3249" ht="12.75" hidden="1" customHeight="1" x14ac:dyDescent="0.2"/>
    <row r="3250" ht="12.75" hidden="1" customHeight="1" x14ac:dyDescent="0.2"/>
    <row r="3251" ht="12.75" hidden="1" customHeight="1" x14ac:dyDescent="0.2"/>
    <row r="3252" ht="12.75" hidden="1" customHeight="1" x14ac:dyDescent="0.2"/>
    <row r="3253" ht="12.75" hidden="1" customHeight="1" x14ac:dyDescent="0.2"/>
    <row r="3254" ht="12.75" hidden="1" customHeight="1" x14ac:dyDescent="0.2"/>
    <row r="3255" ht="12.75" hidden="1" customHeight="1" x14ac:dyDescent="0.2"/>
    <row r="3256" ht="12.75" hidden="1" customHeight="1" x14ac:dyDescent="0.2"/>
    <row r="3257" ht="12.75" hidden="1" customHeight="1" x14ac:dyDescent="0.2"/>
    <row r="3258" ht="12.75" hidden="1" customHeight="1" x14ac:dyDescent="0.2"/>
    <row r="3259" ht="12.75" hidden="1" customHeight="1" x14ac:dyDescent="0.2"/>
    <row r="3260" ht="12.75" hidden="1" customHeight="1" x14ac:dyDescent="0.2"/>
    <row r="3261" ht="12.75" hidden="1" customHeight="1" x14ac:dyDescent="0.2"/>
    <row r="3262" ht="12.75" hidden="1" customHeight="1" x14ac:dyDescent="0.2"/>
    <row r="3263" ht="12.75" hidden="1" customHeight="1" x14ac:dyDescent="0.2"/>
    <row r="3264" ht="12.75" hidden="1" customHeight="1" x14ac:dyDescent="0.2"/>
    <row r="3265" ht="12.75" hidden="1" customHeight="1" x14ac:dyDescent="0.2"/>
    <row r="3266" ht="12.75" hidden="1" customHeight="1" x14ac:dyDescent="0.2"/>
    <row r="3267" ht="12.75" hidden="1" customHeight="1" x14ac:dyDescent="0.2"/>
    <row r="3268" ht="12.75" hidden="1" customHeight="1" x14ac:dyDescent="0.2"/>
    <row r="3269" ht="12.75" hidden="1" customHeight="1" x14ac:dyDescent="0.2"/>
    <row r="3270" ht="12.75" hidden="1" customHeight="1" x14ac:dyDescent="0.2"/>
    <row r="3271" ht="12.75" hidden="1" customHeight="1" x14ac:dyDescent="0.2"/>
    <row r="3272" ht="12.75" hidden="1" customHeight="1" x14ac:dyDescent="0.2"/>
    <row r="3273" ht="12.75" hidden="1" customHeight="1" x14ac:dyDescent="0.2"/>
    <row r="3274" ht="12.75" hidden="1" customHeight="1" x14ac:dyDescent="0.2"/>
    <row r="3275" ht="12.75" hidden="1" customHeight="1" x14ac:dyDescent="0.2"/>
    <row r="3276" ht="12.75" hidden="1" customHeight="1" x14ac:dyDescent="0.2"/>
    <row r="3277" ht="12.75" hidden="1" customHeight="1" x14ac:dyDescent="0.2"/>
    <row r="3278" ht="12.75" hidden="1" customHeight="1" x14ac:dyDescent="0.2"/>
    <row r="3279" ht="12.75" hidden="1" customHeight="1" x14ac:dyDescent="0.2"/>
    <row r="3280" ht="12.75" hidden="1" customHeight="1" x14ac:dyDescent="0.2"/>
    <row r="3281" ht="12.75" hidden="1" customHeight="1" x14ac:dyDescent="0.2"/>
    <row r="3282" ht="12.75" hidden="1" customHeight="1" x14ac:dyDescent="0.2"/>
    <row r="3283" ht="12.75" hidden="1" customHeight="1" x14ac:dyDescent="0.2"/>
    <row r="3284" ht="12.75" hidden="1" customHeight="1" x14ac:dyDescent="0.2"/>
    <row r="3285" ht="12.75" hidden="1" customHeight="1" x14ac:dyDescent="0.2"/>
    <row r="3286" ht="12.75" hidden="1" customHeight="1" x14ac:dyDescent="0.2"/>
    <row r="3287" ht="12.75" hidden="1" customHeight="1" x14ac:dyDescent="0.2"/>
    <row r="3288" ht="12.75" hidden="1" customHeight="1" x14ac:dyDescent="0.2"/>
    <row r="3289" ht="12.75" hidden="1" customHeight="1" x14ac:dyDescent="0.2"/>
    <row r="3290" ht="12.75" hidden="1" customHeight="1" x14ac:dyDescent="0.2"/>
    <row r="3291" ht="12.75" hidden="1" customHeight="1" x14ac:dyDescent="0.2"/>
    <row r="3292" ht="12.75" hidden="1" customHeight="1" x14ac:dyDescent="0.2"/>
    <row r="3293" ht="12.75" hidden="1" customHeight="1" x14ac:dyDescent="0.2"/>
    <row r="3294" ht="12.75" hidden="1" customHeight="1" x14ac:dyDescent="0.2"/>
    <row r="3295" ht="12.75" hidden="1" customHeight="1" x14ac:dyDescent="0.2"/>
    <row r="3296" ht="12.75" hidden="1" customHeight="1" x14ac:dyDescent="0.2"/>
    <row r="3297" ht="12.75" hidden="1" customHeight="1" x14ac:dyDescent="0.2"/>
    <row r="3298" ht="12.75" hidden="1" customHeight="1" x14ac:dyDescent="0.2"/>
    <row r="3299" ht="12.75" hidden="1" customHeight="1" x14ac:dyDescent="0.2"/>
    <row r="3300" ht="12.75" hidden="1" customHeight="1" x14ac:dyDescent="0.2"/>
    <row r="3301" ht="12.75" hidden="1" customHeight="1" x14ac:dyDescent="0.2"/>
    <row r="3302" ht="12.75" hidden="1" customHeight="1" x14ac:dyDescent="0.2"/>
    <row r="3303" ht="12.75" hidden="1" customHeight="1" x14ac:dyDescent="0.2"/>
    <row r="3304" ht="12.75" hidden="1" customHeight="1" x14ac:dyDescent="0.2"/>
    <row r="3305" ht="12.75" hidden="1" customHeight="1" x14ac:dyDescent="0.2"/>
    <row r="3306" ht="12.75" hidden="1" customHeight="1" x14ac:dyDescent="0.2"/>
    <row r="3307" ht="12.75" hidden="1" customHeight="1" x14ac:dyDescent="0.2"/>
    <row r="3308" ht="12.75" hidden="1" customHeight="1" x14ac:dyDescent="0.2"/>
    <row r="3309" ht="12.75" hidden="1" customHeight="1" x14ac:dyDescent="0.2"/>
    <row r="3310" ht="12.75" hidden="1" customHeight="1" x14ac:dyDescent="0.2"/>
    <row r="3311" ht="12.75" hidden="1" customHeight="1" x14ac:dyDescent="0.2"/>
    <row r="3312" ht="12.75" hidden="1" customHeight="1" x14ac:dyDescent="0.2"/>
    <row r="3313" ht="12.75" hidden="1" customHeight="1" x14ac:dyDescent="0.2"/>
    <row r="3314" ht="12.75" hidden="1" customHeight="1" x14ac:dyDescent="0.2"/>
    <row r="3315" ht="12.75" hidden="1" customHeight="1" x14ac:dyDescent="0.2"/>
    <row r="3316" ht="12.75" hidden="1" customHeight="1" x14ac:dyDescent="0.2"/>
    <row r="3317" ht="12.75" hidden="1" customHeight="1" x14ac:dyDescent="0.2"/>
    <row r="3318" ht="12.75" hidden="1" customHeight="1" x14ac:dyDescent="0.2"/>
    <row r="3319" ht="12.75" hidden="1" customHeight="1" x14ac:dyDescent="0.2"/>
    <row r="3320" ht="12.75" hidden="1" customHeight="1" x14ac:dyDescent="0.2"/>
    <row r="3321" ht="12.75" hidden="1" customHeight="1" x14ac:dyDescent="0.2"/>
    <row r="3322" ht="12.75" hidden="1" customHeight="1" x14ac:dyDescent="0.2"/>
    <row r="3323" ht="12.75" hidden="1" customHeight="1" x14ac:dyDescent="0.2"/>
    <row r="3324" ht="12.75" hidden="1" customHeight="1" x14ac:dyDescent="0.2"/>
    <row r="3325" ht="12.75" hidden="1" customHeight="1" x14ac:dyDescent="0.2"/>
    <row r="3326" ht="12.75" hidden="1" customHeight="1" x14ac:dyDescent="0.2"/>
    <row r="3327" ht="12.75" hidden="1" customHeight="1" x14ac:dyDescent="0.2"/>
    <row r="3328" ht="12.75" hidden="1" customHeight="1" x14ac:dyDescent="0.2"/>
    <row r="3329" ht="12.75" hidden="1" customHeight="1" x14ac:dyDescent="0.2"/>
    <row r="3330" ht="12.75" hidden="1" customHeight="1" x14ac:dyDescent="0.2"/>
    <row r="3331" ht="12.75" hidden="1" customHeight="1" x14ac:dyDescent="0.2"/>
    <row r="3332" ht="12.75" hidden="1" customHeight="1" x14ac:dyDescent="0.2"/>
    <row r="3333" ht="12.75" hidden="1" customHeight="1" x14ac:dyDescent="0.2"/>
    <row r="3334" ht="12.75" hidden="1" customHeight="1" x14ac:dyDescent="0.2"/>
    <row r="3335" ht="12.75" hidden="1" customHeight="1" x14ac:dyDescent="0.2"/>
    <row r="3336" ht="12.75" hidden="1" customHeight="1" x14ac:dyDescent="0.2"/>
    <row r="3337" ht="12.75" hidden="1" customHeight="1" x14ac:dyDescent="0.2"/>
    <row r="3338" ht="12.75" hidden="1" customHeight="1" x14ac:dyDescent="0.2"/>
    <row r="3339" ht="12.75" hidden="1" customHeight="1" x14ac:dyDescent="0.2"/>
    <row r="3340" ht="12.75" hidden="1" customHeight="1" x14ac:dyDescent="0.2"/>
    <row r="3341" ht="12.75" hidden="1" customHeight="1" x14ac:dyDescent="0.2"/>
    <row r="3342" ht="12.75" hidden="1" customHeight="1" x14ac:dyDescent="0.2"/>
    <row r="3343" ht="12.75" hidden="1" customHeight="1" x14ac:dyDescent="0.2"/>
    <row r="3344" ht="12.75" hidden="1" customHeight="1" x14ac:dyDescent="0.2"/>
    <row r="3345" ht="12.75" hidden="1" customHeight="1" x14ac:dyDescent="0.2"/>
    <row r="3346" ht="12.75" hidden="1" customHeight="1" x14ac:dyDescent="0.2"/>
    <row r="3347" ht="12.75" hidden="1" customHeight="1" x14ac:dyDescent="0.2"/>
    <row r="3348" ht="12.75" hidden="1" customHeight="1" x14ac:dyDescent="0.2"/>
    <row r="3349" ht="12.75" hidden="1" customHeight="1" x14ac:dyDescent="0.2"/>
    <row r="3350" ht="12.75" hidden="1" customHeight="1" x14ac:dyDescent="0.2"/>
    <row r="3351" ht="12.75" hidden="1" customHeight="1" x14ac:dyDescent="0.2"/>
    <row r="3352" ht="12.75" hidden="1" customHeight="1" x14ac:dyDescent="0.2"/>
    <row r="3353" ht="12.75" hidden="1" customHeight="1" x14ac:dyDescent="0.2"/>
    <row r="3354" ht="12.75" hidden="1" customHeight="1" x14ac:dyDescent="0.2"/>
    <row r="3355" ht="12.75" hidden="1" customHeight="1" x14ac:dyDescent="0.2"/>
    <row r="3356" ht="12.75" hidden="1" customHeight="1" x14ac:dyDescent="0.2"/>
    <row r="3357" ht="12.75" hidden="1" customHeight="1" x14ac:dyDescent="0.2"/>
    <row r="3358" ht="12.75" hidden="1" customHeight="1" x14ac:dyDescent="0.2"/>
    <row r="3359" ht="12.75" hidden="1" customHeight="1" x14ac:dyDescent="0.2"/>
    <row r="3360" ht="12.75" hidden="1" customHeight="1" x14ac:dyDescent="0.2"/>
    <row r="3361" ht="12.75" hidden="1" customHeight="1" x14ac:dyDescent="0.2"/>
    <row r="3362" ht="12.75" hidden="1" customHeight="1" x14ac:dyDescent="0.2"/>
    <row r="3363" ht="12.75" hidden="1" customHeight="1" x14ac:dyDescent="0.2"/>
    <row r="3364" ht="12.75" hidden="1" customHeight="1" x14ac:dyDescent="0.2"/>
    <row r="3365" ht="12.75" hidden="1" customHeight="1" x14ac:dyDescent="0.2"/>
    <row r="3366" ht="12.75" hidden="1" customHeight="1" x14ac:dyDescent="0.2"/>
    <row r="3367" ht="12.75" hidden="1" customHeight="1" x14ac:dyDescent="0.2"/>
    <row r="3368" ht="12.75" hidden="1" customHeight="1" x14ac:dyDescent="0.2"/>
    <row r="3369" ht="12.75" hidden="1" customHeight="1" x14ac:dyDescent="0.2"/>
    <row r="3370" ht="12.75" hidden="1" customHeight="1" x14ac:dyDescent="0.2"/>
    <row r="3371" ht="12.75" hidden="1" customHeight="1" x14ac:dyDescent="0.2"/>
    <row r="3372" ht="12.75" hidden="1" customHeight="1" x14ac:dyDescent="0.2"/>
    <row r="3373" ht="12.75" hidden="1" customHeight="1" x14ac:dyDescent="0.2"/>
    <row r="3374" ht="12.75" hidden="1" customHeight="1" x14ac:dyDescent="0.2"/>
    <row r="3375" ht="12.75" hidden="1" customHeight="1" x14ac:dyDescent="0.2"/>
    <row r="3376" ht="12.75" hidden="1" customHeight="1" x14ac:dyDescent="0.2"/>
    <row r="3377" ht="12.75" hidden="1" customHeight="1" x14ac:dyDescent="0.2"/>
    <row r="3378" ht="12.75" hidden="1" customHeight="1" x14ac:dyDescent="0.2"/>
    <row r="3379" ht="12.75" hidden="1" customHeight="1" x14ac:dyDescent="0.2"/>
    <row r="3380" ht="12.75" hidden="1" customHeight="1" x14ac:dyDescent="0.2"/>
    <row r="3381" ht="12.75" hidden="1" customHeight="1" x14ac:dyDescent="0.2"/>
    <row r="3382" ht="12.75" hidden="1" customHeight="1" x14ac:dyDescent="0.2"/>
    <row r="3383" ht="12.75" hidden="1" customHeight="1" x14ac:dyDescent="0.2"/>
    <row r="3384" ht="12.75" hidden="1" customHeight="1" x14ac:dyDescent="0.2"/>
    <row r="3385" ht="12.75" hidden="1" customHeight="1" x14ac:dyDescent="0.2"/>
    <row r="3386" ht="12.75" hidden="1" customHeight="1" x14ac:dyDescent="0.2"/>
    <row r="3387" ht="12.75" hidden="1" customHeight="1" x14ac:dyDescent="0.2"/>
    <row r="3388" ht="12.75" hidden="1" customHeight="1" x14ac:dyDescent="0.2"/>
    <row r="3389" ht="12.75" hidden="1" customHeight="1" x14ac:dyDescent="0.2"/>
    <row r="3390" ht="12.75" hidden="1" customHeight="1" x14ac:dyDescent="0.2"/>
    <row r="3391" ht="12.75" hidden="1" customHeight="1" x14ac:dyDescent="0.2"/>
    <row r="3392" ht="12.75" hidden="1" customHeight="1" x14ac:dyDescent="0.2"/>
    <row r="3393" ht="12.75" hidden="1" customHeight="1" x14ac:dyDescent="0.2"/>
    <row r="3394" ht="12.75" hidden="1" customHeight="1" x14ac:dyDescent="0.2"/>
    <row r="3395" ht="12.75" hidden="1" customHeight="1" x14ac:dyDescent="0.2"/>
    <row r="3396" ht="12.75" hidden="1" customHeight="1" x14ac:dyDescent="0.2"/>
    <row r="3397" ht="12.75" hidden="1" customHeight="1" x14ac:dyDescent="0.2"/>
    <row r="3398" ht="12.75" hidden="1" customHeight="1" x14ac:dyDescent="0.2"/>
    <row r="3399" ht="12.75" hidden="1" customHeight="1" x14ac:dyDescent="0.2"/>
    <row r="3400" ht="12.75" hidden="1" customHeight="1" x14ac:dyDescent="0.2"/>
    <row r="3401" ht="12.75" hidden="1" customHeight="1" x14ac:dyDescent="0.2"/>
    <row r="3402" ht="12.75" hidden="1" customHeight="1" x14ac:dyDescent="0.2"/>
    <row r="3403" ht="12.75" hidden="1" customHeight="1" x14ac:dyDescent="0.2"/>
    <row r="3404" ht="12.75" hidden="1" customHeight="1" x14ac:dyDescent="0.2"/>
    <row r="3405" ht="12.75" hidden="1" customHeight="1" x14ac:dyDescent="0.2"/>
    <row r="3406" ht="12.75" hidden="1" customHeight="1" x14ac:dyDescent="0.2"/>
    <row r="3407" ht="12.75" hidden="1" customHeight="1" x14ac:dyDescent="0.2"/>
    <row r="3408" ht="12.75" hidden="1" customHeight="1" x14ac:dyDescent="0.2"/>
    <row r="3409" ht="12.75" hidden="1" customHeight="1" x14ac:dyDescent="0.2"/>
    <row r="3410" ht="12.75" hidden="1" customHeight="1" x14ac:dyDescent="0.2"/>
    <row r="3411" ht="12.75" hidden="1" customHeight="1" x14ac:dyDescent="0.2"/>
    <row r="3412" ht="12.75" hidden="1" customHeight="1" x14ac:dyDescent="0.2"/>
    <row r="3413" ht="12.75" hidden="1" customHeight="1" x14ac:dyDescent="0.2"/>
    <row r="3414" ht="12.75" hidden="1" customHeight="1" x14ac:dyDescent="0.2"/>
    <row r="3415" ht="12.75" hidden="1" customHeight="1" x14ac:dyDescent="0.2"/>
    <row r="3416" ht="12.75" hidden="1" customHeight="1" x14ac:dyDescent="0.2"/>
    <row r="3417" ht="12.75" hidden="1" customHeight="1" x14ac:dyDescent="0.2"/>
    <row r="3418" ht="12.75" hidden="1" customHeight="1" x14ac:dyDescent="0.2"/>
    <row r="3419" ht="12.75" hidden="1" customHeight="1" x14ac:dyDescent="0.2"/>
    <row r="3420" ht="12.75" hidden="1" customHeight="1" x14ac:dyDescent="0.2"/>
    <row r="3421" ht="12.75" hidden="1" customHeight="1" x14ac:dyDescent="0.2"/>
    <row r="3422" ht="12.75" hidden="1" customHeight="1" x14ac:dyDescent="0.2"/>
    <row r="3423" ht="12.75" hidden="1" customHeight="1" x14ac:dyDescent="0.2"/>
    <row r="3424" ht="12.75" hidden="1" customHeight="1" x14ac:dyDescent="0.2"/>
    <row r="3425" ht="12.75" hidden="1" customHeight="1" x14ac:dyDescent="0.2"/>
    <row r="3426" ht="12.75" hidden="1" customHeight="1" x14ac:dyDescent="0.2"/>
    <row r="3427" ht="12.75" hidden="1" customHeight="1" x14ac:dyDescent="0.2"/>
    <row r="3428" ht="12.75" hidden="1" customHeight="1" x14ac:dyDescent="0.2"/>
    <row r="3429" ht="12.75" hidden="1" customHeight="1" x14ac:dyDescent="0.2"/>
    <row r="3430" ht="12.75" hidden="1" customHeight="1" x14ac:dyDescent="0.2"/>
    <row r="3431" ht="12.75" hidden="1" customHeight="1" x14ac:dyDescent="0.2"/>
    <row r="3432" ht="12.75" hidden="1" customHeight="1" x14ac:dyDescent="0.2"/>
    <row r="3433" ht="12.75" hidden="1" customHeight="1" x14ac:dyDescent="0.2"/>
    <row r="3434" ht="12.75" hidden="1" customHeight="1" x14ac:dyDescent="0.2"/>
    <row r="3435" ht="12.75" hidden="1" customHeight="1" x14ac:dyDescent="0.2"/>
    <row r="3436" ht="12.75" hidden="1" customHeight="1" x14ac:dyDescent="0.2"/>
    <row r="3437" ht="12.75" hidden="1" customHeight="1" x14ac:dyDescent="0.2"/>
    <row r="3438" ht="12.75" hidden="1" customHeight="1" x14ac:dyDescent="0.2"/>
    <row r="3439" ht="12.75" hidden="1" customHeight="1" x14ac:dyDescent="0.2"/>
    <row r="3440" ht="12.75" hidden="1" customHeight="1" x14ac:dyDescent="0.2"/>
    <row r="3441" ht="12.75" hidden="1" customHeight="1" x14ac:dyDescent="0.2"/>
    <row r="3442" ht="12.75" hidden="1" customHeight="1" x14ac:dyDescent="0.2"/>
    <row r="3443" ht="12.75" hidden="1" customHeight="1" x14ac:dyDescent="0.2"/>
    <row r="3444" ht="12.75" hidden="1" customHeight="1" x14ac:dyDescent="0.2"/>
    <row r="3445" ht="12.75" hidden="1" customHeight="1" x14ac:dyDescent="0.2"/>
    <row r="3446" ht="12.75" hidden="1" customHeight="1" x14ac:dyDescent="0.2"/>
    <row r="3447" ht="12.75" hidden="1" customHeight="1" x14ac:dyDescent="0.2"/>
    <row r="3448" ht="12.75" hidden="1" customHeight="1" x14ac:dyDescent="0.2"/>
    <row r="3449" ht="12.75" hidden="1" customHeight="1" x14ac:dyDescent="0.2"/>
    <row r="3450" ht="12.75" hidden="1" customHeight="1" x14ac:dyDescent="0.2"/>
    <row r="3451" ht="12.75" hidden="1" customHeight="1" x14ac:dyDescent="0.2"/>
    <row r="3452" ht="12.75" hidden="1" customHeight="1" x14ac:dyDescent="0.2"/>
    <row r="3453" ht="12.75" hidden="1" customHeight="1" x14ac:dyDescent="0.2"/>
    <row r="3454" ht="12.75" hidden="1" customHeight="1" x14ac:dyDescent="0.2"/>
    <row r="3455" ht="12.75" hidden="1" customHeight="1" x14ac:dyDescent="0.2"/>
    <row r="3456" ht="12.75" hidden="1" customHeight="1" x14ac:dyDescent="0.2"/>
    <row r="3457" ht="12.75" hidden="1" customHeight="1" x14ac:dyDescent="0.2"/>
    <row r="3458" ht="12.75" hidden="1" customHeight="1" x14ac:dyDescent="0.2"/>
    <row r="3459" ht="12.75" hidden="1" customHeight="1" x14ac:dyDescent="0.2"/>
    <row r="3460" ht="12.75" hidden="1" customHeight="1" x14ac:dyDescent="0.2"/>
    <row r="3461" ht="12.75" hidden="1" customHeight="1" x14ac:dyDescent="0.2"/>
    <row r="3462" ht="12.75" hidden="1" customHeight="1" x14ac:dyDescent="0.2"/>
    <row r="3463" ht="12.75" hidden="1" customHeight="1" x14ac:dyDescent="0.2"/>
    <row r="3464" ht="12.75" hidden="1" customHeight="1" x14ac:dyDescent="0.2"/>
    <row r="3465" ht="12.75" hidden="1" customHeight="1" x14ac:dyDescent="0.2"/>
    <row r="3466" ht="12.75" hidden="1" customHeight="1" x14ac:dyDescent="0.2"/>
    <row r="3467" ht="12.75" hidden="1" customHeight="1" x14ac:dyDescent="0.2"/>
    <row r="3468" ht="12.75" hidden="1" customHeight="1" x14ac:dyDescent="0.2"/>
    <row r="3469" ht="12.75" hidden="1" customHeight="1" x14ac:dyDescent="0.2"/>
    <row r="3470" ht="12.75" hidden="1" customHeight="1" x14ac:dyDescent="0.2"/>
    <row r="3471" ht="12.75" hidden="1" customHeight="1" x14ac:dyDescent="0.2"/>
    <row r="3472" ht="12.75" hidden="1" customHeight="1" x14ac:dyDescent="0.2"/>
    <row r="3473" ht="12.75" hidden="1" customHeight="1" x14ac:dyDescent="0.2"/>
    <row r="3474" ht="12.75" hidden="1" customHeight="1" x14ac:dyDescent="0.2"/>
    <row r="3475" ht="12.75" hidden="1" customHeight="1" x14ac:dyDescent="0.2"/>
    <row r="3476" ht="12.75" hidden="1" customHeight="1" x14ac:dyDescent="0.2"/>
    <row r="3477" ht="12.75" hidden="1" customHeight="1" x14ac:dyDescent="0.2"/>
    <row r="3478" ht="12.75" hidden="1" customHeight="1" x14ac:dyDescent="0.2"/>
    <row r="3479" ht="12.75" hidden="1" customHeight="1" x14ac:dyDescent="0.2"/>
    <row r="3480" ht="12.75" hidden="1" customHeight="1" x14ac:dyDescent="0.2"/>
    <row r="3481" ht="12.75" hidden="1" customHeight="1" x14ac:dyDescent="0.2"/>
    <row r="3482" ht="12.75" hidden="1" customHeight="1" x14ac:dyDescent="0.2"/>
    <row r="3483" ht="12.75" hidden="1" customHeight="1" x14ac:dyDescent="0.2"/>
    <row r="3484" ht="12.75" hidden="1" customHeight="1" x14ac:dyDescent="0.2"/>
    <row r="3485" ht="12.75" hidden="1" customHeight="1" x14ac:dyDescent="0.2"/>
    <row r="3486" ht="12.75" hidden="1" customHeight="1" x14ac:dyDescent="0.2"/>
    <row r="3487" ht="12.75" hidden="1" customHeight="1" x14ac:dyDescent="0.2"/>
    <row r="3488" ht="12.75" hidden="1" customHeight="1" x14ac:dyDescent="0.2"/>
    <row r="3489" ht="12.75" hidden="1" customHeight="1" x14ac:dyDescent="0.2"/>
    <row r="3490" ht="12.75" hidden="1" customHeight="1" x14ac:dyDescent="0.2"/>
    <row r="3491" ht="12.75" hidden="1" customHeight="1" x14ac:dyDescent="0.2"/>
    <row r="3492" ht="12.75" hidden="1" customHeight="1" x14ac:dyDescent="0.2"/>
    <row r="3493" ht="12.75" hidden="1" customHeight="1" x14ac:dyDescent="0.2"/>
    <row r="3494" ht="12.75" hidden="1" customHeight="1" x14ac:dyDescent="0.2"/>
    <row r="3495" ht="12.75" hidden="1" customHeight="1" x14ac:dyDescent="0.2"/>
    <row r="3496" ht="12.75" hidden="1" customHeight="1" x14ac:dyDescent="0.2"/>
    <row r="3497" ht="12.75" hidden="1" customHeight="1" x14ac:dyDescent="0.2"/>
    <row r="3498" ht="12.75" hidden="1" customHeight="1" x14ac:dyDescent="0.2"/>
    <row r="3499" ht="12.75" hidden="1" customHeight="1" x14ac:dyDescent="0.2"/>
    <row r="3500" ht="12.75" hidden="1" customHeight="1" x14ac:dyDescent="0.2"/>
    <row r="3501" ht="12.75" hidden="1" customHeight="1" x14ac:dyDescent="0.2"/>
    <row r="3502" ht="12.75" hidden="1" customHeight="1" x14ac:dyDescent="0.2"/>
    <row r="3503" ht="12.75" hidden="1" customHeight="1" x14ac:dyDescent="0.2"/>
    <row r="3504" ht="12.75" hidden="1" customHeight="1" x14ac:dyDescent="0.2"/>
    <row r="3505" ht="12.75" hidden="1" customHeight="1" x14ac:dyDescent="0.2"/>
    <row r="3506" ht="12.75" hidden="1" customHeight="1" x14ac:dyDescent="0.2"/>
    <row r="3507" ht="12.75" hidden="1" customHeight="1" x14ac:dyDescent="0.2"/>
    <row r="3508" ht="12.75" hidden="1" customHeight="1" x14ac:dyDescent="0.2"/>
    <row r="3509" ht="12.75" hidden="1" customHeight="1" x14ac:dyDescent="0.2"/>
    <row r="3510" ht="12.75" hidden="1" customHeight="1" x14ac:dyDescent="0.2"/>
    <row r="3511" ht="12.75" hidden="1" customHeight="1" x14ac:dyDescent="0.2"/>
    <row r="3512" ht="12.75" hidden="1" customHeight="1" x14ac:dyDescent="0.2"/>
    <row r="3513" ht="12.75" hidden="1" customHeight="1" x14ac:dyDescent="0.2"/>
    <row r="3514" ht="12.75" hidden="1" customHeight="1" x14ac:dyDescent="0.2"/>
    <row r="3515" ht="12.75" hidden="1" customHeight="1" x14ac:dyDescent="0.2"/>
    <row r="3516" ht="12.75" hidden="1" customHeight="1" x14ac:dyDescent="0.2"/>
    <row r="3517" ht="12.75" hidden="1" customHeight="1" x14ac:dyDescent="0.2"/>
    <row r="3518" ht="12.75" hidden="1" customHeight="1" x14ac:dyDescent="0.2"/>
    <row r="3519" ht="12.75" hidden="1" customHeight="1" x14ac:dyDescent="0.2"/>
    <row r="3520" ht="12.75" hidden="1" customHeight="1" x14ac:dyDescent="0.2"/>
    <row r="3521" ht="12.75" hidden="1" customHeight="1" x14ac:dyDescent="0.2"/>
    <row r="3522" ht="12.75" hidden="1" customHeight="1" x14ac:dyDescent="0.2"/>
    <row r="3523" ht="12.75" hidden="1" customHeight="1" x14ac:dyDescent="0.2"/>
    <row r="3524" ht="12.75" hidden="1" customHeight="1" x14ac:dyDescent="0.2"/>
    <row r="3525" ht="12.75" hidden="1" customHeight="1" x14ac:dyDescent="0.2"/>
    <row r="3526" ht="12.75" hidden="1" customHeight="1" x14ac:dyDescent="0.2"/>
    <row r="3527" ht="12.75" hidden="1" customHeight="1" x14ac:dyDescent="0.2"/>
    <row r="3528" ht="12.75" hidden="1" customHeight="1" x14ac:dyDescent="0.2"/>
    <row r="3529" ht="12.75" hidden="1" customHeight="1" x14ac:dyDescent="0.2"/>
    <row r="3530" ht="12.75" hidden="1" customHeight="1" x14ac:dyDescent="0.2"/>
    <row r="3531" ht="12.75" hidden="1" customHeight="1" x14ac:dyDescent="0.2"/>
    <row r="3532" ht="12.75" hidden="1" customHeight="1" x14ac:dyDescent="0.2"/>
    <row r="3533" ht="12.75" hidden="1" customHeight="1" x14ac:dyDescent="0.2"/>
    <row r="3534" ht="12.75" hidden="1" customHeight="1" x14ac:dyDescent="0.2"/>
    <row r="3535" ht="12.75" hidden="1" customHeight="1" x14ac:dyDescent="0.2"/>
    <row r="3536" ht="12.75" hidden="1" customHeight="1" x14ac:dyDescent="0.2"/>
    <row r="3537" ht="12.75" hidden="1" customHeight="1" x14ac:dyDescent="0.2"/>
    <row r="3538" ht="12.75" hidden="1" customHeight="1" x14ac:dyDescent="0.2"/>
    <row r="3539" ht="12.75" hidden="1" customHeight="1" x14ac:dyDescent="0.2"/>
    <row r="3540" ht="12.75" hidden="1" customHeight="1" x14ac:dyDescent="0.2"/>
    <row r="3541" ht="12.75" hidden="1" customHeight="1" x14ac:dyDescent="0.2"/>
    <row r="3542" ht="12.75" hidden="1" customHeight="1" x14ac:dyDescent="0.2"/>
    <row r="3543" ht="12.75" hidden="1" customHeight="1" x14ac:dyDescent="0.2"/>
    <row r="3544" ht="12.75" hidden="1" customHeight="1" x14ac:dyDescent="0.2"/>
    <row r="3545" ht="12.75" hidden="1" customHeight="1" x14ac:dyDescent="0.2"/>
    <row r="3546" ht="12.75" hidden="1" customHeight="1" x14ac:dyDescent="0.2"/>
    <row r="3547" ht="12.75" hidden="1" customHeight="1" x14ac:dyDescent="0.2"/>
    <row r="3548" ht="12.75" hidden="1" customHeight="1" x14ac:dyDescent="0.2"/>
    <row r="3549" ht="12.75" hidden="1" customHeight="1" x14ac:dyDescent="0.2"/>
    <row r="3550" ht="12.75" hidden="1" customHeight="1" x14ac:dyDescent="0.2"/>
    <row r="3551" ht="12.75" hidden="1" customHeight="1" x14ac:dyDescent="0.2"/>
    <row r="3552" ht="12.75" hidden="1" customHeight="1" x14ac:dyDescent="0.2"/>
    <row r="3553" ht="12.75" hidden="1" customHeight="1" x14ac:dyDescent="0.2"/>
    <row r="3554" ht="12.75" hidden="1" customHeight="1" x14ac:dyDescent="0.2"/>
    <row r="3555" ht="12.75" hidden="1" customHeight="1" x14ac:dyDescent="0.2"/>
    <row r="3556" ht="12.75" hidden="1" customHeight="1" x14ac:dyDescent="0.2"/>
    <row r="3557" ht="12.75" hidden="1" customHeight="1" x14ac:dyDescent="0.2"/>
    <row r="3558" ht="12.75" hidden="1" customHeight="1" x14ac:dyDescent="0.2"/>
    <row r="3559" ht="12.75" hidden="1" customHeight="1" x14ac:dyDescent="0.2"/>
    <row r="3560" ht="12.75" hidden="1" customHeight="1" x14ac:dyDescent="0.2"/>
    <row r="3561" ht="12.75" hidden="1" customHeight="1" x14ac:dyDescent="0.2"/>
    <row r="3562" ht="12.75" hidden="1" customHeight="1" x14ac:dyDescent="0.2"/>
    <row r="3563" ht="12.75" hidden="1" customHeight="1" x14ac:dyDescent="0.2"/>
    <row r="3564" ht="12.75" hidden="1" customHeight="1" x14ac:dyDescent="0.2"/>
    <row r="3565" ht="12.75" hidden="1" customHeight="1" x14ac:dyDescent="0.2"/>
    <row r="3566" ht="12.75" hidden="1" customHeight="1" x14ac:dyDescent="0.2"/>
    <row r="3567" ht="12.75" hidden="1" customHeight="1" x14ac:dyDescent="0.2"/>
    <row r="3568" ht="12.75" hidden="1" customHeight="1" x14ac:dyDescent="0.2"/>
    <row r="3569" ht="12.75" hidden="1" customHeight="1" x14ac:dyDescent="0.2"/>
    <row r="3570" ht="12.75" hidden="1" customHeight="1" x14ac:dyDescent="0.2"/>
    <row r="3571" ht="12.75" hidden="1" customHeight="1" x14ac:dyDescent="0.2"/>
    <row r="3572" ht="12.75" hidden="1" customHeight="1" x14ac:dyDescent="0.2"/>
    <row r="3573" ht="12.75" hidden="1" customHeight="1" x14ac:dyDescent="0.2"/>
    <row r="3574" ht="12.75" hidden="1" customHeight="1" x14ac:dyDescent="0.2"/>
    <row r="3575" ht="12.75" hidden="1" customHeight="1" x14ac:dyDescent="0.2"/>
    <row r="3576" ht="12.75" hidden="1" customHeight="1" x14ac:dyDescent="0.2"/>
    <row r="3577" ht="12.75" hidden="1" customHeight="1" x14ac:dyDescent="0.2"/>
    <row r="3578" ht="12.75" hidden="1" customHeight="1" x14ac:dyDescent="0.2"/>
    <row r="3579" ht="12.75" hidden="1" customHeight="1" x14ac:dyDescent="0.2"/>
    <row r="3580" ht="12.75" hidden="1" customHeight="1" x14ac:dyDescent="0.2"/>
    <row r="3581" ht="12.75" hidden="1" customHeight="1" x14ac:dyDescent="0.2"/>
    <row r="3582" ht="12.75" hidden="1" customHeight="1" x14ac:dyDescent="0.2"/>
    <row r="3583" ht="12.75" hidden="1" customHeight="1" x14ac:dyDescent="0.2"/>
    <row r="3584" ht="12.75" hidden="1" customHeight="1" x14ac:dyDescent="0.2"/>
    <row r="3585" ht="12.75" hidden="1" customHeight="1" x14ac:dyDescent="0.2"/>
    <row r="3586" ht="12.75" hidden="1" customHeight="1" x14ac:dyDescent="0.2"/>
    <row r="3587" ht="12.75" hidden="1" customHeight="1" x14ac:dyDescent="0.2"/>
    <row r="3588" ht="12.75" hidden="1" customHeight="1" x14ac:dyDescent="0.2"/>
    <row r="3589" ht="12.75" hidden="1" customHeight="1" x14ac:dyDescent="0.2"/>
    <row r="3590" ht="12.75" hidden="1" customHeight="1" x14ac:dyDescent="0.2"/>
    <row r="3591" ht="12.75" hidden="1" customHeight="1" x14ac:dyDescent="0.2"/>
    <row r="3592" ht="12.75" hidden="1" customHeight="1" x14ac:dyDescent="0.2"/>
    <row r="3593" ht="12.75" hidden="1" customHeight="1" x14ac:dyDescent="0.2"/>
    <row r="3594" ht="12.75" hidden="1" customHeight="1" x14ac:dyDescent="0.2"/>
    <row r="3595" ht="12.75" hidden="1" customHeight="1" x14ac:dyDescent="0.2"/>
    <row r="3596" ht="12.75" hidden="1" customHeight="1" x14ac:dyDescent="0.2"/>
    <row r="3597" ht="12.75" hidden="1" customHeight="1" x14ac:dyDescent="0.2"/>
    <row r="3598" ht="12.75" hidden="1" customHeight="1" x14ac:dyDescent="0.2"/>
    <row r="3599" ht="12.75" hidden="1" customHeight="1" x14ac:dyDescent="0.2"/>
    <row r="3600" ht="12.75" hidden="1" customHeight="1" x14ac:dyDescent="0.2"/>
    <row r="3601" ht="12.75" hidden="1" customHeight="1" x14ac:dyDescent="0.2"/>
    <row r="3602" ht="12.75" hidden="1" customHeight="1" x14ac:dyDescent="0.2"/>
    <row r="3603" ht="12.75" hidden="1" customHeight="1" x14ac:dyDescent="0.2"/>
    <row r="3604" ht="12.75" hidden="1" customHeight="1" x14ac:dyDescent="0.2"/>
    <row r="3605" ht="12.75" hidden="1" customHeight="1" x14ac:dyDescent="0.2"/>
    <row r="3606" ht="12.75" hidden="1" customHeight="1" x14ac:dyDescent="0.2"/>
    <row r="3607" ht="12.75" hidden="1" customHeight="1" x14ac:dyDescent="0.2"/>
    <row r="3608" ht="12.75" hidden="1" customHeight="1" x14ac:dyDescent="0.2"/>
    <row r="3609" ht="12.75" hidden="1" customHeight="1" x14ac:dyDescent="0.2"/>
    <row r="3610" ht="12.75" hidden="1" customHeight="1" x14ac:dyDescent="0.2"/>
    <row r="3611" ht="12.75" hidden="1" customHeight="1" x14ac:dyDescent="0.2"/>
    <row r="3612" ht="12.75" hidden="1" customHeight="1" x14ac:dyDescent="0.2"/>
    <row r="3613" ht="12.75" hidden="1" customHeight="1" x14ac:dyDescent="0.2"/>
    <row r="3614" ht="12.75" hidden="1" customHeight="1" x14ac:dyDescent="0.2"/>
    <row r="3615" ht="12.75" hidden="1" customHeight="1" x14ac:dyDescent="0.2"/>
    <row r="3616" ht="12.75" hidden="1" customHeight="1" x14ac:dyDescent="0.2"/>
    <row r="3617" ht="12.75" hidden="1" customHeight="1" x14ac:dyDescent="0.2"/>
    <row r="3618" ht="12.75" hidden="1" customHeight="1" x14ac:dyDescent="0.2"/>
    <row r="3619" ht="12.75" hidden="1" customHeight="1" x14ac:dyDescent="0.2"/>
    <row r="3620" ht="12.75" hidden="1" customHeight="1" x14ac:dyDescent="0.2"/>
    <row r="3621" ht="12.75" hidden="1" customHeight="1" x14ac:dyDescent="0.2"/>
    <row r="3622" ht="12.75" hidden="1" customHeight="1" x14ac:dyDescent="0.2"/>
    <row r="3623" ht="12.75" hidden="1" customHeight="1" x14ac:dyDescent="0.2"/>
    <row r="3624" ht="12.75" hidden="1" customHeight="1" x14ac:dyDescent="0.2"/>
    <row r="3625" ht="12.75" hidden="1" customHeight="1" x14ac:dyDescent="0.2"/>
    <row r="3626" ht="12.75" hidden="1" customHeight="1" x14ac:dyDescent="0.2"/>
    <row r="3627" ht="12.75" hidden="1" customHeight="1" x14ac:dyDescent="0.2"/>
    <row r="3628" ht="12.75" hidden="1" customHeight="1" x14ac:dyDescent="0.2"/>
    <row r="3629" ht="12.75" hidden="1" customHeight="1" x14ac:dyDescent="0.2"/>
    <row r="3630" ht="12.75" hidden="1" customHeight="1" x14ac:dyDescent="0.2"/>
    <row r="3631" ht="12.75" hidden="1" customHeight="1" x14ac:dyDescent="0.2"/>
    <row r="3632" ht="12.75" hidden="1" customHeight="1" x14ac:dyDescent="0.2"/>
    <row r="3633" ht="12.75" hidden="1" customHeight="1" x14ac:dyDescent="0.2"/>
    <row r="3634" ht="12.75" hidden="1" customHeight="1" x14ac:dyDescent="0.2"/>
    <row r="3635" ht="12.75" hidden="1" customHeight="1" x14ac:dyDescent="0.2"/>
    <row r="3636" ht="12.75" hidden="1" customHeight="1" x14ac:dyDescent="0.2"/>
    <row r="3637" ht="12.75" hidden="1" customHeight="1" x14ac:dyDescent="0.2"/>
    <row r="3638" ht="12.75" hidden="1" customHeight="1" x14ac:dyDescent="0.2"/>
    <row r="3639" ht="12.75" hidden="1" customHeight="1" x14ac:dyDescent="0.2"/>
    <row r="3640" ht="12.75" hidden="1" customHeight="1" x14ac:dyDescent="0.2"/>
    <row r="3641" ht="12.75" hidden="1" customHeight="1" x14ac:dyDescent="0.2"/>
    <row r="3642" ht="12.75" hidden="1" customHeight="1" x14ac:dyDescent="0.2"/>
    <row r="3643" ht="12.75" hidden="1" customHeight="1" x14ac:dyDescent="0.2"/>
    <row r="3644" ht="12.75" hidden="1" customHeight="1" x14ac:dyDescent="0.2"/>
    <row r="3645" ht="12.75" hidden="1" customHeight="1" x14ac:dyDescent="0.2"/>
    <row r="3646" ht="12.75" hidden="1" customHeight="1" x14ac:dyDescent="0.2"/>
    <row r="3647" ht="12.75" hidden="1" customHeight="1" x14ac:dyDescent="0.2"/>
    <row r="3648" ht="12.75" hidden="1" customHeight="1" x14ac:dyDescent="0.2"/>
    <row r="3649" ht="12.75" hidden="1" customHeight="1" x14ac:dyDescent="0.2"/>
    <row r="3650" ht="12.75" hidden="1" customHeight="1" x14ac:dyDescent="0.2"/>
    <row r="3651" ht="12.75" hidden="1" customHeight="1" x14ac:dyDescent="0.2"/>
    <row r="3652" ht="12.75" hidden="1" customHeight="1" x14ac:dyDescent="0.2"/>
    <row r="3653" ht="12.75" hidden="1" customHeight="1" x14ac:dyDescent="0.2"/>
    <row r="3654" ht="12.75" hidden="1" customHeight="1" x14ac:dyDescent="0.2"/>
    <row r="3655" ht="12.75" hidden="1" customHeight="1" x14ac:dyDescent="0.2"/>
    <row r="3656" ht="12.75" hidden="1" customHeight="1" x14ac:dyDescent="0.2"/>
    <row r="3657" ht="12.75" hidden="1" customHeight="1" x14ac:dyDescent="0.2"/>
    <row r="3658" ht="12.75" hidden="1" customHeight="1" x14ac:dyDescent="0.2"/>
    <row r="3659" ht="12.75" hidden="1" customHeight="1" x14ac:dyDescent="0.2"/>
    <row r="3660" ht="12.75" hidden="1" customHeight="1" x14ac:dyDescent="0.2"/>
    <row r="3661" ht="12.75" hidden="1" customHeight="1" x14ac:dyDescent="0.2"/>
    <row r="3662" ht="12.75" hidden="1" customHeight="1" x14ac:dyDescent="0.2"/>
    <row r="3663" ht="12.75" hidden="1" customHeight="1" x14ac:dyDescent="0.2"/>
    <row r="3664" ht="12.75" hidden="1" customHeight="1" x14ac:dyDescent="0.2"/>
    <row r="3665" ht="12.75" hidden="1" customHeight="1" x14ac:dyDescent="0.2"/>
    <row r="3666" ht="12.75" hidden="1" customHeight="1" x14ac:dyDescent="0.2"/>
    <row r="3667" ht="12.75" hidden="1" customHeight="1" x14ac:dyDescent="0.2"/>
    <row r="3668" ht="12.75" hidden="1" customHeight="1" x14ac:dyDescent="0.2"/>
    <row r="3669" ht="12.75" hidden="1" customHeight="1" x14ac:dyDescent="0.2"/>
    <row r="3670" ht="12.75" hidden="1" customHeight="1" x14ac:dyDescent="0.2"/>
    <row r="3671" ht="12.75" hidden="1" customHeight="1" x14ac:dyDescent="0.2"/>
    <row r="3672" ht="12.75" hidden="1" customHeight="1" x14ac:dyDescent="0.2"/>
    <row r="3673" ht="12.75" hidden="1" customHeight="1" x14ac:dyDescent="0.2"/>
    <row r="3674" ht="12.75" hidden="1" customHeight="1" x14ac:dyDescent="0.2"/>
    <row r="3675" ht="12.75" hidden="1" customHeight="1" x14ac:dyDescent="0.2"/>
    <row r="3676" ht="12.75" hidden="1" customHeight="1" x14ac:dyDescent="0.2"/>
    <row r="3677" ht="12.75" hidden="1" customHeight="1" x14ac:dyDescent="0.2"/>
    <row r="3678" ht="12.75" hidden="1" customHeight="1" x14ac:dyDescent="0.2"/>
    <row r="3679" ht="12.75" hidden="1" customHeight="1" x14ac:dyDescent="0.2"/>
    <row r="3680" ht="12.75" hidden="1" customHeight="1" x14ac:dyDescent="0.2"/>
    <row r="3681" ht="12.75" hidden="1" customHeight="1" x14ac:dyDescent="0.2"/>
    <row r="3682" ht="12.75" hidden="1" customHeight="1" x14ac:dyDescent="0.2"/>
    <row r="3683" ht="12.75" hidden="1" customHeight="1" x14ac:dyDescent="0.2"/>
    <row r="3684" ht="12.75" hidden="1" customHeight="1" x14ac:dyDescent="0.2"/>
    <row r="3685" ht="12.75" hidden="1" customHeight="1" x14ac:dyDescent="0.2"/>
    <row r="3686" ht="12.75" hidden="1" customHeight="1" x14ac:dyDescent="0.2"/>
    <row r="3687" ht="12.75" hidden="1" customHeight="1" x14ac:dyDescent="0.2"/>
    <row r="3688" ht="12.75" hidden="1" customHeight="1" x14ac:dyDescent="0.2"/>
    <row r="3689" ht="12.75" hidden="1" customHeight="1" x14ac:dyDescent="0.2"/>
    <row r="3690" ht="12.75" hidden="1" customHeight="1" x14ac:dyDescent="0.2"/>
    <row r="3691" ht="12.75" hidden="1" customHeight="1" x14ac:dyDescent="0.2"/>
    <row r="3692" ht="12.75" hidden="1" customHeight="1" x14ac:dyDescent="0.2"/>
    <row r="3693" ht="12.75" hidden="1" customHeight="1" x14ac:dyDescent="0.2"/>
    <row r="3694" ht="12.75" hidden="1" customHeight="1" x14ac:dyDescent="0.2"/>
    <row r="3695" ht="12.75" hidden="1" customHeight="1" x14ac:dyDescent="0.2"/>
    <row r="3696" ht="12.75" hidden="1" customHeight="1" x14ac:dyDescent="0.2"/>
    <row r="3697" ht="12.75" hidden="1" customHeight="1" x14ac:dyDescent="0.2"/>
    <row r="3698" ht="12.75" hidden="1" customHeight="1" x14ac:dyDescent="0.2"/>
    <row r="3699" ht="12.75" hidden="1" customHeight="1" x14ac:dyDescent="0.2"/>
    <row r="3700" ht="12.75" hidden="1" customHeight="1" x14ac:dyDescent="0.2"/>
    <row r="3701" ht="12.75" hidden="1" customHeight="1" x14ac:dyDescent="0.2"/>
    <row r="3702" ht="12.75" hidden="1" customHeight="1" x14ac:dyDescent="0.2"/>
    <row r="3703" ht="12.75" hidden="1" customHeight="1" x14ac:dyDescent="0.2"/>
    <row r="3704" ht="12.75" hidden="1" customHeight="1" x14ac:dyDescent="0.2"/>
    <row r="3705" ht="12.75" hidden="1" customHeight="1" x14ac:dyDescent="0.2"/>
    <row r="3706" ht="12.75" hidden="1" customHeight="1" x14ac:dyDescent="0.2"/>
    <row r="3707" ht="12.75" hidden="1" customHeight="1" x14ac:dyDescent="0.2"/>
    <row r="3708" ht="12.75" hidden="1" customHeight="1" x14ac:dyDescent="0.2"/>
    <row r="3709" ht="12.75" hidden="1" customHeight="1" x14ac:dyDescent="0.2"/>
    <row r="3710" ht="12.75" hidden="1" customHeight="1" x14ac:dyDescent="0.2"/>
    <row r="3711" ht="12.75" hidden="1" customHeight="1" x14ac:dyDescent="0.2"/>
    <row r="3712" ht="12.75" hidden="1" customHeight="1" x14ac:dyDescent="0.2"/>
    <row r="3713" ht="12.75" hidden="1" customHeight="1" x14ac:dyDescent="0.2"/>
    <row r="3714" ht="12.75" hidden="1" customHeight="1" x14ac:dyDescent="0.2"/>
    <row r="3715" ht="12.75" hidden="1" customHeight="1" x14ac:dyDescent="0.2"/>
    <row r="3716" ht="12.75" hidden="1" customHeight="1" x14ac:dyDescent="0.2"/>
    <row r="3717" ht="12.75" hidden="1" customHeight="1" x14ac:dyDescent="0.2"/>
    <row r="3718" ht="12.75" hidden="1" customHeight="1" x14ac:dyDescent="0.2"/>
    <row r="3719" ht="12.75" hidden="1" customHeight="1" x14ac:dyDescent="0.2"/>
    <row r="3720" ht="12.75" hidden="1" customHeight="1" x14ac:dyDescent="0.2"/>
    <row r="3721" ht="12.75" hidden="1" customHeight="1" x14ac:dyDescent="0.2"/>
    <row r="3722" ht="12.75" hidden="1" customHeight="1" x14ac:dyDescent="0.2"/>
    <row r="3723" ht="12.75" hidden="1" customHeight="1" x14ac:dyDescent="0.2"/>
    <row r="3724" ht="12.75" hidden="1" customHeight="1" x14ac:dyDescent="0.2"/>
    <row r="3725" ht="12.75" hidden="1" customHeight="1" x14ac:dyDescent="0.2"/>
    <row r="3726" ht="12.75" hidden="1" customHeight="1" x14ac:dyDescent="0.2"/>
    <row r="3727" ht="12.75" hidden="1" customHeight="1" x14ac:dyDescent="0.2"/>
    <row r="3728" ht="12.75" hidden="1" customHeight="1" x14ac:dyDescent="0.2"/>
    <row r="3729" ht="12.75" hidden="1" customHeight="1" x14ac:dyDescent="0.2"/>
    <row r="3730" ht="12.75" hidden="1" customHeight="1" x14ac:dyDescent="0.2"/>
    <row r="3731" ht="12.75" hidden="1" customHeight="1" x14ac:dyDescent="0.2"/>
    <row r="3732" ht="12.75" hidden="1" customHeight="1" x14ac:dyDescent="0.2"/>
    <row r="3733" ht="12.75" hidden="1" customHeight="1" x14ac:dyDescent="0.2"/>
    <row r="3734" ht="12.75" hidden="1" customHeight="1" x14ac:dyDescent="0.2"/>
    <row r="3735" ht="12.75" hidden="1" customHeight="1" x14ac:dyDescent="0.2"/>
    <row r="3736" ht="12.75" hidden="1" customHeight="1" x14ac:dyDescent="0.2"/>
    <row r="3737" ht="12.75" hidden="1" customHeight="1" x14ac:dyDescent="0.2"/>
    <row r="3738" ht="12.75" hidden="1" customHeight="1" x14ac:dyDescent="0.2"/>
    <row r="3739" ht="12.75" hidden="1" customHeight="1" x14ac:dyDescent="0.2"/>
    <row r="3740" ht="12.75" hidden="1" customHeight="1" x14ac:dyDescent="0.2"/>
    <row r="3741" ht="12.75" hidden="1" customHeight="1" x14ac:dyDescent="0.2"/>
    <row r="3742" ht="12.75" hidden="1" customHeight="1" x14ac:dyDescent="0.2"/>
    <row r="3743" ht="12.75" hidden="1" customHeight="1" x14ac:dyDescent="0.2"/>
    <row r="3744" ht="12.75" hidden="1" customHeight="1" x14ac:dyDescent="0.2"/>
    <row r="3745" ht="12.75" hidden="1" customHeight="1" x14ac:dyDescent="0.2"/>
    <row r="3746" ht="12.75" hidden="1" customHeight="1" x14ac:dyDescent="0.2"/>
    <row r="3747" ht="12.75" hidden="1" customHeight="1" x14ac:dyDescent="0.2"/>
    <row r="3748" ht="12.75" hidden="1" customHeight="1" x14ac:dyDescent="0.2"/>
    <row r="3749" ht="12.75" hidden="1" customHeight="1" x14ac:dyDescent="0.2"/>
    <row r="3750" ht="12.75" hidden="1" customHeight="1" x14ac:dyDescent="0.2"/>
    <row r="3751" ht="12.75" hidden="1" customHeight="1" x14ac:dyDescent="0.2"/>
    <row r="3752" ht="12.75" hidden="1" customHeight="1" x14ac:dyDescent="0.2"/>
    <row r="3753" ht="12.75" hidden="1" customHeight="1" x14ac:dyDescent="0.2"/>
    <row r="3754" ht="12.75" hidden="1" customHeight="1" x14ac:dyDescent="0.2"/>
    <row r="3755" ht="12.75" hidden="1" customHeight="1" x14ac:dyDescent="0.2"/>
    <row r="3756" ht="12.75" hidden="1" customHeight="1" x14ac:dyDescent="0.2"/>
    <row r="3757" ht="12.75" hidden="1" customHeight="1" x14ac:dyDescent="0.2"/>
    <row r="3758" ht="12.75" hidden="1" customHeight="1" x14ac:dyDescent="0.2"/>
    <row r="3759" ht="12.75" hidden="1" customHeight="1" x14ac:dyDescent="0.2"/>
    <row r="3760" ht="12.75" hidden="1" customHeight="1" x14ac:dyDescent="0.2"/>
    <row r="3761" ht="12.75" hidden="1" customHeight="1" x14ac:dyDescent="0.2"/>
    <row r="3762" ht="12.75" hidden="1" customHeight="1" x14ac:dyDescent="0.2"/>
    <row r="3763" ht="12.75" hidden="1" customHeight="1" x14ac:dyDescent="0.2"/>
    <row r="3764" ht="12.75" hidden="1" customHeight="1" x14ac:dyDescent="0.2"/>
    <row r="3765" ht="12.75" hidden="1" customHeight="1" x14ac:dyDescent="0.2"/>
    <row r="3766" ht="12.75" hidden="1" customHeight="1" x14ac:dyDescent="0.2"/>
    <row r="3767" ht="12.75" hidden="1" customHeight="1" x14ac:dyDescent="0.2"/>
    <row r="3768" ht="12.75" hidden="1" customHeight="1" x14ac:dyDescent="0.2"/>
    <row r="3769" ht="12.75" hidden="1" customHeight="1" x14ac:dyDescent="0.2"/>
    <row r="3770" ht="12.75" hidden="1" customHeight="1" x14ac:dyDescent="0.2"/>
    <row r="3771" ht="12.75" hidden="1" customHeight="1" x14ac:dyDescent="0.2"/>
    <row r="3772" ht="12.75" hidden="1" customHeight="1" x14ac:dyDescent="0.2"/>
    <row r="3773" ht="12.75" hidden="1" customHeight="1" x14ac:dyDescent="0.2"/>
    <row r="3774" ht="12.75" hidden="1" customHeight="1" x14ac:dyDescent="0.2"/>
    <row r="3775" ht="12.75" hidden="1" customHeight="1" x14ac:dyDescent="0.2"/>
    <row r="3776" ht="12.75" hidden="1" customHeight="1" x14ac:dyDescent="0.2"/>
    <row r="3777" ht="12.75" hidden="1" customHeight="1" x14ac:dyDescent="0.2"/>
    <row r="3778" ht="12.75" hidden="1" customHeight="1" x14ac:dyDescent="0.2"/>
    <row r="3779" ht="12.75" hidden="1" customHeight="1" x14ac:dyDescent="0.2"/>
    <row r="3780" ht="12.75" hidden="1" customHeight="1" x14ac:dyDescent="0.2"/>
    <row r="3781" ht="12.75" hidden="1" customHeight="1" x14ac:dyDescent="0.2"/>
    <row r="3782" ht="12.75" hidden="1" customHeight="1" x14ac:dyDescent="0.2"/>
    <row r="3783" ht="12.75" hidden="1" customHeight="1" x14ac:dyDescent="0.2"/>
    <row r="3784" ht="12.75" hidden="1" customHeight="1" x14ac:dyDescent="0.2"/>
    <row r="3785" ht="12.75" hidden="1" customHeight="1" x14ac:dyDescent="0.2"/>
    <row r="3786" ht="12.75" hidden="1" customHeight="1" x14ac:dyDescent="0.2"/>
    <row r="3787" ht="12.75" hidden="1" customHeight="1" x14ac:dyDescent="0.2"/>
    <row r="3788" ht="12.75" hidden="1" customHeight="1" x14ac:dyDescent="0.2"/>
    <row r="3789" ht="12.75" hidden="1" customHeight="1" x14ac:dyDescent="0.2"/>
    <row r="3790" ht="12.75" hidden="1" customHeight="1" x14ac:dyDescent="0.2"/>
    <row r="3791" ht="12.75" hidden="1" customHeight="1" x14ac:dyDescent="0.2"/>
    <row r="3792" ht="12.75" hidden="1" customHeight="1" x14ac:dyDescent="0.2"/>
    <row r="3793" ht="12.75" hidden="1" customHeight="1" x14ac:dyDescent="0.2"/>
    <row r="3794" ht="12.75" hidden="1" customHeight="1" x14ac:dyDescent="0.2"/>
    <row r="3795" ht="12.75" hidden="1" customHeight="1" x14ac:dyDescent="0.2"/>
    <row r="3796" ht="12.75" hidden="1" customHeight="1" x14ac:dyDescent="0.2"/>
    <row r="3797" ht="12.75" hidden="1" customHeight="1" x14ac:dyDescent="0.2"/>
    <row r="3798" ht="12.75" hidden="1" customHeight="1" x14ac:dyDescent="0.2"/>
    <row r="3799" ht="12.75" hidden="1" customHeight="1" x14ac:dyDescent="0.2"/>
    <row r="3800" ht="12.75" hidden="1" customHeight="1" x14ac:dyDescent="0.2"/>
    <row r="3801" ht="12.75" hidden="1" customHeight="1" x14ac:dyDescent="0.2"/>
    <row r="3802" ht="12.75" hidden="1" customHeight="1" x14ac:dyDescent="0.2"/>
    <row r="3803" ht="12.75" hidden="1" customHeight="1" x14ac:dyDescent="0.2"/>
    <row r="3804" ht="12.75" hidden="1" customHeight="1" x14ac:dyDescent="0.2"/>
    <row r="3805" ht="12.75" hidden="1" customHeight="1" x14ac:dyDescent="0.2"/>
    <row r="3806" ht="12.75" hidden="1" customHeight="1" x14ac:dyDescent="0.2"/>
    <row r="3807" ht="12.75" hidden="1" customHeight="1" x14ac:dyDescent="0.2"/>
    <row r="3808" ht="12.75" hidden="1" customHeight="1" x14ac:dyDescent="0.2"/>
    <row r="3809" ht="12.75" hidden="1" customHeight="1" x14ac:dyDescent="0.2"/>
    <row r="3810" ht="12.75" hidden="1" customHeight="1" x14ac:dyDescent="0.2"/>
    <row r="3811" ht="12.75" hidden="1" customHeight="1" x14ac:dyDescent="0.2"/>
    <row r="3812" ht="12.75" hidden="1" customHeight="1" x14ac:dyDescent="0.2"/>
    <row r="3813" ht="12.75" hidden="1" customHeight="1" x14ac:dyDescent="0.2"/>
    <row r="3814" ht="12.75" hidden="1" customHeight="1" x14ac:dyDescent="0.2"/>
    <row r="3815" ht="12.75" hidden="1" customHeight="1" x14ac:dyDescent="0.2"/>
    <row r="3816" ht="12.75" hidden="1" customHeight="1" x14ac:dyDescent="0.2"/>
    <row r="3817" ht="12.75" hidden="1" customHeight="1" x14ac:dyDescent="0.2"/>
    <row r="3818" ht="12.75" hidden="1" customHeight="1" x14ac:dyDescent="0.2"/>
    <row r="3819" ht="12.75" hidden="1" customHeight="1" x14ac:dyDescent="0.2"/>
    <row r="3820" ht="12.75" hidden="1" customHeight="1" x14ac:dyDescent="0.2"/>
    <row r="3821" ht="12.75" hidden="1" customHeight="1" x14ac:dyDescent="0.2"/>
    <row r="3822" ht="12.75" hidden="1" customHeight="1" x14ac:dyDescent="0.2"/>
    <row r="3823" ht="12.75" hidden="1" customHeight="1" x14ac:dyDescent="0.2"/>
    <row r="3824" ht="12.75" hidden="1" customHeight="1" x14ac:dyDescent="0.2"/>
    <row r="3825" ht="12.75" hidden="1" customHeight="1" x14ac:dyDescent="0.2"/>
    <row r="3826" ht="12.75" hidden="1" customHeight="1" x14ac:dyDescent="0.2"/>
    <row r="3827" ht="12.75" hidden="1" customHeight="1" x14ac:dyDescent="0.2"/>
    <row r="3828" ht="12.75" hidden="1" customHeight="1" x14ac:dyDescent="0.2"/>
    <row r="3829" ht="12.75" hidden="1" customHeight="1" x14ac:dyDescent="0.2"/>
    <row r="3830" ht="12.75" hidden="1" customHeight="1" x14ac:dyDescent="0.2"/>
    <row r="3831" ht="12.75" hidden="1" customHeight="1" x14ac:dyDescent="0.2"/>
    <row r="3832" ht="12.75" hidden="1" customHeight="1" x14ac:dyDescent="0.2"/>
    <row r="3833" ht="12.75" hidden="1" customHeight="1" x14ac:dyDescent="0.2"/>
    <row r="3834" ht="12.75" hidden="1" customHeight="1" x14ac:dyDescent="0.2"/>
    <row r="3835" ht="12.75" hidden="1" customHeight="1" x14ac:dyDescent="0.2"/>
    <row r="3836" ht="12.75" hidden="1" customHeight="1" x14ac:dyDescent="0.2"/>
    <row r="3837" ht="12.75" hidden="1" customHeight="1" x14ac:dyDescent="0.2"/>
    <row r="3838" ht="12.75" hidden="1" customHeight="1" x14ac:dyDescent="0.2"/>
    <row r="3839" ht="12.75" hidden="1" customHeight="1" x14ac:dyDescent="0.2"/>
    <row r="3840" ht="12.75" hidden="1" customHeight="1" x14ac:dyDescent="0.2"/>
    <row r="3841" ht="12.75" hidden="1" customHeight="1" x14ac:dyDescent="0.2"/>
    <row r="3842" ht="12.75" hidden="1" customHeight="1" x14ac:dyDescent="0.2"/>
    <row r="3843" ht="12.75" hidden="1" customHeight="1" x14ac:dyDescent="0.2"/>
    <row r="3844" ht="12.75" hidden="1" customHeight="1" x14ac:dyDescent="0.2"/>
    <row r="3845" ht="12.75" hidden="1" customHeight="1" x14ac:dyDescent="0.2"/>
    <row r="3846" ht="12.75" hidden="1" customHeight="1" x14ac:dyDescent="0.2"/>
    <row r="3847" ht="12.75" hidden="1" customHeight="1" x14ac:dyDescent="0.2"/>
    <row r="3848" ht="12.75" hidden="1" customHeight="1" x14ac:dyDescent="0.2"/>
    <row r="3849" ht="12.75" hidden="1" customHeight="1" x14ac:dyDescent="0.2"/>
    <row r="3850" ht="12.75" hidden="1" customHeight="1" x14ac:dyDescent="0.2"/>
    <row r="3851" ht="12.75" hidden="1" customHeight="1" x14ac:dyDescent="0.2"/>
    <row r="3852" ht="12.75" hidden="1" customHeight="1" x14ac:dyDescent="0.2"/>
    <row r="3853" ht="12.75" hidden="1" customHeight="1" x14ac:dyDescent="0.2"/>
    <row r="3854" ht="12.75" hidden="1" customHeight="1" x14ac:dyDescent="0.2"/>
    <row r="3855" ht="12.75" hidden="1" customHeight="1" x14ac:dyDescent="0.2"/>
    <row r="3856" ht="12.75" hidden="1" customHeight="1" x14ac:dyDescent="0.2"/>
    <row r="3857" ht="12.75" hidden="1" customHeight="1" x14ac:dyDescent="0.2"/>
    <row r="3858" ht="12.75" hidden="1" customHeight="1" x14ac:dyDescent="0.2"/>
    <row r="3859" ht="12.75" hidden="1" customHeight="1" x14ac:dyDescent="0.2"/>
    <row r="3860" ht="12.75" hidden="1" customHeight="1" x14ac:dyDescent="0.2"/>
    <row r="3861" ht="12.75" hidden="1" customHeight="1" x14ac:dyDescent="0.2"/>
    <row r="3862" ht="12.75" hidden="1" customHeight="1" x14ac:dyDescent="0.2"/>
    <row r="3863" ht="12.75" hidden="1" customHeight="1" x14ac:dyDescent="0.2"/>
    <row r="3864" ht="12.75" hidden="1" customHeight="1" x14ac:dyDescent="0.2"/>
    <row r="3865" ht="12.75" hidden="1" customHeight="1" x14ac:dyDescent="0.2"/>
    <row r="3866" ht="12.75" hidden="1" customHeight="1" x14ac:dyDescent="0.2"/>
    <row r="3867" ht="12.75" hidden="1" customHeight="1" x14ac:dyDescent="0.2"/>
    <row r="3868" ht="12.75" hidden="1" customHeight="1" x14ac:dyDescent="0.2"/>
    <row r="3869" ht="12.75" hidden="1" customHeight="1" x14ac:dyDescent="0.2"/>
    <row r="3870" ht="12.75" hidden="1" customHeight="1" x14ac:dyDescent="0.2"/>
    <row r="3871" ht="12.75" hidden="1" customHeight="1" x14ac:dyDescent="0.2"/>
    <row r="3872" ht="12.75" hidden="1" customHeight="1" x14ac:dyDescent="0.2"/>
    <row r="3873" ht="12.75" hidden="1" customHeight="1" x14ac:dyDescent="0.2"/>
    <row r="3874" ht="12.75" hidden="1" customHeight="1" x14ac:dyDescent="0.2"/>
    <row r="3875" ht="12.75" hidden="1" customHeight="1" x14ac:dyDescent="0.2"/>
    <row r="3876" ht="12.75" hidden="1" customHeight="1" x14ac:dyDescent="0.2"/>
    <row r="3877" ht="12.75" hidden="1" customHeight="1" x14ac:dyDescent="0.2"/>
    <row r="3878" ht="12.75" hidden="1" customHeight="1" x14ac:dyDescent="0.2"/>
    <row r="3879" ht="12.75" hidden="1" customHeight="1" x14ac:dyDescent="0.2"/>
    <row r="3880" ht="12.75" hidden="1" customHeight="1" x14ac:dyDescent="0.2"/>
    <row r="3881" ht="12.75" hidden="1" customHeight="1" x14ac:dyDescent="0.2"/>
    <row r="3882" ht="12.75" hidden="1" customHeight="1" x14ac:dyDescent="0.2"/>
    <row r="3883" ht="12.75" hidden="1" customHeight="1" x14ac:dyDescent="0.2"/>
    <row r="3884" ht="12.75" hidden="1" customHeight="1" x14ac:dyDescent="0.2"/>
    <row r="3885" ht="12.75" hidden="1" customHeight="1" x14ac:dyDescent="0.2"/>
    <row r="3886" ht="12.75" hidden="1" customHeight="1" x14ac:dyDescent="0.2"/>
    <row r="3887" ht="12.75" hidden="1" customHeight="1" x14ac:dyDescent="0.2"/>
    <row r="3888" ht="12.75" hidden="1" customHeight="1" x14ac:dyDescent="0.2"/>
    <row r="3889" ht="12.75" hidden="1" customHeight="1" x14ac:dyDescent="0.2"/>
    <row r="3890" ht="12.75" hidden="1" customHeight="1" x14ac:dyDescent="0.2"/>
    <row r="3891" ht="12.75" hidden="1" customHeight="1" x14ac:dyDescent="0.2"/>
    <row r="3892" ht="12.75" hidden="1" customHeight="1" x14ac:dyDescent="0.2"/>
    <row r="3893" ht="12.75" hidden="1" customHeight="1" x14ac:dyDescent="0.2"/>
    <row r="3894" ht="12.75" hidden="1" customHeight="1" x14ac:dyDescent="0.2"/>
    <row r="3895" ht="12.75" hidden="1" customHeight="1" x14ac:dyDescent="0.2"/>
    <row r="3896" ht="12.75" hidden="1" customHeight="1" x14ac:dyDescent="0.2"/>
    <row r="3897" ht="12.75" hidden="1" customHeight="1" x14ac:dyDescent="0.2"/>
    <row r="3898" ht="12.75" hidden="1" customHeight="1" x14ac:dyDescent="0.2"/>
    <row r="3899" ht="12.75" hidden="1" customHeight="1" x14ac:dyDescent="0.2"/>
    <row r="3900" ht="12.75" hidden="1" customHeight="1" x14ac:dyDescent="0.2"/>
    <row r="3901" ht="12.75" hidden="1" customHeight="1" x14ac:dyDescent="0.2"/>
    <row r="3902" ht="12.75" hidden="1" customHeight="1" x14ac:dyDescent="0.2"/>
    <row r="3903" ht="12.75" hidden="1" customHeight="1" x14ac:dyDescent="0.2"/>
    <row r="3904" ht="12.75" hidden="1" customHeight="1" x14ac:dyDescent="0.2"/>
    <row r="3905" ht="12.75" hidden="1" customHeight="1" x14ac:dyDescent="0.2"/>
    <row r="3906" ht="12.75" hidden="1" customHeight="1" x14ac:dyDescent="0.2"/>
    <row r="3907" ht="12.75" hidden="1" customHeight="1" x14ac:dyDescent="0.2"/>
    <row r="3908" ht="12.75" hidden="1" customHeight="1" x14ac:dyDescent="0.2"/>
    <row r="3909" ht="12.75" hidden="1" customHeight="1" x14ac:dyDescent="0.2"/>
    <row r="3910" ht="12.75" hidden="1" customHeight="1" x14ac:dyDescent="0.2"/>
    <row r="3911" ht="12.75" hidden="1" customHeight="1" x14ac:dyDescent="0.2"/>
    <row r="3912" ht="12.75" hidden="1" customHeight="1" x14ac:dyDescent="0.2"/>
    <row r="3913" ht="12.75" hidden="1" customHeight="1" x14ac:dyDescent="0.2"/>
    <row r="3914" ht="12.75" hidden="1" customHeight="1" x14ac:dyDescent="0.2"/>
    <row r="3915" ht="12.75" hidden="1" customHeight="1" x14ac:dyDescent="0.2"/>
    <row r="3916" ht="12.75" hidden="1" customHeight="1" x14ac:dyDescent="0.2"/>
    <row r="3917" ht="12.75" hidden="1" customHeight="1" x14ac:dyDescent="0.2"/>
    <row r="3918" ht="12.75" hidden="1" customHeight="1" x14ac:dyDescent="0.2"/>
    <row r="3919" ht="12.75" hidden="1" customHeight="1" x14ac:dyDescent="0.2"/>
    <row r="3920" ht="12.75" hidden="1" customHeight="1" x14ac:dyDescent="0.2"/>
    <row r="3921" ht="12.75" hidden="1" customHeight="1" x14ac:dyDescent="0.2"/>
    <row r="3922" ht="12.75" hidden="1" customHeight="1" x14ac:dyDescent="0.2"/>
    <row r="3923" ht="12.75" hidden="1" customHeight="1" x14ac:dyDescent="0.2"/>
    <row r="3924" ht="12.75" hidden="1" customHeight="1" x14ac:dyDescent="0.2"/>
    <row r="3925" ht="12.75" hidden="1" customHeight="1" x14ac:dyDescent="0.2"/>
    <row r="3926" ht="12.75" hidden="1" customHeight="1" x14ac:dyDescent="0.2"/>
    <row r="3927" ht="12.75" hidden="1" customHeight="1" x14ac:dyDescent="0.2"/>
    <row r="3928" ht="12.75" hidden="1" customHeight="1" x14ac:dyDescent="0.2"/>
    <row r="3929" ht="12.75" hidden="1" customHeight="1" x14ac:dyDescent="0.2"/>
    <row r="3930" ht="12.75" hidden="1" customHeight="1" x14ac:dyDescent="0.2"/>
    <row r="3931" ht="12.75" hidden="1" customHeight="1" x14ac:dyDescent="0.2"/>
    <row r="3932" ht="12.75" hidden="1" customHeight="1" x14ac:dyDescent="0.2"/>
    <row r="3933" ht="12.75" hidden="1" customHeight="1" x14ac:dyDescent="0.2"/>
    <row r="3934" ht="12.75" hidden="1" customHeight="1" x14ac:dyDescent="0.2"/>
    <row r="3935" ht="12.75" hidden="1" customHeight="1" x14ac:dyDescent="0.2"/>
    <row r="3936" ht="12.75" hidden="1" customHeight="1" x14ac:dyDescent="0.2"/>
    <row r="3937" ht="12.75" hidden="1" customHeight="1" x14ac:dyDescent="0.2"/>
    <row r="3938" ht="12.75" hidden="1" customHeight="1" x14ac:dyDescent="0.2"/>
    <row r="3939" ht="12.75" hidden="1" customHeight="1" x14ac:dyDescent="0.2"/>
    <row r="3940" ht="12.75" hidden="1" customHeight="1" x14ac:dyDescent="0.2"/>
    <row r="3941" ht="12.75" hidden="1" customHeight="1" x14ac:dyDescent="0.2"/>
    <row r="3942" ht="12.75" hidden="1" customHeight="1" x14ac:dyDescent="0.2"/>
    <row r="3943" ht="12.75" hidden="1" customHeight="1" x14ac:dyDescent="0.2"/>
    <row r="3944" ht="12.75" hidden="1" customHeight="1" x14ac:dyDescent="0.2"/>
    <row r="3945" ht="12.75" hidden="1" customHeight="1" x14ac:dyDescent="0.2"/>
    <row r="3946" ht="12.75" hidden="1" customHeight="1" x14ac:dyDescent="0.2"/>
    <row r="3947" ht="12.75" hidden="1" customHeight="1" x14ac:dyDescent="0.2"/>
    <row r="3948" ht="12.75" hidden="1" customHeight="1" x14ac:dyDescent="0.2"/>
    <row r="3949" ht="12.75" hidden="1" customHeight="1" x14ac:dyDescent="0.2"/>
    <row r="3950" ht="12.75" hidden="1" customHeight="1" x14ac:dyDescent="0.2"/>
    <row r="3951" ht="12.75" hidden="1" customHeight="1" x14ac:dyDescent="0.2"/>
    <row r="3952" ht="12.75" hidden="1" customHeight="1" x14ac:dyDescent="0.2"/>
    <row r="3953" ht="12.75" hidden="1" customHeight="1" x14ac:dyDescent="0.2"/>
    <row r="3954" ht="12.75" hidden="1" customHeight="1" x14ac:dyDescent="0.2"/>
    <row r="3955" ht="12.75" hidden="1" customHeight="1" x14ac:dyDescent="0.2"/>
    <row r="3956" ht="12.75" hidden="1" customHeight="1" x14ac:dyDescent="0.2"/>
    <row r="3957" ht="12.75" hidden="1" customHeight="1" x14ac:dyDescent="0.2"/>
    <row r="3958" ht="12.75" hidden="1" customHeight="1" x14ac:dyDescent="0.2"/>
    <row r="3959" ht="12.75" hidden="1" customHeight="1" x14ac:dyDescent="0.2"/>
    <row r="3960" ht="12.75" hidden="1" customHeight="1" x14ac:dyDescent="0.2"/>
    <row r="3961" ht="12.75" hidden="1" customHeight="1" x14ac:dyDescent="0.2"/>
    <row r="3962" ht="12.75" hidden="1" customHeight="1" x14ac:dyDescent="0.2"/>
    <row r="3963" ht="12.75" hidden="1" customHeight="1" x14ac:dyDescent="0.2"/>
    <row r="3964" ht="12.75" hidden="1" customHeight="1" x14ac:dyDescent="0.2"/>
    <row r="3965" ht="12.75" hidden="1" customHeight="1" x14ac:dyDescent="0.2"/>
    <row r="3966" ht="12.75" hidden="1" customHeight="1" x14ac:dyDescent="0.2"/>
    <row r="3967" ht="12.75" hidden="1" customHeight="1" x14ac:dyDescent="0.2"/>
    <row r="3968" ht="12.75" hidden="1" customHeight="1" x14ac:dyDescent="0.2"/>
    <row r="3969" ht="12.75" hidden="1" customHeight="1" x14ac:dyDescent="0.2"/>
    <row r="3970" ht="12.75" hidden="1" customHeight="1" x14ac:dyDescent="0.2"/>
    <row r="3971" ht="12.75" hidden="1" customHeight="1" x14ac:dyDescent="0.2"/>
    <row r="3972" ht="12.75" hidden="1" customHeight="1" x14ac:dyDescent="0.2"/>
    <row r="3973" ht="12.75" hidden="1" customHeight="1" x14ac:dyDescent="0.2"/>
    <row r="3974" ht="12.75" hidden="1" customHeight="1" x14ac:dyDescent="0.2"/>
    <row r="3975" ht="12.75" hidden="1" customHeight="1" x14ac:dyDescent="0.2"/>
    <row r="3976" ht="12.75" hidden="1" customHeight="1" x14ac:dyDescent="0.2"/>
    <row r="3977" ht="12.75" hidden="1" customHeight="1" x14ac:dyDescent="0.2"/>
    <row r="3978" ht="12.75" hidden="1" customHeight="1" x14ac:dyDescent="0.2"/>
    <row r="3979" ht="12.75" hidden="1" customHeight="1" x14ac:dyDescent="0.2"/>
    <row r="3980" ht="12.75" hidden="1" customHeight="1" x14ac:dyDescent="0.2"/>
    <row r="3981" ht="12.75" hidden="1" customHeight="1" x14ac:dyDescent="0.2"/>
    <row r="3982" ht="12.75" hidden="1" customHeight="1" x14ac:dyDescent="0.2"/>
    <row r="3983" ht="12.75" hidden="1" customHeight="1" x14ac:dyDescent="0.2"/>
    <row r="3984" ht="12.75" hidden="1" customHeight="1" x14ac:dyDescent="0.2"/>
    <row r="3985" ht="12.75" hidden="1" customHeight="1" x14ac:dyDescent="0.2"/>
    <row r="3986" ht="12.75" hidden="1" customHeight="1" x14ac:dyDescent="0.2"/>
    <row r="3987" ht="12.75" hidden="1" customHeight="1" x14ac:dyDescent="0.2"/>
    <row r="3988" ht="12.75" hidden="1" customHeight="1" x14ac:dyDescent="0.2"/>
    <row r="3989" ht="12.75" hidden="1" customHeight="1" x14ac:dyDescent="0.2"/>
    <row r="3990" ht="12.75" hidden="1" customHeight="1" x14ac:dyDescent="0.2"/>
    <row r="3991" ht="12.75" hidden="1" customHeight="1" x14ac:dyDescent="0.2"/>
    <row r="3992" ht="12.75" hidden="1" customHeight="1" x14ac:dyDescent="0.2"/>
    <row r="3993" ht="12.75" hidden="1" customHeight="1" x14ac:dyDescent="0.2"/>
    <row r="3994" ht="12.75" hidden="1" customHeight="1" x14ac:dyDescent="0.2"/>
    <row r="3995" ht="12.75" hidden="1" customHeight="1" x14ac:dyDescent="0.2"/>
    <row r="3996" ht="12.75" hidden="1" customHeight="1" x14ac:dyDescent="0.2"/>
    <row r="3997" ht="12.75" hidden="1" customHeight="1" x14ac:dyDescent="0.2"/>
    <row r="3998" ht="12.75" hidden="1" customHeight="1" x14ac:dyDescent="0.2"/>
    <row r="3999" ht="12.75" hidden="1" customHeight="1" x14ac:dyDescent="0.2"/>
    <row r="4000" ht="12.75" hidden="1" customHeight="1" x14ac:dyDescent="0.2"/>
    <row r="4001" ht="12.75" hidden="1" customHeight="1" x14ac:dyDescent="0.2"/>
    <row r="4002" ht="12.75" hidden="1" customHeight="1" x14ac:dyDescent="0.2"/>
    <row r="4003" ht="12.75" hidden="1" customHeight="1" x14ac:dyDescent="0.2"/>
    <row r="4004" ht="12.75" hidden="1" customHeight="1" x14ac:dyDescent="0.2"/>
    <row r="4005" ht="12.75" hidden="1" customHeight="1" x14ac:dyDescent="0.2"/>
    <row r="4006" ht="12.75" hidden="1" customHeight="1" x14ac:dyDescent="0.2"/>
    <row r="4007" ht="12.75" hidden="1" customHeight="1" x14ac:dyDescent="0.2"/>
    <row r="4008" ht="12.75" hidden="1" customHeight="1" x14ac:dyDescent="0.2"/>
    <row r="4009" ht="12.75" hidden="1" customHeight="1" x14ac:dyDescent="0.2"/>
    <row r="4010" ht="12.75" hidden="1" customHeight="1" x14ac:dyDescent="0.2"/>
    <row r="4011" ht="12.75" hidden="1" customHeight="1" x14ac:dyDescent="0.2"/>
    <row r="4012" ht="12.75" hidden="1" customHeight="1" x14ac:dyDescent="0.2"/>
    <row r="4013" ht="12.75" hidden="1" customHeight="1" x14ac:dyDescent="0.2"/>
    <row r="4014" ht="12.75" hidden="1" customHeight="1" x14ac:dyDescent="0.2"/>
    <row r="4015" ht="12.75" hidden="1" customHeight="1" x14ac:dyDescent="0.2"/>
    <row r="4016" ht="12.75" hidden="1" customHeight="1" x14ac:dyDescent="0.2"/>
    <row r="4017" ht="12.75" hidden="1" customHeight="1" x14ac:dyDescent="0.2"/>
    <row r="4018" ht="12.75" hidden="1" customHeight="1" x14ac:dyDescent="0.2"/>
    <row r="4019" ht="12.75" hidden="1" customHeight="1" x14ac:dyDescent="0.2"/>
    <row r="4020" ht="12.75" hidden="1" customHeight="1" x14ac:dyDescent="0.2"/>
    <row r="4021" ht="12.75" hidden="1" customHeight="1" x14ac:dyDescent="0.2"/>
    <row r="4022" ht="12.75" hidden="1" customHeight="1" x14ac:dyDescent="0.2"/>
    <row r="4023" ht="12.75" hidden="1" customHeight="1" x14ac:dyDescent="0.2"/>
    <row r="4024" ht="12.75" hidden="1" customHeight="1" x14ac:dyDescent="0.2"/>
    <row r="4025" ht="12.75" hidden="1" customHeight="1" x14ac:dyDescent="0.2"/>
    <row r="4026" ht="12.75" hidden="1" customHeight="1" x14ac:dyDescent="0.2"/>
    <row r="4027" ht="12.75" hidden="1" customHeight="1" x14ac:dyDescent="0.2"/>
    <row r="4028" ht="12.75" hidden="1" customHeight="1" x14ac:dyDescent="0.2"/>
    <row r="4029" ht="12.75" hidden="1" customHeight="1" x14ac:dyDescent="0.2"/>
    <row r="4030" ht="12.75" hidden="1" customHeight="1" x14ac:dyDescent="0.2"/>
    <row r="4031" ht="12.75" hidden="1" customHeight="1" x14ac:dyDescent="0.2"/>
    <row r="4032" ht="12.75" hidden="1" customHeight="1" x14ac:dyDescent="0.2"/>
    <row r="4033" ht="12.75" hidden="1" customHeight="1" x14ac:dyDescent="0.2"/>
    <row r="4034" ht="12.75" hidden="1" customHeight="1" x14ac:dyDescent="0.2"/>
    <row r="4035" ht="12.75" hidden="1" customHeight="1" x14ac:dyDescent="0.2"/>
    <row r="4036" ht="12.75" hidden="1" customHeight="1" x14ac:dyDescent="0.2"/>
    <row r="4037" ht="12.75" hidden="1" customHeight="1" x14ac:dyDescent="0.2"/>
    <row r="4038" ht="12.75" hidden="1" customHeight="1" x14ac:dyDescent="0.2"/>
    <row r="4039" ht="12.75" hidden="1" customHeight="1" x14ac:dyDescent="0.2"/>
    <row r="4040" ht="12.75" hidden="1" customHeight="1" x14ac:dyDescent="0.2"/>
    <row r="4041" ht="12.75" hidden="1" customHeight="1" x14ac:dyDescent="0.2"/>
    <row r="4042" ht="12.75" hidden="1" customHeight="1" x14ac:dyDescent="0.2"/>
    <row r="4043" ht="12.75" hidden="1" customHeight="1" x14ac:dyDescent="0.2"/>
    <row r="4044" ht="12.75" hidden="1" customHeight="1" x14ac:dyDescent="0.2"/>
    <row r="4045" ht="12.75" hidden="1" customHeight="1" x14ac:dyDescent="0.2"/>
    <row r="4046" ht="12.75" hidden="1" customHeight="1" x14ac:dyDescent="0.2"/>
    <row r="4047" ht="12.75" hidden="1" customHeight="1" x14ac:dyDescent="0.2"/>
    <row r="4048" ht="12.75" hidden="1" customHeight="1" x14ac:dyDescent="0.2"/>
    <row r="4049" ht="12.75" hidden="1" customHeight="1" x14ac:dyDescent="0.2"/>
    <row r="4050" ht="12.75" hidden="1" customHeight="1" x14ac:dyDescent="0.2"/>
    <row r="4051" ht="12.75" hidden="1" customHeight="1" x14ac:dyDescent="0.2"/>
    <row r="4052" ht="12.75" hidden="1" customHeight="1" x14ac:dyDescent="0.2"/>
    <row r="4053" ht="12.75" hidden="1" customHeight="1" x14ac:dyDescent="0.2"/>
    <row r="4054" ht="12.75" hidden="1" customHeight="1" x14ac:dyDescent="0.2"/>
    <row r="4055" ht="12.75" hidden="1" customHeight="1" x14ac:dyDescent="0.2"/>
    <row r="4056" ht="12.75" hidden="1" customHeight="1" x14ac:dyDescent="0.2"/>
    <row r="4057" ht="12.75" hidden="1" customHeight="1" x14ac:dyDescent="0.2"/>
    <row r="4058" ht="12.75" hidden="1" customHeight="1" x14ac:dyDescent="0.2"/>
    <row r="4059" ht="12.75" hidden="1" customHeight="1" x14ac:dyDescent="0.2"/>
    <row r="4060" ht="12.75" hidden="1" customHeight="1" x14ac:dyDescent="0.2"/>
    <row r="4061" ht="12.75" hidden="1" customHeight="1" x14ac:dyDescent="0.2"/>
    <row r="4062" ht="12.75" hidden="1" customHeight="1" x14ac:dyDescent="0.2"/>
    <row r="4063" ht="12.75" hidden="1" customHeight="1" x14ac:dyDescent="0.2"/>
    <row r="4064" ht="12.75" hidden="1" customHeight="1" x14ac:dyDescent="0.2"/>
    <row r="4065" ht="12.75" hidden="1" customHeight="1" x14ac:dyDescent="0.2"/>
    <row r="4066" ht="12.75" hidden="1" customHeight="1" x14ac:dyDescent="0.2"/>
    <row r="4067" ht="12.75" hidden="1" customHeight="1" x14ac:dyDescent="0.2"/>
    <row r="4068" ht="12.75" hidden="1" customHeight="1" x14ac:dyDescent="0.2"/>
    <row r="4069" ht="12.75" hidden="1" customHeight="1" x14ac:dyDescent="0.2"/>
    <row r="4070" ht="12.75" hidden="1" customHeight="1" x14ac:dyDescent="0.2"/>
    <row r="4071" ht="12.75" hidden="1" customHeight="1" x14ac:dyDescent="0.2"/>
    <row r="4072" ht="12.75" hidden="1" customHeight="1" x14ac:dyDescent="0.2"/>
    <row r="4073" ht="12.75" hidden="1" customHeight="1" x14ac:dyDescent="0.2"/>
    <row r="4074" ht="12.75" hidden="1" customHeight="1" x14ac:dyDescent="0.2"/>
    <row r="4075" ht="12.75" hidden="1" customHeight="1" x14ac:dyDescent="0.2"/>
    <row r="4076" ht="12.75" hidden="1" customHeight="1" x14ac:dyDescent="0.2"/>
    <row r="4077" ht="12.75" hidden="1" customHeight="1" x14ac:dyDescent="0.2"/>
    <row r="4078" ht="12.75" hidden="1" customHeight="1" x14ac:dyDescent="0.2"/>
    <row r="4079" ht="12.75" hidden="1" customHeight="1" x14ac:dyDescent="0.2"/>
    <row r="4080" ht="12.75" hidden="1" customHeight="1" x14ac:dyDescent="0.2"/>
    <row r="4081" ht="12.75" hidden="1" customHeight="1" x14ac:dyDescent="0.2"/>
    <row r="4082" ht="12.75" hidden="1" customHeight="1" x14ac:dyDescent="0.2"/>
    <row r="4083" ht="12.75" hidden="1" customHeight="1" x14ac:dyDescent="0.2"/>
    <row r="4084" ht="12.75" hidden="1" customHeight="1" x14ac:dyDescent="0.2"/>
    <row r="4085" ht="12.75" hidden="1" customHeight="1" x14ac:dyDescent="0.2"/>
    <row r="4086" ht="12.75" hidden="1" customHeight="1" x14ac:dyDescent="0.2"/>
    <row r="4087" ht="12.75" hidden="1" customHeight="1" x14ac:dyDescent="0.2"/>
    <row r="4088" ht="12.75" hidden="1" customHeight="1" x14ac:dyDescent="0.2"/>
    <row r="4089" ht="12.75" hidden="1" customHeight="1" x14ac:dyDescent="0.2"/>
    <row r="4090" ht="12.75" hidden="1" customHeight="1" x14ac:dyDescent="0.2"/>
    <row r="4091" ht="12.75" hidden="1" customHeight="1" x14ac:dyDescent="0.2"/>
    <row r="4092" ht="12.75" hidden="1" customHeight="1" x14ac:dyDescent="0.2"/>
    <row r="4093" ht="12.75" hidden="1" customHeight="1" x14ac:dyDescent="0.2"/>
    <row r="4094" ht="12.75" hidden="1" customHeight="1" x14ac:dyDescent="0.2"/>
    <row r="4095" ht="12.75" hidden="1" customHeight="1" x14ac:dyDescent="0.2"/>
    <row r="4096" ht="12.75" hidden="1" customHeight="1" x14ac:dyDescent="0.2"/>
    <row r="4097" ht="12.75" hidden="1" customHeight="1" x14ac:dyDescent="0.2"/>
    <row r="4098" ht="12.75" hidden="1" customHeight="1" x14ac:dyDescent="0.2"/>
    <row r="4099" ht="12.75" hidden="1" customHeight="1" x14ac:dyDescent="0.2"/>
    <row r="4100" ht="12.75" hidden="1" customHeight="1" x14ac:dyDescent="0.2"/>
    <row r="4101" ht="12.75" hidden="1" customHeight="1" x14ac:dyDescent="0.2"/>
    <row r="4102" ht="12.75" hidden="1" customHeight="1" x14ac:dyDescent="0.2"/>
    <row r="4103" ht="12.75" hidden="1" customHeight="1" x14ac:dyDescent="0.2"/>
    <row r="4104" ht="12.75" hidden="1" customHeight="1" x14ac:dyDescent="0.2"/>
    <row r="4105" ht="12.75" hidden="1" customHeight="1" x14ac:dyDescent="0.2"/>
    <row r="4106" ht="12.75" hidden="1" customHeight="1" x14ac:dyDescent="0.2"/>
    <row r="4107" ht="12.75" hidden="1" customHeight="1" x14ac:dyDescent="0.2"/>
    <row r="4108" ht="12.75" hidden="1" customHeight="1" x14ac:dyDescent="0.2"/>
    <row r="4109" ht="12.75" hidden="1" customHeight="1" x14ac:dyDescent="0.2"/>
    <row r="4110" ht="12.75" hidden="1" customHeight="1" x14ac:dyDescent="0.2"/>
    <row r="4111" ht="12.75" hidden="1" customHeight="1" x14ac:dyDescent="0.2"/>
    <row r="4112" ht="12.75" hidden="1" customHeight="1" x14ac:dyDescent="0.2"/>
    <row r="4113" ht="12.75" hidden="1" customHeight="1" x14ac:dyDescent="0.2"/>
    <row r="4114" ht="12.75" hidden="1" customHeight="1" x14ac:dyDescent="0.2"/>
    <row r="4115" ht="12.75" hidden="1" customHeight="1" x14ac:dyDescent="0.2"/>
    <row r="4116" ht="12.75" hidden="1" customHeight="1" x14ac:dyDescent="0.2"/>
    <row r="4117" ht="12.75" hidden="1" customHeight="1" x14ac:dyDescent="0.2"/>
    <row r="4118" ht="12.75" hidden="1" customHeight="1" x14ac:dyDescent="0.2"/>
    <row r="4119" ht="12.75" hidden="1" customHeight="1" x14ac:dyDescent="0.2"/>
    <row r="4120" ht="12.75" hidden="1" customHeight="1" x14ac:dyDescent="0.2"/>
    <row r="4121" ht="12.75" hidden="1" customHeight="1" x14ac:dyDescent="0.2"/>
    <row r="4122" ht="12.75" hidden="1" customHeight="1" x14ac:dyDescent="0.2"/>
    <row r="4123" ht="12.75" hidden="1" customHeight="1" x14ac:dyDescent="0.2"/>
    <row r="4124" ht="12.75" hidden="1" customHeight="1" x14ac:dyDescent="0.2"/>
    <row r="4125" ht="12.75" hidden="1" customHeight="1" x14ac:dyDescent="0.2"/>
    <row r="4126" ht="12.75" hidden="1" customHeight="1" x14ac:dyDescent="0.2"/>
    <row r="4127" ht="12.75" hidden="1" customHeight="1" x14ac:dyDescent="0.2"/>
    <row r="4128" ht="12.75" hidden="1" customHeight="1" x14ac:dyDescent="0.2"/>
    <row r="4129" ht="12.75" hidden="1" customHeight="1" x14ac:dyDescent="0.2"/>
    <row r="4130" ht="12.75" hidden="1" customHeight="1" x14ac:dyDescent="0.2"/>
    <row r="4131" ht="12.75" hidden="1" customHeight="1" x14ac:dyDescent="0.2"/>
    <row r="4132" ht="12.75" hidden="1" customHeight="1" x14ac:dyDescent="0.2"/>
    <row r="4133" ht="12.75" hidden="1" customHeight="1" x14ac:dyDescent="0.2"/>
    <row r="4134" ht="12.75" hidden="1" customHeight="1" x14ac:dyDescent="0.2"/>
    <row r="4135" ht="12.75" hidden="1" customHeight="1" x14ac:dyDescent="0.2"/>
    <row r="4136" ht="12.75" hidden="1" customHeight="1" x14ac:dyDescent="0.2"/>
    <row r="4137" ht="12.75" hidden="1" customHeight="1" x14ac:dyDescent="0.2"/>
    <row r="4138" ht="12.75" hidden="1" customHeight="1" x14ac:dyDescent="0.2"/>
    <row r="4139" ht="12.75" hidden="1" customHeight="1" x14ac:dyDescent="0.2"/>
    <row r="4140" ht="12.75" hidden="1" customHeight="1" x14ac:dyDescent="0.2"/>
    <row r="4141" ht="12.75" hidden="1" customHeight="1" x14ac:dyDescent="0.2"/>
    <row r="4142" ht="12.75" hidden="1" customHeight="1" x14ac:dyDescent="0.2"/>
    <row r="4143" ht="12.75" hidden="1" customHeight="1" x14ac:dyDescent="0.2"/>
    <row r="4144" ht="12.75" hidden="1" customHeight="1" x14ac:dyDescent="0.2"/>
    <row r="4145" ht="12.75" hidden="1" customHeight="1" x14ac:dyDescent="0.2"/>
    <row r="4146" ht="12.75" hidden="1" customHeight="1" x14ac:dyDescent="0.2"/>
    <row r="4147" ht="12.75" hidden="1" customHeight="1" x14ac:dyDescent="0.2"/>
    <row r="4148" ht="12.75" hidden="1" customHeight="1" x14ac:dyDescent="0.2"/>
    <row r="4149" ht="12.75" hidden="1" customHeight="1" x14ac:dyDescent="0.2"/>
    <row r="4150" ht="12.75" hidden="1" customHeight="1" x14ac:dyDescent="0.2"/>
    <row r="4151" ht="12.75" hidden="1" customHeight="1" x14ac:dyDescent="0.2"/>
    <row r="4152" ht="12.75" hidden="1" customHeight="1" x14ac:dyDescent="0.2"/>
    <row r="4153" ht="12.75" hidden="1" customHeight="1" x14ac:dyDescent="0.2"/>
    <row r="4154" ht="12.75" hidden="1" customHeight="1" x14ac:dyDescent="0.2"/>
    <row r="4155" ht="12.75" hidden="1" customHeight="1" x14ac:dyDescent="0.2"/>
    <row r="4156" ht="12.75" hidden="1" customHeight="1" x14ac:dyDescent="0.2"/>
    <row r="4157" ht="12.75" hidden="1" customHeight="1" x14ac:dyDescent="0.2"/>
    <row r="4158" ht="12.75" hidden="1" customHeight="1" x14ac:dyDescent="0.2"/>
    <row r="4159" ht="12.75" hidden="1" customHeight="1" x14ac:dyDescent="0.2"/>
    <row r="4160" ht="12.75" hidden="1" customHeight="1" x14ac:dyDescent="0.2"/>
    <row r="4161" ht="12.75" hidden="1" customHeight="1" x14ac:dyDescent="0.2"/>
    <row r="4162" ht="12.75" hidden="1" customHeight="1" x14ac:dyDescent="0.2"/>
    <row r="4163" ht="12.75" hidden="1" customHeight="1" x14ac:dyDescent="0.2"/>
    <row r="4164" ht="12.75" hidden="1" customHeight="1" x14ac:dyDescent="0.2"/>
    <row r="4165" ht="12.75" hidden="1" customHeight="1" x14ac:dyDescent="0.2"/>
    <row r="4166" ht="12.75" hidden="1" customHeight="1" x14ac:dyDescent="0.2"/>
    <row r="4167" ht="12.75" hidden="1" customHeight="1" x14ac:dyDescent="0.2"/>
    <row r="4168" ht="12.75" hidden="1" customHeight="1" x14ac:dyDescent="0.2"/>
    <row r="4169" ht="12.75" hidden="1" customHeight="1" x14ac:dyDescent="0.2"/>
    <row r="4170" ht="12.75" hidden="1" customHeight="1" x14ac:dyDescent="0.2"/>
    <row r="4171" ht="12.75" hidden="1" customHeight="1" x14ac:dyDescent="0.2"/>
    <row r="4172" ht="12.75" hidden="1" customHeight="1" x14ac:dyDescent="0.2"/>
    <row r="4173" ht="12.75" hidden="1" customHeight="1" x14ac:dyDescent="0.2"/>
    <row r="4174" ht="12.75" hidden="1" customHeight="1" x14ac:dyDescent="0.2"/>
    <row r="4175" ht="12.75" hidden="1" customHeight="1" x14ac:dyDescent="0.2"/>
    <row r="4176" ht="12.75" hidden="1" customHeight="1" x14ac:dyDescent="0.2"/>
    <row r="4177" ht="12.75" hidden="1" customHeight="1" x14ac:dyDescent="0.2"/>
    <row r="4178" ht="12.75" hidden="1" customHeight="1" x14ac:dyDescent="0.2"/>
    <row r="4179" ht="12.75" hidden="1" customHeight="1" x14ac:dyDescent="0.2"/>
    <row r="4180" ht="12.75" hidden="1" customHeight="1" x14ac:dyDescent="0.2"/>
    <row r="4181" ht="12.75" hidden="1" customHeight="1" x14ac:dyDescent="0.2"/>
    <row r="4182" ht="12.75" hidden="1" customHeight="1" x14ac:dyDescent="0.2"/>
    <row r="4183" ht="12.75" hidden="1" customHeight="1" x14ac:dyDescent="0.2"/>
    <row r="4184" ht="12.75" hidden="1" customHeight="1" x14ac:dyDescent="0.2"/>
    <row r="4185" ht="12.75" hidden="1" customHeight="1" x14ac:dyDescent="0.2"/>
    <row r="4186" ht="12.75" hidden="1" customHeight="1" x14ac:dyDescent="0.2"/>
    <row r="4187" ht="12.75" hidden="1" customHeight="1" x14ac:dyDescent="0.2"/>
    <row r="4188" ht="12.75" hidden="1" customHeight="1" x14ac:dyDescent="0.2"/>
    <row r="4189" ht="12.75" hidden="1" customHeight="1" x14ac:dyDescent="0.2"/>
    <row r="4190" ht="12.75" hidden="1" customHeight="1" x14ac:dyDescent="0.2"/>
    <row r="4191" ht="12.75" hidden="1" customHeight="1" x14ac:dyDescent="0.2"/>
    <row r="4192" ht="12.75" hidden="1" customHeight="1" x14ac:dyDescent="0.2"/>
    <row r="4193" ht="12.75" hidden="1" customHeight="1" x14ac:dyDescent="0.2"/>
    <row r="4194" ht="12.75" hidden="1" customHeight="1" x14ac:dyDescent="0.2"/>
    <row r="4195" ht="12.75" hidden="1" customHeight="1" x14ac:dyDescent="0.2"/>
    <row r="4196" ht="12.75" hidden="1" customHeight="1" x14ac:dyDescent="0.2"/>
    <row r="4197" ht="12.75" hidden="1" customHeight="1" x14ac:dyDescent="0.2"/>
    <row r="4198" ht="12.75" hidden="1" customHeight="1" x14ac:dyDescent="0.2"/>
    <row r="4199" ht="12.75" hidden="1" customHeight="1" x14ac:dyDescent="0.2"/>
    <row r="4200" ht="12.75" hidden="1" customHeight="1" x14ac:dyDescent="0.2"/>
    <row r="4201" ht="12.75" hidden="1" customHeight="1" x14ac:dyDescent="0.2"/>
    <row r="4202" ht="12.75" hidden="1" customHeight="1" x14ac:dyDescent="0.2"/>
    <row r="4203" ht="12.75" hidden="1" customHeight="1" x14ac:dyDescent="0.2"/>
    <row r="4204" ht="12.75" hidden="1" customHeight="1" x14ac:dyDescent="0.2"/>
    <row r="4205" ht="12.75" hidden="1" customHeight="1" x14ac:dyDescent="0.2"/>
    <row r="4206" ht="12.75" hidden="1" customHeight="1" x14ac:dyDescent="0.2"/>
    <row r="4207" ht="12.75" hidden="1" customHeight="1" x14ac:dyDescent="0.2"/>
    <row r="4208" ht="12.75" hidden="1" customHeight="1" x14ac:dyDescent="0.2"/>
    <row r="4209" ht="12.75" hidden="1" customHeight="1" x14ac:dyDescent="0.2"/>
    <row r="4210" ht="12.75" hidden="1" customHeight="1" x14ac:dyDescent="0.2"/>
    <row r="4211" ht="12.75" hidden="1" customHeight="1" x14ac:dyDescent="0.2"/>
    <row r="4212" ht="12.75" hidden="1" customHeight="1" x14ac:dyDescent="0.2"/>
    <row r="4213" ht="12.75" hidden="1" customHeight="1" x14ac:dyDescent="0.2"/>
    <row r="4214" ht="12.75" hidden="1" customHeight="1" x14ac:dyDescent="0.2"/>
    <row r="4215" ht="12.75" hidden="1" customHeight="1" x14ac:dyDescent="0.2"/>
    <row r="4216" ht="12.75" hidden="1" customHeight="1" x14ac:dyDescent="0.2"/>
    <row r="4217" ht="12.75" hidden="1" customHeight="1" x14ac:dyDescent="0.2"/>
    <row r="4218" ht="12.75" hidden="1" customHeight="1" x14ac:dyDescent="0.2"/>
    <row r="4219" ht="12.75" hidden="1" customHeight="1" x14ac:dyDescent="0.2"/>
    <row r="4220" ht="12.75" hidden="1" customHeight="1" x14ac:dyDescent="0.2"/>
    <row r="4221" ht="12.75" hidden="1" customHeight="1" x14ac:dyDescent="0.2"/>
    <row r="4222" ht="12.75" hidden="1" customHeight="1" x14ac:dyDescent="0.2"/>
    <row r="4223" ht="12.75" hidden="1" customHeight="1" x14ac:dyDescent="0.2"/>
    <row r="4224" ht="12.75" hidden="1" customHeight="1" x14ac:dyDescent="0.2"/>
    <row r="4225" ht="12.75" hidden="1" customHeight="1" x14ac:dyDescent="0.2"/>
    <row r="4226" ht="12.75" hidden="1" customHeight="1" x14ac:dyDescent="0.2"/>
    <row r="4227" ht="12.75" hidden="1" customHeight="1" x14ac:dyDescent="0.2"/>
    <row r="4228" ht="12.75" hidden="1" customHeight="1" x14ac:dyDescent="0.2"/>
    <row r="4229" ht="12.75" hidden="1" customHeight="1" x14ac:dyDescent="0.2"/>
    <row r="4230" ht="12.75" hidden="1" customHeight="1" x14ac:dyDescent="0.2"/>
    <row r="4231" ht="12.75" hidden="1" customHeight="1" x14ac:dyDescent="0.2"/>
    <row r="4232" ht="12.75" hidden="1" customHeight="1" x14ac:dyDescent="0.2"/>
    <row r="4233" ht="12.75" hidden="1" customHeight="1" x14ac:dyDescent="0.2"/>
    <row r="4234" ht="12.75" hidden="1" customHeight="1" x14ac:dyDescent="0.2"/>
    <row r="4235" ht="12.75" hidden="1" customHeight="1" x14ac:dyDescent="0.2"/>
    <row r="4236" ht="12.75" hidden="1" customHeight="1" x14ac:dyDescent="0.2"/>
    <row r="4237" ht="12.75" hidden="1" customHeight="1" x14ac:dyDescent="0.2"/>
    <row r="4238" ht="12.75" hidden="1" customHeight="1" x14ac:dyDescent="0.2"/>
    <row r="4239" ht="12.75" hidden="1" customHeight="1" x14ac:dyDescent="0.2"/>
    <row r="4240" ht="12.75" hidden="1" customHeight="1" x14ac:dyDescent="0.2"/>
    <row r="4241" ht="12.75" hidden="1" customHeight="1" x14ac:dyDescent="0.2"/>
    <row r="4242" ht="12.75" hidden="1" customHeight="1" x14ac:dyDescent="0.2"/>
    <row r="4243" ht="12.75" hidden="1" customHeight="1" x14ac:dyDescent="0.2"/>
    <row r="4244" ht="12.75" hidden="1" customHeight="1" x14ac:dyDescent="0.2"/>
    <row r="4245" ht="12.75" hidden="1" customHeight="1" x14ac:dyDescent="0.2"/>
    <row r="4246" ht="12.75" hidden="1" customHeight="1" x14ac:dyDescent="0.2"/>
    <row r="4247" ht="12.75" hidden="1" customHeight="1" x14ac:dyDescent="0.2"/>
    <row r="4248" ht="12.75" hidden="1" customHeight="1" x14ac:dyDescent="0.2"/>
    <row r="4249" ht="12.75" hidden="1" customHeight="1" x14ac:dyDescent="0.2"/>
    <row r="4250" ht="12.75" hidden="1" customHeight="1" x14ac:dyDescent="0.2"/>
    <row r="4251" ht="12.75" hidden="1" customHeight="1" x14ac:dyDescent="0.2"/>
    <row r="4252" ht="12.75" hidden="1" customHeight="1" x14ac:dyDescent="0.2"/>
    <row r="4253" ht="12.75" hidden="1" customHeight="1" x14ac:dyDescent="0.2"/>
    <row r="4254" ht="12.75" hidden="1" customHeight="1" x14ac:dyDescent="0.2"/>
    <row r="4255" ht="12.75" hidden="1" customHeight="1" x14ac:dyDescent="0.2"/>
    <row r="4256" ht="12.75" hidden="1" customHeight="1" x14ac:dyDescent="0.2"/>
    <row r="4257" ht="12.75" hidden="1" customHeight="1" x14ac:dyDescent="0.2"/>
    <row r="4258" ht="12.75" hidden="1" customHeight="1" x14ac:dyDescent="0.2"/>
    <row r="4259" ht="12.75" hidden="1" customHeight="1" x14ac:dyDescent="0.2"/>
    <row r="4260" ht="12.75" hidden="1" customHeight="1" x14ac:dyDescent="0.2"/>
    <row r="4261" ht="12.75" hidden="1" customHeight="1" x14ac:dyDescent="0.2"/>
    <row r="4262" ht="12.75" hidden="1" customHeight="1" x14ac:dyDescent="0.2"/>
    <row r="4263" ht="12.75" hidden="1" customHeight="1" x14ac:dyDescent="0.2"/>
    <row r="4264" ht="12.75" hidden="1" customHeight="1" x14ac:dyDescent="0.2"/>
    <row r="4265" ht="12.75" hidden="1" customHeight="1" x14ac:dyDescent="0.2"/>
    <row r="4266" ht="12.75" hidden="1" customHeight="1" x14ac:dyDescent="0.2"/>
    <row r="4267" ht="12.75" hidden="1" customHeight="1" x14ac:dyDescent="0.2"/>
    <row r="4268" ht="12.75" hidden="1" customHeight="1" x14ac:dyDescent="0.2"/>
    <row r="4269" ht="12.75" hidden="1" customHeight="1" x14ac:dyDescent="0.2"/>
    <row r="4270" ht="12.75" hidden="1" customHeight="1" x14ac:dyDescent="0.2"/>
    <row r="4271" ht="12.75" hidden="1" customHeight="1" x14ac:dyDescent="0.2"/>
    <row r="4272" ht="12.75" hidden="1" customHeight="1" x14ac:dyDescent="0.2"/>
    <row r="4273" ht="12.75" hidden="1" customHeight="1" x14ac:dyDescent="0.2"/>
    <row r="4274" ht="12.75" hidden="1" customHeight="1" x14ac:dyDescent="0.2"/>
    <row r="4275" ht="12.75" hidden="1" customHeight="1" x14ac:dyDescent="0.2"/>
    <row r="4276" ht="12.75" hidden="1" customHeight="1" x14ac:dyDescent="0.2"/>
    <row r="4277" ht="12.75" hidden="1" customHeight="1" x14ac:dyDescent="0.2"/>
    <row r="4278" ht="12.75" hidden="1" customHeight="1" x14ac:dyDescent="0.2"/>
    <row r="4279" ht="12.75" hidden="1" customHeight="1" x14ac:dyDescent="0.2"/>
    <row r="4280" ht="12.75" hidden="1" customHeight="1" x14ac:dyDescent="0.2"/>
    <row r="4281" ht="12.75" hidden="1" customHeight="1" x14ac:dyDescent="0.2"/>
    <row r="4282" ht="12.75" hidden="1" customHeight="1" x14ac:dyDescent="0.2"/>
    <row r="4283" ht="12.75" hidden="1" customHeight="1" x14ac:dyDescent="0.2"/>
    <row r="4284" ht="12.75" hidden="1" customHeight="1" x14ac:dyDescent="0.2"/>
    <row r="4285" ht="12.75" hidden="1" customHeight="1" x14ac:dyDescent="0.2"/>
    <row r="4286" ht="12.75" hidden="1" customHeight="1" x14ac:dyDescent="0.2"/>
    <row r="4287" ht="12.75" hidden="1" customHeight="1" x14ac:dyDescent="0.2"/>
    <row r="4288" ht="12.75" hidden="1" customHeight="1" x14ac:dyDescent="0.2"/>
    <row r="4289" ht="12.75" hidden="1" customHeight="1" x14ac:dyDescent="0.2"/>
    <row r="4290" ht="12.75" hidden="1" customHeight="1" x14ac:dyDescent="0.2"/>
    <row r="4291" ht="12.75" hidden="1" customHeight="1" x14ac:dyDescent="0.2"/>
    <row r="4292" ht="12.75" hidden="1" customHeight="1" x14ac:dyDescent="0.2"/>
    <row r="4293" ht="12.75" hidden="1" customHeight="1" x14ac:dyDescent="0.2"/>
    <row r="4294" ht="12.75" hidden="1" customHeight="1" x14ac:dyDescent="0.2"/>
    <row r="4295" ht="12.75" hidden="1" customHeight="1" x14ac:dyDescent="0.2"/>
    <row r="4296" ht="12.75" hidden="1" customHeight="1" x14ac:dyDescent="0.2"/>
    <row r="4297" ht="12.75" hidden="1" customHeight="1" x14ac:dyDescent="0.2"/>
    <row r="4298" ht="12.75" hidden="1" customHeight="1" x14ac:dyDescent="0.2"/>
    <row r="4299" ht="12.75" hidden="1" customHeight="1" x14ac:dyDescent="0.2"/>
    <row r="4300" ht="12.75" hidden="1" customHeight="1" x14ac:dyDescent="0.2"/>
    <row r="4301" ht="12.75" hidden="1" customHeight="1" x14ac:dyDescent="0.2"/>
    <row r="4302" ht="12.75" hidden="1" customHeight="1" x14ac:dyDescent="0.2"/>
    <row r="4303" ht="12.75" hidden="1" customHeight="1" x14ac:dyDescent="0.2"/>
    <row r="4304" ht="12.75" hidden="1" customHeight="1" x14ac:dyDescent="0.2"/>
    <row r="4305" ht="12.75" hidden="1" customHeight="1" x14ac:dyDescent="0.2"/>
    <row r="4306" ht="12.75" hidden="1" customHeight="1" x14ac:dyDescent="0.2"/>
    <row r="4307" ht="12.75" hidden="1" customHeight="1" x14ac:dyDescent="0.2"/>
    <row r="4308" ht="12.75" hidden="1" customHeight="1" x14ac:dyDescent="0.2"/>
    <row r="4309" ht="12.75" hidden="1" customHeight="1" x14ac:dyDescent="0.2"/>
    <row r="4310" ht="12.75" hidden="1" customHeight="1" x14ac:dyDescent="0.2"/>
    <row r="4311" ht="12.75" hidden="1" customHeight="1" x14ac:dyDescent="0.2"/>
    <row r="4312" ht="12.75" hidden="1" customHeight="1" x14ac:dyDescent="0.2"/>
    <row r="4313" ht="12.75" hidden="1" customHeight="1" x14ac:dyDescent="0.2"/>
    <row r="4314" ht="12.75" hidden="1" customHeight="1" x14ac:dyDescent="0.2"/>
    <row r="4315" ht="12.75" hidden="1" customHeight="1" x14ac:dyDescent="0.2"/>
    <row r="4316" ht="12.75" hidden="1" customHeight="1" x14ac:dyDescent="0.2"/>
    <row r="4317" ht="12.75" hidden="1" customHeight="1" x14ac:dyDescent="0.2"/>
    <row r="4318" ht="12.75" hidden="1" customHeight="1" x14ac:dyDescent="0.2"/>
    <row r="4319" ht="12.75" hidden="1" customHeight="1" x14ac:dyDescent="0.2"/>
    <row r="4320" ht="12.75" hidden="1" customHeight="1" x14ac:dyDescent="0.2"/>
    <row r="4321" ht="12.75" hidden="1" customHeight="1" x14ac:dyDescent="0.2"/>
    <row r="4322" ht="12.75" hidden="1" customHeight="1" x14ac:dyDescent="0.2"/>
    <row r="4323" ht="12.75" hidden="1" customHeight="1" x14ac:dyDescent="0.2"/>
    <row r="4324" ht="12.75" hidden="1" customHeight="1" x14ac:dyDescent="0.2"/>
    <row r="4325" ht="12.75" hidden="1" customHeight="1" x14ac:dyDescent="0.2"/>
    <row r="4326" ht="12.75" hidden="1" customHeight="1" x14ac:dyDescent="0.2"/>
    <row r="4327" ht="12.75" hidden="1" customHeight="1" x14ac:dyDescent="0.2"/>
    <row r="4328" ht="12.75" hidden="1" customHeight="1" x14ac:dyDescent="0.2"/>
    <row r="4329" ht="12.75" hidden="1" customHeight="1" x14ac:dyDescent="0.2"/>
    <row r="4330" ht="12.75" hidden="1" customHeight="1" x14ac:dyDescent="0.2"/>
    <row r="4331" ht="12.75" hidden="1" customHeight="1" x14ac:dyDescent="0.2"/>
    <row r="4332" ht="12.75" hidden="1" customHeight="1" x14ac:dyDescent="0.2"/>
    <row r="4333" ht="12.75" hidden="1" customHeight="1" x14ac:dyDescent="0.2"/>
    <row r="4334" ht="12.75" hidden="1" customHeight="1" x14ac:dyDescent="0.2"/>
    <row r="4335" ht="12.75" hidden="1" customHeight="1" x14ac:dyDescent="0.2"/>
    <row r="4336" ht="12.75" hidden="1" customHeight="1" x14ac:dyDescent="0.2"/>
    <row r="4337" ht="12.75" hidden="1" customHeight="1" x14ac:dyDescent="0.2"/>
    <row r="4338" ht="12.75" hidden="1" customHeight="1" x14ac:dyDescent="0.2"/>
    <row r="4339" ht="12.75" hidden="1" customHeight="1" x14ac:dyDescent="0.2"/>
    <row r="4340" ht="12.75" hidden="1" customHeight="1" x14ac:dyDescent="0.2"/>
    <row r="4341" ht="12.75" hidden="1" customHeight="1" x14ac:dyDescent="0.2"/>
    <row r="4342" ht="12.75" hidden="1" customHeight="1" x14ac:dyDescent="0.2"/>
    <row r="4343" ht="12.75" hidden="1" customHeight="1" x14ac:dyDescent="0.2"/>
    <row r="4344" ht="12.75" hidden="1" customHeight="1" x14ac:dyDescent="0.2"/>
    <row r="4345" ht="12.75" hidden="1" customHeight="1" x14ac:dyDescent="0.2"/>
    <row r="4346" ht="12.75" hidden="1" customHeight="1" x14ac:dyDescent="0.2"/>
    <row r="4347" ht="12.75" hidden="1" customHeight="1" x14ac:dyDescent="0.2"/>
    <row r="4348" ht="12.75" hidden="1" customHeight="1" x14ac:dyDescent="0.2"/>
    <row r="4349" ht="12.75" hidden="1" customHeight="1" x14ac:dyDescent="0.2"/>
    <row r="4350" ht="12.75" hidden="1" customHeight="1" x14ac:dyDescent="0.2"/>
    <row r="4351" ht="12.75" hidden="1" customHeight="1" x14ac:dyDescent="0.2"/>
    <row r="4352" ht="12.75" hidden="1" customHeight="1" x14ac:dyDescent="0.2"/>
    <row r="4353" ht="12.75" hidden="1" customHeight="1" x14ac:dyDescent="0.2"/>
    <row r="4354" ht="12.75" hidden="1" customHeight="1" x14ac:dyDescent="0.2"/>
    <row r="4355" ht="12.75" hidden="1" customHeight="1" x14ac:dyDescent="0.2"/>
    <row r="4356" ht="12.75" hidden="1" customHeight="1" x14ac:dyDescent="0.2"/>
    <row r="4357" ht="12.75" hidden="1" customHeight="1" x14ac:dyDescent="0.2"/>
    <row r="4358" ht="12.75" hidden="1" customHeight="1" x14ac:dyDescent="0.2"/>
    <row r="4359" ht="12.75" hidden="1" customHeight="1" x14ac:dyDescent="0.2"/>
    <row r="4360" ht="12.75" hidden="1" customHeight="1" x14ac:dyDescent="0.2"/>
    <row r="4361" ht="12.75" hidden="1" customHeight="1" x14ac:dyDescent="0.2"/>
    <row r="4362" ht="12.75" hidden="1" customHeight="1" x14ac:dyDescent="0.2"/>
    <row r="4363" ht="12.75" hidden="1" customHeight="1" x14ac:dyDescent="0.2"/>
    <row r="4364" ht="12.75" hidden="1" customHeight="1" x14ac:dyDescent="0.2"/>
    <row r="4365" ht="12.75" hidden="1" customHeight="1" x14ac:dyDescent="0.2"/>
    <row r="4366" ht="12.75" hidden="1" customHeight="1" x14ac:dyDescent="0.2"/>
    <row r="4367" ht="12.75" hidden="1" customHeight="1" x14ac:dyDescent="0.2"/>
    <row r="4368" ht="12.75" hidden="1" customHeight="1" x14ac:dyDescent="0.2"/>
    <row r="4369" ht="12.75" hidden="1" customHeight="1" x14ac:dyDescent="0.2"/>
    <row r="4370" ht="12.75" hidden="1" customHeight="1" x14ac:dyDescent="0.2"/>
    <row r="4371" ht="12.75" hidden="1" customHeight="1" x14ac:dyDescent="0.2"/>
    <row r="4372" ht="12.75" hidden="1" customHeight="1" x14ac:dyDescent="0.2"/>
    <row r="4373" ht="12.75" hidden="1" customHeight="1" x14ac:dyDescent="0.2"/>
    <row r="4374" ht="12.75" hidden="1" customHeight="1" x14ac:dyDescent="0.2"/>
    <row r="4375" ht="12.75" hidden="1" customHeight="1" x14ac:dyDescent="0.2"/>
    <row r="4376" ht="12.75" hidden="1" customHeight="1" x14ac:dyDescent="0.2"/>
    <row r="4377" ht="12.75" hidden="1" customHeight="1" x14ac:dyDescent="0.2"/>
    <row r="4378" ht="12.75" hidden="1" customHeight="1" x14ac:dyDescent="0.2"/>
    <row r="4379" ht="12.75" hidden="1" customHeight="1" x14ac:dyDescent="0.2"/>
    <row r="4380" ht="12.75" hidden="1" customHeight="1" x14ac:dyDescent="0.2"/>
    <row r="4381" ht="12.75" hidden="1" customHeight="1" x14ac:dyDescent="0.2"/>
    <row r="4382" ht="12.75" hidden="1" customHeight="1" x14ac:dyDescent="0.2"/>
    <row r="4383" ht="12.75" hidden="1" customHeight="1" x14ac:dyDescent="0.2"/>
    <row r="4384" ht="12.75" hidden="1" customHeight="1" x14ac:dyDescent="0.2"/>
    <row r="4385" ht="12.75" hidden="1" customHeight="1" x14ac:dyDescent="0.2"/>
    <row r="4386" ht="12.75" hidden="1" customHeight="1" x14ac:dyDescent="0.2"/>
    <row r="4387" ht="12.75" hidden="1" customHeight="1" x14ac:dyDescent="0.2"/>
    <row r="4388" ht="12.75" hidden="1" customHeight="1" x14ac:dyDescent="0.2"/>
    <row r="4389" ht="12.75" hidden="1" customHeight="1" x14ac:dyDescent="0.2"/>
    <row r="4390" ht="12.75" hidden="1" customHeight="1" x14ac:dyDescent="0.2"/>
    <row r="4391" ht="12.75" hidden="1" customHeight="1" x14ac:dyDescent="0.2"/>
    <row r="4392" ht="12.75" hidden="1" customHeight="1" x14ac:dyDescent="0.2"/>
    <row r="4393" ht="12.75" hidden="1" customHeight="1" x14ac:dyDescent="0.2"/>
    <row r="4394" ht="12.75" hidden="1" customHeight="1" x14ac:dyDescent="0.2"/>
    <row r="4395" ht="12.75" hidden="1" customHeight="1" x14ac:dyDescent="0.2"/>
    <row r="4396" ht="12.75" hidden="1" customHeight="1" x14ac:dyDescent="0.2"/>
    <row r="4397" ht="12.75" hidden="1" customHeight="1" x14ac:dyDescent="0.2"/>
    <row r="4398" ht="12.75" hidden="1" customHeight="1" x14ac:dyDescent="0.2"/>
    <row r="4399" ht="12.75" hidden="1" customHeight="1" x14ac:dyDescent="0.2"/>
    <row r="4400" ht="12.75" hidden="1" customHeight="1" x14ac:dyDescent="0.2"/>
    <row r="4401" ht="12.75" hidden="1" customHeight="1" x14ac:dyDescent="0.2"/>
    <row r="4402" ht="12.75" hidden="1" customHeight="1" x14ac:dyDescent="0.2"/>
    <row r="4403" ht="12.75" hidden="1" customHeight="1" x14ac:dyDescent="0.2"/>
    <row r="4404" ht="12.75" hidden="1" customHeight="1" x14ac:dyDescent="0.2"/>
    <row r="4405" ht="12.75" hidden="1" customHeight="1" x14ac:dyDescent="0.2"/>
    <row r="4406" ht="12.75" hidden="1" customHeight="1" x14ac:dyDescent="0.2"/>
    <row r="4407" ht="12.75" hidden="1" customHeight="1" x14ac:dyDescent="0.2"/>
    <row r="4408" ht="12.75" hidden="1" customHeight="1" x14ac:dyDescent="0.2"/>
    <row r="4409" ht="12.75" hidden="1" customHeight="1" x14ac:dyDescent="0.2"/>
    <row r="4410" ht="12.75" hidden="1" customHeight="1" x14ac:dyDescent="0.2"/>
    <row r="4411" ht="12.75" hidden="1" customHeight="1" x14ac:dyDescent="0.2"/>
    <row r="4412" ht="12.75" hidden="1" customHeight="1" x14ac:dyDescent="0.2"/>
    <row r="4413" ht="12.75" hidden="1" customHeight="1" x14ac:dyDescent="0.2"/>
    <row r="4414" ht="12.75" hidden="1" customHeight="1" x14ac:dyDescent="0.2"/>
    <row r="4415" ht="12.75" hidden="1" customHeight="1" x14ac:dyDescent="0.2"/>
    <row r="4416" ht="12.75" hidden="1" customHeight="1" x14ac:dyDescent="0.2"/>
    <row r="4417" ht="12.75" hidden="1" customHeight="1" x14ac:dyDescent="0.2"/>
    <row r="4418" ht="12.75" hidden="1" customHeight="1" x14ac:dyDescent="0.2"/>
    <row r="4419" ht="12.75" hidden="1" customHeight="1" x14ac:dyDescent="0.2"/>
    <row r="4420" ht="12.75" hidden="1" customHeight="1" x14ac:dyDescent="0.2"/>
    <row r="4421" ht="12.75" hidden="1" customHeight="1" x14ac:dyDescent="0.2"/>
    <row r="4422" ht="12.75" hidden="1" customHeight="1" x14ac:dyDescent="0.2"/>
    <row r="4423" ht="12.75" hidden="1" customHeight="1" x14ac:dyDescent="0.2"/>
    <row r="4424" ht="12.75" hidden="1" customHeight="1" x14ac:dyDescent="0.2"/>
    <row r="4425" ht="12.75" hidden="1" customHeight="1" x14ac:dyDescent="0.2"/>
    <row r="4426" ht="12.75" hidden="1" customHeight="1" x14ac:dyDescent="0.2"/>
    <row r="4427" ht="12.75" hidden="1" customHeight="1" x14ac:dyDescent="0.2"/>
    <row r="4428" ht="12.75" hidden="1" customHeight="1" x14ac:dyDescent="0.2"/>
    <row r="4429" ht="12.75" hidden="1" customHeight="1" x14ac:dyDescent="0.2"/>
    <row r="4430" ht="12.75" hidden="1" customHeight="1" x14ac:dyDescent="0.2"/>
    <row r="4431" ht="12.75" hidden="1" customHeight="1" x14ac:dyDescent="0.2"/>
    <row r="4432" ht="12.75" hidden="1" customHeight="1" x14ac:dyDescent="0.2"/>
    <row r="4433" ht="12.75" hidden="1" customHeight="1" x14ac:dyDescent="0.2"/>
    <row r="4434" ht="12.75" hidden="1" customHeight="1" x14ac:dyDescent="0.2"/>
    <row r="4435" ht="12.75" hidden="1" customHeight="1" x14ac:dyDescent="0.2"/>
    <row r="4436" ht="12.75" hidden="1" customHeight="1" x14ac:dyDescent="0.2"/>
    <row r="4437" ht="12.75" hidden="1" customHeight="1" x14ac:dyDescent="0.2"/>
    <row r="4438" ht="12.75" hidden="1" customHeight="1" x14ac:dyDescent="0.2"/>
    <row r="4439" ht="12.75" hidden="1" customHeight="1" x14ac:dyDescent="0.2"/>
    <row r="4440" ht="12.75" hidden="1" customHeight="1" x14ac:dyDescent="0.2"/>
    <row r="4441" ht="12.75" hidden="1" customHeight="1" x14ac:dyDescent="0.2"/>
    <row r="4442" ht="12.75" hidden="1" customHeight="1" x14ac:dyDescent="0.2"/>
    <row r="4443" ht="12.75" hidden="1" customHeight="1" x14ac:dyDescent="0.2"/>
    <row r="4444" ht="12.75" hidden="1" customHeight="1" x14ac:dyDescent="0.2"/>
    <row r="4445" ht="12.75" hidden="1" customHeight="1" x14ac:dyDescent="0.2"/>
    <row r="4446" ht="12.75" hidden="1" customHeight="1" x14ac:dyDescent="0.2"/>
    <row r="4447" ht="12.75" hidden="1" customHeight="1" x14ac:dyDescent="0.2"/>
    <row r="4448" ht="12.75" hidden="1" customHeight="1" x14ac:dyDescent="0.2"/>
    <row r="4449" ht="12.75" hidden="1" customHeight="1" x14ac:dyDescent="0.2"/>
    <row r="4450" ht="12.75" hidden="1" customHeight="1" x14ac:dyDescent="0.2"/>
    <row r="4451" ht="12.75" hidden="1" customHeight="1" x14ac:dyDescent="0.2"/>
    <row r="4452" ht="12.75" hidden="1" customHeight="1" x14ac:dyDescent="0.2"/>
    <row r="4453" ht="12.75" hidden="1" customHeight="1" x14ac:dyDescent="0.2"/>
    <row r="4454" ht="12.75" hidden="1" customHeight="1" x14ac:dyDescent="0.2"/>
    <row r="4455" ht="12.75" hidden="1" customHeight="1" x14ac:dyDescent="0.2"/>
    <row r="4456" ht="12.75" hidden="1" customHeight="1" x14ac:dyDescent="0.2"/>
    <row r="4457" ht="12.75" hidden="1" customHeight="1" x14ac:dyDescent="0.2"/>
    <row r="4458" ht="12.75" hidden="1" customHeight="1" x14ac:dyDescent="0.2"/>
    <row r="4459" ht="12.75" hidden="1" customHeight="1" x14ac:dyDescent="0.2"/>
    <row r="4460" ht="12.75" hidden="1" customHeight="1" x14ac:dyDescent="0.2"/>
    <row r="4461" ht="12.75" hidden="1" customHeight="1" x14ac:dyDescent="0.2"/>
    <row r="4462" ht="12.75" hidden="1" customHeight="1" x14ac:dyDescent="0.2"/>
    <row r="4463" ht="12.75" hidden="1" customHeight="1" x14ac:dyDescent="0.2"/>
    <row r="4464" ht="12.75" hidden="1" customHeight="1" x14ac:dyDescent="0.2"/>
    <row r="4465" ht="12.75" hidden="1" customHeight="1" x14ac:dyDescent="0.2"/>
    <row r="4466" ht="12.75" hidden="1" customHeight="1" x14ac:dyDescent="0.2"/>
    <row r="4467" ht="12.75" hidden="1" customHeight="1" x14ac:dyDescent="0.2"/>
    <row r="4468" ht="12.75" hidden="1" customHeight="1" x14ac:dyDescent="0.2"/>
    <row r="4469" ht="12.75" hidden="1" customHeight="1" x14ac:dyDescent="0.2"/>
    <row r="4470" ht="12.75" hidden="1" customHeight="1" x14ac:dyDescent="0.2"/>
    <row r="4471" ht="12.75" hidden="1" customHeight="1" x14ac:dyDescent="0.2"/>
    <row r="4472" ht="12.75" hidden="1" customHeight="1" x14ac:dyDescent="0.2"/>
    <row r="4473" ht="12.75" hidden="1" customHeight="1" x14ac:dyDescent="0.2"/>
    <row r="4474" ht="12.75" hidden="1" customHeight="1" x14ac:dyDescent="0.2"/>
    <row r="4475" ht="12.75" hidden="1" customHeight="1" x14ac:dyDescent="0.2"/>
    <row r="4476" ht="12.75" hidden="1" customHeight="1" x14ac:dyDescent="0.2"/>
    <row r="4477" ht="12.75" hidden="1" customHeight="1" x14ac:dyDescent="0.2"/>
    <row r="4478" ht="12.75" hidden="1" customHeight="1" x14ac:dyDescent="0.2"/>
    <row r="4479" ht="12.75" hidden="1" customHeight="1" x14ac:dyDescent="0.2"/>
    <row r="4480" ht="12.75" hidden="1" customHeight="1" x14ac:dyDescent="0.2"/>
    <row r="4481" ht="12.75" hidden="1" customHeight="1" x14ac:dyDescent="0.2"/>
    <row r="4482" ht="12.75" hidden="1" customHeight="1" x14ac:dyDescent="0.2"/>
    <row r="4483" ht="12.75" hidden="1" customHeight="1" x14ac:dyDescent="0.2"/>
    <row r="4484" ht="12.75" hidden="1" customHeight="1" x14ac:dyDescent="0.2"/>
    <row r="4485" ht="12.75" hidden="1" customHeight="1" x14ac:dyDescent="0.2"/>
    <row r="4486" ht="12.75" hidden="1" customHeight="1" x14ac:dyDescent="0.2"/>
    <row r="4487" ht="12.75" hidden="1" customHeight="1" x14ac:dyDescent="0.2"/>
    <row r="4488" ht="12.75" hidden="1" customHeight="1" x14ac:dyDescent="0.2"/>
    <row r="4489" ht="12.75" hidden="1" customHeight="1" x14ac:dyDescent="0.2"/>
    <row r="4490" ht="12.75" hidden="1" customHeight="1" x14ac:dyDescent="0.2"/>
    <row r="4491" ht="12.75" hidden="1" customHeight="1" x14ac:dyDescent="0.2"/>
    <row r="4492" ht="12.75" hidden="1" customHeight="1" x14ac:dyDescent="0.2"/>
    <row r="4493" ht="12.75" hidden="1" customHeight="1" x14ac:dyDescent="0.2"/>
    <row r="4494" ht="12.75" hidden="1" customHeight="1" x14ac:dyDescent="0.2"/>
    <row r="4495" ht="12.75" hidden="1" customHeight="1" x14ac:dyDescent="0.2"/>
    <row r="4496" ht="12.75" hidden="1" customHeight="1" x14ac:dyDescent="0.2"/>
    <row r="4497" ht="12.75" hidden="1" customHeight="1" x14ac:dyDescent="0.2"/>
    <row r="4498" ht="12.75" hidden="1" customHeight="1" x14ac:dyDescent="0.2"/>
    <row r="4499" ht="12.75" hidden="1" customHeight="1" x14ac:dyDescent="0.2"/>
    <row r="4500" ht="12.75" hidden="1" customHeight="1" x14ac:dyDescent="0.2"/>
    <row r="4501" ht="12.75" hidden="1" customHeight="1" x14ac:dyDescent="0.2"/>
    <row r="4502" ht="12.75" hidden="1" customHeight="1" x14ac:dyDescent="0.2"/>
    <row r="4503" ht="12.75" hidden="1" customHeight="1" x14ac:dyDescent="0.2"/>
    <row r="4504" ht="12.75" hidden="1" customHeight="1" x14ac:dyDescent="0.2"/>
    <row r="4505" ht="12.75" hidden="1" customHeight="1" x14ac:dyDescent="0.2"/>
    <row r="4506" ht="12.75" hidden="1" customHeight="1" x14ac:dyDescent="0.2"/>
    <row r="4507" ht="12.75" hidden="1" customHeight="1" x14ac:dyDescent="0.2"/>
    <row r="4508" ht="12.75" hidden="1" customHeight="1" x14ac:dyDescent="0.2"/>
    <row r="4509" ht="12.75" hidden="1" customHeight="1" x14ac:dyDescent="0.2"/>
    <row r="4510" ht="12.75" hidden="1" customHeight="1" x14ac:dyDescent="0.2"/>
    <row r="4511" ht="12.75" hidden="1" customHeight="1" x14ac:dyDescent="0.2"/>
    <row r="4512" ht="12.75" hidden="1" customHeight="1" x14ac:dyDescent="0.2"/>
    <row r="4513" ht="12.75" hidden="1" customHeight="1" x14ac:dyDescent="0.2"/>
    <row r="4514" ht="12.75" hidden="1" customHeight="1" x14ac:dyDescent="0.2"/>
    <row r="4515" ht="12.75" hidden="1" customHeight="1" x14ac:dyDescent="0.2"/>
    <row r="4516" ht="12.75" hidden="1" customHeight="1" x14ac:dyDescent="0.2"/>
    <row r="4517" ht="12.75" hidden="1" customHeight="1" x14ac:dyDescent="0.2"/>
    <row r="4518" ht="12.75" hidden="1" customHeight="1" x14ac:dyDescent="0.2"/>
    <row r="4519" ht="12.75" hidden="1" customHeight="1" x14ac:dyDescent="0.2"/>
    <row r="4520" ht="12.75" hidden="1" customHeight="1" x14ac:dyDescent="0.2"/>
    <row r="4521" ht="12.75" hidden="1" customHeight="1" x14ac:dyDescent="0.2"/>
    <row r="4522" ht="12.75" hidden="1" customHeight="1" x14ac:dyDescent="0.2"/>
    <row r="4523" ht="12.75" hidden="1" customHeight="1" x14ac:dyDescent="0.2"/>
    <row r="4524" ht="12.75" hidden="1" customHeight="1" x14ac:dyDescent="0.2"/>
    <row r="4525" ht="12.75" hidden="1" customHeight="1" x14ac:dyDescent="0.2"/>
    <row r="4526" ht="12.75" hidden="1" customHeight="1" x14ac:dyDescent="0.2"/>
    <row r="4527" ht="12.75" hidden="1" customHeight="1" x14ac:dyDescent="0.2"/>
    <row r="4528" ht="12.75" hidden="1" customHeight="1" x14ac:dyDescent="0.2"/>
    <row r="4529" ht="12.75" hidden="1" customHeight="1" x14ac:dyDescent="0.2"/>
    <row r="4530" ht="12.75" hidden="1" customHeight="1" x14ac:dyDescent="0.2"/>
    <row r="4531" ht="12.75" hidden="1" customHeight="1" x14ac:dyDescent="0.2"/>
    <row r="4532" ht="12.75" hidden="1" customHeight="1" x14ac:dyDescent="0.2"/>
    <row r="4533" ht="12.75" hidden="1" customHeight="1" x14ac:dyDescent="0.2"/>
    <row r="4534" ht="12.75" hidden="1" customHeight="1" x14ac:dyDescent="0.2"/>
    <row r="4535" ht="12.75" hidden="1" customHeight="1" x14ac:dyDescent="0.2"/>
    <row r="4536" ht="12.75" hidden="1" customHeight="1" x14ac:dyDescent="0.2"/>
    <row r="4537" ht="12.75" hidden="1" customHeight="1" x14ac:dyDescent="0.2"/>
    <row r="4538" ht="12.75" hidden="1" customHeight="1" x14ac:dyDescent="0.2"/>
    <row r="4539" ht="12.75" hidden="1" customHeight="1" x14ac:dyDescent="0.2"/>
    <row r="4540" ht="12.75" hidden="1" customHeight="1" x14ac:dyDescent="0.2"/>
    <row r="4541" ht="12.75" hidden="1" customHeight="1" x14ac:dyDescent="0.2"/>
    <row r="4542" ht="12.75" hidden="1" customHeight="1" x14ac:dyDescent="0.2"/>
    <row r="4543" ht="12.75" hidden="1" customHeight="1" x14ac:dyDescent="0.2"/>
    <row r="4544" ht="12.75" hidden="1" customHeight="1" x14ac:dyDescent="0.2"/>
    <row r="4545" ht="12.75" hidden="1" customHeight="1" x14ac:dyDescent="0.2"/>
    <row r="4546" ht="12.75" hidden="1" customHeight="1" x14ac:dyDescent="0.2"/>
    <row r="4547" ht="12.75" hidden="1" customHeight="1" x14ac:dyDescent="0.2"/>
    <row r="4548" ht="12.75" hidden="1" customHeight="1" x14ac:dyDescent="0.2"/>
    <row r="4549" ht="12.75" hidden="1" customHeight="1" x14ac:dyDescent="0.2"/>
    <row r="4550" ht="12.75" hidden="1" customHeight="1" x14ac:dyDescent="0.2"/>
    <row r="4551" ht="12.75" hidden="1" customHeight="1" x14ac:dyDescent="0.2"/>
    <row r="4552" ht="12.75" hidden="1" customHeight="1" x14ac:dyDescent="0.2"/>
    <row r="4553" ht="12.75" hidden="1" customHeight="1" x14ac:dyDescent="0.2"/>
    <row r="4554" ht="12.75" hidden="1" customHeight="1" x14ac:dyDescent="0.2"/>
    <row r="4555" ht="12.75" hidden="1" customHeight="1" x14ac:dyDescent="0.2"/>
    <row r="4556" ht="12.75" hidden="1" customHeight="1" x14ac:dyDescent="0.2"/>
    <row r="4557" ht="12.75" hidden="1" customHeight="1" x14ac:dyDescent="0.2"/>
    <row r="4558" ht="12.75" hidden="1" customHeight="1" x14ac:dyDescent="0.2"/>
    <row r="4559" ht="12.75" hidden="1" customHeight="1" x14ac:dyDescent="0.2"/>
    <row r="4560" ht="12.75" hidden="1" customHeight="1" x14ac:dyDescent="0.2"/>
    <row r="4561" ht="12.75" hidden="1" customHeight="1" x14ac:dyDescent="0.2"/>
    <row r="4562" ht="12.75" hidden="1" customHeight="1" x14ac:dyDescent="0.2"/>
    <row r="4563" ht="12.75" hidden="1" customHeight="1" x14ac:dyDescent="0.2"/>
    <row r="4564" ht="12.75" hidden="1" customHeight="1" x14ac:dyDescent="0.2"/>
    <row r="4565" ht="12.75" hidden="1" customHeight="1" x14ac:dyDescent="0.2"/>
    <row r="4566" ht="12.75" hidden="1" customHeight="1" x14ac:dyDescent="0.2"/>
    <row r="4567" ht="12.75" hidden="1" customHeight="1" x14ac:dyDescent="0.2"/>
    <row r="4568" ht="12.75" hidden="1" customHeight="1" x14ac:dyDescent="0.2"/>
    <row r="4569" ht="12.75" hidden="1" customHeight="1" x14ac:dyDescent="0.2"/>
    <row r="4570" ht="12.75" hidden="1" customHeight="1" x14ac:dyDescent="0.2"/>
    <row r="4571" ht="12.75" hidden="1" customHeight="1" x14ac:dyDescent="0.2"/>
    <row r="4572" ht="12.75" hidden="1" customHeight="1" x14ac:dyDescent="0.2"/>
    <row r="4573" ht="12.75" hidden="1" customHeight="1" x14ac:dyDescent="0.2"/>
    <row r="4574" ht="12.75" hidden="1" customHeight="1" x14ac:dyDescent="0.2"/>
    <row r="4575" ht="12.75" hidden="1" customHeight="1" x14ac:dyDescent="0.2"/>
    <row r="4576" ht="12.75" hidden="1" customHeight="1" x14ac:dyDescent="0.2"/>
    <row r="4577" ht="12.75" hidden="1" customHeight="1" x14ac:dyDescent="0.2"/>
    <row r="4578" ht="12.75" hidden="1" customHeight="1" x14ac:dyDescent="0.2"/>
    <row r="4579" ht="12.75" hidden="1" customHeight="1" x14ac:dyDescent="0.2"/>
    <row r="4580" ht="12.75" hidden="1" customHeight="1" x14ac:dyDescent="0.2"/>
    <row r="4581" ht="12.75" hidden="1" customHeight="1" x14ac:dyDescent="0.2"/>
    <row r="4582" ht="12.75" hidden="1" customHeight="1" x14ac:dyDescent="0.2"/>
    <row r="4583" ht="12.75" hidden="1" customHeight="1" x14ac:dyDescent="0.2"/>
    <row r="4584" ht="12.75" hidden="1" customHeight="1" x14ac:dyDescent="0.2"/>
    <row r="4585" ht="12.75" hidden="1" customHeight="1" x14ac:dyDescent="0.2"/>
    <row r="4586" ht="12.75" hidden="1" customHeight="1" x14ac:dyDescent="0.2"/>
    <row r="4587" ht="12.75" hidden="1" customHeight="1" x14ac:dyDescent="0.2"/>
    <row r="4588" ht="12.75" hidden="1" customHeight="1" x14ac:dyDescent="0.2"/>
    <row r="4589" ht="12.75" hidden="1" customHeight="1" x14ac:dyDescent="0.2"/>
    <row r="4590" ht="12.75" hidden="1" customHeight="1" x14ac:dyDescent="0.2"/>
    <row r="4591" ht="12.75" hidden="1" customHeight="1" x14ac:dyDescent="0.2"/>
    <row r="4592" ht="12.75" hidden="1" customHeight="1" x14ac:dyDescent="0.2"/>
    <row r="4593" ht="12.75" hidden="1" customHeight="1" x14ac:dyDescent="0.2"/>
    <row r="4594" ht="12.75" hidden="1" customHeight="1" x14ac:dyDescent="0.2"/>
    <row r="4595" ht="12.75" hidden="1" customHeight="1" x14ac:dyDescent="0.2"/>
    <row r="4596" ht="12.75" hidden="1" customHeight="1" x14ac:dyDescent="0.2"/>
    <row r="4597" ht="12.75" hidden="1" customHeight="1" x14ac:dyDescent="0.2"/>
    <row r="4598" ht="12.75" hidden="1" customHeight="1" x14ac:dyDescent="0.2"/>
    <row r="4599" ht="12.75" hidden="1" customHeight="1" x14ac:dyDescent="0.2"/>
    <row r="4600" ht="12.75" hidden="1" customHeight="1" x14ac:dyDescent="0.2"/>
    <row r="4601" ht="12.75" hidden="1" customHeight="1" x14ac:dyDescent="0.2"/>
    <row r="4602" ht="12.75" hidden="1" customHeight="1" x14ac:dyDescent="0.2"/>
    <row r="4603" ht="12.75" hidden="1" customHeight="1" x14ac:dyDescent="0.2"/>
    <row r="4604" ht="12.75" hidden="1" customHeight="1" x14ac:dyDescent="0.2"/>
    <row r="4605" ht="12.75" hidden="1" customHeight="1" x14ac:dyDescent="0.2"/>
    <row r="4606" ht="12.75" hidden="1" customHeight="1" x14ac:dyDescent="0.2"/>
    <row r="4607" ht="12.75" hidden="1" customHeight="1" x14ac:dyDescent="0.2"/>
    <row r="4608" ht="12.75" hidden="1" customHeight="1" x14ac:dyDescent="0.2"/>
    <row r="4609" ht="12.75" hidden="1" customHeight="1" x14ac:dyDescent="0.2"/>
    <row r="4610" ht="12.75" hidden="1" customHeight="1" x14ac:dyDescent="0.2"/>
    <row r="4611" ht="12.75" hidden="1" customHeight="1" x14ac:dyDescent="0.2"/>
    <row r="4612" ht="12.75" hidden="1" customHeight="1" x14ac:dyDescent="0.2"/>
    <row r="4613" ht="12.75" hidden="1" customHeight="1" x14ac:dyDescent="0.2"/>
    <row r="4614" ht="12.75" hidden="1" customHeight="1" x14ac:dyDescent="0.2"/>
    <row r="4615" ht="12.75" hidden="1" customHeight="1" x14ac:dyDescent="0.2"/>
    <row r="4616" ht="12.75" hidden="1" customHeight="1" x14ac:dyDescent="0.2"/>
    <row r="4617" ht="12.75" hidden="1" customHeight="1" x14ac:dyDescent="0.2"/>
    <row r="4618" ht="12.75" hidden="1" customHeight="1" x14ac:dyDescent="0.2"/>
    <row r="4619" ht="12.75" hidden="1" customHeight="1" x14ac:dyDescent="0.2"/>
    <row r="4620" ht="12.75" hidden="1" customHeight="1" x14ac:dyDescent="0.2"/>
    <row r="4621" ht="12.75" hidden="1" customHeight="1" x14ac:dyDescent="0.2"/>
    <row r="4622" ht="12.75" hidden="1" customHeight="1" x14ac:dyDescent="0.2"/>
    <row r="4623" ht="12.75" hidden="1" customHeight="1" x14ac:dyDescent="0.2"/>
    <row r="4624" ht="12.75" hidden="1" customHeight="1" x14ac:dyDescent="0.2"/>
    <row r="4625" ht="12.75" hidden="1" customHeight="1" x14ac:dyDescent="0.2"/>
    <row r="4626" ht="12.75" hidden="1" customHeight="1" x14ac:dyDescent="0.2"/>
    <row r="4627" ht="12.75" hidden="1" customHeight="1" x14ac:dyDescent="0.2"/>
    <row r="4628" ht="12.75" hidden="1" customHeight="1" x14ac:dyDescent="0.2"/>
    <row r="4629" ht="12.75" hidden="1" customHeight="1" x14ac:dyDescent="0.2"/>
    <row r="4630" ht="12.75" hidden="1" customHeight="1" x14ac:dyDescent="0.2"/>
    <row r="4631" ht="12.75" hidden="1" customHeight="1" x14ac:dyDescent="0.2"/>
    <row r="4632" ht="12.75" hidden="1" customHeight="1" x14ac:dyDescent="0.2"/>
    <row r="4633" ht="12.75" hidden="1" customHeight="1" x14ac:dyDescent="0.2"/>
    <row r="4634" ht="12.75" hidden="1" customHeight="1" x14ac:dyDescent="0.2"/>
    <row r="4635" ht="12.75" hidden="1" customHeight="1" x14ac:dyDescent="0.2"/>
    <row r="4636" ht="12.75" hidden="1" customHeight="1" x14ac:dyDescent="0.2"/>
    <row r="4637" ht="12.75" hidden="1" customHeight="1" x14ac:dyDescent="0.2"/>
    <row r="4638" ht="12.75" hidden="1" customHeight="1" x14ac:dyDescent="0.2"/>
    <row r="4639" ht="12.75" hidden="1" customHeight="1" x14ac:dyDescent="0.2"/>
    <row r="4640" ht="12.75" hidden="1" customHeight="1" x14ac:dyDescent="0.2"/>
    <row r="4641" ht="12.75" hidden="1" customHeight="1" x14ac:dyDescent="0.2"/>
    <row r="4642" ht="12.75" hidden="1" customHeight="1" x14ac:dyDescent="0.2"/>
    <row r="4643" ht="12.75" hidden="1" customHeight="1" x14ac:dyDescent="0.2"/>
    <row r="4644" ht="12.75" hidden="1" customHeight="1" x14ac:dyDescent="0.2"/>
    <row r="4645" ht="12.75" hidden="1" customHeight="1" x14ac:dyDescent="0.2"/>
    <row r="4646" ht="12.75" hidden="1" customHeight="1" x14ac:dyDescent="0.2"/>
    <row r="4647" ht="12.75" hidden="1" customHeight="1" x14ac:dyDescent="0.2"/>
    <row r="4648" ht="12.75" hidden="1" customHeight="1" x14ac:dyDescent="0.2"/>
    <row r="4649" ht="12.75" hidden="1" customHeight="1" x14ac:dyDescent="0.2"/>
    <row r="4650" ht="12.75" hidden="1" customHeight="1" x14ac:dyDescent="0.2"/>
    <row r="4651" ht="12.75" hidden="1" customHeight="1" x14ac:dyDescent="0.2"/>
    <row r="4652" ht="12.75" hidden="1" customHeight="1" x14ac:dyDescent="0.2"/>
    <row r="4653" ht="12.75" hidden="1" customHeight="1" x14ac:dyDescent="0.2"/>
    <row r="4654" ht="12.75" hidden="1" customHeight="1" x14ac:dyDescent="0.2"/>
    <row r="4655" ht="12.75" hidden="1" customHeight="1" x14ac:dyDescent="0.2"/>
    <row r="4656" ht="12.75" hidden="1" customHeight="1" x14ac:dyDescent="0.2"/>
    <row r="4657" ht="12.75" hidden="1" customHeight="1" x14ac:dyDescent="0.2"/>
    <row r="4658" ht="12.75" hidden="1" customHeight="1" x14ac:dyDescent="0.2"/>
    <row r="4659" ht="12.75" hidden="1" customHeight="1" x14ac:dyDescent="0.2"/>
    <row r="4660" ht="12.75" hidden="1" customHeight="1" x14ac:dyDescent="0.2"/>
    <row r="4661" ht="12.75" hidden="1" customHeight="1" x14ac:dyDescent="0.2"/>
    <row r="4662" ht="12.75" hidden="1" customHeight="1" x14ac:dyDescent="0.2"/>
    <row r="4663" ht="12.75" hidden="1" customHeight="1" x14ac:dyDescent="0.2"/>
    <row r="4664" ht="12.75" hidden="1" customHeight="1" x14ac:dyDescent="0.2"/>
    <row r="4665" ht="12.75" hidden="1" customHeight="1" x14ac:dyDescent="0.2"/>
    <row r="4666" ht="12.75" hidden="1" customHeight="1" x14ac:dyDescent="0.2"/>
    <row r="4667" ht="12.75" hidden="1" customHeight="1" x14ac:dyDescent="0.2"/>
    <row r="4668" ht="12.75" hidden="1" customHeight="1" x14ac:dyDescent="0.2"/>
    <row r="4669" ht="12.75" hidden="1" customHeight="1" x14ac:dyDescent="0.2"/>
    <row r="4670" ht="12.75" hidden="1" customHeight="1" x14ac:dyDescent="0.2"/>
    <row r="4671" ht="12.75" hidden="1" customHeight="1" x14ac:dyDescent="0.2"/>
    <row r="4672" ht="12.75" hidden="1" customHeight="1" x14ac:dyDescent="0.2"/>
    <row r="4673" ht="12.75" hidden="1" customHeight="1" x14ac:dyDescent="0.2"/>
    <row r="4674" ht="12.75" hidden="1" customHeight="1" x14ac:dyDescent="0.2"/>
    <row r="4675" ht="12.75" hidden="1" customHeight="1" x14ac:dyDescent="0.2"/>
    <row r="4676" ht="12.75" hidden="1" customHeight="1" x14ac:dyDescent="0.2"/>
    <row r="4677" ht="12.75" hidden="1" customHeight="1" x14ac:dyDescent="0.2"/>
    <row r="4678" ht="12.75" hidden="1" customHeight="1" x14ac:dyDescent="0.2"/>
    <row r="4679" ht="12.75" hidden="1" customHeight="1" x14ac:dyDescent="0.2"/>
    <row r="4680" ht="12.75" hidden="1" customHeight="1" x14ac:dyDescent="0.2"/>
    <row r="4681" ht="12.75" hidden="1" customHeight="1" x14ac:dyDescent="0.2"/>
    <row r="4682" ht="12.75" hidden="1" customHeight="1" x14ac:dyDescent="0.2"/>
    <row r="4683" ht="12.75" hidden="1" customHeight="1" x14ac:dyDescent="0.2"/>
    <row r="4684" ht="12.75" hidden="1" customHeight="1" x14ac:dyDescent="0.2"/>
    <row r="4685" ht="12.75" hidden="1" customHeight="1" x14ac:dyDescent="0.2"/>
    <row r="4686" ht="12.75" hidden="1" customHeight="1" x14ac:dyDescent="0.2"/>
    <row r="4687" ht="12.75" hidden="1" customHeight="1" x14ac:dyDescent="0.2"/>
    <row r="4688" ht="12.75" hidden="1" customHeight="1" x14ac:dyDescent="0.2"/>
    <row r="4689" ht="12.75" hidden="1" customHeight="1" x14ac:dyDescent="0.2"/>
    <row r="4690" ht="12.75" hidden="1" customHeight="1" x14ac:dyDescent="0.2"/>
    <row r="4691" ht="12.75" hidden="1" customHeight="1" x14ac:dyDescent="0.2"/>
    <row r="4692" ht="12.75" hidden="1" customHeight="1" x14ac:dyDescent="0.2"/>
    <row r="4693" ht="12.75" hidden="1" customHeight="1" x14ac:dyDescent="0.2"/>
    <row r="4694" ht="12.75" hidden="1" customHeight="1" x14ac:dyDescent="0.2"/>
    <row r="4695" ht="12.75" hidden="1" customHeight="1" x14ac:dyDescent="0.2"/>
    <row r="4696" ht="12.75" hidden="1" customHeight="1" x14ac:dyDescent="0.2"/>
    <row r="4697" ht="12.75" hidden="1" customHeight="1" x14ac:dyDescent="0.2"/>
    <row r="4698" ht="12.75" hidden="1" customHeight="1" x14ac:dyDescent="0.2"/>
    <row r="4699" ht="12.75" hidden="1" customHeight="1" x14ac:dyDescent="0.2"/>
    <row r="4700" ht="12.75" hidden="1" customHeight="1" x14ac:dyDescent="0.2"/>
    <row r="4701" ht="12.75" hidden="1" customHeight="1" x14ac:dyDescent="0.2"/>
    <row r="4702" ht="12.75" hidden="1" customHeight="1" x14ac:dyDescent="0.2"/>
    <row r="4703" ht="12.75" hidden="1" customHeight="1" x14ac:dyDescent="0.2"/>
    <row r="4704" ht="12.75" hidden="1" customHeight="1" x14ac:dyDescent="0.2"/>
    <row r="4705" ht="12.75" hidden="1" customHeight="1" x14ac:dyDescent="0.2"/>
    <row r="4706" ht="12.75" hidden="1" customHeight="1" x14ac:dyDescent="0.2"/>
    <row r="4707" ht="12.75" hidden="1" customHeight="1" x14ac:dyDescent="0.2"/>
    <row r="4708" ht="12.75" hidden="1" customHeight="1" x14ac:dyDescent="0.2"/>
    <row r="4709" ht="12.75" hidden="1" customHeight="1" x14ac:dyDescent="0.2"/>
    <row r="4710" ht="12.75" hidden="1" customHeight="1" x14ac:dyDescent="0.2"/>
    <row r="4711" ht="12.75" hidden="1" customHeight="1" x14ac:dyDescent="0.2"/>
    <row r="4712" ht="12.75" hidden="1" customHeight="1" x14ac:dyDescent="0.2"/>
    <row r="4713" ht="12.75" hidden="1" customHeight="1" x14ac:dyDescent="0.2"/>
    <row r="4714" ht="12.75" hidden="1" customHeight="1" x14ac:dyDescent="0.2"/>
    <row r="4715" ht="12.75" hidden="1" customHeight="1" x14ac:dyDescent="0.2"/>
    <row r="4716" ht="12.75" hidden="1" customHeight="1" x14ac:dyDescent="0.2"/>
    <row r="4717" ht="12.75" hidden="1" customHeight="1" x14ac:dyDescent="0.2"/>
    <row r="4718" ht="12.75" hidden="1" customHeight="1" x14ac:dyDescent="0.2"/>
    <row r="4719" ht="12.75" hidden="1" customHeight="1" x14ac:dyDescent="0.2"/>
    <row r="4720" ht="12.75" hidden="1" customHeight="1" x14ac:dyDescent="0.2"/>
    <row r="4721" ht="12.75" hidden="1" customHeight="1" x14ac:dyDescent="0.2"/>
    <row r="4722" ht="12.75" hidden="1" customHeight="1" x14ac:dyDescent="0.2"/>
    <row r="4723" ht="12.75" hidden="1" customHeight="1" x14ac:dyDescent="0.2"/>
    <row r="4724" ht="12.75" hidden="1" customHeight="1" x14ac:dyDescent="0.2"/>
    <row r="4725" ht="12.75" hidden="1" customHeight="1" x14ac:dyDescent="0.2"/>
    <row r="4726" ht="12.75" hidden="1" customHeight="1" x14ac:dyDescent="0.2"/>
    <row r="4727" ht="12.75" hidden="1" customHeight="1" x14ac:dyDescent="0.2"/>
    <row r="4728" ht="12.75" hidden="1" customHeight="1" x14ac:dyDescent="0.2"/>
    <row r="4729" ht="12.75" hidden="1" customHeight="1" x14ac:dyDescent="0.2"/>
    <row r="4730" ht="12.75" hidden="1" customHeight="1" x14ac:dyDescent="0.2"/>
    <row r="4731" ht="12.75" hidden="1" customHeight="1" x14ac:dyDescent="0.2"/>
    <row r="4732" ht="12.75" hidden="1" customHeight="1" x14ac:dyDescent="0.2"/>
    <row r="4733" ht="12.75" hidden="1" customHeight="1" x14ac:dyDescent="0.2"/>
    <row r="4734" ht="12.75" hidden="1" customHeight="1" x14ac:dyDescent="0.2"/>
    <row r="4735" ht="12.75" hidden="1" customHeight="1" x14ac:dyDescent="0.2"/>
    <row r="4736" ht="12.75" hidden="1" customHeight="1" x14ac:dyDescent="0.2"/>
    <row r="4737" ht="12.75" hidden="1" customHeight="1" x14ac:dyDescent="0.2"/>
    <row r="4738" ht="12.75" hidden="1" customHeight="1" x14ac:dyDescent="0.2"/>
    <row r="4739" ht="12.75" hidden="1" customHeight="1" x14ac:dyDescent="0.2"/>
    <row r="4740" ht="12.75" hidden="1" customHeight="1" x14ac:dyDescent="0.2"/>
    <row r="4741" ht="12.75" hidden="1" customHeight="1" x14ac:dyDescent="0.2"/>
    <row r="4742" ht="12.75" hidden="1" customHeight="1" x14ac:dyDescent="0.2"/>
    <row r="4743" ht="12.75" hidden="1" customHeight="1" x14ac:dyDescent="0.2"/>
    <row r="4744" ht="12.75" hidden="1" customHeight="1" x14ac:dyDescent="0.2"/>
    <row r="4745" ht="12.75" hidden="1" customHeight="1" x14ac:dyDescent="0.2"/>
    <row r="4746" ht="12.75" hidden="1" customHeight="1" x14ac:dyDescent="0.2"/>
    <row r="4747" ht="12.75" hidden="1" customHeight="1" x14ac:dyDescent="0.2"/>
    <row r="4748" ht="12.75" hidden="1" customHeight="1" x14ac:dyDescent="0.2"/>
    <row r="4749" ht="12.75" hidden="1" customHeight="1" x14ac:dyDescent="0.2"/>
    <row r="4750" ht="12.75" hidden="1" customHeight="1" x14ac:dyDescent="0.2"/>
    <row r="4751" ht="12.75" hidden="1" customHeight="1" x14ac:dyDescent="0.2"/>
    <row r="4752" ht="12.75" hidden="1" customHeight="1" x14ac:dyDescent="0.2"/>
    <row r="4753" ht="12.75" hidden="1" customHeight="1" x14ac:dyDescent="0.2"/>
    <row r="4754" ht="12.75" hidden="1" customHeight="1" x14ac:dyDescent="0.2"/>
    <row r="4755" ht="12.75" hidden="1" customHeight="1" x14ac:dyDescent="0.2"/>
    <row r="4756" ht="12.75" hidden="1" customHeight="1" x14ac:dyDescent="0.2"/>
    <row r="4757" ht="12.75" hidden="1" customHeight="1" x14ac:dyDescent="0.2"/>
    <row r="4758" ht="12.75" hidden="1" customHeight="1" x14ac:dyDescent="0.2"/>
    <row r="4759" ht="12.75" hidden="1" customHeight="1" x14ac:dyDescent="0.2"/>
    <row r="4760" ht="12.75" hidden="1" customHeight="1" x14ac:dyDescent="0.2"/>
    <row r="4761" ht="12.75" hidden="1" customHeight="1" x14ac:dyDescent="0.2"/>
    <row r="4762" ht="12.75" hidden="1" customHeight="1" x14ac:dyDescent="0.2"/>
    <row r="4763" ht="12.75" hidden="1" customHeight="1" x14ac:dyDescent="0.2"/>
    <row r="4764" ht="12.75" hidden="1" customHeight="1" x14ac:dyDescent="0.2"/>
    <row r="4765" ht="12.75" hidden="1" customHeight="1" x14ac:dyDescent="0.2"/>
    <row r="4766" ht="12.75" hidden="1" customHeight="1" x14ac:dyDescent="0.2"/>
    <row r="4767" ht="12.75" hidden="1" customHeight="1" x14ac:dyDescent="0.2"/>
    <row r="4768" ht="12.75" hidden="1" customHeight="1" x14ac:dyDescent="0.2"/>
    <row r="4769" ht="12.75" hidden="1" customHeight="1" x14ac:dyDescent="0.2"/>
    <row r="4770" ht="12.75" hidden="1" customHeight="1" x14ac:dyDescent="0.2"/>
    <row r="4771" ht="12.75" hidden="1" customHeight="1" x14ac:dyDescent="0.2"/>
    <row r="4772" ht="12.75" hidden="1" customHeight="1" x14ac:dyDescent="0.2"/>
    <row r="4773" ht="12.75" hidden="1" customHeight="1" x14ac:dyDescent="0.2"/>
    <row r="4774" ht="12.75" hidden="1" customHeight="1" x14ac:dyDescent="0.2"/>
    <row r="4775" ht="12.75" hidden="1" customHeight="1" x14ac:dyDescent="0.2"/>
    <row r="4776" ht="12.75" hidden="1" customHeight="1" x14ac:dyDescent="0.2"/>
    <row r="4777" ht="12.75" hidden="1" customHeight="1" x14ac:dyDescent="0.2"/>
    <row r="4778" ht="12.75" hidden="1" customHeight="1" x14ac:dyDescent="0.2"/>
    <row r="4779" ht="12.75" hidden="1" customHeight="1" x14ac:dyDescent="0.2"/>
    <row r="4780" ht="12.75" hidden="1" customHeight="1" x14ac:dyDescent="0.2"/>
    <row r="4781" ht="12.75" hidden="1" customHeight="1" x14ac:dyDescent="0.2"/>
    <row r="4782" ht="12.75" hidden="1" customHeight="1" x14ac:dyDescent="0.2"/>
    <row r="4783" ht="12.75" hidden="1" customHeight="1" x14ac:dyDescent="0.2"/>
    <row r="4784" ht="12.75" hidden="1" customHeight="1" x14ac:dyDescent="0.2"/>
    <row r="4785" ht="12.75" hidden="1" customHeight="1" x14ac:dyDescent="0.2"/>
    <row r="4786" ht="12.75" hidden="1" customHeight="1" x14ac:dyDescent="0.2"/>
    <row r="4787" ht="12.75" hidden="1" customHeight="1" x14ac:dyDescent="0.2"/>
    <row r="4788" ht="12.75" hidden="1" customHeight="1" x14ac:dyDescent="0.2"/>
    <row r="4789" ht="12.75" hidden="1" customHeight="1" x14ac:dyDescent="0.2"/>
    <row r="4790" ht="12.75" hidden="1" customHeight="1" x14ac:dyDescent="0.2"/>
    <row r="4791" ht="12.75" hidden="1" customHeight="1" x14ac:dyDescent="0.2"/>
    <row r="4792" ht="12.75" hidden="1" customHeight="1" x14ac:dyDescent="0.2"/>
    <row r="4793" ht="12.75" hidden="1" customHeight="1" x14ac:dyDescent="0.2"/>
    <row r="4794" ht="12.75" hidden="1" customHeight="1" x14ac:dyDescent="0.2"/>
    <row r="4795" ht="12.75" hidden="1" customHeight="1" x14ac:dyDescent="0.2"/>
    <row r="4796" ht="12.75" hidden="1" customHeight="1" x14ac:dyDescent="0.2"/>
    <row r="4797" ht="12.75" hidden="1" customHeight="1" x14ac:dyDescent="0.2"/>
    <row r="4798" ht="12.75" hidden="1" customHeight="1" x14ac:dyDescent="0.2"/>
    <row r="4799" ht="12.75" hidden="1" customHeight="1" x14ac:dyDescent="0.2"/>
    <row r="4800" ht="12.75" hidden="1" customHeight="1" x14ac:dyDescent="0.2"/>
    <row r="4801" ht="12.75" hidden="1" customHeight="1" x14ac:dyDescent="0.2"/>
    <row r="4802" ht="12.75" hidden="1" customHeight="1" x14ac:dyDescent="0.2"/>
    <row r="4803" ht="12.75" hidden="1" customHeight="1" x14ac:dyDescent="0.2"/>
    <row r="4804" ht="12.75" hidden="1" customHeight="1" x14ac:dyDescent="0.2"/>
    <row r="4805" ht="12.75" hidden="1" customHeight="1" x14ac:dyDescent="0.2"/>
    <row r="4806" ht="12.75" hidden="1" customHeight="1" x14ac:dyDescent="0.2"/>
    <row r="4807" ht="12.75" hidden="1" customHeight="1" x14ac:dyDescent="0.2"/>
    <row r="4808" ht="12.75" hidden="1" customHeight="1" x14ac:dyDescent="0.2"/>
    <row r="4809" ht="12.75" hidden="1" customHeight="1" x14ac:dyDescent="0.2"/>
    <row r="4810" ht="12.75" hidden="1" customHeight="1" x14ac:dyDescent="0.2"/>
    <row r="4811" ht="12.75" hidden="1" customHeight="1" x14ac:dyDescent="0.2"/>
    <row r="4812" ht="12.75" hidden="1" customHeight="1" x14ac:dyDescent="0.2"/>
    <row r="4813" ht="12.75" hidden="1" customHeight="1" x14ac:dyDescent="0.2"/>
    <row r="4814" ht="12.75" hidden="1" customHeight="1" x14ac:dyDescent="0.2"/>
    <row r="4815" ht="12.75" hidden="1" customHeight="1" x14ac:dyDescent="0.2"/>
    <row r="4816" ht="12.75" hidden="1" customHeight="1" x14ac:dyDescent="0.2"/>
    <row r="4817" ht="12.75" hidden="1" customHeight="1" x14ac:dyDescent="0.2"/>
    <row r="4818" ht="12.75" hidden="1" customHeight="1" x14ac:dyDescent="0.2"/>
    <row r="4819" ht="12.75" hidden="1" customHeight="1" x14ac:dyDescent="0.2"/>
    <row r="4820" ht="12.75" hidden="1" customHeight="1" x14ac:dyDescent="0.2"/>
    <row r="4821" ht="12.75" hidden="1" customHeight="1" x14ac:dyDescent="0.2"/>
    <row r="4822" ht="12.75" hidden="1" customHeight="1" x14ac:dyDescent="0.2"/>
    <row r="4823" ht="12.75" hidden="1" customHeight="1" x14ac:dyDescent="0.2"/>
    <row r="4824" ht="12.75" hidden="1" customHeight="1" x14ac:dyDescent="0.2"/>
    <row r="4825" ht="12.75" hidden="1" customHeight="1" x14ac:dyDescent="0.2"/>
    <row r="4826" ht="12.75" hidden="1" customHeight="1" x14ac:dyDescent="0.2"/>
    <row r="4827" ht="12.75" hidden="1" customHeight="1" x14ac:dyDescent="0.2"/>
    <row r="4828" ht="12.75" hidden="1" customHeight="1" x14ac:dyDescent="0.2"/>
    <row r="4829" ht="12.75" hidden="1" customHeight="1" x14ac:dyDescent="0.2"/>
    <row r="4830" ht="12.75" hidden="1" customHeight="1" x14ac:dyDescent="0.2"/>
    <row r="4831" ht="12.75" hidden="1" customHeight="1" x14ac:dyDescent="0.2"/>
    <row r="4832" ht="12.75" hidden="1" customHeight="1" x14ac:dyDescent="0.2"/>
    <row r="4833" ht="12.75" hidden="1" customHeight="1" x14ac:dyDescent="0.2"/>
    <row r="4834" ht="12.75" hidden="1" customHeight="1" x14ac:dyDescent="0.2"/>
    <row r="4835" ht="12.75" hidden="1" customHeight="1" x14ac:dyDescent="0.2"/>
    <row r="4836" ht="12.75" hidden="1" customHeight="1" x14ac:dyDescent="0.2"/>
    <row r="4837" ht="12.75" hidden="1" customHeight="1" x14ac:dyDescent="0.2"/>
    <row r="4838" ht="12.75" hidden="1" customHeight="1" x14ac:dyDescent="0.2"/>
    <row r="4839" ht="12.75" hidden="1" customHeight="1" x14ac:dyDescent="0.2"/>
    <row r="4840" ht="12.75" hidden="1" customHeight="1" x14ac:dyDescent="0.2"/>
    <row r="4841" ht="12.75" hidden="1" customHeight="1" x14ac:dyDescent="0.2"/>
    <row r="4842" ht="12.75" hidden="1" customHeight="1" x14ac:dyDescent="0.2"/>
    <row r="4843" ht="12.75" hidden="1" customHeight="1" x14ac:dyDescent="0.2"/>
    <row r="4844" ht="12.75" hidden="1" customHeight="1" x14ac:dyDescent="0.2"/>
    <row r="4845" ht="12.75" hidden="1" customHeight="1" x14ac:dyDescent="0.2"/>
    <row r="4846" ht="12.75" hidden="1" customHeight="1" x14ac:dyDescent="0.2"/>
    <row r="4847" ht="12.75" hidden="1" customHeight="1" x14ac:dyDescent="0.2"/>
    <row r="4848" ht="12.75" hidden="1" customHeight="1" x14ac:dyDescent="0.2"/>
    <row r="4849" ht="12.75" hidden="1" customHeight="1" x14ac:dyDescent="0.2"/>
    <row r="4850" ht="12.75" hidden="1" customHeight="1" x14ac:dyDescent="0.2"/>
    <row r="4851" ht="12.75" hidden="1" customHeight="1" x14ac:dyDescent="0.2"/>
    <row r="4852" ht="12.75" hidden="1" customHeight="1" x14ac:dyDescent="0.2"/>
    <row r="4853" ht="12.75" hidden="1" customHeight="1" x14ac:dyDescent="0.2"/>
    <row r="4854" ht="12.75" hidden="1" customHeight="1" x14ac:dyDescent="0.2"/>
    <row r="4855" ht="12.75" hidden="1" customHeight="1" x14ac:dyDescent="0.2"/>
    <row r="4856" ht="12.75" hidden="1" customHeight="1" x14ac:dyDescent="0.2"/>
    <row r="4857" ht="12.75" hidden="1" customHeight="1" x14ac:dyDescent="0.2"/>
    <row r="4858" ht="12.75" hidden="1" customHeight="1" x14ac:dyDescent="0.2"/>
    <row r="4859" ht="12.75" hidden="1" customHeight="1" x14ac:dyDescent="0.2"/>
    <row r="4860" ht="12.75" hidden="1" customHeight="1" x14ac:dyDescent="0.2"/>
    <row r="4861" ht="12.75" hidden="1" customHeight="1" x14ac:dyDescent="0.2"/>
    <row r="4862" ht="12.75" hidden="1" customHeight="1" x14ac:dyDescent="0.2"/>
    <row r="4863" ht="12.75" hidden="1" customHeight="1" x14ac:dyDescent="0.2"/>
    <row r="4864" ht="12.75" hidden="1" customHeight="1" x14ac:dyDescent="0.2"/>
    <row r="4865" ht="12.75" hidden="1" customHeight="1" x14ac:dyDescent="0.2"/>
    <row r="4866" ht="12.75" hidden="1" customHeight="1" x14ac:dyDescent="0.2"/>
    <row r="4867" ht="12.75" hidden="1" customHeight="1" x14ac:dyDescent="0.2"/>
    <row r="4868" ht="12.75" hidden="1" customHeight="1" x14ac:dyDescent="0.2"/>
    <row r="4869" ht="12.75" hidden="1" customHeight="1" x14ac:dyDescent="0.2"/>
    <row r="4870" ht="12.75" hidden="1" customHeight="1" x14ac:dyDescent="0.2"/>
    <row r="4871" ht="12.75" hidden="1" customHeight="1" x14ac:dyDescent="0.2"/>
    <row r="4872" ht="12.75" hidden="1" customHeight="1" x14ac:dyDescent="0.2"/>
    <row r="4873" ht="12.75" hidden="1" customHeight="1" x14ac:dyDescent="0.2"/>
    <row r="4874" ht="12.75" hidden="1" customHeight="1" x14ac:dyDescent="0.2"/>
    <row r="4875" ht="12.75" hidden="1" customHeight="1" x14ac:dyDescent="0.2"/>
    <row r="4876" ht="12.75" hidden="1" customHeight="1" x14ac:dyDescent="0.2"/>
    <row r="4877" ht="12.75" hidden="1" customHeight="1" x14ac:dyDescent="0.2"/>
    <row r="4878" ht="12.75" hidden="1" customHeight="1" x14ac:dyDescent="0.2"/>
    <row r="4879" ht="12.75" hidden="1" customHeight="1" x14ac:dyDescent="0.2"/>
    <row r="4880" ht="12.75" hidden="1" customHeight="1" x14ac:dyDescent="0.2"/>
    <row r="4881" ht="12.75" hidden="1" customHeight="1" x14ac:dyDescent="0.2"/>
    <row r="4882" ht="12.75" hidden="1" customHeight="1" x14ac:dyDescent="0.2"/>
    <row r="4883" ht="12.75" hidden="1" customHeight="1" x14ac:dyDescent="0.2"/>
    <row r="4884" ht="12.75" hidden="1" customHeight="1" x14ac:dyDescent="0.2"/>
    <row r="4885" ht="12.75" hidden="1" customHeight="1" x14ac:dyDescent="0.2"/>
    <row r="4886" ht="12.75" hidden="1" customHeight="1" x14ac:dyDescent="0.2"/>
    <row r="4887" ht="12.75" hidden="1" customHeight="1" x14ac:dyDescent="0.2"/>
    <row r="4888" ht="12.75" hidden="1" customHeight="1" x14ac:dyDescent="0.2"/>
    <row r="4889" ht="12.75" hidden="1" customHeight="1" x14ac:dyDescent="0.2"/>
    <row r="4890" ht="12.75" hidden="1" customHeight="1" x14ac:dyDescent="0.2"/>
    <row r="4891" ht="12.75" hidden="1" customHeight="1" x14ac:dyDescent="0.2"/>
    <row r="4892" ht="12.75" hidden="1" customHeight="1" x14ac:dyDescent="0.2"/>
    <row r="4893" ht="12.75" hidden="1" customHeight="1" x14ac:dyDescent="0.2"/>
    <row r="4894" ht="12.75" hidden="1" customHeight="1" x14ac:dyDescent="0.2"/>
    <row r="4895" ht="12.75" hidden="1" customHeight="1" x14ac:dyDescent="0.2"/>
    <row r="4896" ht="12.75" hidden="1" customHeight="1" x14ac:dyDescent="0.2"/>
    <row r="4897" ht="12.75" hidden="1" customHeight="1" x14ac:dyDescent="0.2"/>
    <row r="4898" ht="12.75" hidden="1" customHeight="1" x14ac:dyDescent="0.2"/>
    <row r="4899" ht="12.75" hidden="1" customHeight="1" x14ac:dyDescent="0.2"/>
    <row r="4900" ht="12.75" hidden="1" customHeight="1" x14ac:dyDescent="0.2"/>
    <row r="4901" ht="12.75" hidden="1" customHeight="1" x14ac:dyDescent="0.2"/>
    <row r="4902" ht="12.75" hidden="1" customHeight="1" x14ac:dyDescent="0.2"/>
    <row r="4903" ht="12.75" hidden="1" customHeight="1" x14ac:dyDescent="0.2"/>
    <row r="4904" ht="12.75" hidden="1" customHeight="1" x14ac:dyDescent="0.2"/>
    <row r="4905" ht="12.75" hidden="1" customHeight="1" x14ac:dyDescent="0.2"/>
    <row r="4906" ht="12.75" hidden="1" customHeight="1" x14ac:dyDescent="0.2"/>
    <row r="4907" ht="12.75" hidden="1" customHeight="1" x14ac:dyDescent="0.2"/>
    <row r="4908" ht="12.75" hidden="1" customHeight="1" x14ac:dyDescent="0.2"/>
    <row r="4909" ht="12.75" hidden="1" customHeight="1" x14ac:dyDescent="0.2"/>
    <row r="4910" ht="12.75" hidden="1" customHeight="1" x14ac:dyDescent="0.2"/>
    <row r="4911" ht="12.75" hidden="1" customHeight="1" x14ac:dyDescent="0.2"/>
    <row r="4912" ht="12.75" hidden="1" customHeight="1" x14ac:dyDescent="0.2"/>
    <row r="4913" ht="12.75" hidden="1" customHeight="1" x14ac:dyDescent="0.2"/>
    <row r="4914" ht="12.75" hidden="1" customHeight="1" x14ac:dyDescent="0.2"/>
    <row r="4915" ht="12.75" hidden="1" customHeight="1" x14ac:dyDescent="0.2"/>
    <row r="4916" ht="12.75" hidden="1" customHeight="1" x14ac:dyDescent="0.2"/>
    <row r="4917" ht="12.75" hidden="1" customHeight="1" x14ac:dyDescent="0.2"/>
    <row r="4918" ht="12.75" hidden="1" customHeight="1" x14ac:dyDescent="0.2"/>
    <row r="4919" ht="12.75" hidden="1" customHeight="1" x14ac:dyDescent="0.2"/>
    <row r="4920" ht="12.75" hidden="1" customHeight="1" x14ac:dyDescent="0.2"/>
    <row r="4921" ht="12.75" hidden="1" customHeight="1" x14ac:dyDescent="0.2"/>
    <row r="4922" ht="12.75" hidden="1" customHeight="1" x14ac:dyDescent="0.2"/>
    <row r="4923" ht="12.75" hidden="1" customHeight="1" x14ac:dyDescent="0.2"/>
    <row r="4924" ht="12.75" hidden="1" customHeight="1" x14ac:dyDescent="0.2"/>
    <row r="4925" ht="12.75" hidden="1" customHeight="1" x14ac:dyDescent="0.2"/>
    <row r="4926" ht="12.75" hidden="1" customHeight="1" x14ac:dyDescent="0.2"/>
    <row r="4927" ht="12.75" hidden="1" customHeight="1" x14ac:dyDescent="0.2"/>
    <row r="4928" ht="12.75" hidden="1" customHeight="1" x14ac:dyDescent="0.2"/>
    <row r="4929" ht="12.75" hidden="1" customHeight="1" x14ac:dyDescent="0.2"/>
    <row r="4930" ht="12.75" hidden="1" customHeight="1" x14ac:dyDescent="0.2"/>
    <row r="4931" ht="12.75" hidden="1" customHeight="1" x14ac:dyDescent="0.2"/>
    <row r="4932" ht="12.75" hidden="1" customHeight="1" x14ac:dyDescent="0.2"/>
    <row r="4933" ht="12.75" hidden="1" customHeight="1" x14ac:dyDescent="0.2"/>
    <row r="4934" ht="12.75" hidden="1" customHeight="1" x14ac:dyDescent="0.2"/>
    <row r="4935" ht="12.75" hidden="1" customHeight="1" x14ac:dyDescent="0.2"/>
    <row r="4936" ht="12.75" hidden="1" customHeight="1" x14ac:dyDescent="0.2"/>
    <row r="4937" ht="12.75" hidden="1" customHeight="1" x14ac:dyDescent="0.2"/>
    <row r="4938" ht="12.75" hidden="1" customHeight="1" x14ac:dyDescent="0.2"/>
    <row r="4939" ht="12.75" hidden="1" customHeight="1" x14ac:dyDescent="0.2"/>
    <row r="4940" ht="12.75" hidden="1" customHeight="1" x14ac:dyDescent="0.2"/>
    <row r="4941" ht="12.75" hidden="1" customHeight="1" x14ac:dyDescent="0.2"/>
    <row r="4942" ht="12.75" hidden="1" customHeight="1" x14ac:dyDescent="0.2"/>
    <row r="4943" ht="12.75" hidden="1" customHeight="1" x14ac:dyDescent="0.2"/>
    <row r="4944" ht="12.75" hidden="1" customHeight="1" x14ac:dyDescent="0.2"/>
    <row r="4945" ht="12.75" hidden="1" customHeight="1" x14ac:dyDescent="0.2"/>
    <row r="4946" ht="12.75" hidden="1" customHeight="1" x14ac:dyDescent="0.2"/>
    <row r="4947" ht="12.75" hidden="1" customHeight="1" x14ac:dyDescent="0.2"/>
    <row r="4948" ht="12.75" hidden="1" customHeight="1" x14ac:dyDescent="0.2"/>
    <row r="4949" ht="12.75" hidden="1" customHeight="1" x14ac:dyDescent="0.2"/>
    <row r="4950" ht="12.75" hidden="1" customHeight="1" x14ac:dyDescent="0.2"/>
    <row r="4951" ht="12.75" hidden="1" customHeight="1" x14ac:dyDescent="0.2"/>
    <row r="4952" ht="12.75" hidden="1" customHeight="1" x14ac:dyDescent="0.2"/>
    <row r="4953" ht="12.75" hidden="1" customHeight="1" x14ac:dyDescent="0.2"/>
    <row r="4954" ht="12.75" hidden="1" customHeight="1" x14ac:dyDescent="0.2"/>
    <row r="4955" ht="12.75" hidden="1" customHeight="1" x14ac:dyDescent="0.2"/>
    <row r="4956" ht="12.75" hidden="1" customHeight="1" x14ac:dyDescent="0.2"/>
    <row r="4957" ht="12.75" hidden="1" customHeight="1" x14ac:dyDescent="0.2"/>
    <row r="4958" ht="12.75" hidden="1" customHeight="1" x14ac:dyDescent="0.2"/>
    <row r="4959" ht="12.75" hidden="1" customHeight="1" x14ac:dyDescent="0.2"/>
    <row r="4960" ht="12.75" hidden="1" customHeight="1" x14ac:dyDescent="0.2"/>
    <row r="4961" ht="12.75" hidden="1" customHeight="1" x14ac:dyDescent="0.2"/>
    <row r="4962" ht="12.75" hidden="1" customHeight="1" x14ac:dyDescent="0.2"/>
    <row r="4963" ht="12.75" hidden="1" customHeight="1" x14ac:dyDescent="0.2"/>
    <row r="4964" ht="12.75" hidden="1" customHeight="1" x14ac:dyDescent="0.2"/>
    <row r="4965" ht="12.75" hidden="1" customHeight="1" x14ac:dyDescent="0.2"/>
    <row r="4966" ht="12.75" hidden="1" customHeight="1" x14ac:dyDescent="0.2"/>
    <row r="4967" ht="12.75" hidden="1" customHeight="1" x14ac:dyDescent="0.2"/>
    <row r="4968" ht="12.75" hidden="1" customHeight="1" x14ac:dyDescent="0.2"/>
    <row r="4969" ht="12.75" hidden="1" customHeight="1" x14ac:dyDescent="0.2"/>
    <row r="4970" ht="12.75" hidden="1" customHeight="1" x14ac:dyDescent="0.2"/>
    <row r="4971" ht="12.75" hidden="1" customHeight="1" x14ac:dyDescent="0.2"/>
    <row r="4972" ht="12.75" hidden="1" customHeight="1" x14ac:dyDescent="0.2"/>
    <row r="4973" ht="12.75" hidden="1" customHeight="1" x14ac:dyDescent="0.2"/>
    <row r="4974" ht="12.75" hidden="1" customHeight="1" x14ac:dyDescent="0.2"/>
    <row r="4975" ht="12.75" hidden="1" customHeight="1" x14ac:dyDescent="0.2"/>
    <row r="4976" ht="12.75" hidden="1" customHeight="1" x14ac:dyDescent="0.2"/>
    <row r="4977" ht="12.75" hidden="1" customHeight="1" x14ac:dyDescent="0.2"/>
    <row r="4978" ht="12.75" hidden="1" customHeight="1" x14ac:dyDescent="0.2"/>
    <row r="4979" ht="12.75" hidden="1" customHeight="1" x14ac:dyDescent="0.2"/>
    <row r="4980" ht="12.75" hidden="1" customHeight="1" x14ac:dyDescent="0.2"/>
    <row r="4981" ht="12.75" hidden="1" customHeight="1" x14ac:dyDescent="0.2"/>
    <row r="4982" ht="12.75" hidden="1" customHeight="1" x14ac:dyDescent="0.2"/>
    <row r="4983" ht="12.75" hidden="1" customHeight="1" x14ac:dyDescent="0.2"/>
    <row r="4984" ht="12.75" hidden="1" customHeight="1" x14ac:dyDescent="0.2"/>
    <row r="4985" ht="12.75" hidden="1" customHeight="1" x14ac:dyDescent="0.2"/>
    <row r="4986" ht="12.75" hidden="1" customHeight="1" x14ac:dyDescent="0.2"/>
    <row r="4987" ht="12.75" hidden="1" customHeight="1" x14ac:dyDescent="0.2"/>
    <row r="4988" ht="12.75" hidden="1" customHeight="1" x14ac:dyDescent="0.2"/>
    <row r="4989" ht="12.75" hidden="1" customHeight="1" x14ac:dyDescent="0.2"/>
    <row r="4990" ht="12.75" hidden="1" customHeight="1" x14ac:dyDescent="0.2"/>
    <row r="4991" ht="12.75" hidden="1" customHeight="1" x14ac:dyDescent="0.2"/>
    <row r="4992" ht="12.75" hidden="1" customHeight="1" x14ac:dyDescent="0.2"/>
    <row r="4993" ht="12.75" hidden="1" customHeight="1" x14ac:dyDescent="0.2"/>
    <row r="4994" ht="12.75" hidden="1" customHeight="1" x14ac:dyDescent="0.2"/>
    <row r="4995" ht="12.75" hidden="1" customHeight="1" x14ac:dyDescent="0.2"/>
    <row r="4996" ht="12.75" hidden="1" customHeight="1" x14ac:dyDescent="0.2"/>
    <row r="4997" ht="12.75" hidden="1" customHeight="1" x14ac:dyDescent="0.2"/>
    <row r="4998" ht="12.75" hidden="1" customHeight="1" x14ac:dyDescent="0.2"/>
    <row r="4999" ht="12.75" hidden="1" customHeight="1" x14ac:dyDescent="0.2"/>
    <row r="5000" ht="12.75" hidden="1" customHeight="1" x14ac:dyDescent="0.2"/>
    <row r="5001" ht="12.75" hidden="1" customHeight="1" x14ac:dyDescent="0.2"/>
    <row r="5002" ht="12.75" hidden="1" customHeight="1" x14ac:dyDescent="0.2"/>
    <row r="5003" ht="12.75" hidden="1" customHeight="1" x14ac:dyDescent="0.2"/>
    <row r="5004" ht="12.75" hidden="1" customHeight="1" x14ac:dyDescent="0.2"/>
    <row r="5005" ht="12.75" hidden="1" customHeight="1" x14ac:dyDescent="0.2"/>
    <row r="5006" ht="12.75" hidden="1" customHeight="1" x14ac:dyDescent="0.2"/>
    <row r="5007" ht="12.75" hidden="1" customHeight="1" x14ac:dyDescent="0.2"/>
    <row r="5008" ht="12.75" hidden="1" customHeight="1" x14ac:dyDescent="0.2"/>
    <row r="5009" ht="12.75" hidden="1" customHeight="1" x14ac:dyDescent="0.2"/>
    <row r="5010" ht="12.75" hidden="1" customHeight="1" x14ac:dyDescent="0.2"/>
    <row r="5011" ht="12.75" hidden="1" customHeight="1" x14ac:dyDescent="0.2"/>
    <row r="5012" ht="12.75" hidden="1" customHeight="1" x14ac:dyDescent="0.2"/>
    <row r="5013" ht="12.75" hidden="1" customHeight="1" x14ac:dyDescent="0.2"/>
    <row r="5014" ht="12.75" hidden="1" customHeight="1" x14ac:dyDescent="0.2"/>
    <row r="5015" ht="12.75" hidden="1" customHeight="1" x14ac:dyDescent="0.2"/>
    <row r="5016" ht="12.75" hidden="1" customHeight="1" x14ac:dyDescent="0.2"/>
    <row r="5017" ht="12.75" hidden="1" customHeight="1" x14ac:dyDescent="0.2"/>
    <row r="5018" ht="12.75" hidden="1" customHeight="1" x14ac:dyDescent="0.2"/>
    <row r="5019" ht="12.75" hidden="1" customHeight="1" x14ac:dyDescent="0.2"/>
    <row r="5020" ht="12.75" hidden="1" customHeight="1" x14ac:dyDescent="0.2"/>
    <row r="5021" ht="12.75" hidden="1" customHeight="1" x14ac:dyDescent="0.2"/>
    <row r="5022" ht="12.75" hidden="1" customHeight="1" x14ac:dyDescent="0.2"/>
    <row r="5023" ht="12.75" hidden="1" customHeight="1" x14ac:dyDescent="0.2"/>
    <row r="5024" ht="12.75" hidden="1" customHeight="1" x14ac:dyDescent="0.2"/>
    <row r="5025" ht="12.75" hidden="1" customHeight="1" x14ac:dyDescent="0.2"/>
    <row r="5026" ht="12.75" hidden="1" customHeight="1" x14ac:dyDescent="0.2"/>
    <row r="5027" ht="12.75" hidden="1" customHeight="1" x14ac:dyDescent="0.2"/>
    <row r="5028" ht="12.75" hidden="1" customHeight="1" x14ac:dyDescent="0.2"/>
    <row r="5029" ht="12.75" hidden="1" customHeight="1" x14ac:dyDescent="0.2"/>
    <row r="5030" ht="12.75" hidden="1" customHeight="1" x14ac:dyDescent="0.2"/>
    <row r="5031" ht="12.75" hidden="1" customHeight="1" x14ac:dyDescent="0.2"/>
    <row r="5032" ht="12.75" hidden="1" customHeight="1" x14ac:dyDescent="0.2"/>
    <row r="5033" ht="12.75" hidden="1" customHeight="1" x14ac:dyDescent="0.2"/>
    <row r="5034" ht="12.75" hidden="1" customHeight="1" x14ac:dyDescent="0.2"/>
    <row r="5035" ht="12.75" hidden="1" customHeight="1" x14ac:dyDescent="0.2"/>
    <row r="5036" ht="12.75" hidden="1" customHeight="1" x14ac:dyDescent="0.2"/>
    <row r="5037" ht="12.75" hidden="1" customHeight="1" x14ac:dyDescent="0.2"/>
    <row r="5038" ht="12.75" hidden="1" customHeight="1" x14ac:dyDescent="0.2"/>
    <row r="5039" ht="12.75" hidden="1" customHeight="1" x14ac:dyDescent="0.2"/>
    <row r="5040" ht="12.75" hidden="1" customHeight="1" x14ac:dyDescent="0.2"/>
    <row r="5041" ht="12.75" hidden="1" customHeight="1" x14ac:dyDescent="0.2"/>
    <row r="5042" ht="12.75" hidden="1" customHeight="1" x14ac:dyDescent="0.2"/>
    <row r="5043" ht="12.75" hidden="1" customHeight="1" x14ac:dyDescent="0.2"/>
    <row r="5044" ht="12.75" hidden="1" customHeight="1" x14ac:dyDescent="0.2"/>
    <row r="5045" ht="12.75" hidden="1" customHeight="1" x14ac:dyDescent="0.2"/>
    <row r="5046" ht="12.75" hidden="1" customHeight="1" x14ac:dyDescent="0.2"/>
    <row r="5047" ht="12.75" hidden="1" customHeight="1" x14ac:dyDescent="0.2"/>
    <row r="5048" ht="12.75" hidden="1" customHeight="1" x14ac:dyDescent="0.2"/>
    <row r="5049" ht="12.75" hidden="1" customHeight="1" x14ac:dyDescent="0.2"/>
    <row r="5050" ht="12.75" hidden="1" customHeight="1" x14ac:dyDescent="0.2"/>
    <row r="5051" ht="12.75" hidden="1" customHeight="1" x14ac:dyDescent="0.2"/>
    <row r="5052" ht="12.75" hidden="1" customHeight="1" x14ac:dyDescent="0.2"/>
    <row r="5053" ht="12.75" hidden="1" customHeight="1" x14ac:dyDescent="0.2"/>
    <row r="5054" ht="12.75" hidden="1" customHeight="1" x14ac:dyDescent="0.2"/>
    <row r="5055" ht="12.75" hidden="1" customHeight="1" x14ac:dyDescent="0.2"/>
    <row r="5056" ht="12.75" hidden="1" customHeight="1" x14ac:dyDescent="0.2"/>
    <row r="5057" ht="12.75" hidden="1" customHeight="1" x14ac:dyDescent="0.2"/>
    <row r="5058" ht="12.75" hidden="1" customHeight="1" x14ac:dyDescent="0.2"/>
    <row r="5059" ht="12.75" hidden="1" customHeight="1" x14ac:dyDescent="0.2"/>
    <row r="5060" ht="12.75" hidden="1" customHeight="1" x14ac:dyDescent="0.2"/>
    <row r="5061" ht="12.75" hidden="1" customHeight="1" x14ac:dyDescent="0.2"/>
    <row r="5062" ht="12.75" hidden="1" customHeight="1" x14ac:dyDescent="0.2"/>
    <row r="5063" ht="12.75" hidden="1" customHeight="1" x14ac:dyDescent="0.2"/>
    <row r="5064" ht="12.75" hidden="1" customHeight="1" x14ac:dyDescent="0.2"/>
    <row r="5065" ht="12.75" hidden="1" customHeight="1" x14ac:dyDescent="0.2"/>
    <row r="5066" ht="12.75" hidden="1" customHeight="1" x14ac:dyDescent="0.2"/>
    <row r="5067" ht="12.75" hidden="1" customHeight="1" x14ac:dyDescent="0.2"/>
    <row r="5068" ht="12.75" hidden="1" customHeight="1" x14ac:dyDescent="0.2"/>
    <row r="5069" ht="12.75" hidden="1" customHeight="1" x14ac:dyDescent="0.2"/>
    <row r="5070" ht="12.75" hidden="1" customHeight="1" x14ac:dyDescent="0.2"/>
    <row r="5071" ht="12.75" hidden="1" customHeight="1" x14ac:dyDescent="0.2"/>
    <row r="5072" ht="12.75" hidden="1" customHeight="1" x14ac:dyDescent="0.2"/>
    <row r="5073" ht="12.75" hidden="1" customHeight="1" x14ac:dyDescent="0.2"/>
    <row r="5074" ht="12.75" hidden="1" customHeight="1" x14ac:dyDescent="0.2"/>
    <row r="5075" ht="12.75" hidden="1" customHeight="1" x14ac:dyDescent="0.2"/>
    <row r="5076" ht="12.75" hidden="1" customHeight="1" x14ac:dyDescent="0.2"/>
    <row r="5077" ht="12.75" hidden="1" customHeight="1" x14ac:dyDescent="0.2"/>
    <row r="5078" ht="12.75" hidden="1" customHeight="1" x14ac:dyDescent="0.2"/>
    <row r="5079" ht="12.75" hidden="1" customHeight="1" x14ac:dyDescent="0.2"/>
    <row r="5080" ht="12.75" hidden="1" customHeight="1" x14ac:dyDescent="0.2"/>
    <row r="5081" ht="12.75" hidden="1" customHeight="1" x14ac:dyDescent="0.2"/>
    <row r="5082" ht="12.75" hidden="1" customHeight="1" x14ac:dyDescent="0.2"/>
    <row r="5083" ht="12.75" hidden="1" customHeight="1" x14ac:dyDescent="0.2"/>
    <row r="5084" ht="12.75" hidden="1" customHeight="1" x14ac:dyDescent="0.2"/>
    <row r="5085" ht="12.75" hidden="1" customHeight="1" x14ac:dyDescent="0.2"/>
    <row r="5086" ht="12.75" hidden="1" customHeight="1" x14ac:dyDescent="0.2"/>
    <row r="5087" ht="12.75" hidden="1" customHeight="1" x14ac:dyDescent="0.2"/>
    <row r="5088" ht="12.75" hidden="1" customHeight="1" x14ac:dyDescent="0.2"/>
    <row r="5089" ht="12.75" hidden="1" customHeight="1" x14ac:dyDescent="0.2"/>
    <row r="5090" ht="12.75" hidden="1" customHeight="1" x14ac:dyDescent="0.2"/>
    <row r="5091" ht="12.75" hidden="1" customHeight="1" x14ac:dyDescent="0.2"/>
    <row r="5092" ht="12.75" hidden="1" customHeight="1" x14ac:dyDescent="0.2"/>
    <row r="5093" ht="12.75" hidden="1" customHeight="1" x14ac:dyDescent="0.2"/>
    <row r="5094" ht="12.75" hidden="1" customHeight="1" x14ac:dyDescent="0.2"/>
    <row r="5095" ht="12.75" hidden="1" customHeight="1" x14ac:dyDescent="0.2"/>
    <row r="5096" ht="12.75" hidden="1" customHeight="1" x14ac:dyDescent="0.2"/>
    <row r="5097" ht="12.75" hidden="1" customHeight="1" x14ac:dyDescent="0.2"/>
    <row r="5098" ht="12.75" hidden="1" customHeight="1" x14ac:dyDescent="0.2"/>
    <row r="5099" ht="12.75" hidden="1" customHeight="1" x14ac:dyDescent="0.2"/>
    <row r="5100" ht="12.75" hidden="1" customHeight="1" x14ac:dyDescent="0.2"/>
    <row r="5101" ht="12.75" hidden="1" customHeight="1" x14ac:dyDescent="0.2"/>
    <row r="5102" ht="12.75" hidden="1" customHeight="1" x14ac:dyDescent="0.2"/>
    <row r="5103" ht="12.75" hidden="1" customHeight="1" x14ac:dyDescent="0.2"/>
    <row r="5104" ht="12.75" hidden="1" customHeight="1" x14ac:dyDescent="0.2"/>
    <row r="5105" ht="12.75" hidden="1" customHeight="1" x14ac:dyDescent="0.2"/>
    <row r="5106" ht="12.75" hidden="1" customHeight="1" x14ac:dyDescent="0.2"/>
    <row r="5107" ht="12.75" hidden="1" customHeight="1" x14ac:dyDescent="0.2"/>
    <row r="5108" ht="12.75" hidden="1" customHeight="1" x14ac:dyDescent="0.2"/>
    <row r="5109" ht="12.75" hidden="1" customHeight="1" x14ac:dyDescent="0.2"/>
    <row r="5110" ht="12.75" hidden="1" customHeight="1" x14ac:dyDescent="0.2"/>
    <row r="5111" ht="12.75" hidden="1" customHeight="1" x14ac:dyDescent="0.2"/>
    <row r="5112" ht="12.75" hidden="1" customHeight="1" x14ac:dyDescent="0.2"/>
    <row r="5113" ht="12.75" hidden="1" customHeight="1" x14ac:dyDescent="0.2"/>
    <row r="5114" ht="12.75" hidden="1" customHeight="1" x14ac:dyDescent="0.2"/>
    <row r="5115" ht="12.75" hidden="1" customHeight="1" x14ac:dyDescent="0.2"/>
    <row r="5116" ht="12.75" hidden="1" customHeight="1" x14ac:dyDescent="0.2"/>
    <row r="5117" ht="12.75" hidden="1" customHeight="1" x14ac:dyDescent="0.2"/>
    <row r="5118" ht="12.75" hidden="1" customHeight="1" x14ac:dyDescent="0.2"/>
    <row r="5119" ht="12.75" hidden="1" customHeight="1" x14ac:dyDescent="0.2"/>
    <row r="5120" ht="12.75" hidden="1" customHeight="1" x14ac:dyDescent="0.2"/>
    <row r="5121" ht="12.75" hidden="1" customHeight="1" x14ac:dyDescent="0.2"/>
    <row r="5122" ht="12.75" hidden="1" customHeight="1" x14ac:dyDescent="0.2"/>
    <row r="5123" ht="12.75" hidden="1" customHeight="1" x14ac:dyDescent="0.2"/>
    <row r="5124" ht="12.75" hidden="1" customHeight="1" x14ac:dyDescent="0.2"/>
    <row r="5125" ht="12.75" hidden="1" customHeight="1" x14ac:dyDescent="0.2"/>
    <row r="5126" ht="12.75" hidden="1" customHeight="1" x14ac:dyDescent="0.2"/>
    <row r="5127" ht="12.75" hidden="1" customHeight="1" x14ac:dyDescent="0.2"/>
    <row r="5128" ht="12.75" hidden="1" customHeight="1" x14ac:dyDescent="0.2"/>
    <row r="5129" ht="12.75" hidden="1" customHeight="1" x14ac:dyDescent="0.2"/>
    <row r="5130" ht="12.75" hidden="1" customHeight="1" x14ac:dyDescent="0.2"/>
    <row r="5131" ht="12.75" hidden="1" customHeight="1" x14ac:dyDescent="0.2"/>
    <row r="5132" ht="12.75" hidden="1" customHeight="1" x14ac:dyDescent="0.2"/>
    <row r="5133" ht="12.75" hidden="1" customHeight="1" x14ac:dyDescent="0.2"/>
    <row r="5134" ht="12.75" hidden="1" customHeight="1" x14ac:dyDescent="0.2"/>
    <row r="5135" ht="12.75" hidden="1" customHeight="1" x14ac:dyDescent="0.2"/>
    <row r="5136" ht="12.75" hidden="1" customHeight="1" x14ac:dyDescent="0.2"/>
    <row r="5137" ht="12.75" hidden="1" customHeight="1" x14ac:dyDescent="0.2"/>
    <row r="5138" ht="12.75" hidden="1" customHeight="1" x14ac:dyDescent="0.2"/>
    <row r="5139" ht="12.75" hidden="1" customHeight="1" x14ac:dyDescent="0.2"/>
    <row r="5140" ht="12.75" hidden="1" customHeight="1" x14ac:dyDescent="0.2"/>
    <row r="5141" ht="12.75" hidden="1" customHeight="1" x14ac:dyDescent="0.2"/>
    <row r="5142" ht="12.75" hidden="1" customHeight="1" x14ac:dyDescent="0.2"/>
    <row r="5143" ht="12.75" hidden="1" customHeight="1" x14ac:dyDescent="0.2"/>
    <row r="5144" ht="12.75" hidden="1" customHeight="1" x14ac:dyDescent="0.2"/>
    <row r="5145" ht="12.75" hidden="1" customHeight="1" x14ac:dyDescent="0.2"/>
    <row r="5146" ht="12.75" hidden="1" customHeight="1" x14ac:dyDescent="0.2"/>
    <row r="5147" ht="12.75" hidden="1" customHeight="1" x14ac:dyDescent="0.2"/>
    <row r="5148" ht="12.75" hidden="1" customHeight="1" x14ac:dyDescent="0.2"/>
    <row r="5149" ht="12.75" hidden="1" customHeight="1" x14ac:dyDescent="0.2"/>
    <row r="5150" ht="12.75" hidden="1" customHeight="1" x14ac:dyDescent="0.2"/>
    <row r="5151" ht="12.75" hidden="1" customHeight="1" x14ac:dyDescent="0.2"/>
    <row r="5152" ht="12.75" hidden="1" customHeight="1" x14ac:dyDescent="0.2"/>
    <row r="5153" ht="12.75" hidden="1" customHeight="1" x14ac:dyDescent="0.2"/>
    <row r="5154" ht="12.75" hidden="1" customHeight="1" x14ac:dyDescent="0.2"/>
    <row r="5155" ht="12.75" hidden="1" customHeight="1" x14ac:dyDescent="0.2"/>
    <row r="5156" ht="12.75" hidden="1" customHeight="1" x14ac:dyDescent="0.2"/>
    <row r="5157" ht="12.75" hidden="1" customHeight="1" x14ac:dyDescent="0.2"/>
    <row r="5158" ht="12.75" hidden="1" customHeight="1" x14ac:dyDescent="0.2"/>
    <row r="5159" ht="12.75" hidden="1" customHeight="1" x14ac:dyDescent="0.2"/>
    <row r="5160" ht="12.75" hidden="1" customHeight="1" x14ac:dyDescent="0.2"/>
    <row r="5161" ht="12.75" hidden="1" customHeight="1" x14ac:dyDescent="0.2"/>
    <row r="5162" ht="12.75" hidden="1" customHeight="1" x14ac:dyDescent="0.2"/>
    <row r="5163" ht="12.75" hidden="1" customHeight="1" x14ac:dyDescent="0.2"/>
    <row r="5164" ht="12.75" hidden="1" customHeight="1" x14ac:dyDescent="0.2"/>
    <row r="5165" ht="12.75" hidden="1" customHeight="1" x14ac:dyDescent="0.2"/>
    <row r="5166" ht="12.75" hidden="1" customHeight="1" x14ac:dyDescent="0.2"/>
    <row r="5167" ht="12.75" hidden="1" customHeight="1" x14ac:dyDescent="0.2"/>
    <row r="5168" ht="12.75" hidden="1" customHeight="1" x14ac:dyDescent="0.2"/>
    <row r="5169" ht="12.75" hidden="1" customHeight="1" x14ac:dyDescent="0.2"/>
    <row r="5170" ht="12.75" hidden="1" customHeight="1" x14ac:dyDescent="0.2"/>
    <row r="5171" ht="12.75" hidden="1" customHeight="1" x14ac:dyDescent="0.2"/>
    <row r="5172" ht="12.75" hidden="1" customHeight="1" x14ac:dyDescent="0.2"/>
    <row r="5173" ht="12.75" hidden="1" customHeight="1" x14ac:dyDescent="0.2"/>
    <row r="5174" ht="12.75" hidden="1" customHeight="1" x14ac:dyDescent="0.2"/>
    <row r="5175" ht="12.75" hidden="1" customHeight="1" x14ac:dyDescent="0.2"/>
    <row r="5176" ht="12.75" hidden="1" customHeight="1" x14ac:dyDescent="0.2"/>
    <row r="5177" ht="12.75" hidden="1" customHeight="1" x14ac:dyDescent="0.2"/>
    <row r="5178" ht="12.75" hidden="1" customHeight="1" x14ac:dyDescent="0.2"/>
    <row r="5179" ht="12.75" hidden="1" customHeight="1" x14ac:dyDescent="0.2"/>
    <row r="5180" ht="12.75" hidden="1" customHeight="1" x14ac:dyDescent="0.2"/>
    <row r="5181" ht="12.75" hidden="1" customHeight="1" x14ac:dyDescent="0.2"/>
    <row r="5182" ht="12.75" hidden="1" customHeight="1" x14ac:dyDescent="0.2"/>
    <row r="5183" ht="12.75" hidden="1" customHeight="1" x14ac:dyDescent="0.2"/>
    <row r="5184" ht="12.75" hidden="1" customHeight="1" x14ac:dyDescent="0.2"/>
    <row r="5185" ht="12.75" hidden="1" customHeight="1" x14ac:dyDescent="0.2"/>
    <row r="5186" ht="12.75" hidden="1" customHeight="1" x14ac:dyDescent="0.2"/>
    <row r="5187" ht="12.75" hidden="1" customHeight="1" x14ac:dyDescent="0.2"/>
    <row r="5188" ht="12.75" hidden="1" customHeight="1" x14ac:dyDescent="0.2"/>
    <row r="5189" ht="12.75" hidden="1" customHeight="1" x14ac:dyDescent="0.2"/>
    <row r="5190" ht="12.75" hidden="1" customHeight="1" x14ac:dyDescent="0.2"/>
    <row r="5191" ht="12.75" hidden="1" customHeight="1" x14ac:dyDescent="0.2"/>
    <row r="5192" ht="12.75" hidden="1" customHeight="1" x14ac:dyDescent="0.2"/>
    <row r="5193" ht="12.75" hidden="1" customHeight="1" x14ac:dyDescent="0.2"/>
    <row r="5194" ht="12.75" hidden="1" customHeight="1" x14ac:dyDescent="0.2"/>
    <row r="5195" ht="12.75" hidden="1" customHeight="1" x14ac:dyDescent="0.2"/>
    <row r="5196" ht="12.75" hidden="1" customHeight="1" x14ac:dyDescent="0.2"/>
    <row r="5197" ht="12.75" hidden="1" customHeight="1" x14ac:dyDescent="0.2"/>
    <row r="5198" ht="12.75" hidden="1" customHeight="1" x14ac:dyDescent="0.2"/>
    <row r="5199" ht="12.75" hidden="1" customHeight="1" x14ac:dyDescent="0.2"/>
    <row r="5200" ht="12.75" hidden="1" customHeight="1" x14ac:dyDescent="0.2"/>
    <row r="5201" ht="12.75" hidden="1" customHeight="1" x14ac:dyDescent="0.2"/>
    <row r="5202" ht="12.75" hidden="1" customHeight="1" x14ac:dyDescent="0.2"/>
    <row r="5203" ht="12.75" hidden="1" customHeight="1" x14ac:dyDescent="0.2"/>
    <row r="5204" ht="12.75" hidden="1" customHeight="1" x14ac:dyDescent="0.2"/>
    <row r="5205" ht="12.75" hidden="1" customHeight="1" x14ac:dyDescent="0.2"/>
    <row r="5206" ht="12.75" hidden="1" customHeight="1" x14ac:dyDescent="0.2"/>
    <row r="5207" ht="12.75" hidden="1" customHeight="1" x14ac:dyDescent="0.2"/>
    <row r="5208" ht="12.75" hidden="1" customHeight="1" x14ac:dyDescent="0.2"/>
    <row r="5209" ht="12.75" hidden="1" customHeight="1" x14ac:dyDescent="0.2"/>
    <row r="5210" ht="12.75" hidden="1" customHeight="1" x14ac:dyDescent="0.2"/>
    <row r="5211" ht="12.75" hidden="1" customHeight="1" x14ac:dyDescent="0.2"/>
    <row r="5212" ht="12.75" hidden="1" customHeight="1" x14ac:dyDescent="0.2"/>
    <row r="5213" ht="12.75" hidden="1" customHeight="1" x14ac:dyDescent="0.2"/>
    <row r="5214" ht="12.75" hidden="1" customHeight="1" x14ac:dyDescent="0.2"/>
    <row r="5215" ht="12.75" hidden="1" customHeight="1" x14ac:dyDescent="0.2"/>
    <row r="5216" ht="12.75" hidden="1" customHeight="1" x14ac:dyDescent="0.2"/>
    <row r="5217" ht="12.75" hidden="1" customHeight="1" x14ac:dyDescent="0.2"/>
    <row r="5218" ht="12.75" hidden="1" customHeight="1" x14ac:dyDescent="0.2"/>
    <row r="5219" ht="12.75" hidden="1" customHeight="1" x14ac:dyDescent="0.2"/>
    <row r="5220" ht="12.75" hidden="1" customHeight="1" x14ac:dyDescent="0.2"/>
    <row r="5221" ht="12.75" hidden="1" customHeight="1" x14ac:dyDescent="0.2"/>
    <row r="5222" ht="12.75" hidden="1" customHeight="1" x14ac:dyDescent="0.2"/>
    <row r="5223" ht="12.75" hidden="1" customHeight="1" x14ac:dyDescent="0.2"/>
    <row r="5224" ht="12.75" hidden="1" customHeight="1" x14ac:dyDescent="0.2"/>
    <row r="5225" ht="12.75" hidden="1" customHeight="1" x14ac:dyDescent="0.2"/>
    <row r="5226" ht="12.75" hidden="1" customHeight="1" x14ac:dyDescent="0.2"/>
    <row r="5227" ht="12.75" hidden="1" customHeight="1" x14ac:dyDescent="0.2"/>
    <row r="5228" ht="12.75" hidden="1" customHeight="1" x14ac:dyDescent="0.2"/>
    <row r="5229" ht="12.75" hidden="1" customHeight="1" x14ac:dyDescent="0.2"/>
    <row r="5230" ht="12.75" hidden="1" customHeight="1" x14ac:dyDescent="0.2"/>
    <row r="5231" ht="12.75" hidden="1" customHeight="1" x14ac:dyDescent="0.2"/>
    <row r="5232" ht="12.75" hidden="1" customHeight="1" x14ac:dyDescent="0.2"/>
    <row r="5233" ht="12.75" hidden="1" customHeight="1" x14ac:dyDescent="0.2"/>
    <row r="5234" ht="12.75" hidden="1" customHeight="1" x14ac:dyDescent="0.2"/>
    <row r="5235" ht="12.75" hidden="1" customHeight="1" x14ac:dyDescent="0.2"/>
    <row r="5236" ht="12.75" hidden="1" customHeight="1" x14ac:dyDescent="0.2"/>
    <row r="5237" ht="12.75" hidden="1" customHeight="1" x14ac:dyDescent="0.2"/>
    <row r="5238" ht="12.75" hidden="1" customHeight="1" x14ac:dyDescent="0.2"/>
    <row r="5239" ht="12.75" hidden="1" customHeight="1" x14ac:dyDescent="0.2"/>
    <row r="5240" ht="12.75" hidden="1" customHeight="1" x14ac:dyDescent="0.2"/>
    <row r="5241" ht="12.75" hidden="1" customHeight="1" x14ac:dyDescent="0.2"/>
    <row r="5242" ht="12.75" hidden="1" customHeight="1" x14ac:dyDescent="0.2"/>
    <row r="5243" ht="12.75" hidden="1" customHeight="1" x14ac:dyDescent="0.2"/>
    <row r="5244" ht="12.75" hidden="1" customHeight="1" x14ac:dyDescent="0.2"/>
    <row r="5245" ht="12.75" hidden="1" customHeight="1" x14ac:dyDescent="0.2"/>
    <row r="5246" ht="12.75" hidden="1" customHeight="1" x14ac:dyDescent="0.2"/>
    <row r="5247" ht="12.75" hidden="1" customHeight="1" x14ac:dyDescent="0.2"/>
    <row r="5248" ht="12.75" hidden="1" customHeight="1" x14ac:dyDescent="0.2"/>
    <row r="5249" ht="12.75" hidden="1" customHeight="1" x14ac:dyDescent="0.2"/>
    <row r="5250" ht="12.75" hidden="1" customHeight="1" x14ac:dyDescent="0.2"/>
    <row r="5251" ht="12.75" hidden="1" customHeight="1" x14ac:dyDescent="0.2"/>
    <row r="5252" ht="12.75" hidden="1" customHeight="1" x14ac:dyDescent="0.2"/>
    <row r="5253" ht="12.75" hidden="1" customHeight="1" x14ac:dyDescent="0.2"/>
    <row r="5254" ht="12.75" hidden="1" customHeight="1" x14ac:dyDescent="0.2"/>
    <row r="5255" ht="12.75" hidden="1" customHeight="1" x14ac:dyDescent="0.2"/>
    <row r="5256" ht="12.75" hidden="1" customHeight="1" x14ac:dyDescent="0.2"/>
    <row r="5257" ht="12.75" hidden="1" customHeight="1" x14ac:dyDescent="0.2"/>
    <row r="5258" ht="12.75" hidden="1" customHeight="1" x14ac:dyDescent="0.2"/>
    <row r="5259" ht="12.75" hidden="1" customHeight="1" x14ac:dyDescent="0.2"/>
    <row r="5260" ht="12.75" hidden="1" customHeight="1" x14ac:dyDescent="0.2"/>
    <row r="5261" ht="12.75" hidden="1" customHeight="1" x14ac:dyDescent="0.2"/>
    <row r="5262" ht="12.75" hidden="1" customHeight="1" x14ac:dyDescent="0.2"/>
    <row r="5263" ht="12.75" hidden="1" customHeight="1" x14ac:dyDescent="0.2"/>
    <row r="5264" ht="12.75" hidden="1" customHeight="1" x14ac:dyDescent="0.2"/>
    <row r="5265" ht="12.75" hidden="1" customHeight="1" x14ac:dyDescent="0.2"/>
    <row r="5266" ht="12.75" hidden="1" customHeight="1" x14ac:dyDescent="0.2"/>
    <row r="5267" ht="12.75" hidden="1" customHeight="1" x14ac:dyDescent="0.2"/>
    <row r="5268" ht="12.75" hidden="1" customHeight="1" x14ac:dyDescent="0.2"/>
    <row r="5269" ht="12.75" hidden="1" customHeight="1" x14ac:dyDescent="0.2"/>
    <row r="5270" ht="12.75" hidden="1" customHeight="1" x14ac:dyDescent="0.2"/>
    <row r="5271" ht="12.75" hidden="1" customHeight="1" x14ac:dyDescent="0.2"/>
    <row r="5272" ht="12.75" hidden="1" customHeight="1" x14ac:dyDescent="0.2"/>
    <row r="5273" ht="12.75" hidden="1" customHeight="1" x14ac:dyDescent="0.2"/>
    <row r="5274" ht="12.75" hidden="1" customHeight="1" x14ac:dyDescent="0.2"/>
    <row r="5275" ht="12.75" hidden="1" customHeight="1" x14ac:dyDescent="0.2"/>
    <row r="5276" ht="12.75" hidden="1" customHeight="1" x14ac:dyDescent="0.2"/>
    <row r="5277" ht="12.75" hidden="1" customHeight="1" x14ac:dyDescent="0.2"/>
    <row r="5278" ht="12.75" hidden="1" customHeight="1" x14ac:dyDescent="0.2"/>
    <row r="5279" ht="12.75" hidden="1" customHeight="1" x14ac:dyDescent="0.2"/>
    <row r="5280" ht="12.75" hidden="1" customHeight="1" x14ac:dyDescent="0.2"/>
    <row r="5281" ht="12.75" hidden="1" customHeight="1" x14ac:dyDescent="0.2"/>
    <row r="5282" ht="12.75" hidden="1" customHeight="1" x14ac:dyDescent="0.2"/>
    <row r="5283" ht="12.75" hidden="1" customHeight="1" x14ac:dyDescent="0.2"/>
    <row r="5284" ht="12.75" hidden="1" customHeight="1" x14ac:dyDescent="0.2"/>
    <row r="5285" ht="12.75" hidden="1" customHeight="1" x14ac:dyDescent="0.2"/>
    <row r="5286" ht="12.75" hidden="1" customHeight="1" x14ac:dyDescent="0.2"/>
    <row r="5287" ht="12.75" hidden="1" customHeight="1" x14ac:dyDescent="0.2"/>
    <row r="5288" ht="12.75" hidden="1" customHeight="1" x14ac:dyDescent="0.2"/>
    <row r="5289" ht="12.75" hidden="1" customHeight="1" x14ac:dyDescent="0.2"/>
    <row r="5290" ht="12.75" hidden="1" customHeight="1" x14ac:dyDescent="0.2"/>
    <row r="5291" ht="12.75" hidden="1" customHeight="1" x14ac:dyDescent="0.2"/>
    <row r="5292" ht="12.75" hidden="1" customHeight="1" x14ac:dyDescent="0.2"/>
    <row r="5293" ht="12.75" hidden="1" customHeight="1" x14ac:dyDescent="0.2"/>
    <row r="5294" ht="12.75" hidden="1" customHeight="1" x14ac:dyDescent="0.2"/>
    <row r="5295" ht="12.75" hidden="1" customHeight="1" x14ac:dyDescent="0.2"/>
    <row r="5296" ht="12.75" hidden="1" customHeight="1" x14ac:dyDescent="0.2"/>
    <row r="5297" ht="12.75" hidden="1" customHeight="1" x14ac:dyDescent="0.2"/>
    <row r="5298" ht="12.75" hidden="1" customHeight="1" x14ac:dyDescent="0.2"/>
    <row r="5299" ht="12.75" hidden="1" customHeight="1" x14ac:dyDescent="0.2"/>
    <row r="5300" ht="12.75" hidden="1" customHeight="1" x14ac:dyDescent="0.2"/>
    <row r="5301" ht="12.75" hidden="1" customHeight="1" x14ac:dyDescent="0.2"/>
    <row r="5302" ht="12.75" hidden="1" customHeight="1" x14ac:dyDescent="0.2"/>
    <row r="5303" ht="12.75" hidden="1" customHeight="1" x14ac:dyDescent="0.2"/>
    <row r="5304" ht="12.75" hidden="1" customHeight="1" x14ac:dyDescent="0.2"/>
    <row r="5305" ht="12.75" hidden="1" customHeight="1" x14ac:dyDescent="0.2"/>
    <row r="5306" ht="12.75" hidden="1" customHeight="1" x14ac:dyDescent="0.2"/>
    <row r="5307" ht="12.75" hidden="1" customHeight="1" x14ac:dyDescent="0.2"/>
    <row r="5308" ht="12.75" hidden="1" customHeight="1" x14ac:dyDescent="0.2"/>
    <row r="5309" ht="12.75" hidden="1" customHeight="1" x14ac:dyDescent="0.2"/>
    <row r="5310" ht="12.75" hidden="1" customHeight="1" x14ac:dyDescent="0.2"/>
    <row r="5311" ht="12.75" hidden="1" customHeight="1" x14ac:dyDescent="0.2"/>
    <row r="5312" ht="12.75" hidden="1" customHeight="1" x14ac:dyDescent="0.2"/>
    <row r="5313" ht="12.75" hidden="1" customHeight="1" x14ac:dyDescent="0.2"/>
    <row r="5314" ht="12.75" hidden="1" customHeight="1" x14ac:dyDescent="0.2"/>
    <row r="5315" ht="12.75" hidden="1" customHeight="1" x14ac:dyDescent="0.2"/>
    <row r="5316" ht="12.75" hidden="1" customHeight="1" x14ac:dyDescent="0.2"/>
    <row r="5317" ht="12.75" hidden="1" customHeight="1" x14ac:dyDescent="0.2"/>
    <row r="5318" ht="12.75" hidden="1" customHeight="1" x14ac:dyDescent="0.2"/>
    <row r="5319" ht="12.75" hidden="1" customHeight="1" x14ac:dyDescent="0.2"/>
    <row r="5320" ht="12.75" hidden="1" customHeight="1" x14ac:dyDescent="0.2"/>
    <row r="5321" ht="12.75" hidden="1" customHeight="1" x14ac:dyDescent="0.2"/>
    <row r="5322" ht="12.75" hidden="1" customHeight="1" x14ac:dyDescent="0.2"/>
    <row r="5323" ht="12.75" hidden="1" customHeight="1" x14ac:dyDescent="0.2"/>
    <row r="5324" ht="12.75" hidden="1" customHeight="1" x14ac:dyDescent="0.2"/>
    <row r="5325" ht="12.75" hidden="1" customHeight="1" x14ac:dyDescent="0.2"/>
    <row r="5326" ht="12.75" hidden="1" customHeight="1" x14ac:dyDescent="0.2"/>
    <row r="5327" ht="12.75" hidden="1" customHeight="1" x14ac:dyDescent="0.2"/>
    <row r="5328" ht="12.75" hidden="1" customHeight="1" x14ac:dyDescent="0.2"/>
    <row r="5329" ht="12.75" hidden="1" customHeight="1" x14ac:dyDescent="0.2"/>
    <row r="5330" ht="12.75" hidden="1" customHeight="1" x14ac:dyDescent="0.2"/>
    <row r="5331" ht="12.75" hidden="1" customHeight="1" x14ac:dyDescent="0.2"/>
    <row r="5332" ht="12.75" hidden="1" customHeight="1" x14ac:dyDescent="0.2"/>
    <row r="5333" ht="12.75" hidden="1" customHeight="1" x14ac:dyDescent="0.2"/>
    <row r="5334" ht="12.75" hidden="1" customHeight="1" x14ac:dyDescent="0.2"/>
    <row r="5335" ht="12.75" hidden="1" customHeight="1" x14ac:dyDescent="0.2"/>
    <row r="5336" ht="12.75" hidden="1" customHeight="1" x14ac:dyDescent="0.2"/>
    <row r="5337" ht="12.75" hidden="1" customHeight="1" x14ac:dyDescent="0.2"/>
    <row r="5338" ht="12.75" hidden="1" customHeight="1" x14ac:dyDescent="0.2"/>
    <row r="5339" ht="12.75" hidden="1" customHeight="1" x14ac:dyDescent="0.2"/>
    <row r="5340" ht="12.75" hidden="1" customHeight="1" x14ac:dyDescent="0.2"/>
    <row r="5341" ht="12.75" hidden="1" customHeight="1" x14ac:dyDescent="0.2"/>
    <row r="5342" ht="12.75" hidden="1" customHeight="1" x14ac:dyDescent="0.2"/>
    <row r="5343" ht="12.75" hidden="1" customHeight="1" x14ac:dyDescent="0.2"/>
    <row r="5344" ht="12.75" hidden="1" customHeight="1" x14ac:dyDescent="0.2"/>
    <row r="5345" ht="12.75" hidden="1" customHeight="1" x14ac:dyDescent="0.2"/>
    <row r="5346" ht="12.75" hidden="1" customHeight="1" x14ac:dyDescent="0.2"/>
    <row r="5347" ht="12.75" hidden="1" customHeight="1" x14ac:dyDescent="0.2"/>
    <row r="5348" ht="12.75" hidden="1" customHeight="1" x14ac:dyDescent="0.2"/>
    <row r="5349" ht="12.75" hidden="1" customHeight="1" x14ac:dyDescent="0.2"/>
    <row r="5350" ht="12.75" hidden="1" customHeight="1" x14ac:dyDescent="0.2"/>
    <row r="5351" ht="12.75" hidden="1" customHeight="1" x14ac:dyDescent="0.2"/>
    <row r="5352" ht="12.75" hidden="1" customHeight="1" x14ac:dyDescent="0.2"/>
    <row r="5353" ht="12.75" hidden="1" customHeight="1" x14ac:dyDescent="0.2"/>
    <row r="5354" ht="12.75" hidden="1" customHeight="1" x14ac:dyDescent="0.2"/>
    <row r="5355" ht="12.75" hidden="1" customHeight="1" x14ac:dyDescent="0.2"/>
    <row r="5356" ht="12.75" hidden="1" customHeight="1" x14ac:dyDescent="0.2"/>
    <row r="5357" ht="12.75" hidden="1" customHeight="1" x14ac:dyDescent="0.2"/>
    <row r="5358" ht="12.75" hidden="1" customHeight="1" x14ac:dyDescent="0.2"/>
    <row r="5359" ht="12.75" hidden="1" customHeight="1" x14ac:dyDescent="0.2"/>
    <row r="5360" ht="12.75" hidden="1" customHeight="1" x14ac:dyDescent="0.2"/>
    <row r="5361" ht="12.75" hidden="1" customHeight="1" x14ac:dyDescent="0.2"/>
    <row r="5362" ht="12.75" hidden="1" customHeight="1" x14ac:dyDescent="0.2"/>
    <row r="5363" ht="12.75" hidden="1" customHeight="1" x14ac:dyDescent="0.2"/>
    <row r="5364" ht="12.75" hidden="1" customHeight="1" x14ac:dyDescent="0.2"/>
    <row r="5365" ht="12.75" hidden="1" customHeight="1" x14ac:dyDescent="0.2"/>
    <row r="5366" ht="12.75" hidden="1" customHeight="1" x14ac:dyDescent="0.2"/>
    <row r="5367" ht="12.75" hidden="1" customHeight="1" x14ac:dyDescent="0.2"/>
    <row r="5368" ht="12.75" hidden="1" customHeight="1" x14ac:dyDescent="0.2"/>
    <row r="5369" ht="12.75" hidden="1" customHeight="1" x14ac:dyDescent="0.2"/>
    <row r="5370" ht="12.75" hidden="1" customHeight="1" x14ac:dyDescent="0.2"/>
    <row r="5371" ht="12.75" hidden="1" customHeight="1" x14ac:dyDescent="0.2"/>
    <row r="5372" ht="12.75" hidden="1" customHeight="1" x14ac:dyDescent="0.2"/>
    <row r="5373" ht="12.75" hidden="1" customHeight="1" x14ac:dyDescent="0.2"/>
    <row r="5374" ht="12.75" hidden="1" customHeight="1" x14ac:dyDescent="0.2"/>
    <row r="5375" ht="12.75" hidden="1" customHeight="1" x14ac:dyDescent="0.2"/>
    <row r="5376" ht="12.75" hidden="1" customHeight="1" x14ac:dyDescent="0.2"/>
    <row r="5377" ht="12.75" hidden="1" customHeight="1" x14ac:dyDescent="0.2"/>
    <row r="5378" ht="12.75" hidden="1" customHeight="1" x14ac:dyDescent="0.2"/>
    <row r="5379" ht="12.75" hidden="1" customHeight="1" x14ac:dyDescent="0.2"/>
    <row r="5380" ht="12.75" hidden="1" customHeight="1" x14ac:dyDescent="0.2"/>
    <row r="5381" ht="12.75" hidden="1" customHeight="1" x14ac:dyDescent="0.2"/>
    <row r="5382" ht="12.75" hidden="1" customHeight="1" x14ac:dyDescent="0.2"/>
    <row r="5383" ht="12.75" hidden="1" customHeight="1" x14ac:dyDescent="0.2"/>
    <row r="5384" ht="12.75" hidden="1" customHeight="1" x14ac:dyDescent="0.2"/>
    <row r="5385" ht="12.75" hidden="1" customHeight="1" x14ac:dyDescent="0.2"/>
    <row r="5386" ht="12.75" hidden="1" customHeight="1" x14ac:dyDescent="0.2"/>
    <row r="5387" ht="12.75" hidden="1" customHeight="1" x14ac:dyDescent="0.2"/>
    <row r="5388" ht="12.75" hidden="1" customHeight="1" x14ac:dyDescent="0.2"/>
    <row r="5389" ht="12.75" hidden="1" customHeight="1" x14ac:dyDescent="0.2"/>
    <row r="5390" ht="12.75" hidden="1" customHeight="1" x14ac:dyDescent="0.2"/>
    <row r="5391" ht="12.75" hidden="1" customHeight="1" x14ac:dyDescent="0.2"/>
    <row r="5392" ht="12.75" hidden="1" customHeight="1" x14ac:dyDescent="0.2"/>
    <row r="5393" ht="12.75" hidden="1" customHeight="1" x14ac:dyDescent="0.2"/>
    <row r="5394" ht="12.75" hidden="1" customHeight="1" x14ac:dyDescent="0.2"/>
    <row r="5395" ht="12.75" hidden="1" customHeight="1" x14ac:dyDescent="0.2"/>
    <row r="5396" ht="12.75" hidden="1" customHeight="1" x14ac:dyDescent="0.2"/>
    <row r="5397" ht="12.75" hidden="1" customHeight="1" x14ac:dyDescent="0.2"/>
    <row r="5398" ht="12.75" hidden="1" customHeight="1" x14ac:dyDescent="0.2"/>
    <row r="5399" ht="12.75" hidden="1" customHeight="1" x14ac:dyDescent="0.2"/>
    <row r="5400" ht="12.75" hidden="1" customHeight="1" x14ac:dyDescent="0.2"/>
    <row r="5401" ht="12.75" hidden="1" customHeight="1" x14ac:dyDescent="0.2"/>
    <row r="5402" ht="12.75" hidden="1" customHeight="1" x14ac:dyDescent="0.2"/>
    <row r="5403" ht="12.75" hidden="1" customHeight="1" x14ac:dyDescent="0.2"/>
    <row r="5404" ht="12.75" hidden="1" customHeight="1" x14ac:dyDescent="0.2"/>
    <row r="5405" ht="12.75" hidden="1" customHeight="1" x14ac:dyDescent="0.2"/>
    <row r="5406" ht="12.75" hidden="1" customHeight="1" x14ac:dyDescent="0.2"/>
    <row r="5407" ht="12.75" hidden="1" customHeight="1" x14ac:dyDescent="0.2"/>
    <row r="5408" ht="12.75" hidden="1" customHeight="1" x14ac:dyDescent="0.2"/>
    <row r="5409" ht="12.75" hidden="1" customHeight="1" x14ac:dyDescent="0.2"/>
    <row r="5410" ht="12.75" hidden="1" customHeight="1" x14ac:dyDescent="0.2"/>
    <row r="5411" ht="12.75" hidden="1" customHeight="1" x14ac:dyDescent="0.2"/>
    <row r="5412" ht="12.75" hidden="1" customHeight="1" x14ac:dyDescent="0.2"/>
    <row r="5413" ht="12.75" hidden="1" customHeight="1" x14ac:dyDescent="0.2"/>
    <row r="5414" ht="12.75" hidden="1" customHeight="1" x14ac:dyDescent="0.2"/>
    <row r="5415" ht="12.75" hidden="1" customHeight="1" x14ac:dyDescent="0.2"/>
    <row r="5416" ht="12.75" hidden="1" customHeight="1" x14ac:dyDescent="0.2"/>
    <row r="5417" ht="12.75" hidden="1" customHeight="1" x14ac:dyDescent="0.2"/>
    <row r="5418" ht="12.75" hidden="1" customHeight="1" x14ac:dyDescent="0.2"/>
    <row r="5419" ht="12.75" hidden="1" customHeight="1" x14ac:dyDescent="0.2"/>
    <row r="5420" ht="12.75" hidden="1" customHeight="1" x14ac:dyDescent="0.2"/>
    <row r="5421" ht="12.75" hidden="1" customHeight="1" x14ac:dyDescent="0.2"/>
    <row r="5422" ht="12.75" hidden="1" customHeight="1" x14ac:dyDescent="0.2"/>
    <row r="5423" ht="12.75" hidden="1" customHeight="1" x14ac:dyDescent="0.2"/>
    <row r="5424" ht="12.75" hidden="1" customHeight="1" x14ac:dyDescent="0.2"/>
    <row r="5425" ht="12.75" hidden="1" customHeight="1" x14ac:dyDescent="0.2"/>
    <row r="5426" ht="12.75" hidden="1" customHeight="1" x14ac:dyDescent="0.2"/>
    <row r="5427" ht="12.75" hidden="1" customHeight="1" x14ac:dyDescent="0.2"/>
    <row r="5428" ht="12.75" hidden="1" customHeight="1" x14ac:dyDescent="0.2"/>
    <row r="5429" ht="12.75" hidden="1" customHeight="1" x14ac:dyDescent="0.2"/>
    <row r="5430" ht="12.75" hidden="1" customHeight="1" x14ac:dyDescent="0.2"/>
    <row r="5431" ht="12.75" hidden="1" customHeight="1" x14ac:dyDescent="0.2"/>
    <row r="5432" ht="12.75" hidden="1" customHeight="1" x14ac:dyDescent="0.2"/>
    <row r="5433" ht="12.75" hidden="1" customHeight="1" x14ac:dyDescent="0.2"/>
    <row r="5434" ht="12.75" hidden="1" customHeight="1" x14ac:dyDescent="0.2"/>
    <row r="5435" ht="12.75" hidden="1" customHeight="1" x14ac:dyDescent="0.2"/>
    <row r="5436" ht="12.75" hidden="1" customHeight="1" x14ac:dyDescent="0.2"/>
    <row r="5437" ht="12.75" hidden="1" customHeight="1" x14ac:dyDescent="0.2"/>
    <row r="5438" ht="12.75" hidden="1" customHeight="1" x14ac:dyDescent="0.2"/>
    <row r="5439" ht="12.75" hidden="1" customHeight="1" x14ac:dyDescent="0.2"/>
    <row r="5440" ht="12.75" hidden="1" customHeight="1" x14ac:dyDescent="0.2"/>
    <row r="5441" ht="12.75" hidden="1" customHeight="1" x14ac:dyDescent="0.2"/>
    <row r="5442" ht="12.75" hidden="1" customHeight="1" x14ac:dyDescent="0.2"/>
    <row r="5443" ht="12.75" hidden="1" customHeight="1" x14ac:dyDescent="0.2"/>
    <row r="5444" ht="12.75" hidden="1" customHeight="1" x14ac:dyDescent="0.2"/>
    <row r="5445" ht="12.75" hidden="1" customHeight="1" x14ac:dyDescent="0.2"/>
    <row r="5446" ht="12.75" hidden="1" customHeight="1" x14ac:dyDescent="0.2"/>
    <row r="5447" ht="12.75" hidden="1" customHeight="1" x14ac:dyDescent="0.2"/>
    <row r="5448" ht="12.75" hidden="1" customHeight="1" x14ac:dyDescent="0.2"/>
    <row r="5449" ht="12.75" hidden="1" customHeight="1" x14ac:dyDescent="0.2"/>
    <row r="5450" ht="12.75" hidden="1" customHeight="1" x14ac:dyDescent="0.2"/>
    <row r="5451" ht="12.75" hidden="1" customHeight="1" x14ac:dyDescent="0.2"/>
    <row r="5452" ht="12.75" hidden="1" customHeight="1" x14ac:dyDescent="0.2"/>
    <row r="5453" ht="12.75" hidden="1" customHeight="1" x14ac:dyDescent="0.2"/>
    <row r="5454" ht="12.75" hidden="1" customHeight="1" x14ac:dyDescent="0.2"/>
    <row r="5455" ht="12.75" hidden="1" customHeight="1" x14ac:dyDescent="0.2"/>
    <row r="5456" ht="12.75" hidden="1" customHeight="1" x14ac:dyDescent="0.2"/>
    <row r="5457" ht="12.75" hidden="1" customHeight="1" x14ac:dyDescent="0.2"/>
    <row r="5458" ht="12.75" hidden="1" customHeight="1" x14ac:dyDescent="0.2"/>
    <row r="5459" ht="12.75" hidden="1" customHeight="1" x14ac:dyDescent="0.2"/>
    <row r="5460" ht="12.75" hidden="1" customHeight="1" x14ac:dyDescent="0.2"/>
    <row r="5461" ht="12.75" hidden="1" customHeight="1" x14ac:dyDescent="0.2"/>
    <row r="5462" ht="12.75" hidden="1" customHeight="1" x14ac:dyDescent="0.2"/>
    <row r="5463" ht="12.75" hidden="1" customHeight="1" x14ac:dyDescent="0.2"/>
    <row r="5464" ht="12.75" hidden="1" customHeight="1" x14ac:dyDescent="0.2"/>
    <row r="5465" ht="12.75" hidden="1" customHeight="1" x14ac:dyDescent="0.2"/>
    <row r="5466" ht="12.75" hidden="1" customHeight="1" x14ac:dyDescent="0.2"/>
    <row r="5467" ht="12.75" hidden="1" customHeight="1" x14ac:dyDescent="0.2"/>
    <row r="5468" ht="12.75" hidden="1" customHeight="1" x14ac:dyDescent="0.2"/>
    <row r="5469" ht="12.75" hidden="1" customHeight="1" x14ac:dyDescent="0.2"/>
    <row r="5470" ht="12.75" hidden="1" customHeight="1" x14ac:dyDescent="0.2"/>
    <row r="5471" ht="12.75" hidden="1" customHeight="1" x14ac:dyDescent="0.2"/>
    <row r="5472" ht="12.75" hidden="1" customHeight="1" x14ac:dyDescent="0.2"/>
    <row r="5473" ht="12.75" hidden="1" customHeight="1" x14ac:dyDescent="0.2"/>
    <row r="5474" ht="12.75" hidden="1" customHeight="1" x14ac:dyDescent="0.2"/>
    <row r="5475" ht="12.75" hidden="1" customHeight="1" x14ac:dyDescent="0.2"/>
    <row r="5476" ht="12.75" hidden="1" customHeight="1" x14ac:dyDescent="0.2"/>
    <row r="5477" ht="12.75" hidden="1" customHeight="1" x14ac:dyDescent="0.2"/>
    <row r="5478" ht="12.75" hidden="1" customHeight="1" x14ac:dyDescent="0.2"/>
    <row r="5479" ht="12.75" hidden="1" customHeight="1" x14ac:dyDescent="0.2"/>
    <row r="5480" ht="12.75" hidden="1" customHeight="1" x14ac:dyDescent="0.2"/>
    <row r="5481" ht="12.75" hidden="1" customHeight="1" x14ac:dyDescent="0.2"/>
    <row r="5482" ht="12.75" hidden="1" customHeight="1" x14ac:dyDescent="0.2"/>
    <row r="5483" ht="12.75" hidden="1" customHeight="1" x14ac:dyDescent="0.2"/>
    <row r="5484" ht="12.75" hidden="1" customHeight="1" x14ac:dyDescent="0.2"/>
    <row r="5485" ht="12.75" hidden="1" customHeight="1" x14ac:dyDescent="0.2"/>
    <row r="5486" ht="12.75" hidden="1" customHeight="1" x14ac:dyDescent="0.2"/>
    <row r="5487" ht="12.75" hidden="1" customHeight="1" x14ac:dyDescent="0.2"/>
    <row r="5488" ht="12.75" hidden="1" customHeight="1" x14ac:dyDescent="0.2"/>
    <row r="5489" ht="12.75" hidden="1" customHeight="1" x14ac:dyDescent="0.2"/>
    <row r="5490" ht="12.75" hidden="1" customHeight="1" x14ac:dyDescent="0.2"/>
    <row r="5491" ht="12.75" hidden="1" customHeight="1" x14ac:dyDescent="0.2"/>
    <row r="5492" ht="12.75" hidden="1" customHeight="1" x14ac:dyDescent="0.2"/>
    <row r="5493" ht="12.75" hidden="1" customHeight="1" x14ac:dyDescent="0.2"/>
    <row r="5494" ht="12.75" hidden="1" customHeight="1" x14ac:dyDescent="0.2"/>
    <row r="5495" ht="12.75" hidden="1" customHeight="1" x14ac:dyDescent="0.2"/>
    <row r="5496" ht="12.75" hidden="1" customHeight="1" x14ac:dyDescent="0.2"/>
    <row r="5497" ht="12.75" hidden="1" customHeight="1" x14ac:dyDescent="0.2"/>
    <row r="5498" ht="12.75" hidden="1" customHeight="1" x14ac:dyDescent="0.2"/>
    <row r="5499" ht="12.75" hidden="1" customHeight="1" x14ac:dyDescent="0.2"/>
    <row r="5500" ht="12.75" hidden="1" customHeight="1" x14ac:dyDescent="0.2"/>
    <row r="5501" ht="12.75" hidden="1" customHeight="1" x14ac:dyDescent="0.2"/>
    <row r="5502" ht="12.75" hidden="1" customHeight="1" x14ac:dyDescent="0.2"/>
    <row r="5503" ht="12.75" hidden="1" customHeight="1" x14ac:dyDescent="0.2"/>
    <row r="5504" ht="12.75" hidden="1" customHeight="1" x14ac:dyDescent="0.2"/>
    <row r="5505" ht="12.75" hidden="1" customHeight="1" x14ac:dyDescent="0.2"/>
    <row r="5506" ht="12.75" hidden="1" customHeight="1" x14ac:dyDescent="0.2"/>
    <row r="5507" ht="12.75" hidden="1" customHeight="1" x14ac:dyDescent="0.2"/>
    <row r="5508" ht="12.75" hidden="1" customHeight="1" x14ac:dyDescent="0.2"/>
    <row r="5509" ht="12.75" hidden="1" customHeight="1" x14ac:dyDescent="0.2"/>
    <row r="5510" ht="12.75" hidden="1" customHeight="1" x14ac:dyDescent="0.2"/>
    <row r="5511" ht="12.75" hidden="1" customHeight="1" x14ac:dyDescent="0.2"/>
    <row r="5512" ht="12.75" hidden="1" customHeight="1" x14ac:dyDescent="0.2"/>
    <row r="5513" ht="12.75" hidden="1" customHeight="1" x14ac:dyDescent="0.2"/>
    <row r="5514" ht="12.75" hidden="1" customHeight="1" x14ac:dyDescent="0.2"/>
    <row r="5515" ht="12.75" hidden="1" customHeight="1" x14ac:dyDescent="0.2"/>
    <row r="5516" ht="12.75" hidden="1" customHeight="1" x14ac:dyDescent="0.2"/>
    <row r="5517" ht="12.75" hidden="1" customHeight="1" x14ac:dyDescent="0.2"/>
    <row r="5518" ht="12.75" hidden="1" customHeight="1" x14ac:dyDescent="0.2"/>
    <row r="5519" ht="12.75" hidden="1" customHeight="1" x14ac:dyDescent="0.2"/>
    <row r="5520" ht="12.75" hidden="1" customHeight="1" x14ac:dyDescent="0.2"/>
    <row r="5521" ht="12.75" hidden="1" customHeight="1" x14ac:dyDescent="0.2"/>
    <row r="5522" ht="12.75" hidden="1" customHeight="1" x14ac:dyDescent="0.2"/>
    <row r="5523" ht="12.75" hidden="1" customHeight="1" x14ac:dyDescent="0.2"/>
    <row r="5524" ht="12.75" hidden="1" customHeight="1" x14ac:dyDescent="0.2"/>
    <row r="5525" ht="12.75" hidden="1" customHeight="1" x14ac:dyDescent="0.2"/>
    <row r="5526" ht="12.75" hidden="1" customHeight="1" x14ac:dyDescent="0.2"/>
    <row r="5527" ht="12.75" hidden="1" customHeight="1" x14ac:dyDescent="0.2"/>
    <row r="5528" ht="12.75" hidden="1" customHeight="1" x14ac:dyDescent="0.2"/>
    <row r="5529" ht="12.75" hidden="1" customHeight="1" x14ac:dyDescent="0.2"/>
    <row r="5530" ht="12.75" hidden="1" customHeight="1" x14ac:dyDescent="0.2"/>
    <row r="5531" ht="12.75" hidden="1" customHeight="1" x14ac:dyDescent="0.2"/>
    <row r="5532" ht="12.75" hidden="1" customHeight="1" x14ac:dyDescent="0.2"/>
    <row r="5533" ht="12.75" hidden="1" customHeight="1" x14ac:dyDescent="0.2"/>
    <row r="5534" ht="12.75" hidden="1" customHeight="1" x14ac:dyDescent="0.2"/>
    <row r="5535" ht="12.75" hidden="1" customHeight="1" x14ac:dyDescent="0.2"/>
    <row r="5536" ht="12.75" hidden="1" customHeight="1" x14ac:dyDescent="0.2"/>
    <row r="5537" ht="12.75" hidden="1" customHeight="1" x14ac:dyDescent="0.2"/>
    <row r="5538" ht="12.75" hidden="1" customHeight="1" x14ac:dyDescent="0.2"/>
    <row r="5539" ht="12.75" hidden="1" customHeight="1" x14ac:dyDescent="0.2"/>
    <row r="5540" ht="12.75" hidden="1" customHeight="1" x14ac:dyDescent="0.2"/>
    <row r="5541" ht="12.75" hidden="1" customHeight="1" x14ac:dyDescent="0.2"/>
    <row r="5542" ht="12.75" hidden="1" customHeight="1" x14ac:dyDescent="0.2"/>
    <row r="5543" ht="12.75" hidden="1" customHeight="1" x14ac:dyDescent="0.2"/>
    <row r="5544" ht="12.75" hidden="1" customHeight="1" x14ac:dyDescent="0.2"/>
    <row r="5545" ht="12.75" hidden="1" customHeight="1" x14ac:dyDescent="0.2"/>
    <row r="5546" ht="12.75" hidden="1" customHeight="1" x14ac:dyDescent="0.2"/>
    <row r="5547" ht="12.75" hidden="1" customHeight="1" x14ac:dyDescent="0.2"/>
    <row r="5548" ht="12.75" hidden="1" customHeight="1" x14ac:dyDescent="0.2"/>
    <row r="5549" ht="12.75" hidden="1" customHeight="1" x14ac:dyDescent="0.2"/>
    <row r="5550" ht="12.75" hidden="1" customHeight="1" x14ac:dyDescent="0.2"/>
    <row r="5551" ht="12.75" hidden="1" customHeight="1" x14ac:dyDescent="0.2"/>
    <row r="5552" ht="12.75" hidden="1" customHeight="1" x14ac:dyDescent="0.2"/>
    <row r="5553" ht="12.75" hidden="1" customHeight="1" x14ac:dyDescent="0.2"/>
    <row r="5554" ht="12.75" hidden="1" customHeight="1" x14ac:dyDescent="0.2"/>
    <row r="5555" ht="12.75" hidden="1" customHeight="1" x14ac:dyDescent="0.2"/>
    <row r="5556" ht="12.75" hidden="1" customHeight="1" x14ac:dyDescent="0.2"/>
    <row r="5557" ht="12.75" hidden="1" customHeight="1" x14ac:dyDescent="0.2"/>
    <row r="5558" ht="12.75" hidden="1" customHeight="1" x14ac:dyDescent="0.2"/>
    <row r="5559" ht="12.75" hidden="1" customHeight="1" x14ac:dyDescent="0.2"/>
    <row r="5560" ht="12.75" hidden="1" customHeight="1" x14ac:dyDescent="0.2"/>
    <row r="5561" ht="12.75" hidden="1" customHeight="1" x14ac:dyDescent="0.2"/>
    <row r="5562" ht="12.75" hidden="1" customHeight="1" x14ac:dyDescent="0.2"/>
    <row r="5563" ht="12.75" hidden="1" customHeight="1" x14ac:dyDescent="0.2"/>
    <row r="5564" ht="12.75" hidden="1" customHeight="1" x14ac:dyDescent="0.2"/>
    <row r="5565" ht="12.75" hidden="1" customHeight="1" x14ac:dyDescent="0.2"/>
    <row r="5566" ht="12.75" hidden="1" customHeight="1" x14ac:dyDescent="0.2"/>
    <row r="5567" ht="12.75" hidden="1" customHeight="1" x14ac:dyDescent="0.2"/>
    <row r="5568" ht="12.75" hidden="1" customHeight="1" x14ac:dyDescent="0.2"/>
    <row r="5569" ht="12.75" hidden="1" customHeight="1" x14ac:dyDescent="0.2"/>
    <row r="5570" ht="12.75" hidden="1" customHeight="1" x14ac:dyDescent="0.2"/>
    <row r="5571" ht="12.75" hidden="1" customHeight="1" x14ac:dyDescent="0.2"/>
    <row r="5572" ht="12.75" hidden="1" customHeight="1" x14ac:dyDescent="0.2"/>
    <row r="5573" ht="12.75" hidden="1" customHeight="1" x14ac:dyDescent="0.2"/>
    <row r="5574" ht="12.75" hidden="1" customHeight="1" x14ac:dyDescent="0.2"/>
    <row r="5575" ht="12.75" hidden="1" customHeight="1" x14ac:dyDescent="0.2"/>
    <row r="5576" ht="12.75" hidden="1" customHeight="1" x14ac:dyDescent="0.2"/>
    <row r="5577" ht="12.75" hidden="1" customHeight="1" x14ac:dyDescent="0.2"/>
    <row r="5578" ht="12.75" hidden="1" customHeight="1" x14ac:dyDescent="0.2"/>
    <row r="5579" ht="12.75" hidden="1" customHeight="1" x14ac:dyDescent="0.2"/>
    <row r="5580" ht="12.75" hidden="1" customHeight="1" x14ac:dyDescent="0.2"/>
    <row r="5581" ht="12.75" hidden="1" customHeight="1" x14ac:dyDescent="0.2"/>
    <row r="5582" ht="12.75" hidden="1" customHeight="1" x14ac:dyDescent="0.2"/>
    <row r="5583" ht="12.75" hidden="1" customHeight="1" x14ac:dyDescent="0.2"/>
    <row r="5584" ht="12.75" hidden="1" customHeight="1" x14ac:dyDescent="0.2"/>
    <row r="5585" ht="12.75" hidden="1" customHeight="1" x14ac:dyDescent="0.2"/>
    <row r="5586" ht="12.75" hidden="1" customHeight="1" x14ac:dyDescent="0.2"/>
    <row r="5587" ht="12.75" hidden="1" customHeight="1" x14ac:dyDescent="0.2"/>
    <row r="5588" ht="12.75" hidden="1" customHeight="1" x14ac:dyDescent="0.2"/>
    <row r="5589" ht="12.75" hidden="1" customHeight="1" x14ac:dyDescent="0.2"/>
    <row r="5590" ht="12.75" hidden="1" customHeight="1" x14ac:dyDescent="0.2"/>
    <row r="5591" ht="12.75" hidden="1" customHeight="1" x14ac:dyDescent="0.2"/>
    <row r="5592" ht="12.75" hidden="1" customHeight="1" x14ac:dyDescent="0.2"/>
    <row r="5593" ht="12.75" hidden="1" customHeight="1" x14ac:dyDescent="0.2"/>
    <row r="5594" ht="12.75" hidden="1" customHeight="1" x14ac:dyDescent="0.2"/>
    <row r="5595" ht="12.75" hidden="1" customHeight="1" x14ac:dyDescent="0.2"/>
    <row r="5596" ht="12.75" hidden="1" customHeight="1" x14ac:dyDescent="0.2"/>
    <row r="5597" ht="12.75" hidden="1" customHeight="1" x14ac:dyDescent="0.2"/>
    <row r="5598" ht="12.75" hidden="1" customHeight="1" x14ac:dyDescent="0.2"/>
    <row r="5599" ht="12.75" hidden="1" customHeight="1" x14ac:dyDescent="0.2"/>
    <row r="5600" ht="12.75" hidden="1" customHeight="1" x14ac:dyDescent="0.2"/>
    <row r="5601" ht="12.75" hidden="1" customHeight="1" x14ac:dyDescent="0.2"/>
    <row r="5602" ht="12.75" hidden="1" customHeight="1" x14ac:dyDescent="0.2"/>
    <row r="5603" ht="12.75" hidden="1" customHeight="1" x14ac:dyDescent="0.2"/>
    <row r="5604" ht="12.75" hidden="1" customHeight="1" x14ac:dyDescent="0.2"/>
    <row r="5605" ht="12.75" hidden="1" customHeight="1" x14ac:dyDescent="0.2"/>
    <row r="5606" ht="12.75" hidden="1" customHeight="1" x14ac:dyDescent="0.2"/>
    <row r="5607" ht="12.75" hidden="1" customHeight="1" x14ac:dyDescent="0.2"/>
    <row r="5608" ht="12.75" hidden="1" customHeight="1" x14ac:dyDescent="0.2"/>
    <row r="5609" ht="12.75" hidden="1" customHeight="1" x14ac:dyDescent="0.2"/>
    <row r="5610" ht="12.75" hidden="1" customHeight="1" x14ac:dyDescent="0.2"/>
    <row r="5611" ht="12.75" hidden="1" customHeight="1" x14ac:dyDescent="0.2"/>
    <row r="5612" ht="12.75" hidden="1" customHeight="1" x14ac:dyDescent="0.2"/>
    <row r="5613" ht="12.75" hidden="1" customHeight="1" x14ac:dyDescent="0.2"/>
    <row r="5614" ht="12.75" hidden="1" customHeight="1" x14ac:dyDescent="0.2"/>
    <row r="5615" ht="12.75" hidden="1" customHeight="1" x14ac:dyDescent="0.2"/>
    <row r="5616" ht="12.75" hidden="1" customHeight="1" x14ac:dyDescent="0.2"/>
    <row r="5617" ht="12.75" hidden="1" customHeight="1" x14ac:dyDescent="0.2"/>
    <row r="5618" ht="12.75" hidden="1" customHeight="1" x14ac:dyDescent="0.2"/>
    <row r="5619" ht="12.75" hidden="1" customHeight="1" x14ac:dyDescent="0.2"/>
    <row r="5620" ht="12.75" hidden="1" customHeight="1" x14ac:dyDescent="0.2"/>
    <row r="5621" ht="12.75" hidden="1" customHeight="1" x14ac:dyDescent="0.2"/>
    <row r="5622" ht="12.75" hidden="1" customHeight="1" x14ac:dyDescent="0.2"/>
    <row r="5623" ht="12.75" hidden="1" customHeight="1" x14ac:dyDescent="0.2"/>
    <row r="5624" ht="12.75" hidden="1" customHeight="1" x14ac:dyDescent="0.2"/>
    <row r="5625" ht="12.75" hidden="1" customHeight="1" x14ac:dyDescent="0.2"/>
    <row r="5626" ht="12.75" hidden="1" customHeight="1" x14ac:dyDescent="0.2"/>
    <row r="5627" ht="12.75" hidden="1" customHeight="1" x14ac:dyDescent="0.2"/>
    <row r="5628" ht="12.75" hidden="1" customHeight="1" x14ac:dyDescent="0.2"/>
    <row r="5629" ht="12.75" hidden="1" customHeight="1" x14ac:dyDescent="0.2"/>
    <row r="5630" ht="12.75" hidden="1" customHeight="1" x14ac:dyDescent="0.2"/>
    <row r="5631" ht="12.75" hidden="1" customHeight="1" x14ac:dyDescent="0.2"/>
    <row r="5632" ht="12.75" hidden="1" customHeight="1" x14ac:dyDescent="0.2"/>
    <row r="5633" ht="12.75" hidden="1" customHeight="1" x14ac:dyDescent="0.2"/>
    <row r="5634" ht="12.75" hidden="1" customHeight="1" x14ac:dyDescent="0.2"/>
    <row r="5635" ht="12.75" hidden="1" customHeight="1" x14ac:dyDescent="0.2"/>
    <row r="5636" ht="12.75" hidden="1" customHeight="1" x14ac:dyDescent="0.2"/>
    <row r="5637" ht="12.75" hidden="1" customHeight="1" x14ac:dyDescent="0.2"/>
    <row r="5638" ht="12.75" hidden="1" customHeight="1" x14ac:dyDescent="0.2"/>
    <row r="5639" ht="12.75" hidden="1" customHeight="1" x14ac:dyDescent="0.2"/>
    <row r="5640" ht="12.75" hidden="1" customHeight="1" x14ac:dyDescent="0.2"/>
    <row r="5641" ht="12.75" hidden="1" customHeight="1" x14ac:dyDescent="0.2"/>
    <row r="5642" ht="12.75" hidden="1" customHeight="1" x14ac:dyDescent="0.2"/>
    <row r="5643" ht="12.75" hidden="1" customHeight="1" x14ac:dyDescent="0.2"/>
    <row r="5644" ht="12.75" hidden="1" customHeight="1" x14ac:dyDescent="0.2"/>
    <row r="5645" ht="12.75" hidden="1" customHeight="1" x14ac:dyDescent="0.2"/>
    <row r="5646" ht="12.75" hidden="1" customHeight="1" x14ac:dyDescent="0.2"/>
    <row r="5647" ht="12.75" hidden="1" customHeight="1" x14ac:dyDescent="0.2"/>
    <row r="5648" ht="12.75" hidden="1" customHeight="1" x14ac:dyDescent="0.2"/>
    <row r="5649" ht="12.75" hidden="1" customHeight="1" x14ac:dyDescent="0.2"/>
    <row r="5650" ht="12.75" hidden="1" customHeight="1" x14ac:dyDescent="0.2"/>
    <row r="5651" ht="12.75" hidden="1" customHeight="1" x14ac:dyDescent="0.2"/>
    <row r="5652" ht="12.75" hidden="1" customHeight="1" x14ac:dyDescent="0.2"/>
    <row r="5653" ht="12.75" hidden="1" customHeight="1" x14ac:dyDescent="0.2"/>
    <row r="5654" ht="12.75" hidden="1" customHeight="1" x14ac:dyDescent="0.2"/>
    <row r="5655" ht="12.75" hidden="1" customHeight="1" x14ac:dyDescent="0.2"/>
    <row r="5656" ht="12.75" hidden="1" customHeight="1" x14ac:dyDescent="0.2"/>
    <row r="5657" ht="12.75" hidden="1" customHeight="1" x14ac:dyDescent="0.2"/>
    <row r="5658" ht="12.75" hidden="1" customHeight="1" x14ac:dyDescent="0.2"/>
    <row r="5659" ht="12.75" hidden="1" customHeight="1" x14ac:dyDescent="0.2"/>
    <row r="5660" ht="12.75" hidden="1" customHeight="1" x14ac:dyDescent="0.2"/>
    <row r="5661" ht="12.75" hidden="1" customHeight="1" x14ac:dyDescent="0.2"/>
    <row r="5662" ht="12.75" hidden="1" customHeight="1" x14ac:dyDescent="0.2"/>
    <row r="5663" ht="12.75" hidden="1" customHeight="1" x14ac:dyDescent="0.2"/>
    <row r="5664" ht="12.75" hidden="1" customHeight="1" x14ac:dyDescent="0.2"/>
    <row r="5665" ht="12.75" hidden="1" customHeight="1" x14ac:dyDescent="0.2"/>
    <row r="5666" ht="12.75" hidden="1" customHeight="1" x14ac:dyDescent="0.2"/>
    <row r="5667" ht="12.75" hidden="1" customHeight="1" x14ac:dyDescent="0.2"/>
    <row r="5668" ht="12.75" hidden="1" customHeight="1" x14ac:dyDescent="0.2"/>
    <row r="5669" ht="12.75" hidden="1" customHeight="1" x14ac:dyDescent="0.2"/>
    <row r="5670" ht="12.75" hidden="1" customHeight="1" x14ac:dyDescent="0.2"/>
    <row r="5671" ht="12.75" hidden="1" customHeight="1" x14ac:dyDescent="0.2"/>
    <row r="5672" ht="12.75" hidden="1" customHeight="1" x14ac:dyDescent="0.2"/>
    <row r="5673" ht="12.75" hidden="1" customHeight="1" x14ac:dyDescent="0.2"/>
    <row r="5674" ht="12.75" hidden="1" customHeight="1" x14ac:dyDescent="0.2"/>
    <row r="5675" ht="12.75" hidden="1" customHeight="1" x14ac:dyDescent="0.2"/>
    <row r="5676" ht="12.75" hidden="1" customHeight="1" x14ac:dyDescent="0.2"/>
    <row r="5677" ht="12.75" hidden="1" customHeight="1" x14ac:dyDescent="0.2"/>
    <row r="5678" ht="12.75" hidden="1" customHeight="1" x14ac:dyDescent="0.2"/>
    <row r="5679" ht="12.75" hidden="1" customHeight="1" x14ac:dyDescent="0.2"/>
    <row r="5680" ht="12.75" hidden="1" customHeight="1" x14ac:dyDescent="0.2"/>
    <row r="5681" ht="12.75" hidden="1" customHeight="1" x14ac:dyDescent="0.2"/>
    <row r="5682" ht="12.75" hidden="1" customHeight="1" x14ac:dyDescent="0.2"/>
    <row r="5683" ht="12.75" hidden="1" customHeight="1" x14ac:dyDescent="0.2"/>
    <row r="5684" ht="12.75" hidden="1" customHeight="1" x14ac:dyDescent="0.2"/>
    <row r="5685" ht="12.75" hidden="1" customHeight="1" x14ac:dyDescent="0.2"/>
    <row r="5686" ht="12.75" hidden="1" customHeight="1" x14ac:dyDescent="0.2"/>
    <row r="5687" ht="12.75" hidden="1" customHeight="1" x14ac:dyDescent="0.2"/>
    <row r="5688" ht="12.75" hidden="1" customHeight="1" x14ac:dyDescent="0.2"/>
    <row r="5689" ht="12.75" hidden="1" customHeight="1" x14ac:dyDescent="0.2"/>
    <row r="5690" ht="12.75" hidden="1" customHeight="1" x14ac:dyDescent="0.2"/>
    <row r="5691" ht="12.75" hidden="1" customHeight="1" x14ac:dyDescent="0.2"/>
    <row r="5692" ht="12.75" hidden="1" customHeight="1" x14ac:dyDescent="0.2"/>
    <row r="5693" ht="12.75" hidden="1" customHeight="1" x14ac:dyDescent="0.2"/>
    <row r="5694" ht="12.75" hidden="1" customHeight="1" x14ac:dyDescent="0.2"/>
    <row r="5695" ht="12.75" hidden="1" customHeight="1" x14ac:dyDescent="0.2"/>
    <row r="5696" ht="12.75" hidden="1" customHeight="1" x14ac:dyDescent="0.2"/>
    <row r="5697" ht="12.75" hidden="1" customHeight="1" x14ac:dyDescent="0.2"/>
    <row r="5698" ht="12.75" hidden="1" customHeight="1" x14ac:dyDescent="0.2"/>
    <row r="5699" ht="12.75" hidden="1" customHeight="1" x14ac:dyDescent="0.2"/>
    <row r="5700" ht="12.75" hidden="1" customHeight="1" x14ac:dyDescent="0.2"/>
    <row r="5701" ht="12.75" hidden="1" customHeight="1" x14ac:dyDescent="0.2"/>
    <row r="5702" ht="12.75" hidden="1" customHeight="1" x14ac:dyDescent="0.2"/>
    <row r="5703" ht="12.75" hidden="1" customHeight="1" x14ac:dyDescent="0.2"/>
    <row r="5704" ht="12.75" hidden="1" customHeight="1" x14ac:dyDescent="0.2"/>
    <row r="5705" ht="12.75" hidden="1" customHeight="1" x14ac:dyDescent="0.2"/>
    <row r="5706" ht="12.75" hidden="1" customHeight="1" x14ac:dyDescent="0.2"/>
    <row r="5707" ht="12.75" hidden="1" customHeight="1" x14ac:dyDescent="0.2"/>
    <row r="5708" ht="12.75" hidden="1" customHeight="1" x14ac:dyDescent="0.2"/>
    <row r="5709" ht="12.75" hidden="1" customHeight="1" x14ac:dyDescent="0.2"/>
    <row r="5710" ht="12.75" hidden="1" customHeight="1" x14ac:dyDescent="0.2"/>
    <row r="5711" ht="12.75" hidden="1" customHeight="1" x14ac:dyDescent="0.2"/>
    <row r="5712" ht="12.75" hidden="1" customHeight="1" x14ac:dyDescent="0.2"/>
    <row r="5713" ht="12.75" hidden="1" customHeight="1" x14ac:dyDescent="0.2"/>
    <row r="5714" ht="12.75" hidden="1" customHeight="1" x14ac:dyDescent="0.2"/>
    <row r="5715" ht="12.75" hidden="1" customHeight="1" x14ac:dyDescent="0.2"/>
    <row r="5716" ht="12.75" hidden="1" customHeight="1" x14ac:dyDescent="0.2"/>
    <row r="5717" ht="12.75" hidden="1" customHeight="1" x14ac:dyDescent="0.2"/>
    <row r="5718" ht="12.75" hidden="1" customHeight="1" x14ac:dyDescent="0.2"/>
    <row r="5719" ht="12.75" hidden="1" customHeight="1" x14ac:dyDescent="0.2"/>
    <row r="5720" ht="12.75" hidden="1" customHeight="1" x14ac:dyDescent="0.2"/>
    <row r="5721" ht="12.75" hidden="1" customHeight="1" x14ac:dyDescent="0.2"/>
    <row r="5722" ht="12.75" hidden="1" customHeight="1" x14ac:dyDescent="0.2"/>
    <row r="5723" ht="12.75" hidden="1" customHeight="1" x14ac:dyDescent="0.2"/>
    <row r="5724" ht="12.75" hidden="1" customHeight="1" x14ac:dyDescent="0.2"/>
    <row r="5725" ht="12.75" hidden="1" customHeight="1" x14ac:dyDescent="0.2"/>
    <row r="5726" ht="12.75" hidden="1" customHeight="1" x14ac:dyDescent="0.2"/>
    <row r="5727" ht="12.75" hidden="1" customHeight="1" x14ac:dyDescent="0.2"/>
    <row r="5728" ht="12.75" hidden="1" customHeight="1" x14ac:dyDescent="0.2"/>
    <row r="5729" ht="12.75" hidden="1" customHeight="1" x14ac:dyDescent="0.2"/>
    <row r="5730" ht="12.75" hidden="1" customHeight="1" x14ac:dyDescent="0.2"/>
    <row r="5731" ht="12.75" hidden="1" customHeight="1" x14ac:dyDescent="0.2"/>
    <row r="5732" ht="12.75" hidden="1" customHeight="1" x14ac:dyDescent="0.2"/>
    <row r="5733" ht="12.75" hidden="1" customHeight="1" x14ac:dyDescent="0.2"/>
    <row r="5734" ht="12.75" hidden="1" customHeight="1" x14ac:dyDescent="0.2"/>
    <row r="5735" ht="12.75" hidden="1" customHeight="1" x14ac:dyDescent="0.2"/>
    <row r="5736" ht="12.75" hidden="1" customHeight="1" x14ac:dyDescent="0.2"/>
    <row r="5737" ht="12.75" hidden="1" customHeight="1" x14ac:dyDescent="0.2"/>
    <row r="5738" ht="12.75" hidden="1" customHeight="1" x14ac:dyDescent="0.2"/>
    <row r="5739" ht="12.75" hidden="1" customHeight="1" x14ac:dyDescent="0.2"/>
    <row r="5740" ht="12.75" hidden="1" customHeight="1" x14ac:dyDescent="0.2"/>
    <row r="5741" ht="12.75" hidden="1" customHeight="1" x14ac:dyDescent="0.2"/>
    <row r="5742" ht="12.75" hidden="1" customHeight="1" x14ac:dyDescent="0.2"/>
    <row r="5743" ht="12.75" hidden="1" customHeight="1" x14ac:dyDescent="0.2"/>
    <row r="5744" ht="12.75" hidden="1" customHeight="1" x14ac:dyDescent="0.2"/>
    <row r="5745" ht="12.75" hidden="1" customHeight="1" x14ac:dyDescent="0.2"/>
    <row r="5746" ht="12.75" hidden="1" customHeight="1" x14ac:dyDescent="0.2"/>
    <row r="5747" ht="12.75" hidden="1" customHeight="1" x14ac:dyDescent="0.2"/>
    <row r="5748" ht="12.75" hidden="1" customHeight="1" x14ac:dyDescent="0.2"/>
    <row r="5749" ht="12.75" hidden="1" customHeight="1" x14ac:dyDescent="0.2"/>
    <row r="5750" ht="12.75" hidden="1" customHeight="1" x14ac:dyDescent="0.2"/>
    <row r="5751" ht="12.75" hidden="1" customHeight="1" x14ac:dyDescent="0.2"/>
    <row r="5752" ht="12.75" hidden="1" customHeight="1" x14ac:dyDescent="0.2"/>
    <row r="5753" ht="12.75" hidden="1" customHeight="1" x14ac:dyDescent="0.2"/>
    <row r="5754" ht="12.75" hidden="1" customHeight="1" x14ac:dyDescent="0.2"/>
    <row r="5755" ht="12.75" hidden="1" customHeight="1" x14ac:dyDescent="0.2"/>
    <row r="5756" ht="12.75" hidden="1" customHeight="1" x14ac:dyDescent="0.2"/>
    <row r="5757" ht="12.75" hidden="1" customHeight="1" x14ac:dyDescent="0.2"/>
    <row r="5758" ht="12.75" hidden="1" customHeight="1" x14ac:dyDescent="0.2"/>
    <row r="5759" ht="12.75" hidden="1" customHeight="1" x14ac:dyDescent="0.2"/>
    <row r="5760" ht="12.75" hidden="1" customHeight="1" x14ac:dyDescent="0.2"/>
    <row r="5761" ht="12.75" hidden="1" customHeight="1" x14ac:dyDescent="0.2"/>
    <row r="5762" ht="12.75" hidden="1" customHeight="1" x14ac:dyDescent="0.2"/>
    <row r="5763" ht="12.75" hidden="1" customHeight="1" x14ac:dyDescent="0.2"/>
    <row r="5764" ht="12.75" hidden="1" customHeight="1" x14ac:dyDescent="0.2"/>
    <row r="5765" ht="12.75" hidden="1" customHeight="1" x14ac:dyDescent="0.2"/>
    <row r="5766" ht="12.75" hidden="1" customHeight="1" x14ac:dyDescent="0.2"/>
    <row r="5767" ht="12.75" hidden="1" customHeight="1" x14ac:dyDescent="0.2"/>
    <row r="5768" ht="12.75" hidden="1" customHeight="1" x14ac:dyDescent="0.2"/>
    <row r="5769" ht="12.75" hidden="1" customHeight="1" x14ac:dyDescent="0.2"/>
    <row r="5770" ht="12.75" hidden="1" customHeight="1" x14ac:dyDescent="0.2"/>
    <row r="5771" ht="12.75" hidden="1" customHeight="1" x14ac:dyDescent="0.2"/>
    <row r="5772" ht="12.75" hidden="1" customHeight="1" x14ac:dyDescent="0.2"/>
    <row r="5773" ht="12.75" hidden="1" customHeight="1" x14ac:dyDescent="0.2"/>
    <row r="5774" ht="12.75" hidden="1" customHeight="1" x14ac:dyDescent="0.2"/>
    <row r="5775" ht="12.75" hidden="1" customHeight="1" x14ac:dyDescent="0.2"/>
    <row r="5776" ht="12.75" hidden="1" customHeight="1" x14ac:dyDescent="0.2"/>
    <row r="5777" ht="12.75" hidden="1" customHeight="1" x14ac:dyDescent="0.2"/>
    <row r="5778" ht="12.75" hidden="1" customHeight="1" x14ac:dyDescent="0.2"/>
    <row r="5779" ht="12.75" hidden="1" customHeight="1" x14ac:dyDescent="0.2"/>
    <row r="5780" ht="12.75" hidden="1" customHeight="1" x14ac:dyDescent="0.2"/>
    <row r="5781" ht="12.75" hidden="1" customHeight="1" x14ac:dyDescent="0.2"/>
    <row r="5782" ht="12.75" hidden="1" customHeight="1" x14ac:dyDescent="0.2"/>
    <row r="5783" ht="12.75" hidden="1" customHeight="1" x14ac:dyDescent="0.2"/>
    <row r="5784" ht="12.75" hidden="1" customHeight="1" x14ac:dyDescent="0.2"/>
    <row r="5785" ht="12.75" hidden="1" customHeight="1" x14ac:dyDescent="0.2"/>
    <row r="5786" ht="12.75" hidden="1" customHeight="1" x14ac:dyDescent="0.2"/>
    <row r="5787" ht="12.75" hidden="1" customHeight="1" x14ac:dyDescent="0.2"/>
    <row r="5788" ht="12.75" hidden="1" customHeight="1" x14ac:dyDescent="0.2"/>
    <row r="5789" ht="12.75" hidden="1" customHeight="1" x14ac:dyDescent="0.2"/>
    <row r="5790" ht="12.75" hidden="1" customHeight="1" x14ac:dyDescent="0.2"/>
    <row r="5791" ht="12.75" hidden="1" customHeight="1" x14ac:dyDescent="0.2"/>
    <row r="5792" ht="12.75" hidden="1" customHeight="1" x14ac:dyDescent="0.2"/>
    <row r="5793" ht="12.75" hidden="1" customHeight="1" x14ac:dyDescent="0.2"/>
    <row r="5794" ht="12.75" hidden="1" customHeight="1" x14ac:dyDescent="0.2"/>
    <row r="5795" ht="12.75" hidden="1" customHeight="1" x14ac:dyDescent="0.2"/>
    <row r="5796" ht="12.75" hidden="1" customHeight="1" x14ac:dyDescent="0.2"/>
    <row r="5797" ht="12.75" hidden="1" customHeight="1" x14ac:dyDescent="0.2"/>
    <row r="5798" ht="12.75" hidden="1" customHeight="1" x14ac:dyDescent="0.2"/>
    <row r="5799" ht="12.75" hidden="1" customHeight="1" x14ac:dyDescent="0.2"/>
    <row r="5800" ht="12.75" hidden="1" customHeight="1" x14ac:dyDescent="0.2"/>
    <row r="5801" ht="12.75" hidden="1" customHeight="1" x14ac:dyDescent="0.2"/>
    <row r="5802" ht="12.75" hidden="1" customHeight="1" x14ac:dyDescent="0.2"/>
    <row r="5803" ht="12.75" hidden="1" customHeight="1" x14ac:dyDescent="0.2"/>
    <row r="5804" ht="12.75" hidden="1" customHeight="1" x14ac:dyDescent="0.2"/>
    <row r="5805" ht="12.75" hidden="1" customHeight="1" x14ac:dyDescent="0.2"/>
    <row r="5806" ht="12.75" hidden="1" customHeight="1" x14ac:dyDescent="0.2"/>
    <row r="5807" ht="12.75" hidden="1" customHeight="1" x14ac:dyDescent="0.2"/>
    <row r="5808" ht="12.75" hidden="1" customHeight="1" x14ac:dyDescent="0.2"/>
    <row r="5809" ht="12.75" hidden="1" customHeight="1" x14ac:dyDescent="0.2"/>
    <row r="5810" ht="12.75" hidden="1" customHeight="1" x14ac:dyDescent="0.2"/>
    <row r="5811" ht="12.75" hidden="1" customHeight="1" x14ac:dyDescent="0.2"/>
    <row r="5812" ht="12.75" hidden="1" customHeight="1" x14ac:dyDescent="0.2"/>
    <row r="5813" ht="12.75" hidden="1" customHeight="1" x14ac:dyDescent="0.2"/>
    <row r="5814" ht="12.75" hidden="1" customHeight="1" x14ac:dyDescent="0.2"/>
    <row r="5815" ht="12.75" hidden="1" customHeight="1" x14ac:dyDescent="0.2"/>
    <row r="5816" ht="12.75" hidden="1" customHeight="1" x14ac:dyDescent="0.2"/>
    <row r="5817" ht="12.75" hidden="1" customHeight="1" x14ac:dyDescent="0.2"/>
    <row r="5818" ht="12.75" hidden="1" customHeight="1" x14ac:dyDescent="0.2"/>
    <row r="5819" ht="12.75" hidden="1" customHeight="1" x14ac:dyDescent="0.2"/>
    <row r="5820" ht="12.75" hidden="1" customHeight="1" x14ac:dyDescent="0.2"/>
    <row r="5821" ht="12.75" hidden="1" customHeight="1" x14ac:dyDescent="0.2"/>
    <row r="5822" ht="12.75" hidden="1" customHeight="1" x14ac:dyDescent="0.2"/>
    <row r="5823" ht="12.75" hidden="1" customHeight="1" x14ac:dyDescent="0.2"/>
    <row r="5824" ht="12.75" hidden="1" customHeight="1" x14ac:dyDescent="0.2"/>
    <row r="5825" ht="12.75" hidden="1" customHeight="1" x14ac:dyDescent="0.2"/>
    <row r="5826" ht="12.75" hidden="1" customHeight="1" x14ac:dyDescent="0.2"/>
    <row r="5827" ht="12.75" hidden="1" customHeight="1" x14ac:dyDescent="0.2"/>
    <row r="5828" ht="12.75" hidden="1" customHeight="1" x14ac:dyDescent="0.2"/>
    <row r="5829" ht="12.75" hidden="1" customHeight="1" x14ac:dyDescent="0.2"/>
    <row r="5830" ht="12.75" hidden="1" customHeight="1" x14ac:dyDescent="0.2"/>
    <row r="5831" ht="12.75" hidden="1" customHeight="1" x14ac:dyDescent="0.2"/>
    <row r="5832" ht="12.75" hidden="1" customHeight="1" x14ac:dyDescent="0.2"/>
    <row r="5833" ht="12.75" hidden="1" customHeight="1" x14ac:dyDescent="0.2"/>
    <row r="5834" ht="12.75" hidden="1" customHeight="1" x14ac:dyDescent="0.2"/>
    <row r="5835" ht="12.75" hidden="1" customHeight="1" x14ac:dyDescent="0.2"/>
    <row r="5836" ht="12.75" hidden="1" customHeight="1" x14ac:dyDescent="0.2"/>
    <row r="5837" ht="12.75" hidden="1" customHeight="1" x14ac:dyDescent="0.2"/>
    <row r="5838" ht="12.75" hidden="1" customHeight="1" x14ac:dyDescent="0.2"/>
    <row r="5839" ht="12.75" hidden="1" customHeight="1" x14ac:dyDescent="0.2"/>
    <row r="5840" ht="12.75" hidden="1" customHeight="1" x14ac:dyDescent="0.2"/>
    <row r="5841" ht="12.75" hidden="1" customHeight="1" x14ac:dyDescent="0.2"/>
    <row r="5842" ht="12.75" hidden="1" customHeight="1" x14ac:dyDescent="0.2"/>
    <row r="5843" ht="12.75" hidden="1" customHeight="1" x14ac:dyDescent="0.2"/>
    <row r="5844" ht="12.75" hidden="1" customHeight="1" x14ac:dyDescent="0.2"/>
    <row r="5845" ht="12.75" hidden="1" customHeight="1" x14ac:dyDescent="0.2"/>
    <row r="5846" ht="12.75" hidden="1" customHeight="1" x14ac:dyDescent="0.2"/>
    <row r="5847" ht="12.75" hidden="1" customHeight="1" x14ac:dyDescent="0.2"/>
    <row r="5848" ht="12.75" hidden="1" customHeight="1" x14ac:dyDescent="0.2"/>
    <row r="5849" ht="12.75" hidden="1" customHeight="1" x14ac:dyDescent="0.2"/>
    <row r="5850" ht="12.75" hidden="1" customHeight="1" x14ac:dyDescent="0.2"/>
    <row r="5851" ht="12.75" hidden="1" customHeight="1" x14ac:dyDescent="0.2"/>
    <row r="5852" ht="12.75" hidden="1" customHeight="1" x14ac:dyDescent="0.2"/>
    <row r="5853" ht="12.75" hidden="1" customHeight="1" x14ac:dyDescent="0.2"/>
    <row r="5854" ht="12.75" hidden="1" customHeight="1" x14ac:dyDescent="0.2"/>
    <row r="5855" ht="12.75" hidden="1" customHeight="1" x14ac:dyDescent="0.2"/>
    <row r="5856" ht="12.75" hidden="1" customHeight="1" x14ac:dyDescent="0.2"/>
    <row r="5857" ht="12.75" hidden="1" customHeight="1" x14ac:dyDescent="0.2"/>
    <row r="5858" ht="12.75" hidden="1" customHeight="1" x14ac:dyDescent="0.2"/>
    <row r="5859" ht="12.75" hidden="1" customHeight="1" x14ac:dyDescent="0.2"/>
    <row r="5860" ht="12.75" hidden="1" customHeight="1" x14ac:dyDescent="0.2"/>
    <row r="5861" ht="12.75" hidden="1" customHeight="1" x14ac:dyDescent="0.2"/>
    <row r="5862" ht="12.75" hidden="1" customHeight="1" x14ac:dyDescent="0.2"/>
    <row r="5863" ht="12.75" hidden="1" customHeight="1" x14ac:dyDescent="0.2"/>
    <row r="5864" ht="12.75" hidden="1" customHeight="1" x14ac:dyDescent="0.2"/>
    <row r="5865" ht="12.75" hidden="1" customHeight="1" x14ac:dyDescent="0.2"/>
    <row r="5866" ht="12.75" hidden="1" customHeight="1" x14ac:dyDescent="0.2"/>
    <row r="5867" ht="12.75" hidden="1" customHeight="1" x14ac:dyDescent="0.2"/>
    <row r="5868" ht="12.75" hidden="1" customHeight="1" x14ac:dyDescent="0.2"/>
    <row r="5869" ht="12.75" hidden="1" customHeight="1" x14ac:dyDescent="0.2"/>
    <row r="5870" ht="12.75" hidden="1" customHeight="1" x14ac:dyDescent="0.2"/>
    <row r="5871" ht="12.75" hidden="1" customHeight="1" x14ac:dyDescent="0.2"/>
    <row r="5872" ht="12.75" hidden="1" customHeight="1" x14ac:dyDescent="0.2"/>
    <row r="5873" ht="12.75" hidden="1" customHeight="1" x14ac:dyDescent="0.2"/>
    <row r="5874" ht="12.75" hidden="1" customHeight="1" x14ac:dyDescent="0.2"/>
    <row r="5875" ht="12.75" hidden="1" customHeight="1" x14ac:dyDescent="0.2"/>
    <row r="5876" ht="12.75" hidden="1" customHeight="1" x14ac:dyDescent="0.2"/>
    <row r="5877" ht="12.75" hidden="1" customHeight="1" x14ac:dyDescent="0.2"/>
    <row r="5878" ht="12.75" hidden="1" customHeight="1" x14ac:dyDescent="0.2"/>
    <row r="5879" ht="12.75" hidden="1" customHeight="1" x14ac:dyDescent="0.2"/>
    <row r="5880" ht="12.75" hidden="1" customHeight="1" x14ac:dyDescent="0.2"/>
    <row r="5881" ht="12.75" hidden="1" customHeight="1" x14ac:dyDescent="0.2"/>
    <row r="5882" ht="12.75" hidden="1" customHeight="1" x14ac:dyDescent="0.2"/>
    <row r="5883" ht="12.75" hidden="1" customHeight="1" x14ac:dyDescent="0.2"/>
    <row r="5884" ht="12.75" hidden="1" customHeight="1" x14ac:dyDescent="0.2"/>
    <row r="5885" ht="12.75" hidden="1" customHeight="1" x14ac:dyDescent="0.2"/>
    <row r="5886" ht="12.75" hidden="1" customHeight="1" x14ac:dyDescent="0.2"/>
    <row r="5887" ht="12.75" hidden="1" customHeight="1" x14ac:dyDescent="0.2"/>
    <row r="5888" ht="12.75" hidden="1" customHeight="1" x14ac:dyDescent="0.2"/>
    <row r="5889" ht="12.75" hidden="1" customHeight="1" x14ac:dyDescent="0.2"/>
    <row r="5890" ht="12.75" hidden="1" customHeight="1" x14ac:dyDescent="0.2"/>
    <row r="5891" ht="12.75" hidden="1" customHeight="1" x14ac:dyDescent="0.2"/>
    <row r="5892" ht="12.75" hidden="1" customHeight="1" x14ac:dyDescent="0.2"/>
    <row r="5893" ht="12.75" hidden="1" customHeight="1" x14ac:dyDescent="0.2"/>
    <row r="5894" ht="12.75" hidden="1" customHeight="1" x14ac:dyDescent="0.2"/>
    <row r="5895" ht="12.75" hidden="1" customHeight="1" x14ac:dyDescent="0.2"/>
    <row r="5896" ht="12.75" hidden="1" customHeight="1" x14ac:dyDescent="0.2"/>
    <row r="5897" ht="12.75" hidden="1" customHeight="1" x14ac:dyDescent="0.2"/>
    <row r="5898" ht="12.75" hidden="1" customHeight="1" x14ac:dyDescent="0.2"/>
    <row r="5899" ht="12.75" hidden="1" customHeight="1" x14ac:dyDescent="0.2"/>
    <row r="5900" ht="12.75" hidden="1" customHeight="1" x14ac:dyDescent="0.2"/>
    <row r="5901" ht="12.75" hidden="1" customHeight="1" x14ac:dyDescent="0.2"/>
    <row r="5902" ht="12.75" hidden="1" customHeight="1" x14ac:dyDescent="0.2"/>
    <row r="5903" ht="12.75" hidden="1" customHeight="1" x14ac:dyDescent="0.2"/>
    <row r="5904" ht="12.75" hidden="1" customHeight="1" x14ac:dyDescent="0.2"/>
    <row r="5905" ht="12.75" hidden="1" customHeight="1" x14ac:dyDescent="0.2"/>
    <row r="5906" ht="12.75" hidden="1" customHeight="1" x14ac:dyDescent="0.2"/>
    <row r="5907" ht="12.75" hidden="1" customHeight="1" x14ac:dyDescent="0.2"/>
    <row r="5908" ht="12.75" hidden="1" customHeight="1" x14ac:dyDescent="0.2"/>
    <row r="5909" ht="12.75" hidden="1" customHeight="1" x14ac:dyDescent="0.2"/>
    <row r="5910" ht="12.75" hidden="1" customHeight="1" x14ac:dyDescent="0.2"/>
    <row r="5911" ht="12.75" hidden="1" customHeight="1" x14ac:dyDescent="0.2"/>
    <row r="5912" ht="12.75" hidden="1" customHeight="1" x14ac:dyDescent="0.2"/>
    <row r="5913" ht="12.75" hidden="1" customHeight="1" x14ac:dyDescent="0.2"/>
    <row r="5914" ht="12.75" hidden="1" customHeight="1" x14ac:dyDescent="0.2"/>
    <row r="5915" ht="12.75" hidden="1" customHeight="1" x14ac:dyDescent="0.2"/>
    <row r="5916" ht="12.75" hidden="1" customHeight="1" x14ac:dyDescent="0.2"/>
    <row r="5917" ht="12.75" hidden="1" customHeight="1" x14ac:dyDescent="0.2"/>
    <row r="5918" ht="12.75" hidden="1" customHeight="1" x14ac:dyDescent="0.2"/>
    <row r="5919" ht="12.75" hidden="1" customHeight="1" x14ac:dyDescent="0.2"/>
    <row r="5920" ht="12.75" hidden="1" customHeight="1" x14ac:dyDescent="0.2"/>
    <row r="5921" ht="12.75" hidden="1" customHeight="1" x14ac:dyDescent="0.2"/>
    <row r="5922" ht="12.75" hidden="1" customHeight="1" x14ac:dyDescent="0.2"/>
    <row r="5923" ht="12.75" hidden="1" customHeight="1" x14ac:dyDescent="0.2"/>
    <row r="5924" ht="12.75" hidden="1" customHeight="1" x14ac:dyDescent="0.2"/>
    <row r="5925" ht="12.75" hidden="1" customHeight="1" x14ac:dyDescent="0.2"/>
    <row r="5926" ht="12.75" hidden="1" customHeight="1" x14ac:dyDescent="0.2"/>
    <row r="5927" ht="12.75" hidden="1" customHeight="1" x14ac:dyDescent="0.2"/>
    <row r="5928" ht="12.75" hidden="1" customHeight="1" x14ac:dyDescent="0.2"/>
    <row r="5929" ht="12.75" hidden="1" customHeight="1" x14ac:dyDescent="0.2"/>
    <row r="5930" ht="12.75" hidden="1" customHeight="1" x14ac:dyDescent="0.2"/>
    <row r="5931" ht="12.75" hidden="1" customHeight="1" x14ac:dyDescent="0.2"/>
    <row r="5932" ht="12.75" hidden="1" customHeight="1" x14ac:dyDescent="0.2"/>
    <row r="5933" ht="12.75" hidden="1" customHeight="1" x14ac:dyDescent="0.2"/>
    <row r="5934" ht="12.75" hidden="1" customHeight="1" x14ac:dyDescent="0.2"/>
    <row r="5935" ht="12.75" hidden="1" customHeight="1" x14ac:dyDescent="0.2"/>
    <row r="5936" ht="12.75" hidden="1" customHeight="1" x14ac:dyDescent="0.2"/>
    <row r="5937" ht="12.75" hidden="1" customHeight="1" x14ac:dyDescent="0.2"/>
    <row r="5938" ht="12.75" hidden="1" customHeight="1" x14ac:dyDescent="0.2"/>
    <row r="5939" ht="12.75" hidden="1" customHeight="1" x14ac:dyDescent="0.2"/>
    <row r="5940" ht="12.75" hidden="1" customHeight="1" x14ac:dyDescent="0.2"/>
    <row r="5941" ht="12.75" hidden="1" customHeight="1" x14ac:dyDescent="0.2"/>
    <row r="5942" ht="12.75" hidden="1" customHeight="1" x14ac:dyDescent="0.2"/>
    <row r="5943" ht="12.75" hidden="1" customHeight="1" x14ac:dyDescent="0.2"/>
    <row r="5944" ht="12.75" hidden="1" customHeight="1" x14ac:dyDescent="0.2"/>
    <row r="5945" ht="12.75" hidden="1" customHeight="1" x14ac:dyDescent="0.2"/>
    <row r="5946" ht="12.75" hidden="1" customHeight="1" x14ac:dyDescent="0.2"/>
    <row r="5947" ht="12.75" hidden="1" customHeight="1" x14ac:dyDescent="0.2"/>
    <row r="5948" ht="12.75" hidden="1" customHeight="1" x14ac:dyDescent="0.2"/>
    <row r="5949" ht="12.75" hidden="1" customHeight="1" x14ac:dyDescent="0.2"/>
    <row r="5950" ht="12.75" hidden="1" customHeight="1" x14ac:dyDescent="0.2"/>
    <row r="5951" ht="12.75" hidden="1" customHeight="1" x14ac:dyDescent="0.2"/>
    <row r="5952" ht="12.75" hidden="1" customHeight="1" x14ac:dyDescent="0.2"/>
    <row r="5953" ht="12.75" hidden="1" customHeight="1" x14ac:dyDescent="0.2"/>
    <row r="5954" ht="12.75" hidden="1" customHeight="1" x14ac:dyDescent="0.2"/>
    <row r="5955" ht="12.75" hidden="1" customHeight="1" x14ac:dyDescent="0.2"/>
    <row r="5956" ht="12.75" hidden="1" customHeight="1" x14ac:dyDescent="0.2"/>
    <row r="5957" ht="12.75" hidden="1" customHeight="1" x14ac:dyDescent="0.2"/>
    <row r="5958" ht="12.75" hidden="1" customHeight="1" x14ac:dyDescent="0.2"/>
    <row r="5959" ht="12.75" hidden="1" customHeight="1" x14ac:dyDescent="0.2"/>
    <row r="5960" ht="12.75" hidden="1" customHeight="1" x14ac:dyDescent="0.2"/>
    <row r="5961" ht="12.75" hidden="1" customHeight="1" x14ac:dyDescent="0.2"/>
    <row r="5962" ht="12.75" hidden="1" customHeight="1" x14ac:dyDescent="0.2"/>
    <row r="5963" ht="12.75" hidden="1" customHeight="1" x14ac:dyDescent="0.2"/>
    <row r="5964" ht="12.75" hidden="1" customHeight="1" x14ac:dyDescent="0.2"/>
    <row r="5965" ht="12.75" hidden="1" customHeight="1" x14ac:dyDescent="0.2"/>
    <row r="5966" ht="12.75" hidden="1" customHeight="1" x14ac:dyDescent="0.2"/>
    <row r="5967" ht="12.75" hidden="1" customHeight="1" x14ac:dyDescent="0.2"/>
    <row r="5968" ht="12.75" hidden="1" customHeight="1" x14ac:dyDescent="0.2"/>
    <row r="5969" ht="12.75" hidden="1" customHeight="1" x14ac:dyDescent="0.2"/>
    <row r="5970" ht="12.75" hidden="1" customHeight="1" x14ac:dyDescent="0.2"/>
    <row r="5971" ht="12.75" hidden="1" customHeight="1" x14ac:dyDescent="0.2"/>
    <row r="5972" ht="12.75" hidden="1" customHeight="1" x14ac:dyDescent="0.2"/>
    <row r="5973" ht="12.75" hidden="1" customHeight="1" x14ac:dyDescent="0.2"/>
    <row r="5974" ht="12.75" hidden="1" customHeight="1" x14ac:dyDescent="0.2"/>
    <row r="5975" ht="12.75" hidden="1" customHeight="1" x14ac:dyDescent="0.2"/>
    <row r="5976" ht="12.75" hidden="1" customHeight="1" x14ac:dyDescent="0.2"/>
    <row r="5977" ht="12.75" hidden="1" customHeight="1" x14ac:dyDescent="0.2"/>
    <row r="5978" ht="12.75" hidden="1" customHeight="1" x14ac:dyDescent="0.2"/>
    <row r="5979" ht="12.75" hidden="1" customHeight="1" x14ac:dyDescent="0.2"/>
    <row r="5980" ht="12.75" hidden="1" customHeight="1" x14ac:dyDescent="0.2"/>
    <row r="5981" ht="12.75" hidden="1" customHeight="1" x14ac:dyDescent="0.2"/>
    <row r="5982" ht="12.75" hidden="1" customHeight="1" x14ac:dyDescent="0.2"/>
    <row r="5983" ht="12.75" hidden="1" customHeight="1" x14ac:dyDescent="0.2"/>
    <row r="5984" ht="12.75" hidden="1" customHeight="1" x14ac:dyDescent="0.2"/>
    <row r="5985" ht="12.75" hidden="1" customHeight="1" x14ac:dyDescent="0.2"/>
    <row r="5986" ht="12.75" hidden="1" customHeight="1" x14ac:dyDescent="0.2"/>
    <row r="5987" ht="12.75" hidden="1" customHeight="1" x14ac:dyDescent="0.2"/>
    <row r="5988" ht="12.75" hidden="1" customHeight="1" x14ac:dyDescent="0.2"/>
    <row r="5989" ht="12.75" hidden="1" customHeight="1" x14ac:dyDescent="0.2"/>
    <row r="5990" ht="12.75" hidden="1" customHeight="1" x14ac:dyDescent="0.2"/>
    <row r="5991" ht="12.75" hidden="1" customHeight="1" x14ac:dyDescent="0.2"/>
    <row r="5992" ht="12.75" hidden="1" customHeight="1" x14ac:dyDescent="0.2"/>
    <row r="5993" ht="12.75" hidden="1" customHeight="1" x14ac:dyDescent="0.2"/>
    <row r="5994" ht="12.75" hidden="1" customHeight="1" x14ac:dyDescent="0.2"/>
    <row r="5995" ht="12.75" hidden="1" customHeight="1" x14ac:dyDescent="0.2"/>
    <row r="5996" ht="12.75" hidden="1" customHeight="1" x14ac:dyDescent="0.2"/>
    <row r="5997" ht="12.75" hidden="1" customHeight="1" x14ac:dyDescent="0.2"/>
    <row r="5998" ht="12.75" hidden="1" customHeight="1" x14ac:dyDescent="0.2"/>
    <row r="5999" ht="12.75" hidden="1" customHeight="1" x14ac:dyDescent="0.2"/>
    <row r="6000" ht="12.75" hidden="1" customHeight="1" x14ac:dyDescent="0.2"/>
    <row r="6001" ht="12.75" hidden="1" customHeight="1" x14ac:dyDescent="0.2"/>
    <row r="6002" ht="12.75" hidden="1" customHeight="1" x14ac:dyDescent="0.2"/>
    <row r="6003" ht="12.75" hidden="1" customHeight="1" x14ac:dyDescent="0.2"/>
    <row r="6004" ht="12.75" hidden="1" customHeight="1" x14ac:dyDescent="0.2"/>
    <row r="6005" ht="12.75" hidden="1" customHeight="1" x14ac:dyDescent="0.2"/>
    <row r="6006" ht="12.75" hidden="1" customHeight="1" x14ac:dyDescent="0.2"/>
    <row r="6007" ht="12.75" hidden="1" customHeight="1" x14ac:dyDescent="0.2"/>
    <row r="6008" ht="12.75" hidden="1" customHeight="1" x14ac:dyDescent="0.2"/>
    <row r="6009" ht="12.75" hidden="1" customHeight="1" x14ac:dyDescent="0.2"/>
    <row r="6010" ht="12.75" hidden="1" customHeight="1" x14ac:dyDescent="0.2"/>
    <row r="6011" ht="12.75" hidden="1" customHeight="1" x14ac:dyDescent="0.2"/>
    <row r="6012" ht="12.75" hidden="1" customHeight="1" x14ac:dyDescent="0.2"/>
    <row r="6013" ht="12.75" hidden="1" customHeight="1" x14ac:dyDescent="0.2"/>
    <row r="6014" ht="12.75" hidden="1" customHeight="1" x14ac:dyDescent="0.2"/>
    <row r="6015" ht="12.75" hidden="1" customHeight="1" x14ac:dyDescent="0.2"/>
    <row r="6016" ht="12.75" hidden="1" customHeight="1" x14ac:dyDescent="0.2"/>
    <row r="6017" ht="12.75" hidden="1" customHeight="1" x14ac:dyDescent="0.2"/>
    <row r="6018" ht="12.75" hidden="1" customHeight="1" x14ac:dyDescent="0.2"/>
    <row r="6019" ht="12.75" hidden="1" customHeight="1" x14ac:dyDescent="0.2"/>
    <row r="6020" ht="12.75" hidden="1" customHeight="1" x14ac:dyDescent="0.2"/>
    <row r="6021" ht="12.75" hidden="1" customHeight="1" x14ac:dyDescent="0.2"/>
    <row r="6022" ht="12.75" hidden="1" customHeight="1" x14ac:dyDescent="0.2"/>
    <row r="6023" ht="12.75" hidden="1" customHeight="1" x14ac:dyDescent="0.2"/>
    <row r="6024" ht="12.75" hidden="1" customHeight="1" x14ac:dyDescent="0.2"/>
    <row r="6025" ht="12.75" hidden="1" customHeight="1" x14ac:dyDescent="0.2"/>
    <row r="6026" ht="12.75" hidden="1" customHeight="1" x14ac:dyDescent="0.2"/>
    <row r="6027" ht="12.75" hidden="1" customHeight="1" x14ac:dyDescent="0.2"/>
    <row r="6028" ht="12.75" hidden="1" customHeight="1" x14ac:dyDescent="0.2"/>
    <row r="6029" ht="12.75" hidden="1" customHeight="1" x14ac:dyDescent="0.2"/>
    <row r="6030" ht="12.75" hidden="1" customHeight="1" x14ac:dyDescent="0.2"/>
    <row r="6031" ht="12.75" hidden="1" customHeight="1" x14ac:dyDescent="0.2"/>
    <row r="6032" ht="12.75" hidden="1" customHeight="1" x14ac:dyDescent="0.2"/>
    <row r="6033" ht="12.75" hidden="1" customHeight="1" x14ac:dyDescent="0.2"/>
    <row r="6034" ht="12.75" hidden="1" customHeight="1" x14ac:dyDescent="0.2"/>
    <row r="6035" ht="12.75" hidden="1" customHeight="1" x14ac:dyDescent="0.2"/>
    <row r="6036" ht="12.75" hidden="1" customHeight="1" x14ac:dyDescent="0.2"/>
    <row r="6037" ht="12.75" hidden="1" customHeight="1" x14ac:dyDescent="0.2"/>
    <row r="6038" ht="12.75" hidden="1" customHeight="1" x14ac:dyDescent="0.2"/>
    <row r="6039" ht="12.75" hidden="1" customHeight="1" x14ac:dyDescent="0.2"/>
    <row r="6040" ht="12.75" hidden="1" customHeight="1" x14ac:dyDescent="0.2"/>
    <row r="6041" ht="12.75" hidden="1" customHeight="1" x14ac:dyDescent="0.2"/>
    <row r="6042" ht="12.75" hidden="1" customHeight="1" x14ac:dyDescent="0.2"/>
    <row r="6043" ht="12.75" hidden="1" customHeight="1" x14ac:dyDescent="0.2"/>
    <row r="6044" ht="12.75" hidden="1" customHeight="1" x14ac:dyDescent="0.2"/>
    <row r="6045" ht="12.75" hidden="1" customHeight="1" x14ac:dyDescent="0.2"/>
    <row r="6046" ht="12.75" hidden="1" customHeight="1" x14ac:dyDescent="0.2"/>
    <row r="6047" ht="12.75" hidden="1" customHeight="1" x14ac:dyDescent="0.2"/>
    <row r="6048" ht="12.75" hidden="1" customHeight="1" x14ac:dyDescent="0.2"/>
    <row r="6049" ht="12.75" hidden="1" customHeight="1" x14ac:dyDescent="0.2"/>
    <row r="6050" ht="12.75" hidden="1" customHeight="1" x14ac:dyDescent="0.2"/>
    <row r="6051" ht="12.75" hidden="1" customHeight="1" x14ac:dyDescent="0.2"/>
    <row r="6052" ht="12.75" hidden="1" customHeight="1" x14ac:dyDescent="0.2"/>
    <row r="6053" ht="12.75" hidden="1" customHeight="1" x14ac:dyDescent="0.2"/>
    <row r="6054" ht="12.75" hidden="1" customHeight="1" x14ac:dyDescent="0.2"/>
    <row r="6055" ht="12.75" hidden="1" customHeight="1" x14ac:dyDescent="0.2"/>
    <row r="6056" ht="12.75" hidden="1" customHeight="1" x14ac:dyDescent="0.2"/>
    <row r="6057" ht="12.75" hidden="1" customHeight="1" x14ac:dyDescent="0.2"/>
    <row r="6058" ht="12.75" hidden="1" customHeight="1" x14ac:dyDescent="0.2"/>
    <row r="6059" ht="12.75" hidden="1" customHeight="1" x14ac:dyDescent="0.2"/>
    <row r="6060" ht="12.75" hidden="1" customHeight="1" x14ac:dyDescent="0.2"/>
    <row r="6061" ht="12.75" hidden="1" customHeight="1" x14ac:dyDescent="0.2"/>
    <row r="6062" ht="12.75" hidden="1" customHeight="1" x14ac:dyDescent="0.2"/>
    <row r="6063" ht="12.75" hidden="1" customHeight="1" x14ac:dyDescent="0.2"/>
    <row r="6064" ht="12.75" hidden="1" customHeight="1" x14ac:dyDescent="0.2"/>
    <row r="6065" ht="12.75" hidden="1" customHeight="1" x14ac:dyDescent="0.2"/>
    <row r="6066" ht="12.75" hidden="1" customHeight="1" x14ac:dyDescent="0.2"/>
    <row r="6067" ht="12.75" hidden="1" customHeight="1" x14ac:dyDescent="0.2"/>
    <row r="6068" ht="12.75" hidden="1" customHeight="1" x14ac:dyDescent="0.2"/>
    <row r="6069" ht="12.75" hidden="1" customHeight="1" x14ac:dyDescent="0.2"/>
    <row r="6070" ht="12.75" hidden="1" customHeight="1" x14ac:dyDescent="0.2"/>
    <row r="6071" ht="12.75" hidden="1" customHeight="1" x14ac:dyDescent="0.2"/>
    <row r="6072" ht="12.75" hidden="1" customHeight="1" x14ac:dyDescent="0.2"/>
    <row r="6073" ht="12.75" hidden="1" customHeight="1" x14ac:dyDescent="0.2"/>
    <row r="6074" ht="12.75" hidden="1" customHeight="1" x14ac:dyDescent="0.2"/>
    <row r="6075" ht="12.75" hidden="1" customHeight="1" x14ac:dyDescent="0.2"/>
    <row r="6076" ht="12.75" hidden="1" customHeight="1" x14ac:dyDescent="0.2"/>
    <row r="6077" ht="12.75" hidden="1" customHeight="1" x14ac:dyDescent="0.2"/>
    <row r="6078" ht="12.75" hidden="1" customHeight="1" x14ac:dyDescent="0.2"/>
    <row r="6079" ht="12.75" hidden="1" customHeight="1" x14ac:dyDescent="0.2"/>
    <row r="6080" ht="12.75" hidden="1" customHeight="1" x14ac:dyDescent="0.2"/>
    <row r="6081" ht="12.75" hidden="1" customHeight="1" x14ac:dyDescent="0.2"/>
    <row r="6082" ht="12.75" hidden="1" customHeight="1" x14ac:dyDescent="0.2"/>
    <row r="6083" ht="12.75" hidden="1" customHeight="1" x14ac:dyDescent="0.2"/>
    <row r="6084" ht="12.75" hidden="1" customHeight="1" x14ac:dyDescent="0.2"/>
    <row r="6085" ht="12.75" hidden="1" customHeight="1" x14ac:dyDescent="0.2"/>
    <row r="6086" ht="12.75" hidden="1" customHeight="1" x14ac:dyDescent="0.2"/>
    <row r="6087" ht="12.75" hidden="1" customHeight="1" x14ac:dyDescent="0.2"/>
    <row r="6088" ht="12.75" hidden="1" customHeight="1" x14ac:dyDescent="0.2"/>
    <row r="6089" ht="12.75" hidden="1" customHeight="1" x14ac:dyDescent="0.2"/>
    <row r="6090" ht="12.75" hidden="1" customHeight="1" x14ac:dyDescent="0.2"/>
    <row r="6091" ht="12.75" hidden="1" customHeight="1" x14ac:dyDescent="0.2"/>
    <row r="6092" ht="12.75" hidden="1" customHeight="1" x14ac:dyDescent="0.2"/>
    <row r="6093" ht="12.75" hidden="1" customHeight="1" x14ac:dyDescent="0.2"/>
    <row r="6094" ht="12.75" hidden="1" customHeight="1" x14ac:dyDescent="0.2"/>
    <row r="6095" ht="12.75" hidden="1" customHeight="1" x14ac:dyDescent="0.2"/>
    <row r="6096" ht="12.75" hidden="1" customHeight="1" x14ac:dyDescent="0.2"/>
    <row r="6097" ht="12.75" hidden="1" customHeight="1" x14ac:dyDescent="0.2"/>
    <row r="6098" ht="12.75" hidden="1" customHeight="1" x14ac:dyDescent="0.2"/>
    <row r="6099" ht="12.75" hidden="1" customHeight="1" x14ac:dyDescent="0.2"/>
    <row r="6100" ht="12.75" hidden="1" customHeight="1" x14ac:dyDescent="0.2"/>
    <row r="6101" ht="12.75" hidden="1" customHeight="1" x14ac:dyDescent="0.2"/>
    <row r="6102" ht="12.75" hidden="1" customHeight="1" x14ac:dyDescent="0.2"/>
    <row r="6103" ht="12.75" hidden="1" customHeight="1" x14ac:dyDescent="0.2"/>
    <row r="6104" ht="12.75" hidden="1" customHeight="1" x14ac:dyDescent="0.2"/>
    <row r="6105" ht="12.75" hidden="1" customHeight="1" x14ac:dyDescent="0.2"/>
    <row r="6106" ht="12.75" hidden="1" customHeight="1" x14ac:dyDescent="0.2"/>
    <row r="6107" ht="12.75" hidden="1" customHeight="1" x14ac:dyDescent="0.2"/>
    <row r="6108" ht="12.75" hidden="1" customHeight="1" x14ac:dyDescent="0.2"/>
    <row r="6109" ht="12.75" hidden="1" customHeight="1" x14ac:dyDescent="0.2"/>
    <row r="6110" ht="12.75" hidden="1" customHeight="1" x14ac:dyDescent="0.2"/>
    <row r="6111" ht="12.75" hidden="1" customHeight="1" x14ac:dyDescent="0.2"/>
    <row r="6112" ht="12.75" hidden="1" customHeight="1" x14ac:dyDescent="0.2"/>
    <row r="6113" ht="12.75" hidden="1" customHeight="1" x14ac:dyDescent="0.2"/>
    <row r="6114" ht="12.75" hidden="1" customHeight="1" x14ac:dyDescent="0.2"/>
    <row r="6115" ht="12.75" hidden="1" customHeight="1" x14ac:dyDescent="0.2"/>
    <row r="6116" ht="12.75" hidden="1" customHeight="1" x14ac:dyDescent="0.2"/>
    <row r="6117" ht="12.75" hidden="1" customHeight="1" x14ac:dyDescent="0.2"/>
    <row r="6118" ht="12.75" hidden="1" customHeight="1" x14ac:dyDescent="0.2"/>
    <row r="6119" ht="12.75" hidden="1" customHeight="1" x14ac:dyDescent="0.2"/>
    <row r="6120" ht="12.75" hidden="1" customHeight="1" x14ac:dyDescent="0.2"/>
    <row r="6121" ht="12.75" hidden="1" customHeight="1" x14ac:dyDescent="0.2"/>
    <row r="6122" ht="12.75" hidden="1" customHeight="1" x14ac:dyDescent="0.2"/>
    <row r="6123" ht="12.75" hidden="1" customHeight="1" x14ac:dyDescent="0.2"/>
    <row r="6124" ht="12.75" hidden="1" customHeight="1" x14ac:dyDescent="0.2"/>
    <row r="6125" ht="12.75" hidden="1" customHeight="1" x14ac:dyDescent="0.2"/>
    <row r="6126" ht="12.75" hidden="1" customHeight="1" x14ac:dyDescent="0.2"/>
    <row r="6127" ht="12.75" hidden="1" customHeight="1" x14ac:dyDescent="0.2"/>
    <row r="6128" ht="12.75" hidden="1" customHeight="1" x14ac:dyDescent="0.2"/>
    <row r="6129" ht="12.75" hidden="1" customHeight="1" x14ac:dyDescent="0.2"/>
    <row r="6130" ht="12.75" hidden="1" customHeight="1" x14ac:dyDescent="0.2"/>
    <row r="6131" ht="12.75" hidden="1" customHeight="1" x14ac:dyDescent="0.2"/>
    <row r="6132" ht="12.75" hidden="1" customHeight="1" x14ac:dyDescent="0.2"/>
    <row r="6133" ht="12.75" hidden="1" customHeight="1" x14ac:dyDescent="0.2"/>
    <row r="6134" ht="12.75" hidden="1" customHeight="1" x14ac:dyDescent="0.2"/>
    <row r="6135" ht="12.75" hidden="1" customHeight="1" x14ac:dyDescent="0.2"/>
    <row r="6136" ht="12.75" hidden="1" customHeight="1" x14ac:dyDescent="0.2"/>
    <row r="6137" ht="12.75" hidden="1" customHeight="1" x14ac:dyDescent="0.2"/>
    <row r="6138" ht="12.75" hidden="1" customHeight="1" x14ac:dyDescent="0.2"/>
    <row r="6139" ht="12.75" hidden="1" customHeight="1" x14ac:dyDescent="0.2"/>
    <row r="6140" ht="12.75" hidden="1" customHeight="1" x14ac:dyDescent="0.2"/>
    <row r="6141" ht="12.75" hidden="1" customHeight="1" x14ac:dyDescent="0.2"/>
    <row r="6142" ht="12.75" hidden="1" customHeight="1" x14ac:dyDescent="0.2"/>
    <row r="6143" ht="12.75" hidden="1" customHeight="1" x14ac:dyDescent="0.2"/>
    <row r="6144" ht="12.75" hidden="1" customHeight="1" x14ac:dyDescent="0.2"/>
    <row r="6145" ht="12.75" hidden="1" customHeight="1" x14ac:dyDescent="0.2"/>
    <row r="6146" ht="12.75" hidden="1" customHeight="1" x14ac:dyDescent="0.2"/>
    <row r="6147" ht="12.75" hidden="1" customHeight="1" x14ac:dyDescent="0.2"/>
    <row r="6148" ht="12.75" hidden="1" customHeight="1" x14ac:dyDescent="0.2"/>
    <row r="6149" ht="12.75" hidden="1" customHeight="1" x14ac:dyDescent="0.2"/>
    <row r="6150" ht="12.75" hidden="1" customHeight="1" x14ac:dyDescent="0.2"/>
    <row r="6151" ht="12.75" hidden="1" customHeight="1" x14ac:dyDescent="0.2"/>
    <row r="6152" ht="12.75" hidden="1" customHeight="1" x14ac:dyDescent="0.2"/>
    <row r="6153" ht="12.75" hidden="1" customHeight="1" x14ac:dyDescent="0.2"/>
    <row r="6154" ht="12.75" hidden="1" customHeight="1" x14ac:dyDescent="0.2"/>
    <row r="6155" ht="12.75" hidden="1" customHeight="1" x14ac:dyDescent="0.2"/>
    <row r="6156" ht="12.75" hidden="1" customHeight="1" x14ac:dyDescent="0.2"/>
    <row r="6157" ht="12.75" hidden="1" customHeight="1" x14ac:dyDescent="0.2"/>
    <row r="6158" ht="12.75" hidden="1" customHeight="1" x14ac:dyDescent="0.2"/>
    <row r="6159" ht="12.75" hidden="1" customHeight="1" x14ac:dyDescent="0.2"/>
    <row r="6160" ht="12.75" hidden="1" customHeight="1" x14ac:dyDescent="0.2"/>
    <row r="6161" ht="12.75" hidden="1" customHeight="1" x14ac:dyDescent="0.2"/>
    <row r="6162" ht="12.75" hidden="1" customHeight="1" x14ac:dyDescent="0.2"/>
    <row r="6163" ht="12.75" hidden="1" customHeight="1" x14ac:dyDescent="0.2"/>
    <row r="6164" ht="12.75" hidden="1" customHeight="1" x14ac:dyDescent="0.2"/>
    <row r="6165" ht="12.75" hidden="1" customHeight="1" x14ac:dyDescent="0.2"/>
    <row r="6166" ht="12.75" hidden="1" customHeight="1" x14ac:dyDescent="0.2"/>
    <row r="6167" ht="12.75" hidden="1" customHeight="1" x14ac:dyDescent="0.2"/>
    <row r="6168" ht="12.75" hidden="1" customHeight="1" x14ac:dyDescent="0.2"/>
    <row r="6169" ht="12.75" hidden="1" customHeight="1" x14ac:dyDescent="0.2"/>
    <row r="6170" ht="12.75" hidden="1" customHeight="1" x14ac:dyDescent="0.2"/>
    <row r="6171" ht="12.75" hidden="1" customHeight="1" x14ac:dyDescent="0.2"/>
    <row r="6172" ht="12.75" hidden="1" customHeight="1" x14ac:dyDescent="0.2"/>
    <row r="6173" ht="12.75" hidden="1" customHeight="1" x14ac:dyDescent="0.2"/>
    <row r="6174" ht="12.75" hidden="1" customHeight="1" x14ac:dyDescent="0.2"/>
    <row r="6175" ht="12.75" hidden="1" customHeight="1" x14ac:dyDescent="0.2"/>
    <row r="6176" ht="12.75" hidden="1" customHeight="1" x14ac:dyDescent="0.2"/>
    <row r="6177" ht="12.75" hidden="1" customHeight="1" x14ac:dyDescent="0.2"/>
    <row r="6178" ht="12.75" hidden="1" customHeight="1" x14ac:dyDescent="0.2"/>
    <row r="6179" ht="12.75" hidden="1" customHeight="1" x14ac:dyDescent="0.2"/>
    <row r="6180" ht="12.75" hidden="1" customHeight="1" x14ac:dyDescent="0.2"/>
    <row r="6181" ht="12.75" hidden="1" customHeight="1" x14ac:dyDescent="0.2"/>
    <row r="6182" ht="12.75" hidden="1" customHeight="1" x14ac:dyDescent="0.2"/>
    <row r="6183" ht="12.75" hidden="1" customHeight="1" x14ac:dyDescent="0.2"/>
    <row r="6184" ht="12.75" hidden="1" customHeight="1" x14ac:dyDescent="0.2"/>
    <row r="6185" ht="12.75" hidden="1" customHeight="1" x14ac:dyDescent="0.2"/>
    <row r="6186" ht="12.75" hidden="1" customHeight="1" x14ac:dyDescent="0.2"/>
    <row r="6187" ht="12.75" hidden="1" customHeight="1" x14ac:dyDescent="0.2"/>
    <row r="6188" ht="12.75" hidden="1" customHeight="1" x14ac:dyDescent="0.2"/>
    <row r="6189" ht="12.75" hidden="1" customHeight="1" x14ac:dyDescent="0.2"/>
    <row r="6190" ht="12.75" hidden="1" customHeight="1" x14ac:dyDescent="0.2"/>
    <row r="6191" ht="12.75" hidden="1" customHeight="1" x14ac:dyDescent="0.2"/>
    <row r="6192" ht="12.75" hidden="1" customHeight="1" x14ac:dyDescent="0.2"/>
    <row r="6193" ht="12.75" hidden="1" customHeight="1" x14ac:dyDescent="0.2"/>
    <row r="6194" ht="12.75" hidden="1" customHeight="1" x14ac:dyDescent="0.2"/>
    <row r="6195" ht="12.75" hidden="1" customHeight="1" x14ac:dyDescent="0.2"/>
    <row r="6196" ht="12.75" hidden="1" customHeight="1" x14ac:dyDescent="0.2"/>
    <row r="6197" ht="12.75" hidden="1" customHeight="1" x14ac:dyDescent="0.2"/>
    <row r="6198" ht="12.75" hidden="1" customHeight="1" x14ac:dyDescent="0.2"/>
    <row r="6199" ht="12.75" hidden="1" customHeight="1" x14ac:dyDescent="0.2"/>
    <row r="6200" ht="12.75" hidden="1" customHeight="1" x14ac:dyDescent="0.2"/>
    <row r="6201" ht="12.75" hidden="1" customHeight="1" x14ac:dyDescent="0.2"/>
    <row r="6202" ht="12.75" hidden="1" customHeight="1" x14ac:dyDescent="0.2"/>
    <row r="6203" ht="12.75" hidden="1" customHeight="1" x14ac:dyDescent="0.2"/>
    <row r="6204" ht="12.75" hidden="1" customHeight="1" x14ac:dyDescent="0.2"/>
    <row r="6205" ht="12.75" hidden="1" customHeight="1" x14ac:dyDescent="0.2"/>
    <row r="6206" ht="12.75" hidden="1" customHeight="1" x14ac:dyDescent="0.2"/>
    <row r="6207" ht="12.75" hidden="1" customHeight="1" x14ac:dyDescent="0.2"/>
    <row r="6208" ht="12.75" hidden="1" customHeight="1" x14ac:dyDescent="0.2"/>
    <row r="6209" ht="12.75" hidden="1" customHeight="1" x14ac:dyDescent="0.2"/>
    <row r="6210" ht="12.75" hidden="1" customHeight="1" x14ac:dyDescent="0.2"/>
    <row r="6211" ht="12.75" hidden="1" customHeight="1" x14ac:dyDescent="0.2"/>
    <row r="6212" ht="12.75" hidden="1" customHeight="1" x14ac:dyDescent="0.2"/>
    <row r="6213" ht="12.75" hidden="1" customHeight="1" x14ac:dyDescent="0.2"/>
    <row r="6214" ht="12.75" hidden="1" customHeight="1" x14ac:dyDescent="0.2"/>
    <row r="6215" ht="12.75" hidden="1" customHeight="1" x14ac:dyDescent="0.2"/>
    <row r="6216" ht="12.75" hidden="1" customHeight="1" x14ac:dyDescent="0.2"/>
    <row r="6217" ht="12.75" hidden="1" customHeight="1" x14ac:dyDescent="0.2"/>
    <row r="6218" ht="12.75" hidden="1" customHeight="1" x14ac:dyDescent="0.2"/>
    <row r="6219" ht="12.75" hidden="1" customHeight="1" x14ac:dyDescent="0.2"/>
    <row r="6220" ht="12.75" hidden="1" customHeight="1" x14ac:dyDescent="0.2"/>
    <row r="6221" ht="12.75" hidden="1" customHeight="1" x14ac:dyDescent="0.2"/>
    <row r="6222" ht="12.75" hidden="1" customHeight="1" x14ac:dyDescent="0.2"/>
    <row r="6223" ht="12.75" hidden="1" customHeight="1" x14ac:dyDescent="0.2"/>
    <row r="6224" ht="12.75" hidden="1" customHeight="1" x14ac:dyDescent="0.2"/>
    <row r="6225" ht="12.75" hidden="1" customHeight="1" x14ac:dyDescent="0.2"/>
    <row r="6226" ht="12.75" hidden="1" customHeight="1" x14ac:dyDescent="0.2"/>
    <row r="6227" ht="12.75" hidden="1" customHeight="1" x14ac:dyDescent="0.2"/>
    <row r="6228" ht="12.75" hidden="1" customHeight="1" x14ac:dyDescent="0.2"/>
    <row r="6229" ht="12.75" hidden="1" customHeight="1" x14ac:dyDescent="0.2"/>
    <row r="6230" ht="12.75" hidden="1" customHeight="1" x14ac:dyDescent="0.2"/>
    <row r="6231" ht="12.75" hidden="1" customHeight="1" x14ac:dyDescent="0.2"/>
    <row r="6232" ht="12.75" hidden="1" customHeight="1" x14ac:dyDescent="0.2"/>
    <row r="6233" ht="12.75" hidden="1" customHeight="1" x14ac:dyDescent="0.2"/>
    <row r="6234" ht="12.75" hidden="1" customHeight="1" x14ac:dyDescent="0.2"/>
    <row r="6235" ht="12.75" hidden="1" customHeight="1" x14ac:dyDescent="0.2"/>
    <row r="6236" ht="12.75" hidden="1" customHeight="1" x14ac:dyDescent="0.2"/>
    <row r="6237" ht="12.75" hidden="1" customHeight="1" x14ac:dyDescent="0.2"/>
    <row r="6238" ht="12.75" hidden="1" customHeight="1" x14ac:dyDescent="0.2"/>
    <row r="6239" ht="12.75" hidden="1" customHeight="1" x14ac:dyDescent="0.2"/>
    <row r="6240" ht="12.75" hidden="1" customHeight="1" x14ac:dyDescent="0.2"/>
    <row r="6241" ht="12.75" hidden="1" customHeight="1" x14ac:dyDescent="0.2"/>
    <row r="6242" ht="12.75" hidden="1" customHeight="1" x14ac:dyDescent="0.2"/>
    <row r="6243" ht="12.75" hidden="1" customHeight="1" x14ac:dyDescent="0.2"/>
    <row r="6244" ht="12.75" hidden="1" customHeight="1" x14ac:dyDescent="0.2"/>
    <row r="6245" ht="12.75" hidden="1" customHeight="1" x14ac:dyDescent="0.2"/>
    <row r="6246" ht="12.75" hidden="1" customHeight="1" x14ac:dyDescent="0.2"/>
    <row r="6247" ht="12.75" hidden="1" customHeight="1" x14ac:dyDescent="0.2"/>
    <row r="6248" ht="12.75" hidden="1" customHeight="1" x14ac:dyDescent="0.2"/>
    <row r="6249" ht="12.75" hidden="1" customHeight="1" x14ac:dyDescent="0.2"/>
    <row r="6250" ht="12.75" hidden="1" customHeight="1" x14ac:dyDescent="0.2"/>
    <row r="6251" ht="12.75" hidden="1" customHeight="1" x14ac:dyDescent="0.2"/>
    <row r="6252" ht="12.75" hidden="1" customHeight="1" x14ac:dyDescent="0.2"/>
    <row r="6253" ht="12.75" hidden="1" customHeight="1" x14ac:dyDescent="0.2"/>
    <row r="6254" ht="12.75" hidden="1" customHeight="1" x14ac:dyDescent="0.2"/>
    <row r="6255" ht="12.75" hidden="1" customHeight="1" x14ac:dyDescent="0.2"/>
    <row r="6256" ht="12.75" hidden="1" customHeight="1" x14ac:dyDescent="0.2"/>
    <row r="6257" ht="12.75" hidden="1" customHeight="1" x14ac:dyDescent="0.2"/>
    <row r="6258" ht="12.75" hidden="1" customHeight="1" x14ac:dyDescent="0.2"/>
    <row r="6259" ht="12.75" hidden="1" customHeight="1" x14ac:dyDescent="0.2"/>
    <row r="6260" ht="12.75" hidden="1" customHeight="1" x14ac:dyDescent="0.2"/>
    <row r="6261" ht="12.75" hidden="1" customHeight="1" x14ac:dyDescent="0.2"/>
    <row r="6262" ht="12.75" hidden="1" customHeight="1" x14ac:dyDescent="0.2"/>
    <row r="6263" ht="12.75" hidden="1" customHeight="1" x14ac:dyDescent="0.2"/>
    <row r="6264" ht="12.75" hidden="1" customHeight="1" x14ac:dyDescent="0.2"/>
    <row r="6265" ht="12.75" hidden="1" customHeight="1" x14ac:dyDescent="0.2"/>
    <row r="6266" ht="12.75" hidden="1" customHeight="1" x14ac:dyDescent="0.2"/>
    <row r="6267" ht="12.75" hidden="1" customHeight="1" x14ac:dyDescent="0.2"/>
    <row r="6268" ht="12.75" hidden="1" customHeight="1" x14ac:dyDescent="0.2"/>
    <row r="6269" ht="12.75" hidden="1" customHeight="1" x14ac:dyDescent="0.2"/>
    <row r="6270" ht="12.75" hidden="1" customHeight="1" x14ac:dyDescent="0.2"/>
    <row r="6271" ht="12.75" hidden="1" customHeight="1" x14ac:dyDescent="0.2"/>
    <row r="6272" ht="12.75" hidden="1" customHeight="1" x14ac:dyDescent="0.2"/>
    <row r="6273" ht="12.75" hidden="1" customHeight="1" x14ac:dyDescent="0.2"/>
    <row r="6274" ht="12.75" hidden="1" customHeight="1" x14ac:dyDescent="0.2"/>
    <row r="6275" ht="12.75" hidden="1" customHeight="1" x14ac:dyDescent="0.2"/>
    <row r="6276" ht="12.75" hidden="1" customHeight="1" x14ac:dyDescent="0.2"/>
    <row r="6277" ht="12.75" hidden="1" customHeight="1" x14ac:dyDescent="0.2"/>
    <row r="6278" ht="12.75" hidden="1" customHeight="1" x14ac:dyDescent="0.2"/>
    <row r="6279" ht="12.75" hidden="1" customHeight="1" x14ac:dyDescent="0.2"/>
    <row r="6280" ht="12.75" hidden="1" customHeight="1" x14ac:dyDescent="0.2"/>
    <row r="6281" ht="12.75" hidden="1" customHeight="1" x14ac:dyDescent="0.2"/>
    <row r="6282" ht="12.75" hidden="1" customHeight="1" x14ac:dyDescent="0.2"/>
    <row r="6283" ht="12.75" hidden="1" customHeight="1" x14ac:dyDescent="0.2"/>
    <row r="6284" ht="12.75" hidden="1" customHeight="1" x14ac:dyDescent="0.2"/>
    <row r="6285" ht="12.75" hidden="1" customHeight="1" x14ac:dyDescent="0.2"/>
    <row r="6286" ht="12.75" hidden="1" customHeight="1" x14ac:dyDescent="0.2"/>
    <row r="6287" ht="12.75" hidden="1" customHeight="1" x14ac:dyDescent="0.2"/>
    <row r="6288" ht="12.75" hidden="1" customHeight="1" x14ac:dyDescent="0.2"/>
    <row r="6289" ht="12.75" hidden="1" customHeight="1" x14ac:dyDescent="0.2"/>
    <row r="6290" ht="12.75" hidden="1" customHeight="1" x14ac:dyDescent="0.2"/>
    <row r="6291" ht="12.75" hidden="1" customHeight="1" x14ac:dyDescent="0.2"/>
    <row r="6292" ht="12.75" hidden="1" customHeight="1" x14ac:dyDescent="0.2"/>
    <row r="6293" ht="12.75" hidden="1" customHeight="1" x14ac:dyDescent="0.2"/>
    <row r="6294" ht="12.75" hidden="1" customHeight="1" x14ac:dyDescent="0.2"/>
    <row r="6295" ht="12.75" hidden="1" customHeight="1" x14ac:dyDescent="0.2"/>
    <row r="6296" ht="12.75" hidden="1" customHeight="1" x14ac:dyDescent="0.2"/>
    <row r="6297" ht="12.75" hidden="1" customHeight="1" x14ac:dyDescent="0.2"/>
    <row r="6298" ht="12.75" hidden="1" customHeight="1" x14ac:dyDescent="0.2"/>
    <row r="6299" ht="12.75" hidden="1" customHeight="1" x14ac:dyDescent="0.2"/>
    <row r="6300" ht="12.75" hidden="1" customHeight="1" x14ac:dyDescent="0.2"/>
    <row r="6301" ht="12.75" hidden="1" customHeight="1" x14ac:dyDescent="0.2"/>
    <row r="6302" ht="12.75" hidden="1" customHeight="1" x14ac:dyDescent="0.2"/>
    <row r="6303" ht="12.75" hidden="1" customHeight="1" x14ac:dyDescent="0.2"/>
    <row r="6304" ht="12.75" hidden="1" customHeight="1" x14ac:dyDescent="0.2"/>
    <row r="6305" ht="12.75" hidden="1" customHeight="1" x14ac:dyDescent="0.2"/>
    <row r="6306" ht="12.75" hidden="1" customHeight="1" x14ac:dyDescent="0.2"/>
    <row r="6307" ht="12.75" hidden="1" customHeight="1" x14ac:dyDescent="0.2"/>
    <row r="6308" ht="12.75" hidden="1" customHeight="1" x14ac:dyDescent="0.2"/>
    <row r="6309" ht="12.75" hidden="1" customHeight="1" x14ac:dyDescent="0.2"/>
    <row r="6310" ht="12.75" hidden="1" customHeight="1" x14ac:dyDescent="0.2"/>
    <row r="6311" ht="12.75" hidden="1" customHeight="1" x14ac:dyDescent="0.2"/>
    <row r="6312" ht="12.75" hidden="1" customHeight="1" x14ac:dyDescent="0.2"/>
    <row r="6313" ht="12.75" hidden="1" customHeight="1" x14ac:dyDescent="0.2"/>
    <row r="6314" ht="12.75" hidden="1" customHeight="1" x14ac:dyDescent="0.2"/>
    <row r="6315" ht="12.75" hidden="1" customHeight="1" x14ac:dyDescent="0.2"/>
    <row r="6316" ht="12.75" hidden="1" customHeight="1" x14ac:dyDescent="0.2"/>
    <row r="6317" ht="12.75" hidden="1" customHeight="1" x14ac:dyDescent="0.2"/>
    <row r="6318" ht="12.75" hidden="1" customHeight="1" x14ac:dyDescent="0.2"/>
    <row r="6319" ht="12.75" hidden="1" customHeight="1" x14ac:dyDescent="0.2"/>
    <row r="6320" ht="12.75" hidden="1" customHeight="1" x14ac:dyDescent="0.2"/>
    <row r="6321" ht="12.75" hidden="1" customHeight="1" x14ac:dyDescent="0.2"/>
    <row r="6322" ht="12.75" hidden="1" customHeight="1" x14ac:dyDescent="0.2"/>
    <row r="6323" ht="12.75" hidden="1" customHeight="1" x14ac:dyDescent="0.2"/>
    <row r="6324" ht="12.75" hidden="1" customHeight="1" x14ac:dyDescent="0.2"/>
    <row r="6325" ht="12.75" hidden="1" customHeight="1" x14ac:dyDescent="0.2"/>
    <row r="6326" ht="12.75" hidden="1" customHeight="1" x14ac:dyDescent="0.2"/>
    <row r="6327" ht="12.75" hidden="1" customHeight="1" x14ac:dyDescent="0.2"/>
    <row r="6328" ht="12.75" hidden="1" customHeight="1" x14ac:dyDescent="0.2"/>
    <row r="6329" ht="12.75" hidden="1" customHeight="1" x14ac:dyDescent="0.2"/>
    <row r="6330" ht="12.75" hidden="1" customHeight="1" x14ac:dyDescent="0.2"/>
    <row r="6331" ht="12.75" hidden="1" customHeight="1" x14ac:dyDescent="0.2"/>
    <row r="6332" ht="12.75" hidden="1" customHeight="1" x14ac:dyDescent="0.2"/>
    <row r="6333" ht="12.75" hidden="1" customHeight="1" x14ac:dyDescent="0.2"/>
    <row r="6334" ht="12.75" hidden="1" customHeight="1" x14ac:dyDescent="0.2"/>
    <row r="6335" ht="12.75" hidden="1" customHeight="1" x14ac:dyDescent="0.2"/>
    <row r="6336" ht="12.75" hidden="1" customHeight="1" x14ac:dyDescent="0.2"/>
    <row r="6337" ht="12.75" hidden="1" customHeight="1" x14ac:dyDescent="0.2"/>
    <row r="6338" ht="12.75" hidden="1" customHeight="1" x14ac:dyDescent="0.2"/>
    <row r="6339" ht="12.75" hidden="1" customHeight="1" x14ac:dyDescent="0.2"/>
    <row r="6340" ht="12.75" hidden="1" customHeight="1" x14ac:dyDescent="0.2"/>
    <row r="6341" ht="12.75" hidden="1" customHeight="1" x14ac:dyDescent="0.2"/>
    <row r="6342" ht="12.75" hidden="1" customHeight="1" x14ac:dyDescent="0.2"/>
    <row r="6343" ht="12.75" hidden="1" customHeight="1" x14ac:dyDescent="0.2"/>
    <row r="6344" ht="12.75" hidden="1" customHeight="1" x14ac:dyDescent="0.2"/>
    <row r="6345" ht="12.75" hidden="1" customHeight="1" x14ac:dyDescent="0.2"/>
    <row r="6346" ht="12.75" hidden="1" customHeight="1" x14ac:dyDescent="0.2"/>
    <row r="6347" ht="12.75" hidden="1" customHeight="1" x14ac:dyDescent="0.2"/>
    <row r="6348" ht="12.75" hidden="1" customHeight="1" x14ac:dyDescent="0.2"/>
    <row r="6349" ht="12.75" hidden="1" customHeight="1" x14ac:dyDescent="0.2"/>
    <row r="6350" ht="12.75" hidden="1" customHeight="1" x14ac:dyDescent="0.2"/>
    <row r="6351" ht="12.75" hidden="1" customHeight="1" x14ac:dyDescent="0.2"/>
    <row r="6352" ht="12.75" hidden="1" customHeight="1" x14ac:dyDescent="0.2"/>
    <row r="6353" ht="12.75" hidden="1" customHeight="1" x14ac:dyDescent="0.2"/>
    <row r="6354" ht="12.75" hidden="1" customHeight="1" x14ac:dyDescent="0.2"/>
    <row r="6355" ht="12.75" hidden="1" customHeight="1" x14ac:dyDescent="0.2"/>
    <row r="6356" ht="12.75" hidden="1" customHeight="1" x14ac:dyDescent="0.2"/>
    <row r="6357" ht="12.75" hidden="1" customHeight="1" x14ac:dyDescent="0.2"/>
    <row r="6358" ht="12.75" hidden="1" customHeight="1" x14ac:dyDescent="0.2"/>
    <row r="6359" ht="12.75" hidden="1" customHeight="1" x14ac:dyDescent="0.2"/>
    <row r="6360" ht="12.75" hidden="1" customHeight="1" x14ac:dyDescent="0.2"/>
    <row r="6361" ht="12.75" hidden="1" customHeight="1" x14ac:dyDescent="0.2"/>
    <row r="6362" ht="12.75" hidden="1" customHeight="1" x14ac:dyDescent="0.2"/>
    <row r="6363" ht="12.75" hidden="1" customHeight="1" x14ac:dyDescent="0.2"/>
    <row r="6364" ht="12.75" hidden="1" customHeight="1" x14ac:dyDescent="0.2"/>
    <row r="6365" ht="12.75" hidden="1" customHeight="1" x14ac:dyDescent="0.2"/>
    <row r="6366" ht="12.75" hidden="1" customHeight="1" x14ac:dyDescent="0.2"/>
    <row r="6367" ht="12.75" hidden="1" customHeight="1" x14ac:dyDescent="0.2"/>
    <row r="6368" ht="12.75" hidden="1" customHeight="1" x14ac:dyDescent="0.2"/>
    <row r="6369" ht="12.75" hidden="1" customHeight="1" x14ac:dyDescent="0.2"/>
    <row r="6370" ht="12.75" hidden="1" customHeight="1" x14ac:dyDescent="0.2"/>
    <row r="6371" ht="12.75" hidden="1" customHeight="1" x14ac:dyDescent="0.2"/>
    <row r="6372" ht="12.75" hidden="1" customHeight="1" x14ac:dyDescent="0.2"/>
    <row r="6373" ht="12.75" hidden="1" customHeight="1" x14ac:dyDescent="0.2"/>
    <row r="6374" ht="12.75" hidden="1" customHeight="1" x14ac:dyDescent="0.2"/>
    <row r="6375" ht="12.75" hidden="1" customHeight="1" x14ac:dyDescent="0.2"/>
    <row r="6376" ht="12.75" hidden="1" customHeight="1" x14ac:dyDescent="0.2"/>
    <row r="6377" ht="12.75" hidden="1" customHeight="1" x14ac:dyDescent="0.2"/>
    <row r="6378" ht="12.75" hidden="1" customHeight="1" x14ac:dyDescent="0.2"/>
    <row r="6379" ht="12.75" hidden="1" customHeight="1" x14ac:dyDescent="0.2"/>
    <row r="6380" ht="12.75" hidden="1" customHeight="1" x14ac:dyDescent="0.2"/>
    <row r="6381" ht="12.75" hidden="1" customHeight="1" x14ac:dyDescent="0.2"/>
    <row r="6382" ht="12.75" hidden="1" customHeight="1" x14ac:dyDescent="0.2"/>
    <row r="6383" ht="12.75" hidden="1" customHeight="1" x14ac:dyDescent="0.2"/>
    <row r="6384" ht="12.75" hidden="1" customHeight="1" x14ac:dyDescent="0.2"/>
    <row r="6385" ht="12.75" hidden="1" customHeight="1" x14ac:dyDescent="0.2"/>
    <row r="6386" ht="12.75" hidden="1" customHeight="1" x14ac:dyDescent="0.2"/>
    <row r="6387" ht="12.75" hidden="1" customHeight="1" x14ac:dyDescent="0.2"/>
    <row r="6388" ht="12.75" hidden="1" customHeight="1" x14ac:dyDescent="0.2"/>
    <row r="6389" ht="12.75" hidden="1" customHeight="1" x14ac:dyDescent="0.2"/>
    <row r="6390" ht="12.75" hidden="1" customHeight="1" x14ac:dyDescent="0.2"/>
    <row r="6391" ht="12.75" hidden="1" customHeight="1" x14ac:dyDescent="0.2"/>
    <row r="6392" ht="12.75" hidden="1" customHeight="1" x14ac:dyDescent="0.2"/>
    <row r="6393" ht="12.75" hidden="1" customHeight="1" x14ac:dyDescent="0.2"/>
    <row r="6394" ht="12.75" hidden="1" customHeight="1" x14ac:dyDescent="0.2"/>
    <row r="6395" ht="12.75" hidden="1" customHeight="1" x14ac:dyDescent="0.2"/>
    <row r="6396" ht="12.75" hidden="1" customHeight="1" x14ac:dyDescent="0.2"/>
    <row r="6397" ht="12.75" hidden="1" customHeight="1" x14ac:dyDescent="0.2"/>
    <row r="6398" ht="12.75" hidden="1" customHeight="1" x14ac:dyDescent="0.2"/>
    <row r="6399" ht="12.75" hidden="1" customHeight="1" x14ac:dyDescent="0.2"/>
    <row r="6400" ht="12.75" hidden="1" customHeight="1" x14ac:dyDescent="0.2"/>
    <row r="6401" ht="12.75" hidden="1" customHeight="1" x14ac:dyDescent="0.2"/>
    <row r="6402" ht="12.75" hidden="1" customHeight="1" x14ac:dyDescent="0.2"/>
    <row r="6403" ht="12.75" hidden="1" customHeight="1" x14ac:dyDescent="0.2"/>
    <row r="6404" ht="12.75" hidden="1" customHeight="1" x14ac:dyDescent="0.2"/>
    <row r="6405" ht="12.75" hidden="1" customHeight="1" x14ac:dyDescent="0.2"/>
    <row r="6406" ht="12.75" hidden="1" customHeight="1" x14ac:dyDescent="0.2"/>
    <row r="6407" ht="12.75" hidden="1" customHeight="1" x14ac:dyDescent="0.2"/>
    <row r="6408" ht="12.75" hidden="1" customHeight="1" x14ac:dyDescent="0.2"/>
    <row r="6409" ht="12.75" hidden="1" customHeight="1" x14ac:dyDescent="0.2"/>
    <row r="6410" ht="12.75" hidden="1" customHeight="1" x14ac:dyDescent="0.2"/>
    <row r="6411" ht="12.75" hidden="1" customHeight="1" x14ac:dyDescent="0.2"/>
    <row r="6412" ht="12.75" hidden="1" customHeight="1" x14ac:dyDescent="0.2"/>
    <row r="6413" ht="12.75" hidden="1" customHeight="1" x14ac:dyDescent="0.2"/>
    <row r="6414" ht="12.75" hidden="1" customHeight="1" x14ac:dyDescent="0.2"/>
    <row r="6415" ht="12.75" hidden="1" customHeight="1" x14ac:dyDescent="0.2"/>
    <row r="6416" ht="12.75" hidden="1" customHeight="1" x14ac:dyDescent="0.2"/>
    <row r="6417" ht="12.75" hidden="1" customHeight="1" x14ac:dyDescent="0.2"/>
    <row r="6418" ht="12.75" hidden="1" customHeight="1" x14ac:dyDescent="0.2"/>
    <row r="6419" ht="12.75" hidden="1" customHeight="1" x14ac:dyDescent="0.2"/>
    <row r="6420" ht="12.75" hidden="1" customHeight="1" x14ac:dyDescent="0.2"/>
    <row r="6421" ht="12.75" hidden="1" customHeight="1" x14ac:dyDescent="0.2"/>
    <row r="6422" ht="12.75" hidden="1" customHeight="1" x14ac:dyDescent="0.2"/>
    <row r="6423" ht="12.75" hidden="1" customHeight="1" x14ac:dyDescent="0.2"/>
    <row r="6424" ht="12.75" hidden="1" customHeight="1" x14ac:dyDescent="0.2"/>
    <row r="6425" ht="12.75" hidden="1" customHeight="1" x14ac:dyDescent="0.2"/>
    <row r="6426" ht="12.75" hidden="1" customHeight="1" x14ac:dyDescent="0.2"/>
    <row r="6427" ht="12.75" hidden="1" customHeight="1" x14ac:dyDescent="0.2"/>
    <row r="6428" ht="12.75" hidden="1" customHeight="1" x14ac:dyDescent="0.2"/>
    <row r="6429" ht="12.75" hidden="1" customHeight="1" x14ac:dyDescent="0.2"/>
    <row r="6430" ht="12.75" hidden="1" customHeight="1" x14ac:dyDescent="0.2"/>
    <row r="6431" ht="12.75" hidden="1" customHeight="1" x14ac:dyDescent="0.2"/>
    <row r="6432" ht="12.75" hidden="1" customHeight="1" x14ac:dyDescent="0.2"/>
    <row r="6433" ht="12.75" hidden="1" customHeight="1" x14ac:dyDescent="0.2"/>
    <row r="6434" ht="12.75" hidden="1" customHeight="1" x14ac:dyDescent="0.2"/>
    <row r="6435" ht="12.75" hidden="1" customHeight="1" x14ac:dyDescent="0.2"/>
    <row r="6436" ht="12.75" hidden="1" customHeight="1" x14ac:dyDescent="0.2"/>
    <row r="6437" ht="12.75" hidden="1" customHeight="1" x14ac:dyDescent="0.2"/>
    <row r="6438" ht="12.75" hidden="1" customHeight="1" x14ac:dyDescent="0.2"/>
    <row r="6439" ht="12.75" hidden="1" customHeight="1" x14ac:dyDescent="0.2"/>
    <row r="6440" ht="12.75" hidden="1" customHeight="1" x14ac:dyDescent="0.2"/>
    <row r="6441" ht="12.75" hidden="1" customHeight="1" x14ac:dyDescent="0.2"/>
    <row r="6442" ht="12.75" hidden="1" customHeight="1" x14ac:dyDescent="0.2"/>
    <row r="6443" ht="12.75" hidden="1" customHeight="1" x14ac:dyDescent="0.2"/>
    <row r="6444" ht="12.75" hidden="1" customHeight="1" x14ac:dyDescent="0.2"/>
    <row r="6445" ht="12.75" hidden="1" customHeight="1" x14ac:dyDescent="0.2"/>
    <row r="6446" ht="12.75" hidden="1" customHeight="1" x14ac:dyDescent="0.2"/>
    <row r="6447" ht="12.75" hidden="1" customHeight="1" x14ac:dyDescent="0.2"/>
    <row r="6448" ht="12.75" hidden="1" customHeight="1" x14ac:dyDescent="0.2"/>
    <row r="6449" ht="12.75" hidden="1" customHeight="1" x14ac:dyDescent="0.2"/>
    <row r="6450" ht="12.75" hidden="1" customHeight="1" x14ac:dyDescent="0.2"/>
    <row r="6451" ht="12.75" hidden="1" customHeight="1" x14ac:dyDescent="0.2"/>
    <row r="6452" ht="12.75" hidden="1" customHeight="1" x14ac:dyDescent="0.2"/>
    <row r="6453" ht="12.75" hidden="1" customHeight="1" x14ac:dyDescent="0.2"/>
    <row r="6454" ht="12.75" hidden="1" customHeight="1" x14ac:dyDescent="0.2"/>
    <row r="6455" ht="12.75" hidden="1" customHeight="1" x14ac:dyDescent="0.2"/>
    <row r="6456" ht="12.75" hidden="1" customHeight="1" x14ac:dyDescent="0.2"/>
    <row r="6457" ht="12.75" hidden="1" customHeight="1" x14ac:dyDescent="0.2"/>
    <row r="6458" ht="12.75" hidden="1" customHeight="1" x14ac:dyDescent="0.2"/>
    <row r="6459" ht="12.75" hidden="1" customHeight="1" x14ac:dyDescent="0.2"/>
    <row r="6460" ht="12.75" hidden="1" customHeight="1" x14ac:dyDescent="0.2"/>
    <row r="6461" ht="12.75" hidden="1" customHeight="1" x14ac:dyDescent="0.2"/>
    <row r="6462" ht="12.75" hidden="1" customHeight="1" x14ac:dyDescent="0.2"/>
    <row r="6463" ht="12.75" hidden="1" customHeight="1" x14ac:dyDescent="0.2"/>
    <row r="6464" ht="12.75" hidden="1" customHeight="1" x14ac:dyDescent="0.2"/>
    <row r="6465" ht="12.75" hidden="1" customHeight="1" x14ac:dyDescent="0.2"/>
    <row r="6466" ht="12.75" hidden="1" customHeight="1" x14ac:dyDescent="0.2"/>
    <row r="6467" ht="12.75" hidden="1" customHeight="1" x14ac:dyDescent="0.2"/>
    <row r="6468" ht="12.75" hidden="1" customHeight="1" x14ac:dyDescent="0.2"/>
    <row r="6469" ht="12.75" hidden="1" customHeight="1" x14ac:dyDescent="0.2"/>
    <row r="6470" ht="12.75" hidden="1" customHeight="1" x14ac:dyDescent="0.2"/>
    <row r="6471" ht="12.75" hidden="1" customHeight="1" x14ac:dyDescent="0.2"/>
    <row r="6472" ht="12.75" hidden="1" customHeight="1" x14ac:dyDescent="0.2"/>
    <row r="6473" ht="12.75" hidden="1" customHeight="1" x14ac:dyDescent="0.2"/>
    <row r="6474" ht="12.75" hidden="1" customHeight="1" x14ac:dyDescent="0.2"/>
    <row r="6475" ht="12.75" hidden="1" customHeight="1" x14ac:dyDescent="0.2"/>
    <row r="6476" ht="12.75" hidden="1" customHeight="1" x14ac:dyDescent="0.2"/>
    <row r="6477" ht="12.75" hidden="1" customHeight="1" x14ac:dyDescent="0.2"/>
    <row r="6478" ht="12.75" hidden="1" customHeight="1" x14ac:dyDescent="0.2"/>
    <row r="6479" ht="12.75" hidden="1" customHeight="1" x14ac:dyDescent="0.2"/>
    <row r="6480" ht="12.75" hidden="1" customHeight="1" x14ac:dyDescent="0.2"/>
    <row r="6481" ht="12.75" hidden="1" customHeight="1" x14ac:dyDescent="0.2"/>
    <row r="6482" ht="12.75" hidden="1" customHeight="1" x14ac:dyDescent="0.2"/>
    <row r="6483" ht="12.75" hidden="1" customHeight="1" x14ac:dyDescent="0.2"/>
    <row r="6484" ht="12.75" hidden="1" customHeight="1" x14ac:dyDescent="0.2"/>
    <row r="6485" ht="12.75" hidden="1" customHeight="1" x14ac:dyDescent="0.2"/>
    <row r="6486" ht="12.75" hidden="1" customHeight="1" x14ac:dyDescent="0.2"/>
    <row r="6487" ht="12.75" hidden="1" customHeight="1" x14ac:dyDescent="0.2"/>
    <row r="6488" ht="12.75" hidden="1" customHeight="1" x14ac:dyDescent="0.2"/>
    <row r="6489" ht="12.75" hidden="1" customHeight="1" x14ac:dyDescent="0.2"/>
    <row r="6490" ht="12.75" hidden="1" customHeight="1" x14ac:dyDescent="0.2"/>
    <row r="6491" ht="12.75" hidden="1" customHeight="1" x14ac:dyDescent="0.2"/>
    <row r="6492" ht="12.75" hidden="1" customHeight="1" x14ac:dyDescent="0.2"/>
    <row r="6493" ht="12.75" hidden="1" customHeight="1" x14ac:dyDescent="0.2"/>
    <row r="6494" ht="12.75" hidden="1" customHeight="1" x14ac:dyDescent="0.2"/>
    <row r="6495" ht="12.75" hidden="1" customHeight="1" x14ac:dyDescent="0.2"/>
    <row r="6496" ht="12.75" hidden="1" customHeight="1" x14ac:dyDescent="0.2"/>
    <row r="6497" ht="12.75" hidden="1" customHeight="1" x14ac:dyDescent="0.2"/>
    <row r="6498" ht="12.75" hidden="1" customHeight="1" x14ac:dyDescent="0.2"/>
    <row r="6499" ht="12.75" hidden="1" customHeight="1" x14ac:dyDescent="0.2"/>
    <row r="6500" ht="12.75" hidden="1" customHeight="1" x14ac:dyDescent="0.2"/>
    <row r="6501" ht="12.75" hidden="1" customHeight="1" x14ac:dyDescent="0.2"/>
    <row r="6502" ht="12.75" hidden="1" customHeight="1" x14ac:dyDescent="0.2"/>
    <row r="6503" ht="12.75" hidden="1" customHeight="1" x14ac:dyDescent="0.2"/>
    <row r="6504" ht="12.75" hidden="1" customHeight="1" x14ac:dyDescent="0.2"/>
    <row r="6505" ht="12.75" hidden="1" customHeight="1" x14ac:dyDescent="0.2"/>
    <row r="6506" ht="12.75" hidden="1" customHeight="1" x14ac:dyDescent="0.2"/>
    <row r="6507" ht="12.75" hidden="1" customHeight="1" x14ac:dyDescent="0.2"/>
    <row r="6508" ht="12.75" hidden="1" customHeight="1" x14ac:dyDescent="0.2"/>
    <row r="6509" ht="12.75" hidden="1" customHeight="1" x14ac:dyDescent="0.2"/>
    <row r="6510" ht="12.75" hidden="1" customHeight="1" x14ac:dyDescent="0.2"/>
    <row r="6511" ht="12.75" hidden="1" customHeight="1" x14ac:dyDescent="0.2"/>
    <row r="6512" ht="12.75" hidden="1" customHeight="1" x14ac:dyDescent="0.2"/>
    <row r="6513" ht="12.75" hidden="1" customHeight="1" x14ac:dyDescent="0.2"/>
    <row r="6514" ht="12.75" hidden="1" customHeight="1" x14ac:dyDescent="0.2"/>
    <row r="6515" ht="12.75" hidden="1" customHeight="1" x14ac:dyDescent="0.2"/>
    <row r="6516" ht="12.75" hidden="1" customHeight="1" x14ac:dyDescent="0.2"/>
    <row r="6517" ht="12.75" hidden="1" customHeight="1" x14ac:dyDescent="0.2"/>
    <row r="6518" ht="12.75" hidden="1" customHeight="1" x14ac:dyDescent="0.2"/>
    <row r="6519" ht="12.75" hidden="1" customHeight="1" x14ac:dyDescent="0.2"/>
    <row r="6520" ht="12.75" hidden="1" customHeight="1" x14ac:dyDescent="0.2"/>
    <row r="6521" ht="12.75" hidden="1" customHeight="1" x14ac:dyDescent="0.2"/>
    <row r="6522" ht="12.75" hidden="1" customHeight="1" x14ac:dyDescent="0.2"/>
    <row r="6523" ht="12.75" hidden="1" customHeight="1" x14ac:dyDescent="0.2"/>
    <row r="6524" ht="12.75" hidden="1" customHeight="1" x14ac:dyDescent="0.2"/>
    <row r="6525" ht="12.75" hidden="1" customHeight="1" x14ac:dyDescent="0.2"/>
    <row r="6526" ht="12.75" hidden="1" customHeight="1" x14ac:dyDescent="0.2"/>
    <row r="6527" ht="12.75" hidden="1" customHeight="1" x14ac:dyDescent="0.2"/>
    <row r="6528" ht="12.75" hidden="1" customHeight="1" x14ac:dyDescent="0.2"/>
    <row r="6529" ht="12.75" hidden="1" customHeight="1" x14ac:dyDescent="0.2"/>
    <row r="6530" ht="12.75" hidden="1" customHeight="1" x14ac:dyDescent="0.2"/>
    <row r="6531" ht="12.75" hidden="1" customHeight="1" x14ac:dyDescent="0.2"/>
    <row r="6532" ht="12.75" hidden="1" customHeight="1" x14ac:dyDescent="0.2"/>
    <row r="6533" ht="12.75" hidden="1" customHeight="1" x14ac:dyDescent="0.2"/>
    <row r="6534" ht="12.75" hidden="1" customHeight="1" x14ac:dyDescent="0.2"/>
    <row r="6535" ht="12.75" hidden="1" customHeight="1" x14ac:dyDescent="0.2"/>
    <row r="6536" ht="12.75" hidden="1" customHeight="1" x14ac:dyDescent="0.2"/>
    <row r="6537" ht="12.75" hidden="1" customHeight="1" x14ac:dyDescent="0.2"/>
    <row r="6538" ht="12.75" hidden="1" customHeight="1" x14ac:dyDescent="0.2"/>
    <row r="6539" ht="12.75" hidden="1" customHeight="1" x14ac:dyDescent="0.2"/>
    <row r="6540" ht="12.75" hidden="1" customHeight="1" x14ac:dyDescent="0.2"/>
    <row r="6541" ht="12.75" hidden="1" customHeight="1" x14ac:dyDescent="0.2"/>
    <row r="6542" ht="12.75" hidden="1" customHeight="1" x14ac:dyDescent="0.2"/>
    <row r="6543" ht="12.75" hidden="1" customHeight="1" x14ac:dyDescent="0.2"/>
    <row r="6544" ht="12.75" hidden="1" customHeight="1" x14ac:dyDescent="0.2"/>
    <row r="6545" ht="12.75" hidden="1" customHeight="1" x14ac:dyDescent="0.2"/>
    <row r="6546" ht="12.75" hidden="1" customHeight="1" x14ac:dyDescent="0.2"/>
    <row r="6547" ht="12.75" hidden="1" customHeight="1" x14ac:dyDescent="0.2"/>
    <row r="6548" ht="12.75" hidden="1" customHeight="1" x14ac:dyDescent="0.2"/>
    <row r="6549" ht="12.75" hidden="1" customHeight="1" x14ac:dyDescent="0.2"/>
    <row r="6550" ht="12.75" hidden="1" customHeight="1" x14ac:dyDescent="0.2"/>
    <row r="6551" ht="12.75" hidden="1" customHeight="1" x14ac:dyDescent="0.2"/>
    <row r="6552" ht="12.75" hidden="1" customHeight="1" x14ac:dyDescent="0.2"/>
    <row r="6553" ht="12.75" hidden="1" customHeight="1" x14ac:dyDescent="0.2"/>
    <row r="6554" ht="12.75" hidden="1" customHeight="1" x14ac:dyDescent="0.2"/>
    <row r="6555" ht="12.75" hidden="1" customHeight="1" x14ac:dyDescent="0.2"/>
    <row r="6556" ht="12.75" hidden="1" customHeight="1" x14ac:dyDescent="0.2"/>
    <row r="6557" ht="12.75" hidden="1" customHeight="1" x14ac:dyDescent="0.2"/>
    <row r="6558" ht="12.75" hidden="1" customHeight="1" x14ac:dyDescent="0.2"/>
    <row r="6559" ht="12.75" hidden="1" customHeight="1" x14ac:dyDescent="0.2"/>
    <row r="6560" ht="12.75" hidden="1" customHeight="1" x14ac:dyDescent="0.2"/>
    <row r="6561" ht="12.75" hidden="1" customHeight="1" x14ac:dyDescent="0.2"/>
    <row r="6562" ht="12.75" hidden="1" customHeight="1" x14ac:dyDescent="0.2"/>
    <row r="6563" ht="12.75" hidden="1" customHeight="1" x14ac:dyDescent="0.2"/>
    <row r="6564" ht="12.75" hidden="1" customHeight="1" x14ac:dyDescent="0.2"/>
    <row r="6565" ht="12.75" hidden="1" customHeight="1" x14ac:dyDescent="0.2"/>
    <row r="6566" ht="12.75" hidden="1" customHeight="1" x14ac:dyDescent="0.2"/>
    <row r="6567" ht="12.75" hidden="1" customHeight="1" x14ac:dyDescent="0.2"/>
    <row r="6568" ht="12.75" hidden="1" customHeight="1" x14ac:dyDescent="0.2"/>
    <row r="6569" ht="12.75" hidden="1" customHeight="1" x14ac:dyDescent="0.2"/>
    <row r="6570" ht="12.75" hidden="1" customHeight="1" x14ac:dyDescent="0.2"/>
    <row r="6571" ht="12.75" hidden="1" customHeight="1" x14ac:dyDescent="0.2"/>
    <row r="6572" ht="12.75" hidden="1" customHeight="1" x14ac:dyDescent="0.2"/>
    <row r="6573" ht="12.75" hidden="1" customHeight="1" x14ac:dyDescent="0.2"/>
    <row r="6574" ht="12.75" hidden="1" customHeight="1" x14ac:dyDescent="0.2"/>
    <row r="6575" ht="12.75" hidden="1" customHeight="1" x14ac:dyDescent="0.2"/>
    <row r="6576" ht="12.75" hidden="1" customHeight="1" x14ac:dyDescent="0.2"/>
    <row r="6577" ht="12.75" hidden="1" customHeight="1" x14ac:dyDescent="0.2"/>
    <row r="6578" ht="12.75" hidden="1" customHeight="1" x14ac:dyDescent="0.2"/>
    <row r="6579" ht="12.75" hidden="1" customHeight="1" x14ac:dyDescent="0.2"/>
    <row r="6580" ht="12.75" hidden="1" customHeight="1" x14ac:dyDescent="0.2"/>
    <row r="6581" ht="12.75" hidden="1" customHeight="1" x14ac:dyDescent="0.2"/>
    <row r="6582" ht="12.75" hidden="1" customHeight="1" x14ac:dyDescent="0.2"/>
    <row r="6583" ht="12.75" hidden="1" customHeight="1" x14ac:dyDescent="0.2"/>
    <row r="6584" ht="12.75" hidden="1" customHeight="1" x14ac:dyDescent="0.2"/>
    <row r="6585" ht="12.75" hidden="1" customHeight="1" x14ac:dyDescent="0.2"/>
    <row r="6586" ht="12.75" hidden="1" customHeight="1" x14ac:dyDescent="0.2"/>
    <row r="6587" ht="12.75" hidden="1" customHeight="1" x14ac:dyDescent="0.2"/>
    <row r="6588" ht="12.75" hidden="1" customHeight="1" x14ac:dyDescent="0.2"/>
    <row r="6589" ht="12.75" hidden="1" customHeight="1" x14ac:dyDescent="0.2"/>
    <row r="6590" ht="12.75" hidden="1" customHeight="1" x14ac:dyDescent="0.2"/>
    <row r="6591" ht="12.75" hidden="1" customHeight="1" x14ac:dyDescent="0.2"/>
    <row r="6592" ht="12.75" hidden="1" customHeight="1" x14ac:dyDescent="0.2"/>
    <row r="6593" ht="12.75" hidden="1" customHeight="1" x14ac:dyDescent="0.2"/>
    <row r="6594" ht="12.75" hidden="1" customHeight="1" x14ac:dyDescent="0.2"/>
    <row r="6595" ht="12.75" hidden="1" customHeight="1" x14ac:dyDescent="0.2"/>
    <row r="6596" ht="12.75" hidden="1" customHeight="1" x14ac:dyDescent="0.2"/>
    <row r="6597" ht="12.75" hidden="1" customHeight="1" x14ac:dyDescent="0.2"/>
    <row r="6598" ht="12.75" hidden="1" customHeight="1" x14ac:dyDescent="0.2"/>
    <row r="6599" ht="12.75" hidden="1" customHeight="1" x14ac:dyDescent="0.2"/>
    <row r="6600" ht="12.75" hidden="1" customHeight="1" x14ac:dyDescent="0.2"/>
    <row r="6601" ht="12.75" hidden="1" customHeight="1" x14ac:dyDescent="0.2"/>
    <row r="6602" ht="12.75" hidden="1" customHeight="1" x14ac:dyDescent="0.2"/>
    <row r="6603" ht="12.75" hidden="1" customHeight="1" x14ac:dyDescent="0.2"/>
    <row r="6604" ht="12.75" hidden="1" customHeight="1" x14ac:dyDescent="0.2"/>
    <row r="6605" ht="12.75" hidden="1" customHeight="1" x14ac:dyDescent="0.2"/>
    <row r="6606" ht="12.75" hidden="1" customHeight="1" x14ac:dyDescent="0.2"/>
    <row r="6607" ht="12.75" hidden="1" customHeight="1" x14ac:dyDescent="0.2"/>
    <row r="6608" ht="12.75" hidden="1" customHeight="1" x14ac:dyDescent="0.2"/>
    <row r="6609" ht="12.75" hidden="1" customHeight="1" x14ac:dyDescent="0.2"/>
    <row r="6610" ht="12.75" hidden="1" customHeight="1" x14ac:dyDescent="0.2"/>
    <row r="6611" ht="12.75" hidden="1" customHeight="1" x14ac:dyDescent="0.2"/>
    <row r="6612" ht="12.75" hidden="1" customHeight="1" x14ac:dyDescent="0.2"/>
    <row r="6613" ht="12.75" hidden="1" customHeight="1" x14ac:dyDescent="0.2"/>
    <row r="6614" ht="12.75" hidden="1" customHeight="1" x14ac:dyDescent="0.2"/>
    <row r="6615" ht="12.75" hidden="1" customHeight="1" x14ac:dyDescent="0.2"/>
    <row r="6616" ht="12.75" hidden="1" customHeight="1" x14ac:dyDescent="0.2"/>
    <row r="6617" ht="12.75" hidden="1" customHeight="1" x14ac:dyDescent="0.2"/>
    <row r="6618" ht="12.75" hidden="1" customHeight="1" x14ac:dyDescent="0.2"/>
    <row r="6619" ht="12.75" hidden="1" customHeight="1" x14ac:dyDescent="0.2"/>
    <row r="6620" ht="12.75" hidden="1" customHeight="1" x14ac:dyDescent="0.2"/>
    <row r="6621" ht="12.75" hidden="1" customHeight="1" x14ac:dyDescent="0.2"/>
    <row r="6622" ht="12.75" hidden="1" customHeight="1" x14ac:dyDescent="0.2"/>
    <row r="6623" ht="12.75" hidden="1" customHeight="1" x14ac:dyDescent="0.2"/>
    <row r="6624" ht="12.75" hidden="1" customHeight="1" x14ac:dyDescent="0.2"/>
    <row r="6625" ht="12.75" hidden="1" customHeight="1" x14ac:dyDescent="0.2"/>
    <row r="6626" ht="12.75" hidden="1" customHeight="1" x14ac:dyDescent="0.2"/>
    <row r="6627" ht="12.75" hidden="1" customHeight="1" x14ac:dyDescent="0.2"/>
    <row r="6628" ht="12.75" hidden="1" customHeight="1" x14ac:dyDescent="0.2"/>
    <row r="6629" ht="12.75" hidden="1" customHeight="1" x14ac:dyDescent="0.2"/>
    <row r="6630" ht="12.75" hidden="1" customHeight="1" x14ac:dyDescent="0.2"/>
    <row r="6631" ht="12.75" hidden="1" customHeight="1" x14ac:dyDescent="0.2"/>
    <row r="6632" ht="12.75" hidden="1" customHeight="1" x14ac:dyDescent="0.2"/>
    <row r="6633" ht="12.75" hidden="1" customHeight="1" x14ac:dyDescent="0.2"/>
    <row r="6634" ht="12.75" hidden="1" customHeight="1" x14ac:dyDescent="0.2"/>
    <row r="6635" ht="12.75" hidden="1" customHeight="1" x14ac:dyDescent="0.2"/>
    <row r="6636" ht="12.75" hidden="1" customHeight="1" x14ac:dyDescent="0.2"/>
    <row r="6637" ht="12.75" hidden="1" customHeight="1" x14ac:dyDescent="0.2"/>
    <row r="6638" ht="12.75" hidden="1" customHeight="1" x14ac:dyDescent="0.2"/>
    <row r="6639" ht="12.75" hidden="1" customHeight="1" x14ac:dyDescent="0.2"/>
    <row r="6640" ht="12.75" hidden="1" customHeight="1" x14ac:dyDescent="0.2"/>
    <row r="6641" ht="12.75" hidden="1" customHeight="1" x14ac:dyDescent="0.2"/>
    <row r="6642" ht="12.75" hidden="1" customHeight="1" x14ac:dyDescent="0.2"/>
    <row r="6643" ht="12.75" hidden="1" customHeight="1" x14ac:dyDescent="0.2"/>
    <row r="6644" ht="12.75" hidden="1" customHeight="1" x14ac:dyDescent="0.2"/>
    <row r="6645" ht="12.75" hidden="1" customHeight="1" x14ac:dyDescent="0.2"/>
    <row r="6646" ht="12.75" hidden="1" customHeight="1" x14ac:dyDescent="0.2"/>
    <row r="6647" ht="12.75" hidden="1" customHeight="1" x14ac:dyDescent="0.2"/>
    <row r="6648" ht="12.75" hidden="1" customHeight="1" x14ac:dyDescent="0.2"/>
    <row r="6649" ht="12.75" hidden="1" customHeight="1" x14ac:dyDescent="0.2"/>
    <row r="6650" ht="12.75" hidden="1" customHeight="1" x14ac:dyDescent="0.2"/>
    <row r="6651" ht="12.75" hidden="1" customHeight="1" x14ac:dyDescent="0.2"/>
    <row r="6652" ht="12.75" hidden="1" customHeight="1" x14ac:dyDescent="0.2"/>
    <row r="6653" ht="12.75" hidden="1" customHeight="1" x14ac:dyDescent="0.2"/>
    <row r="6654" ht="12.75" hidden="1" customHeight="1" x14ac:dyDescent="0.2"/>
    <row r="6655" ht="12.75" hidden="1" customHeight="1" x14ac:dyDescent="0.2"/>
    <row r="6656" ht="12.75" hidden="1" customHeight="1" x14ac:dyDescent="0.2"/>
    <row r="6657" ht="12.75" hidden="1" customHeight="1" x14ac:dyDescent="0.2"/>
    <row r="6658" ht="12.75" hidden="1" customHeight="1" x14ac:dyDescent="0.2"/>
    <row r="6659" ht="12.75" hidden="1" customHeight="1" x14ac:dyDescent="0.2"/>
    <row r="6660" ht="12.75" hidden="1" customHeight="1" x14ac:dyDescent="0.2"/>
    <row r="6661" ht="12.75" hidden="1" customHeight="1" x14ac:dyDescent="0.2"/>
    <row r="6662" ht="12.75" hidden="1" customHeight="1" x14ac:dyDescent="0.2"/>
    <row r="6663" ht="12.75" hidden="1" customHeight="1" x14ac:dyDescent="0.2"/>
    <row r="6664" ht="12.75" hidden="1" customHeight="1" x14ac:dyDescent="0.2"/>
    <row r="6665" ht="12.75" hidden="1" customHeight="1" x14ac:dyDescent="0.2"/>
    <row r="6666" ht="12.75" hidden="1" customHeight="1" x14ac:dyDescent="0.2"/>
    <row r="6667" ht="12.75" hidden="1" customHeight="1" x14ac:dyDescent="0.2"/>
    <row r="6668" ht="12.75" hidden="1" customHeight="1" x14ac:dyDescent="0.2"/>
    <row r="6669" ht="12.75" hidden="1" customHeight="1" x14ac:dyDescent="0.2"/>
    <row r="6670" ht="12.75" hidden="1" customHeight="1" x14ac:dyDescent="0.2"/>
    <row r="6671" ht="12.75" hidden="1" customHeight="1" x14ac:dyDescent="0.2"/>
    <row r="6672" ht="12.75" hidden="1" customHeight="1" x14ac:dyDescent="0.2"/>
    <row r="6673" ht="12.75" hidden="1" customHeight="1" x14ac:dyDescent="0.2"/>
    <row r="6674" ht="12.75" hidden="1" customHeight="1" x14ac:dyDescent="0.2"/>
    <row r="6675" ht="12.75" hidden="1" customHeight="1" x14ac:dyDescent="0.2"/>
    <row r="6676" ht="12.75" hidden="1" customHeight="1" x14ac:dyDescent="0.2"/>
    <row r="6677" ht="12.75" hidden="1" customHeight="1" x14ac:dyDescent="0.2"/>
    <row r="6678" ht="12.75" hidden="1" customHeight="1" x14ac:dyDescent="0.2"/>
    <row r="6679" ht="12.75" hidden="1" customHeight="1" x14ac:dyDescent="0.2"/>
    <row r="6680" ht="12.75" hidden="1" customHeight="1" x14ac:dyDescent="0.2"/>
    <row r="6681" ht="12.75" hidden="1" customHeight="1" x14ac:dyDescent="0.2"/>
    <row r="6682" ht="12.75" hidden="1" customHeight="1" x14ac:dyDescent="0.2"/>
    <row r="6683" ht="12.75" hidden="1" customHeight="1" x14ac:dyDescent="0.2"/>
    <row r="6684" ht="12.75" hidden="1" customHeight="1" x14ac:dyDescent="0.2"/>
    <row r="6685" ht="12.75" hidden="1" customHeight="1" x14ac:dyDescent="0.2"/>
    <row r="6686" ht="12.75" hidden="1" customHeight="1" x14ac:dyDescent="0.2"/>
    <row r="6687" ht="12.75" hidden="1" customHeight="1" x14ac:dyDescent="0.2"/>
    <row r="6688" ht="12.75" hidden="1" customHeight="1" x14ac:dyDescent="0.2"/>
    <row r="6689" ht="12.75" hidden="1" customHeight="1" x14ac:dyDescent="0.2"/>
    <row r="6690" ht="12.75" hidden="1" customHeight="1" x14ac:dyDescent="0.2"/>
    <row r="6691" ht="12.75" hidden="1" customHeight="1" x14ac:dyDescent="0.2"/>
    <row r="6692" ht="12.75" hidden="1" customHeight="1" x14ac:dyDescent="0.2"/>
    <row r="6693" ht="12.75" hidden="1" customHeight="1" x14ac:dyDescent="0.2"/>
    <row r="6694" ht="12.75" hidden="1" customHeight="1" x14ac:dyDescent="0.2"/>
    <row r="6695" ht="12.75" hidden="1" customHeight="1" x14ac:dyDescent="0.2"/>
    <row r="6696" ht="12.75" hidden="1" customHeight="1" x14ac:dyDescent="0.2"/>
    <row r="6697" ht="12.75" hidden="1" customHeight="1" x14ac:dyDescent="0.2"/>
    <row r="6698" ht="12.75" hidden="1" customHeight="1" x14ac:dyDescent="0.2"/>
    <row r="6699" ht="12.75" hidden="1" customHeight="1" x14ac:dyDescent="0.2"/>
    <row r="6700" ht="12.75" hidden="1" customHeight="1" x14ac:dyDescent="0.2"/>
    <row r="6701" ht="12.75" hidden="1" customHeight="1" x14ac:dyDescent="0.2"/>
    <row r="6702" ht="12.75" hidden="1" customHeight="1" x14ac:dyDescent="0.2"/>
    <row r="6703" ht="12.75" hidden="1" customHeight="1" x14ac:dyDescent="0.2"/>
    <row r="6704" ht="12.75" hidden="1" customHeight="1" x14ac:dyDescent="0.2"/>
    <row r="6705" ht="12.75" hidden="1" customHeight="1" x14ac:dyDescent="0.2"/>
    <row r="6706" ht="12.75" hidden="1" customHeight="1" x14ac:dyDescent="0.2"/>
    <row r="6707" ht="12.75" hidden="1" customHeight="1" x14ac:dyDescent="0.2"/>
    <row r="6708" ht="12.75" hidden="1" customHeight="1" x14ac:dyDescent="0.2"/>
    <row r="6709" ht="12.75" hidden="1" customHeight="1" x14ac:dyDescent="0.2"/>
    <row r="6710" ht="12.75" hidden="1" customHeight="1" x14ac:dyDescent="0.2"/>
    <row r="6711" ht="12.75" hidden="1" customHeight="1" x14ac:dyDescent="0.2"/>
    <row r="6712" ht="12.75" hidden="1" customHeight="1" x14ac:dyDescent="0.2"/>
    <row r="6713" ht="12.75" hidden="1" customHeight="1" x14ac:dyDescent="0.2"/>
    <row r="6714" ht="12.75" hidden="1" customHeight="1" x14ac:dyDescent="0.2"/>
    <row r="6715" ht="12.75" hidden="1" customHeight="1" x14ac:dyDescent="0.2"/>
    <row r="6716" ht="12.75" hidden="1" customHeight="1" x14ac:dyDescent="0.2"/>
    <row r="6717" ht="12.75" hidden="1" customHeight="1" x14ac:dyDescent="0.2"/>
    <row r="6718" ht="12.75" hidden="1" customHeight="1" x14ac:dyDescent="0.2"/>
    <row r="6719" ht="12.75" hidden="1" customHeight="1" x14ac:dyDescent="0.2"/>
    <row r="6720" ht="12.75" hidden="1" customHeight="1" x14ac:dyDescent="0.2"/>
    <row r="6721" ht="12.75" hidden="1" customHeight="1" x14ac:dyDescent="0.2"/>
    <row r="6722" ht="12.75" hidden="1" customHeight="1" x14ac:dyDescent="0.2"/>
    <row r="6723" ht="12.75" hidden="1" customHeight="1" x14ac:dyDescent="0.2"/>
    <row r="6724" ht="12.75" hidden="1" customHeight="1" x14ac:dyDescent="0.2"/>
    <row r="6725" ht="12.75" hidden="1" customHeight="1" x14ac:dyDescent="0.2"/>
    <row r="6726" ht="12.75" hidden="1" customHeight="1" x14ac:dyDescent="0.2"/>
    <row r="6727" ht="12.75" hidden="1" customHeight="1" x14ac:dyDescent="0.2"/>
    <row r="6728" ht="12.75" hidden="1" customHeight="1" x14ac:dyDescent="0.2"/>
    <row r="6729" ht="12.75" hidden="1" customHeight="1" x14ac:dyDescent="0.2"/>
    <row r="6730" ht="12.75" hidden="1" customHeight="1" x14ac:dyDescent="0.2"/>
    <row r="6731" ht="12.75" hidden="1" customHeight="1" x14ac:dyDescent="0.2"/>
    <row r="6732" ht="12.75" hidden="1" customHeight="1" x14ac:dyDescent="0.2"/>
    <row r="6733" ht="12.75" hidden="1" customHeight="1" x14ac:dyDescent="0.2"/>
    <row r="6734" ht="12.75" hidden="1" customHeight="1" x14ac:dyDescent="0.2"/>
    <row r="6735" ht="12.75" hidden="1" customHeight="1" x14ac:dyDescent="0.2"/>
    <row r="6736" ht="12.75" hidden="1" customHeight="1" x14ac:dyDescent="0.2"/>
    <row r="6737" ht="12.75" hidden="1" customHeight="1" x14ac:dyDescent="0.2"/>
    <row r="6738" ht="12.75" hidden="1" customHeight="1" x14ac:dyDescent="0.2"/>
    <row r="6739" ht="12.75" hidden="1" customHeight="1" x14ac:dyDescent="0.2"/>
    <row r="6740" ht="12.75" hidden="1" customHeight="1" x14ac:dyDescent="0.2"/>
    <row r="6741" ht="12.75" hidden="1" customHeight="1" x14ac:dyDescent="0.2"/>
    <row r="6742" ht="12.75" hidden="1" customHeight="1" x14ac:dyDescent="0.2"/>
    <row r="6743" ht="12.75" hidden="1" customHeight="1" x14ac:dyDescent="0.2"/>
    <row r="6744" ht="12.75" hidden="1" customHeight="1" x14ac:dyDescent="0.2"/>
    <row r="6745" ht="12.75" hidden="1" customHeight="1" x14ac:dyDescent="0.2"/>
    <row r="6746" ht="12.75" hidden="1" customHeight="1" x14ac:dyDescent="0.2"/>
    <row r="6747" ht="12.75" hidden="1" customHeight="1" x14ac:dyDescent="0.2"/>
    <row r="6748" ht="12.75" hidden="1" customHeight="1" x14ac:dyDescent="0.2"/>
    <row r="6749" ht="12.75" hidden="1" customHeight="1" x14ac:dyDescent="0.2"/>
    <row r="6750" ht="12.75" hidden="1" customHeight="1" x14ac:dyDescent="0.2"/>
    <row r="6751" ht="12.75" hidden="1" customHeight="1" x14ac:dyDescent="0.2"/>
    <row r="6752" ht="12.75" hidden="1" customHeight="1" x14ac:dyDescent="0.2"/>
    <row r="6753" ht="12.75" hidden="1" customHeight="1" x14ac:dyDescent="0.2"/>
    <row r="6754" ht="12.75" hidden="1" customHeight="1" x14ac:dyDescent="0.2"/>
    <row r="6755" ht="12.75" hidden="1" customHeight="1" x14ac:dyDescent="0.2"/>
    <row r="6756" ht="12.75" hidden="1" customHeight="1" x14ac:dyDescent="0.2"/>
    <row r="6757" ht="12.75" hidden="1" customHeight="1" x14ac:dyDescent="0.2"/>
    <row r="6758" ht="12.75" hidden="1" customHeight="1" x14ac:dyDescent="0.2"/>
    <row r="6759" ht="12.75" hidden="1" customHeight="1" x14ac:dyDescent="0.2"/>
    <row r="6760" ht="12.75" hidden="1" customHeight="1" x14ac:dyDescent="0.2"/>
    <row r="6761" ht="12.75" hidden="1" customHeight="1" x14ac:dyDescent="0.2"/>
    <row r="6762" ht="12.75" hidden="1" customHeight="1" x14ac:dyDescent="0.2"/>
    <row r="6763" ht="12.75" hidden="1" customHeight="1" x14ac:dyDescent="0.2"/>
    <row r="6764" ht="12.75" hidden="1" customHeight="1" x14ac:dyDescent="0.2"/>
    <row r="6765" ht="12.75" hidden="1" customHeight="1" x14ac:dyDescent="0.2"/>
    <row r="6766" ht="12.75" hidden="1" customHeight="1" x14ac:dyDescent="0.2"/>
    <row r="6767" ht="12.75" hidden="1" customHeight="1" x14ac:dyDescent="0.2"/>
    <row r="6768" ht="12.75" hidden="1" customHeight="1" x14ac:dyDescent="0.2"/>
    <row r="6769" ht="12.75" hidden="1" customHeight="1" x14ac:dyDescent="0.2"/>
    <row r="6770" ht="12.75" hidden="1" customHeight="1" x14ac:dyDescent="0.2"/>
    <row r="6771" ht="12.75" hidden="1" customHeight="1" x14ac:dyDescent="0.2"/>
    <row r="6772" ht="12.75" hidden="1" customHeight="1" x14ac:dyDescent="0.2"/>
    <row r="6773" ht="12.75" hidden="1" customHeight="1" x14ac:dyDescent="0.2"/>
    <row r="6774" ht="12.75" hidden="1" customHeight="1" x14ac:dyDescent="0.2"/>
    <row r="6775" ht="12.75" hidden="1" customHeight="1" x14ac:dyDescent="0.2"/>
    <row r="6776" ht="12.75" hidden="1" customHeight="1" x14ac:dyDescent="0.2"/>
    <row r="6777" ht="12.75" hidden="1" customHeight="1" x14ac:dyDescent="0.2"/>
    <row r="6778" ht="12.75" hidden="1" customHeight="1" x14ac:dyDescent="0.2"/>
    <row r="6779" ht="12.75" hidden="1" customHeight="1" x14ac:dyDescent="0.2"/>
    <row r="6780" ht="12.75" hidden="1" customHeight="1" x14ac:dyDescent="0.2"/>
    <row r="6781" ht="12.75" hidden="1" customHeight="1" x14ac:dyDescent="0.2"/>
    <row r="6782" ht="12.75" hidden="1" customHeight="1" x14ac:dyDescent="0.2"/>
    <row r="6783" ht="12.75" hidden="1" customHeight="1" x14ac:dyDescent="0.2"/>
    <row r="6784" ht="12.75" hidden="1" customHeight="1" x14ac:dyDescent="0.2"/>
    <row r="6785" ht="12.75" hidden="1" customHeight="1" x14ac:dyDescent="0.2"/>
    <row r="6786" ht="12.75" hidden="1" customHeight="1" x14ac:dyDescent="0.2"/>
    <row r="6787" ht="12.75" hidden="1" customHeight="1" x14ac:dyDescent="0.2"/>
    <row r="6788" ht="12.75" hidden="1" customHeight="1" x14ac:dyDescent="0.2"/>
    <row r="6789" ht="12.75" hidden="1" customHeight="1" x14ac:dyDescent="0.2"/>
    <row r="6790" ht="12.75" hidden="1" customHeight="1" x14ac:dyDescent="0.2"/>
    <row r="6791" ht="12.75" hidden="1" customHeight="1" x14ac:dyDescent="0.2"/>
    <row r="6792" ht="12.75" hidden="1" customHeight="1" x14ac:dyDescent="0.2"/>
    <row r="6793" ht="12.75" hidden="1" customHeight="1" x14ac:dyDescent="0.2"/>
    <row r="6794" ht="12.75" hidden="1" customHeight="1" x14ac:dyDescent="0.2"/>
    <row r="6795" ht="12.75" hidden="1" customHeight="1" x14ac:dyDescent="0.2"/>
    <row r="6796" ht="12.75" hidden="1" customHeight="1" x14ac:dyDescent="0.2"/>
    <row r="6797" ht="12.75" hidden="1" customHeight="1" x14ac:dyDescent="0.2"/>
    <row r="6798" ht="12.75" hidden="1" customHeight="1" x14ac:dyDescent="0.2"/>
    <row r="6799" ht="12.75" hidden="1" customHeight="1" x14ac:dyDescent="0.2"/>
    <row r="6800" ht="12.75" hidden="1" customHeight="1" x14ac:dyDescent="0.2"/>
    <row r="6801" ht="12.75" hidden="1" customHeight="1" x14ac:dyDescent="0.2"/>
    <row r="6802" ht="12.75" hidden="1" customHeight="1" x14ac:dyDescent="0.2"/>
    <row r="6803" ht="12.75" hidden="1" customHeight="1" x14ac:dyDescent="0.2"/>
    <row r="6804" ht="12.75" hidden="1" customHeight="1" x14ac:dyDescent="0.2"/>
    <row r="6805" ht="12.75" hidden="1" customHeight="1" x14ac:dyDescent="0.2"/>
    <row r="6806" ht="12.75" hidden="1" customHeight="1" x14ac:dyDescent="0.2"/>
    <row r="6807" ht="12.75" hidden="1" customHeight="1" x14ac:dyDescent="0.2"/>
    <row r="6808" ht="12.75" hidden="1" customHeight="1" x14ac:dyDescent="0.2"/>
    <row r="6809" ht="12.75" hidden="1" customHeight="1" x14ac:dyDescent="0.2"/>
    <row r="6810" ht="12.75" hidden="1" customHeight="1" x14ac:dyDescent="0.2"/>
    <row r="6811" ht="12.75" hidden="1" customHeight="1" x14ac:dyDescent="0.2"/>
    <row r="6812" ht="12.75" hidden="1" customHeight="1" x14ac:dyDescent="0.2"/>
    <row r="6813" ht="12.75" hidden="1" customHeight="1" x14ac:dyDescent="0.2"/>
    <row r="6814" ht="12.75" hidden="1" customHeight="1" x14ac:dyDescent="0.2"/>
    <row r="6815" ht="12.75" hidden="1" customHeight="1" x14ac:dyDescent="0.2"/>
    <row r="6816" ht="12.75" hidden="1" customHeight="1" x14ac:dyDescent="0.2"/>
    <row r="6817" ht="12.75" hidden="1" customHeight="1" x14ac:dyDescent="0.2"/>
    <row r="6818" ht="12.75" hidden="1" customHeight="1" x14ac:dyDescent="0.2"/>
    <row r="6819" ht="12.75" hidden="1" customHeight="1" x14ac:dyDescent="0.2"/>
    <row r="6820" ht="12.75" hidden="1" customHeight="1" x14ac:dyDescent="0.2"/>
    <row r="6821" ht="12.75" hidden="1" customHeight="1" x14ac:dyDescent="0.2"/>
    <row r="6822" ht="12.75" hidden="1" customHeight="1" x14ac:dyDescent="0.2"/>
    <row r="6823" ht="12.75" hidden="1" customHeight="1" x14ac:dyDescent="0.2"/>
    <row r="6824" ht="12.75" hidden="1" customHeight="1" x14ac:dyDescent="0.2"/>
    <row r="6825" ht="12.75" hidden="1" customHeight="1" x14ac:dyDescent="0.2"/>
    <row r="6826" ht="12.75" hidden="1" customHeight="1" x14ac:dyDescent="0.2"/>
    <row r="6827" ht="12.75" hidden="1" customHeight="1" x14ac:dyDescent="0.2"/>
    <row r="6828" ht="12.75" hidden="1" customHeight="1" x14ac:dyDescent="0.2"/>
    <row r="6829" ht="12.75" hidden="1" customHeight="1" x14ac:dyDescent="0.2"/>
    <row r="6830" ht="12.75" hidden="1" customHeight="1" x14ac:dyDescent="0.2"/>
    <row r="6831" ht="12.75" hidden="1" customHeight="1" x14ac:dyDescent="0.2"/>
    <row r="6832" ht="12.75" hidden="1" customHeight="1" x14ac:dyDescent="0.2"/>
    <row r="6833" ht="12.75" hidden="1" customHeight="1" x14ac:dyDescent="0.2"/>
    <row r="6834" ht="12.75" hidden="1" customHeight="1" x14ac:dyDescent="0.2"/>
    <row r="6835" ht="12.75" hidden="1" customHeight="1" x14ac:dyDescent="0.2"/>
    <row r="6836" ht="12.75" hidden="1" customHeight="1" x14ac:dyDescent="0.2"/>
    <row r="6837" ht="12.75" hidden="1" customHeight="1" x14ac:dyDescent="0.2"/>
    <row r="6838" ht="12.75" hidden="1" customHeight="1" x14ac:dyDescent="0.2"/>
    <row r="6839" ht="12.75" hidden="1" customHeight="1" x14ac:dyDescent="0.2"/>
    <row r="6840" ht="12.75" hidden="1" customHeight="1" x14ac:dyDescent="0.2"/>
    <row r="6841" ht="12.75" hidden="1" customHeight="1" x14ac:dyDescent="0.2"/>
    <row r="6842" ht="12.75" hidden="1" customHeight="1" x14ac:dyDescent="0.2"/>
    <row r="6843" ht="12.75" hidden="1" customHeight="1" x14ac:dyDescent="0.2"/>
    <row r="6844" ht="12.75" hidden="1" customHeight="1" x14ac:dyDescent="0.2"/>
    <row r="6845" ht="12.75" hidden="1" customHeight="1" x14ac:dyDescent="0.2"/>
    <row r="6846" ht="12.75" hidden="1" customHeight="1" x14ac:dyDescent="0.2"/>
    <row r="6847" ht="12.75" hidden="1" customHeight="1" x14ac:dyDescent="0.2"/>
    <row r="6848" ht="12.75" hidden="1" customHeight="1" x14ac:dyDescent="0.2"/>
    <row r="6849" ht="12.75" hidden="1" customHeight="1" x14ac:dyDescent="0.2"/>
    <row r="6850" ht="12.75" hidden="1" customHeight="1" x14ac:dyDescent="0.2"/>
    <row r="6851" ht="12.75" hidden="1" customHeight="1" x14ac:dyDescent="0.2"/>
    <row r="6852" ht="12.75" hidden="1" customHeight="1" x14ac:dyDescent="0.2"/>
    <row r="6853" ht="12.75" hidden="1" customHeight="1" x14ac:dyDescent="0.2"/>
    <row r="6854" ht="12.75" hidden="1" customHeight="1" x14ac:dyDescent="0.2"/>
    <row r="6855" ht="12.75" hidden="1" customHeight="1" x14ac:dyDescent="0.2"/>
    <row r="6856" ht="12.75" hidden="1" customHeight="1" x14ac:dyDescent="0.2"/>
    <row r="6857" ht="12.75" hidden="1" customHeight="1" x14ac:dyDescent="0.2"/>
    <row r="6858" ht="12.75" hidden="1" customHeight="1" x14ac:dyDescent="0.2"/>
    <row r="6859" ht="12.75" hidden="1" customHeight="1" x14ac:dyDescent="0.2"/>
    <row r="6860" ht="12.75" hidden="1" customHeight="1" x14ac:dyDescent="0.2"/>
    <row r="6861" ht="12.75" hidden="1" customHeight="1" x14ac:dyDescent="0.2"/>
    <row r="6862" ht="12.75" hidden="1" customHeight="1" x14ac:dyDescent="0.2"/>
    <row r="6863" ht="12.75" hidden="1" customHeight="1" x14ac:dyDescent="0.2"/>
    <row r="6864" ht="12.75" hidden="1" customHeight="1" x14ac:dyDescent="0.2"/>
    <row r="6865" ht="12.75" hidden="1" customHeight="1" x14ac:dyDescent="0.2"/>
    <row r="6866" ht="12.75" hidden="1" customHeight="1" x14ac:dyDescent="0.2"/>
    <row r="6867" ht="12.75" hidden="1" customHeight="1" x14ac:dyDescent="0.2"/>
    <row r="6868" ht="12.75" hidden="1" customHeight="1" x14ac:dyDescent="0.2"/>
    <row r="6869" ht="12.75" hidden="1" customHeight="1" x14ac:dyDescent="0.2"/>
    <row r="6870" ht="12.75" hidden="1" customHeight="1" x14ac:dyDescent="0.2"/>
    <row r="6871" ht="12.75" hidden="1" customHeight="1" x14ac:dyDescent="0.2"/>
    <row r="6872" ht="12.75" hidden="1" customHeight="1" x14ac:dyDescent="0.2"/>
    <row r="6873" ht="12.75" hidden="1" customHeight="1" x14ac:dyDescent="0.2"/>
    <row r="6874" ht="12.75" hidden="1" customHeight="1" x14ac:dyDescent="0.2"/>
    <row r="6875" ht="12.75" hidden="1" customHeight="1" x14ac:dyDescent="0.2"/>
    <row r="6876" ht="12.75" hidden="1" customHeight="1" x14ac:dyDescent="0.2"/>
    <row r="6877" ht="12.75" hidden="1" customHeight="1" x14ac:dyDescent="0.2"/>
    <row r="6878" ht="12.75" hidden="1" customHeight="1" x14ac:dyDescent="0.2"/>
    <row r="6879" ht="12.75" hidden="1" customHeight="1" x14ac:dyDescent="0.2"/>
    <row r="6880" ht="12.75" hidden="1" customHeight="1" x14ac:dyDescent="0.2"/>
    <row r="6881" ht="12.75" hidden="1" customHeight="1" x14ac:dyDescent="0.2"/>
    <row r="6882" ht="12.75" hidden="1" customHeight="1" x14ac:dyDescent="0.2"/>
    <row r="6883" ht="12.75" hidden="1" customHeight="1" x14ac:dyDescent="0.2"/>
    <row r="6884" ht="12.75" hidden="1" customHeight="1" x14ac:dyDescent="0.2"/>
    <row r="6885" ht="12.75" hidden="1" customHeight="1" x14ac:dyDescent="0.2"/>
    <row r="6886" ht="12.75" hidden="1" customHeight="1" x14ac:dyDescent="0.2"/>
    <row r="6887" ht="12.75" hidden="1" customHeight="1" x14ac:dyDescent="0.2"/>
    <row r="6888" ht="12.75" hidden="1" customHeight="1" x14ac:dyDescent="0.2"/>
    <row r="6889" ht="12.75" hidden="1" customHeight="1" x14ac:dyDescent="0.2"/>
    <row r="6890" ht="12.75" hidden="1" customHeight="1" x14ac:dyDescent="0.2"/>
    <row r="6891" ht="12.75" hidden="1" customHeight="1" x14ac:dyDescent="0.2"/>
    <row r="6892" ht="12.75" hidden="1" customHeight="1" x14ac:dyDescent="0.2"/>
    <row r="6893" ht="12.75" hidden="1" customHeight="1" x14ac:dyDescent="0.2"/>
    <row r="6894" ht="12.75" hidden="1" customHeight="1" x14ac:dyDescent="0.2"/>
    <row r="6895" ht="12.75" hidden="1" customHeight="1" x14ac:dyDescent="0.2"/>
    <row r="6896" ht="12.75" hidden="1" customHeight="1" x14ac:dyDescent="0.2"/>
    <row r="6897" ht="12.75" hidden="1" customHeight="1" x14ac:dyDescent="0.2"/>
    <row r="6898" ht="12.75" hidden="1" customHeight="1" x14ac:dyDescent="0.2"/>
    <row r="6899" ht="12.75" hidden="1" customHeight="1" x14ac:dyDescent="0.2"/>
    <row r="6900" ht="12.75" hidden="1" customHeight="1" x14ac:dyDescent="0.2"/>
    <row r="6901" ht="12.75" hidden="1" customHeight="1" x14ac:dyDescent="0.2"/>
    <row r="6902" ht="12.75" hidden="1" customHeight="1" x14ac:dyDescent="0.2"/>
    <row r="6903" ht="12.75" hidden="1" customHeight="1" x14ac:dyDescent="0.2"/>
    <row r="6904" ht="12.75" hidden="1" customHeight="1" x14ac:dyDescent="0.2"/>
    <row r="6905" ht="12.75" hidden="1" customHeight="1" x14ac:dyDescent="0.2"/>
    <row r="6906" ht="12.75" hidden="1" customHeight="1" x14ac:dyDescent="0.2"/>
    <row r="6907" ht="12.75" hidden="1" customHeight="1" x14ac:dyDescent="0.2"/>
    <row r="6908" ht="12.75" hidden="1" customHeight="1" x14ac:dyDescent="0.2"/>
    <row r="6909" ht="12.75" hidden="1" customHeight="1" x14ac:dyDescent="0.2"/>
    <row r="6910" ht="12.75" hidden="1" customHeight="1" x14ac:dyDescent="0.2"/>
    <row r="6911" ht="12.75" hidden="1" customHeight="1" x14ac:dyDescent="0.2"/>
    <row r="6912" ht="12.75" hidden="1" customHeight="1" x14ac:dyDescent="0.2"/>
    <row r="6913" ht="12.75" hidden="1" customHeight="1" x14ac:dyDescent="0.2"/>
    <row r="6914" ht="12.75" hidden="1" customHeight="1" x14ac:dyDescent="0.2"/>
    <row r="6915" ht="12.75" hidden="1" customHeight="1" x14ac:dyDescent="0.2"/>
    <row r="6916" ht="12.75" hidden="1" customHeight="1" x14ac:dyDescent="0.2"/>
    <row r="6917" ht="12.75" hidden="1" customHeight="1" x14ac:dyDescent="0.2"/>
    <row r="6918" ht="12.75" hidden="1" customHeight="1" x14ac:dyDescent="0.2"/>
    <row r="6919" ht="12.75" hidden="1" customHeight="1" x14ac:dyDescent="0.2"/>
    <row r="6920" ht="12.75" hidden="1" customHeight="1" x14ac:dyDescent="0.2"/>
    <row r="6921" ht="12.75" hidden="1" customHeight="1" x14ac:dyDescent="0.2"/>
    <row r="6922" ht="12.75" hidden="1" customHeight="1" x14ac:dyDescent="0.2"/>
    <row r="6923" ht="12.75" hidden="1" customHeight="1" x14ac:dyDescent="0.2"/>
    <row r="6924" ht="12.75" hidden="1" customHeight="1" x14ac:dyDescent="0.2"/>
    <row r="6925" ht="12.75" hidden="1" customHeight="1" x14ac:dyDescent="0.2"/>
    <row r="6926" ht="12.75" hidden="1" customHeight="1" x14ac:dyDescent="0.2"/>
    <row r="6927" ht="12.75" hidden="1" customHeight="1" x14ac:dyDescent="0.2"/>
    <row r="6928" ht="12.75" hidden="1" customHeight="1" x14ac:dyDescent="0.2"/>
    <row r="6929" ht="12.75" hidden="1" customHeight="1" x14ac:dyDescent="0.2"/>
    <row r="6930" ht="12.75" hidden="1" customHeight="1" x14ac:dyDescent="0.2"/>
    <row r="6931" ht="12.75" hidden="1" customHeight="1" x14ac:dyDescent="0.2"/>
    <row r="6932" ht="12.75" hidden="1" customHeight="1" x14ac:dyDescent="0.2"/>
    <row r="6933" ht="12.75" hidden="1" customHeight="1" x14ac:dyDescent="0.2"/>
    <row r="6934" ht="12.75" hidden="1" customHeight="1" x14ac:dyDescent="0.2"/>
    <row r="6935" ht="12.75" hidden="1" customHeight="1" x14ac:dyDescent="0.2"/>
    <row r="6936" ht="12.75" hidden="1" customHeight="1" x14ac:dyDescent="0.2"/>
    <row r="6937" ht="12.75" hidden="1" customHeight="1" x14ac:dyDescent="0.2"/>
    <row r="6938" ht="12.75" hidden="1" customHeight="1" x14ac:dyDescent="0.2"/>
    <row r="6939" ht="12.75" hidden="1" customHeight="1" x14ac:dyDescent="0.2"/>
    <row r="6940" ht="12.75" hidden="1" customHeight="1" x14ac:dyDescent="0.2"/>
    <row r="6941" ht="12.75" hidden="1" customHeight="1" x14ac:dyDescent="0.2"/>
    <row r="6942" ht="12.75" hidden="1" customHeight="1" x14ac:dyDescent="0.2"/>
    <row r="6943" ht="12.75" hidden="1" customHeight="1" x14ac:dyDescent="0.2"/>
    <row r="6944" ht="12.75" hidden="1" customHeight="1" x14ac:dyDescent="0.2"/>
    <row r="6945" ht="12.75" hidden="1" customHeight="1" x14ac:dyDescent="0.2"/>
    <row r="6946" ht="12.75" hidden="1" customHeight="1" x14ac:dyDescent="0.2"/>
    <row r="6947" ht="12.75" hidden="1" customHeight="1" x14ac:dyDescent="0.2"/>
    <row r="6948" ht="12.75" hidden="1" customHeight="1" x14ac:dyDescent="0.2"/>
    <row r="6949" ht="12.75" hidden="1" customHeight="1" x14ac:dyDescent="0.2"/>
    <row r="6950" ht="12.75" hidden="1" customHeight="1" x14ac:dyDescent="0.2"/>
    <row r="6951" ht="12.75" hidden="1" customHeight="1" x14ac:dyDescent="0.2"/>
    <row r="6952" ht="12.75" hidden="1" customHeight="1" x14ac:dyDescent="0.2"/>
    <row r="6953" ht="12.75" hidden="1" customHeight="1" x14ac:dyDescent="0.2"/>
    <row r="6954" ht="12.75" hidden="1" customHeight="1" x14ac:dyDescent="0.2"/>
    <row r="6955" ht="12.75" hidden="1" customHeight="1" x14ac:dyDescent="0.2"/>
    <row r="6956" ht="12.75" hidden="1" customHeight="1" x14ac:dyDescent="0.2"/>
    <row r="6957" ht="12.75" hidden="1" customHeight="1" x14ac:dyDescent="0.2"/>
    <row r="6958" ht="12.75" hidden="1" customHeight="1" x14ac:dyDescent="0.2"/>
    <row r="6959" ht="12.75" hidden="1" customHeight="1" x14ac:dyDescent="0.2"/>
    <row r="6960" ht="12.75" hidden="1" customHeight="1" x14ac:dyDescent="0.2"/>
    <row r="6961" ht="12.75" hidden="1" customHeight="1" x14ac:dyDescent="0.2"/>
    <row r="6962" ht="12.75" hidden="1" customHeight="1" x14ac:dyDescent="0.2"/>
    <row r="6963" ht="12.75" hidden="1" customHeight="1" x14ac:dyDescent="0.2"/>
    <row r="6964" ht="12.75" hidden="1" customHeight="1" x14ac:dyDescent="0.2"/>
    <row r="6965" ht="12.75" hidden="1" customHeight="1" x14ac:dyDescent="0.2"/>
    <row r="6966" ht="12.75" hidden="1" customHeight="1" x14ac:dyDescent="0.2"/>
    <row r="6967" ht="12.75" hidden="1" customHeight="1" x14ac:dyDescent="0.2"/>
    <row r="6968" ht="12.75" hidden="1" customHeight="1" x14ac:dyDescent="0.2"/>
    <row r="6969" ht="12.75" hidden="1" customHeight="1" x14ac:dyDescent="0.2"/>
    <row r="6970" ht="12.75" hidden="1" customHeight="1" x14ac:dyDescent="0.2"/>
    <row r="6971" ht="12.75" hidden="1" customHeight="1" x14ac:dyDescent="0.2"/>
    <row r="6972" ht="12.75" hidden="1" customHeight="1" x14ac:dyDescent="0.2"/>
    <row r="6973" ht="12.75" hidden="1" customHeight="1" x14ac:dyDescent="0.2"/>
    <row r="6974" ht="12.75" hidden="1" customHeight="1" x14ac:dyDescent="0.2"/>
    <row r="6975" ht="12.75" hidden="1" customHeight="1" x14ac:dyDescent="0.2"/>
    <row r="6976" ht="12.75" hidden="1" customHeight="1" x14ac:dyDescent="0.2"/>
    <row r="6977" ht="12.75" hidden="1" customHeight="1" x14ac:dyDescent="0.2"/>
    <row r="6978" ht="12.75" hidden="1" customHeight="1" x14ac:dyDescent="0.2"/>
    <row r="6979" ht="12.75" hidden="1" customHeight="1" x14ac:dyDescent="0.2"/>
    <row r="6980" ht="12.75" hidden="1" customHeight="1" x14ac:dyDescent="0.2"/>
    <row r="6981" ht="12.75" hidden="1" customHeight="1" x14ac:dyDescent="0.2"/>
    <row r="6982" ht="12.75" hidden="1" customHeight="1" x14ac:dyDescent="0.2"/>
    <row r="6983" ht="12.75" hidden="1" customHeight="1" x14ac:dyDescent="0.2"/>
    <row r="6984" ht="12.75" hidden="1" customHeight="1" x14ac:dyDescent="0.2"/>
    <row r="6985" ht="12.75" hidden="1" customHeight="1" x14ac:dyDescent="0.2"/>
    <row r="6986" ht="12.75" hidden="1" customHeight="1" x14ac:dyDescent="0.2"/>
    <row r="6987" ht="12.75" hidden="1" customHeight="1" x14ac:dyDescent="0.2"/>
    <row r="6988" ht="12.75" hidden="1" customHeight="1" x14ac:dyDescent="0.2"/>
    <row r="6989" ht="12.75" hidden="1" customHeight="1" x14ac:dyDescent="0.2"/>
    <row r="6990" ht="12.75" hidden="1" customHeight="1" x14ac:dyDescent="0.2"/>
    <row r="6991" ht="12.75" hidden="1" customHeight="1" x14ac:dyDescent="0.2"/>
    <row r="6992" ht="12.75" hidden="1" customHeight="1" x14ac:dyDescent="0.2"/>
    <row r="6993" ht="12.75" hidden="1" customHeight="1" x14ac:dyDescent="0.2"/>
    <row r="6994" ht="12.75" hidden="1" customHeight="1" x14ac:dyDescent="0.2"/>
    <row r="6995" ht="12.75" hidden="1" customHeight="1" x14ac:dyDescent="0.2"/>
    <row r="6996" ht="12.75" hidden="1" customHeight="1" x14ac:dyDescent="0.2"/>
    <row r="6997" ht="12.75" hidden="1" customHeight="1" x14ac:dyDescent="0.2"/>
    <row r="6998" ht="12.75" hidden="1" customHeight="1" x14ac:dyDescent="0.2"/>
    <row r="6999" ht="12.75" hidden="1" customHeight="1" x14ac:dyDescent="0.2"/>
    <row r="7000" ht="12.75" hidden="1" customHeight="1" x14ac:dyDescent="0.2"/>
    <row r="7001" ht="12.75" hidden="1" customHeight="1" x14ac:dyDescent="0.2"/>
    <row r="7002" ht="12.75" hidden="1" customHeight="1" x14ac:dyDescent="0.2"/>
    <row r="7003" ht="12.75" hidden="1" customHeight="1" x14ac:dyDescent="0.2"/>
    <row r="7004" ht="12.75" hidden="1" customHeight="1" x14ac:dyDescent="0.2"/>
    <row r="7005" ht="12.75" hidden="1" customHeight="1" x14ac:dyDescent="0.2"/>
    <row r="7006" ht="12.75" hidden="1" customHeight="1" x14ac:dyDescent="0.2"/>
    <row r="7007" ht="12.75" hidden="1" customHeight="1" x14ac:dyDescent="0.2"/>
    <row r="7008" ht="12.75" hidden="1" customHeight="1" x14ac:dyDescent="0.2"/>
    <row r="7009" ht="12.75" hidden="1" customHeight="1" x14ac:dyDescent="0.2"/>
    <row r="7010" ht="12.75" hidden="1" customHeight="1" x14ac:dyDescent="0.2"/>
    <row r="7011" ht="12.75" hidden="1" customHeight="1" x14ac:dyDescent="0.2"/>
    <row r="7012" ht="12.75" hidden="1" customHeight="1" x14ac:dyDescent="0.2"/>
    <row r="7013" ht="12.75" hidden="1" customHeight="1" x14ac:dyDescent="0.2"/>
    <row r="7014" ht="12.75" hidden="1" customHeight="1" x14ac:dyDescent="0.2"/>
    <row r="7015" ht="12.75" hidden="1" customHeight="1" x14ac:dyDescent="0.2"/>
    <row r="7016" ht="12.75" hidden="1" customHeight="1" x14ac:dyDescent="0.2"/>
    <row r="7017" ht="12.75" hidden="1" customHeight="1" x14ac:dyDescent="0.2"/>
    <row r="7018" ht="12.75" hidden="1" customHeight="1" x14ac:dyDescent="0.2"/>
    <row r="7019" ht="12.75" hidden="1" customHeight="1" x14ac:dyDescent="0.2"/>
    <row r="7020" ht="12.75" hidden="1" customHeight="1" x14ac:dyDescent="0.2"/>
    <row r="7021" ht="12.75" hidden="1" customHeight="1" x14ac:dyDescent="0.2"/>
    <row r="7022" ht="12.75" hidden="1" customHeight="1" x14ac:dyDescent="0.2"/>
    <row r="7023" ht="12.75" hidden="1" customHeight="1" x14ac:dyDescent="0.2"/>
    <row r="7024" ht="12.75" hidden="1" customHeight="1" x14ac:dyDescent="0.2"/>
    <row r="7025" ht="12.75" hidden="1" customHeight="1" x14ac:dyDescent="0.2"/>
    <row r="7026" ht="12.75" hidden="1" customHeight="1" x14ac:dyDescent="0.2"/>
    <row r="7027" ht="12.75" hidden="1" customHeight="1" x14ac:dyDescent="0.2"/>
    <row r="7028" ht="12.75" hidden="1" customHeight="1" x14ac:dyDescent="0.2"/>
    <row r="7029" ht="12.75" hidden="1" customHeight="1" x14ac:dyDescent="0.2"/>
    <row r="7030" ht="12.75" hidden="1" customHeight="1" x14ac:dyDescent="0.2"/>
    <row r="7031" ht="12.75" hidden="1" customHeight="1" x14ac:dyDescent="0.2"/>
    <row r="7032" ht="12.75" hidden="1" customHeight="1" x14ac:dyDescent="0.2"/>
    <row r="7033" ht="12.75" hidden="1" customHeight="1" x14ac:dyDescent="0.2"/>
    <row r="7034" ht="12.75" hidden="1" customHeight="1" x14ac:dyDescent="0.2"/>
    <row r="7035" ht="12.75" hidden="1" customHeight="1" x14ac:dyDescent="0.2"/>
    <row r="7036" ht="12.75" hidden="1" customHeight="1" x14ac:dyDescent="0.2"/>
    <row r="7037" ht="12.75" hidden="1" customHeight="1" x14ac:dyDescent="0.2"/>
    <row r="7038" ht="12.75" hidden="1" customHeight="1" x14ac:dyDescent="0.2"/>
    <row r="7039" ht="12.75" hidden="1" customHeight="1" x14ac:dyDescent="0.2"/>
    <row r="7040" ht="12.75" hidden="1" customHeight="1" x14ac:dyDescent="0.2"/>
    <row r="7041" ht="12.75" hidden="1" customHeight="1" x14ac:dyDescent="0.2"/>
    <row r="7042" ht="12.75" hidden="1" customHeight="1" x14ac:dyDescent="0.2"/>
    <row r="7043" ht="12.75" hidden="1" customHeight="1" x14ac:dyDescent="0.2"/>
    <row r="7044" ht="12.75" hidden="1" customHeight="1" x14ac:dyDescent="0.2"/>
    <row r="7045" ht="12.75" hidden="1" customHeight="1" x14ac:dyDescent="0.2"/>
    <row r="7046" ht="12.75" hidden="1" customHeight="1" x14ac:dyDescent="0.2"/>
    <row r="7047" ht="12.75" hidden="1" customHeight="1" x14ac:dyDescent="0.2"/>
    <row r="7048" ht="12.75" hidden="1" customHeight="1" x14ac:dyDescent="0.2"/>
    <row r="7049" ht="12.75" hidden="1" customHeight="1" x14ac:dyDescent="0.2"/>
    <row r="7050" ht="12.75" hidden="1" customHeight="1" x14ac:dyDescent="0.2"/>
    <row r="7051" ht="12.75" hidden="1" customHeight="1" x14ac:dyDescent="0.2"/>
    <row r="7052" ht="12.75" hidden="1" customHeight="1" x14ac:dyDescent="0.2"/>
    <row r="7053" ht="12.75" hidden="1" customHeight="1" x14ac:dyDescent="0.2"/>
    <row r="7054" ht="12.75" hidden="1" customHeight="1" x14ac:dyDescent="0.2"/>
    <row r="7055" ht="12.75" hidden="1" customHeight="1" x14ac:dyDescent="0.2"/>
    <row r="7056" ht="12.75" hidden="1" customHeight="1" x14ac:dyDescent="0.2"/>
    <row r="7057" ht="12.75" hidden="1" customHeight="1" x14ac:dyDescent="0.2"/>
    <row r="7058" ht="12.75" hidden="1" customHeight="1" x14ac:dyDescent="0.2"/>
    <row r="7059" ht="12.75" hidden="1" customHeight="1" x14ac:dyDescent="0.2"/>
    <row r="7060" ht="12.75" hidden="1" customHeight="1" x14ac:dyDescent="0.2"/>
    <row r="7061" ht="12.75" hidden="1" customHeight="1" x14ac:dyDescent="0.2"/>
    <row r="7062" ht="12.75" hidden="1" customHeight="1" x14ac:dyDescent="0.2"/>
    <row r="7063" ht="12.75" hidden="1" customHeight="1" x14ac:dyDescent="0.2"/>
    <row r="7064" ht="12.75" hidden="1" customHeight="1" x14ac:dyDescent="0.2"/>
    <row r="7065" ht="12.75" hidden="1" customHeight="1" x14ac:dyDescent="0.2"/>
    <row r="7066" ht="12.75" hidden="1" customHeight="1" x14ac:dyDescent="0.2"/>
    <row r="7067" ht="12.75" hidden="1" customHeight="1" x14ac:dyDescent="0.2"/>
    <row r="7068" ht="12.75" hidden="1" customHeight="1" x14ac:dyDescent="0.2"/>
    <row r="7069" ht="12.75" hidden="1" customHeight="1" x14ac:dyDescent="0.2"/>
    <row r="7070" ht="12.75" hidden="1" customHeight="1" x14ac:dyDescent="0.2"/>
    <row r="7071" ht="12.75" hidden="1" customHeight="1" x14ac:dyDescent="0.2"/>
    <row r="7072" ht="12.75" hidden="1" customHeight="1" x14ac:dyDescent="0.2"/>
    <row r="7073" ht="12.75" hidden="1" customHeight="1" x14ac:dyDescent="0.2"/>
    <row r="7074" ht="12.75" hidden="1" customHeight="1" x14ac:dyDescent="0.2"/>
    <row r="7075" ht="12.75" hidden="1" customHeight="1" x14ac:dyDescent="0.2"/>
    <row r="7076" ht="12.75" hidden="1" customHeight="1" x14ac:dyDescent="0.2"/>
    <row r="7077" ht="12.75" hidden="1" customHeight="1" x14ac:dyDescent="0.2"/>
    <row r="7078" ht="12.75" hidden="1" customHeight="1" x14ac:dyDescent="0.2"/>
    <row r="7079" ht="12.75" hidden="1" customHeight="1" x14ac:dyDescent="0.2"/>
    <row r="7080" ht="12.75" hidden="1" customHeight="1" x14ac:dyDescent="0.2"/>
    <row r="7081" ht="12.75" hidden="1" customHeight="1" x14ac:dyDescent="0.2"/>
    <row r="7082" ht="12.75" hidden="1" customHeight="1" x14ac:dyDescent="0.2"/>
    <row r="7083" ht="12.75" hidden="1" customHeight="1" x14ac:dyDescent="0.2"/>
    <row r="7084" ht="12.75" hidden="1" customHeight="1" x14ac:dyDescent="0.2"/>
    <row r="7085" ht="12.75" hidden="1" customHeight="1" x14ac:dyDescent="0.2"/>
    <row r="7086" ht="12.75" hidden="1" customHeight="1" x14ac:dyDescent="0.2"/>
    <row r="7087" ht="12.75" hidden="1" customHeight="1" x14ac:dyDescent="0.2"/>
    <row r="7088" ht="12.75" hidden="1" customHeight="1" x14ac:dyDescent="0.2"/>
    <row r="7089" ht="12.75" hidden="1" customHeight="1" x14ac:dyDescent="0.2"/>
    <row r="7090" ht="12.75" hidden="1" customHeight="1" x14ac:dyDescent="0.2"/>
    <row r="7091" ht="12.75" hidden="1" customHeight="1" x14ac:dyDescent="0.2"/>
    <row r="7092" ht="12.75" hidden="1" customHeight="1" x14ac:dyDescent="0.2"/>
    <row r="7093" ht="12.75" hidden="1" customHeight="1" x14ac:dyDescent="0.2"/>
    <row r="7094" ht="12.75" hidden="1" customHeight="1" x14ac:dyDescent="0.2"/>
    <row r="7095" ht="12.75" hidden="1" customHeight="1" x14ac:dyDescent="0.2"/>
    <row r="7096" ht="12.75" hidden="1" customHeight="1" x14ac:dyDescent="0.2"/>
    <row r="7097" ht="12.75" hidden="1" customHeight="1" x14ac:dyDescent="0.2"/>
    <row r="7098" ht="12.75" hidden="1" customHeight="1" x14ac:dyDescent="0.2"/>
    <row r="7099" ht="12.75" hidden="1" customHeight="1" x14ac:dyDescent="0.2"/>
    <row r="7100" ht="12.75" hidden="1" customHeight="1" x14ac:dyDescent="0.2"/>
    <row r="7101" ht="12.75" hidden="1" customHeight="1" x14ac:dyDescent="0.2"/>
    <row r="7102" ht="12.75" hidden="1" customHeight="1" x14ac:dyDescent="0.2"/>
    <row r="7103" ht="12.75" hidden="1" customHeight="1" x14ac:dyDescent="0.2"/>
    <row r="7104" ht="12.75" hidden="1" customHeight="1" x14ac:dyDescent="0.2"/>
    <row r="7105" ht="12.75" hidden="1" customHeight="1" x14ac:dyDescent="0.2"/>
    <row r="7106" ht="12.75" hidden="1" customHeight="1" x14ac:dyDescent="0.2"/>
    <row r="7107" ht="12.75" hidden="1" customHeight="1" x14ac:dyDescent="0.2"/>
    <row r="7108" ht="12.75" hidden="1" customHeight="1" x14ac:dyDescent="0.2"/>
    <row r="7109" ht="12.75" hidden="1" customHeight="1" x14ac:dyDescent="0.2"/>
    <row r="7110" ht="12.75" hidden="1" customHeight="1" x14ac:dyDescent="0.2"/>
    <row r="7111" ht="12.75" hidden="1" customHeight="1" x14ac:dyDescent="0.2"/>
    <row r="7112" ht="12.75" hidden="1" customHeight="1" x14ac:dyDescent="0.2"/>
    <row r="7113" ht="12.75" hidden="1" customHeight="1" x14ac:dyDescent="0.2"/>
    <row r="7114" ht="12.75" hidden="1" customHeight="1" x14ac:dyDescent="0.2"/>
    <row r="7115" ht="12.75" hidden="1" customHeight="1" x14ac:dyDescent="0.2"/>
    <row r="7116" ht="12.75" hidden="1" customHeight="1" x14ac:dyDescent="0.2"/>
    <row r="7117" ht="12.75" hidden="1" customHeight="1" x14ac:dyDescent="0.2"/>
    <row r="7118" ht="12.75" hidden="1" customHeight="1" x14ac:dyDescent="0.2"/>
    <row r="7119" ht="12.75" hidden="1" customHeight="1" x14ac:dyDescent="0.2"/>
    <row r="7120" ht="12.75" hidden="1" customHeight="1" x14ac:dyDescent="0.2"/>
    <row r="7121" ht="12.75" hidden="1" customHeight="1" x14ac:dyDescent="0.2"/>
    <row r="7122" ht="12.75" hidden="1" customHeight="1" x14ac:dyDescent="0.2"/>
    <row r="7123" ht="12.75" hidden="1" customHeight="1" x14ac:dyDescent="0.2"/>
    <row r="7124" ht="12.75" hidden="1" customHeight="1" x14ac:dyDescent="0.2"/>
    <row r="7125" ht="12.75" hidden="1" customHeight="1" x14ac:dyDescent="0.2"/>
    <row r="7126" ht="12.75" hidden="1" customHeight="1" x14ac:dyDescent="0.2"/>
    <row r="7127" ht="12.75" hidden="1" customHeight="1" x14ac:dyDescent="0.2"/>
    <row r="7128" ht="12.75" hidden="1" customHeight="1" x14ac:dyDescent="0.2"/>
    <row r="7129" ht="12.75" hidden="1" customHeight="1" x14ac:dyDescent="0.2"/>
    <row r="7130" ht="12.75" hidden="1" customHeight="1" x14ac:dyDescent="0.2"/>
    <row r="7131" ht="12.75" hidden="1" customHeight="1" x14ac:dyDescent="0.2"/>
    <row r="7132" ht="12.75" hidden="1" customHeight="1" x14ac:dyDescent="0.2"/>
    <row r="7133" ht="12.75" hidden="1" customHeight="1" x14ac:dyDescent="0.2"/>
    <row r="7134" ht="12.75" hidden="1" customHeight="1" x14ac:dyDescent="0.2"/>
    <row r="7135" ht="12.75" hidden="1" customHeight="1" x14ac:dyDescent="0.2"/>
    <row r="7136" ht="12.75" hidden="1" customHeight="1" x14ac:dyDescent="0.2"/>
    <row r="7137" ht="12.75" hidden="1" customHeight="1" x14ac:dyDescent="0.2"/>
    <row r="7138" ht="12.75" hidden="1" customHeight="1" x14ac:dyDescent="0.2"/>
    <row r="7139" ht="12.75" hidden="1" customHeight="1" x14ac:dyDescent="0.2"/>
    <row r="7140" ht="12.75" hidden="1" customHeight="1" x14ac:dyDescent="0.2"/>
    <row r="7141" ht="12.75" hidden="1" customHeight="1" x14ac:dyDescent="0.2"/>
    <row r="7142" ht="12.75" hidden="1" customHeight="1" x14ac:dyDescent="0.2"/>
    <row r="7143" ht="12.75" hidden="1" customHeight="1" x14ac:dyDescent="0.2"/>
    <row r="7144" ht="12.75" hidden="1" customHeight="1" x14ac:dyDescent="0.2"/>
    <row r="7145" ht="12.75" hidden="1" customHeight="1" x14ac:dyDescent="0.2"/>
    <row r="7146" ht="12.75" hidden="1" customHeight="1" x14ac:dyDescent="0.2"/>
    <row r="7147" ht="12.75" hidden="1" customHeight="1" x14ac:dyDescent="0.2"/>
    <row r="7148" ht="12.75" hidden="1" customHeight="1" x14ac:dyDescent="0.2"/>
    <row r="7149" ht="12.75" hidden="1" customHeight="1" x14ac:dyDescent="0.2"/>
    <row r="7150" ht="12.75" hidden="1" customHeight="1" x14ac:dyDescent="0.2"/>
    <row r="7151" ht="12.75" hidden="1" customHeight="1" x14ac:dyDescent="0.2"/>
    <row r="7152" ht="12.75" hidden="1" customHeight="1" x14ac:dyDescent="0.2"/>
    <row r="7153" ht="12.75" hidden="1" customHeight="1" x14ac:dyDescent="0.2"/>
    <row r="7154" ht="12.75" hidden="1" customHeight="1" x14ac:dyDescent="0.2"/>
    <row r="7155" ht="12.75" hidden="1" customHeight="1" x14ac:dyDescent="0.2"/>
    <row r="7156" ht="12.75" hidden="1" customHeight="1" x14ac:dyDescent="0.2"/>
    <row r="7157" ht="12.75" hidden="1" customHeight="1" x14ac:dyDescent="0.2"/>
    <row r="7158" ht="12.75" hidden="1" customHeight="1" x14ac:dyDescent="0.2"/>
    <row r="7159" ht="12.75" hidden="1" customHeight="1" x14ac:dyDescent="0.2"/>
    <row r="7160" ht="12.75" hidden="1" customHeight="1" x14ac:dyDescent="0.2"/>
    <row r="7161" ht="12.75" hidden="1" customHeight="1" x14ac:dyDescent="0.2"/>
    <row r="7162" ht="12.75" hidden="1" customHeight="1" x14ac:dyDescent="0.2"/>
    <row r="7163" ht="12.75" hidden="1" customHeight="1" x14ac:dyDescent="0.2"/>
    <row r="7164" ht="12.75" hidden="1" customHeight="1" x14ac:dyDescent="0.2"/>
    <row r="7165" ht="12.75" hidden="1" customHeight="1" x14ac:dyDescent="0.2"/>
    <row r="7166" ht="12.75" hidden="1" customHeight="1" x14ac:dyDescent="0.2"/>
    <row r="7167" ht="12.75" hidden="1" customHeight="1" x14ac:dyDescent="0.2"/>
    <row r="7168" ht="12.75" hidden="1" customHeight="1" x14ac:dyDescent="0.2"/>
    <row r="7169" ht="12.75" hidden="1" customHeight="1" x14ac:dyDescent="0.2"/>
    <row r="7170" ht="12.75" hidden="1" customHeight="1" x14ac:dyDescent="0.2"/>
    <row r="7171" ht="12.75" hidden="1" customHeight="1" x14ac:dyDescent="0.2"/>
    <row r="7172" ht="12.75" hidden="1" customHeight="1" x14ac:dyDescent="0.2"/>
    <row r="7173" ht="12.75" hidden="1" customHeight="1" x14ac:dyDescent="0.2"/>
    <row r="7174" ht="12.75" hidden="1" customHeight="1" x14ac:dyDescent="0.2"/>
    <row r="7175" ht="12.75" hidden="1" customHeight="1" x14ac:dyDescent="0.2"/>
    <row r="7176" ht="12.75" hidden="1" customHeight="1" x14ac:dyDescent="0.2"/>
    <row r="7177" ht="12.75" hidden="1" customHeight="1" x14ac:dyDescent="0.2"/>
    <row r="7178" ht="12.75" hidden="1" customHeight="1" x14ac:dyDescent="0.2"/>
    <row r="7179" ht="12.75" hidden="1" customHeight="1" x14ac:dyDescent="0.2"/>
    <row r="7180" ht="12.75" hidden="1" customHeight="1" x14ac:dyDescent="0.2"/>
    <row r="7181" ht="12.75" hidden="1" customHeight="1" x14ac:dyDescent="0.2"/>
    <row r="7182" ht="12.75" hidden="1" customHeight="1" x14ac:dyDescent="0.2"/>
    <row r="7183" ht="12.75" hidden="1" customHeight="1" x14ac:dyDescent="0.2"/>
    <row r="7184" ht="12.75" hidden="1" customHeight="1" x14ac:dyDescent="0.2"/>
    <row r="7185" ht="12.75" hidden="1" customHeight="1" x14ac:dyDescent="0.2"/>
    <row r="7186" ht="12.75" hidden="1" customHeight="1" x14ac:dyDescent="0.2"/>
    <row r="7187" ht="12.75" hidden="1" customHeight="1" x14ac:dyDescent="0.2"/>
    <row r="7188" ht="12.75" hidden="1" customHeight="1" x14ac:dyDescent="0.2"/>
    <row r="7189" ht="12.75" hidden="1" customHeight="1" x14ac:dyDescent="0.2"/>
    <row r="7190" ht="12.75" hidden="1" customHeight="1" x14ac:dyDescent="0.2"/>
    <row r="7191" ht="12.75" hidden="1" customHeight="1" x14ac:dyDescent="0.2"/>
    <row r="7192" ht="12.75" hidden="1" customHeight="1" x14ac:dyDescent="0.2"/>
    <row r="7193" ht="12.75" hidden="1" customHeight="1" x14ac:dyDescent="0.2"/>
    <row r="7194" ht="12.75" hidden="1" customHeight="1" x14ac:dyDescent="0.2"/>
    <row r="7195" ht="12.75" hidden="1" customHeight="1" x14ac:dyDescent="0.2"/>
    <row r="7196" ht="12.75" hidden="1" customHeight="1" x14ac:dyDescent="0.2"/>
    <row r="7197" ht="12.75" hidden="1" customHeight="1" x14ac:dyDescent="0.2"/>
    <row r="7198" ht="12.75" hidden="1" customHeight="1" x14ac:dyDescent="0.2"/>
    <row r="7199" ht="12.75" hidden="1" customHeight="1" x14ac:dyDescent="0.2"/>
    <row r="7200" ht="12.75" hidden="1" customHeight="1" x14ac:dyDescent="0.2"/>
    <row r="7201" ht="12.75" hidden="1" customHeight="1" x14ac:dyDescent="0.2"/>
    <row r="7202" ht="12.75" hidden="1" customHeight="1" x14ac:dyDescent="0.2"/>
    <row r="7203" ht="12.75" hidden="1" customHeight="1" x14ac:dyDescent="0.2"/>
    <row r="7204" ht="12.75" hidden="1" customHeight="1" x14ac:dyDescent="0.2"/>
    <row r="7205" ht="12.75" hidden="1" customHeight="1" x14ac:dyDescent="0.2"/>
    <row r="7206" ht="12.75" hidden="1" customHeight="1" x14ac:dyDescent="0.2"/>
    <row r="7207" ht="12.75" hidden="1" customHeight="1" x14ac:dyDescent="0.2"/>
    <row r="7208" ht="12.75" hidden="1" customHeight="1" x14ac:dyDescent="0.2"/>
    <row r="7209" ht="12.75" hidden="1" customHeight="1" x14ac:dyDescent="0.2"/>
    <row r="7210" ht="12.75" hidden="1" customHeight="1" x14ac:dyDescent="0.2"/>
    <row r="7211" ht="12.75" hidden="1" customHeight="1" x14ac:dyDescent="0.2"/>
    <row r="7212" ht="12.75" hidden="1" customHeight="1" x14ac:dyDescent="0.2"/>
    <row r="7213" ht="12.75" hidden="1" customHeight="1" x14ac:dyDescent="0.2"/>
    <row r="7214" ht="12.75" hidden="1" customHeight="1" x14ac:dyDescent="0.2"/>
    <row r="7215" ht="12.75" hidden="1" customHeight="1" x14ac:dyDescent="0.2"/>
    <row r="7216" ht="12.75" hidden="1" customHeight="1" x14ac:dyDescent="0.2"/>
    <row r="7217" ht="12.75" hidden="1" customHeight="1" x14ac:dyDescent="0.2"/>
    <row r="7218" ht="12.75" hidden="1" customHeight="1" x14ac:dyDescent="0.2"/>
    <row r="7219" ht="12.75" hidden="1" customHeight="1" x14ac:dyDescent="0.2"/>
    <row r="7220" ht="12.75" hidden="1" customHeight="1" x14ac:dyDescent="0.2"/>
    <row r="7221" ht="12.75" hidden="1" customHeight="1" x14ac:dyDescent="0.2"/>
    <row r="7222" ht="12.75" hidden="1" customHeight="1" x14ac:dyDescent="0.2"/>
    <row r="7223" ht="12.75" hidden="1" customHeight="1" x14ac:dyDescent="0.2"/>
    <row r="7224" ht="12.75" hidden="1" customHeight="1" x14ac:dyDescent="0.2"/>
    <row r="7225" ht="12.75" hidden="1" customHeight="1" x14ac:dyDescent="0.2"/>
    <row r="7226" ht="12.75" hidden="1" customHeight="1" x14ac:dyDescent="0.2"/>
    <row r="7227" ht="12.75" hidden="1" customHeight="1" x14ac:dyDescent="0.2"/>
    <row r="7228" ht="12.75" hidden="1" customHeight="1" x14ac:dyDescent="0.2"/>
    <row r="7229" ht="12.75" hidden="1" customHeight="1" x14ac:dyDescent="0.2"/>
    <row r="7230" ht="12.75" hidden="1" customHeight="1" x14ac:dyDescent="0.2"/>
    <row r="7231" ht="12.75" hidden="1" customHeight="1" x14ac:dyDescent="0.2"/>
    <row r="7232" ht="12.75" hidden="1" customHeight="1" x14ac:dyDescent="0.2"/>
    <row r="7233" ht="12.75" hidden="1" customHeight="1" x14ac:dyDescent="0.2"/>
    <row r="7234" ht="12.75" hidden="1" customHeight="1" x14ac:dyDescent="0.2"/>
    <row r="7235" ht="12.75" hidden="1" customHeight="1" x14ac:dyDescent="0.2"/>
    <row r="7236" ht="12.75" hidden="1" customHeight="1" x14ac:dyDescent="0.2"/>
    <row r="7237" ht="12.75" hidden="1" customHeight="1" x14ac:dyDescent="0.2"/>
    <row r="7238" ht="12.75" hidden="1" customHeight="1" x14ac:dyDescent="0.2"/>
    <row r="7239" ht="12.75" hidden="1" customHeight="1" x14ac:dyDescent="0.2"/>
    <row r="7240" ht="12.75" hidden="1" customHeight="1" x14ac:dyDescent="0.2"/>
    <row r="7241" ht="12.75" hidden="1" customHeight="1" x14ac:dyDescent="0.2"/>
    <row r="7242" ht="12.75" hidden="1" customHeight="1" x14ac:dyDescent="0.2"/>
    <row r="7243" ht="12.75" hidden="1" customHeight="1" x14ac:dyDescent="0.2"/>
    <row r="7244" ht="12.75" hidden="1" customHeight="1" x14ac:dyDescent="0.2"/>
    <row r="7245" ht="12.75" hidden="1" customHeight="1" x14ac:dyDescent="0.2"/>
    <row r="7246" ht="12.75" hidden="1" customHeight="1" x14ac:dyDescent="0.2"/>
    <row r="7247" ht="12.75" hidden="1" customHeight="1" x14ac:dyDescent="0.2"/>
    <row r="7248" ht="12.75" hidden="1" customHeight="1" x14ac:dyDescent="0.2"/>
    <row r="7249" ht="12.75" hidden="1" customHeight="1" x14ac:dyDescent="0.2"/>
    <row r="7250" ht="12.75" hidden="1" customHeight="1" x14ac:dyDescent="0.2"/>
    <row r="7251" ht="12.75" hidden="1" customHeight="1" x14ac:dyDescent="0.2"/>
    <row r="7252" ht="12.75" hidden="1" customHeight="1" x14ac:dyDescent="0.2"/>
    <row r="7253" ht="12.75" hidden="1" customHeight="1" x14ac:dyDescent="0.2"/>
    <row r="7254" ht="12.75" hidden="1" customHeight="1" x14ac:dyDescent="0.2"/>
    <row r="7255" ht="12.75" hidden="1" customHeight="1" x14ac:dyDescent="0.2"/>
    <row r="7256" ht="12.75" hidden="1" customHeight="1" x14ac:dyDescent="0.2"/>
    <row r="7257" ht="12.75" hidden="1" customHeight="1" x14ac:dyDescent="0.2"/>
    <row r="7258" ht="12.75" hidden="1" customHeight="1" x14ac:dyDescent="0.2"/>
    <row r="7259" ht="12.75" hidden="1" customHeight="1" x14ac:dyDescent="0.2"/>
    <row r="7260" ht="12.75" hidden="1" customHeight="1" x14ac:dyDescent="0.2"/>
    <row r="7261" ht="12.75" hidden="1" customHeight="1" x14ac:dyDescent="0.2"/>
    <row r="7262" ht="12.75" hidden="1" customHeight="1" x14ac:dyDescent="0.2"/>
    <row r="7263" ht="12.75" hidden="1" customHeight="1" x14ac:dyDescent="0.2"/>
    <row r="7264" ht="12.75" hidden="1" customHeight="1" x14ac:dyDescent="0.2"/>
    <row r="7265" ht="12.75" hidden="1" customHeight="1" x14ac:dyDescent="0.2"/>
    <row r="7266" ht="12.75" hidden="1" customHeight="1" x14ac:dyDescent="0.2"/>
    <row r="7267" ht="12.75" hidden="1" customHeight="1" x14ac:dyDescent="0.2"/>
    <row r="7268" ht="12.75" hidden="1" customHeight="1" x14ac:dyDescent="0.2"/>
    <row r="7269" ht="12.75" hidden="1" customHeight="1" x14ac:dyDescent="0.2"/>
    <row r="7270" ht="12.75" hidden="1" customHeight="1" x14ac:dyDescent="0.2"/>
    <row r="7271" ht="12.75" hidden="1" customHeight="1" x14ac:dyDescent="0.2"/>
    <row r="7272" ht="12.75" hidden="1" customHeight="1" x14ac:dyDescent="0.2"/>
    <row r="7273" ht="12.75" hidden="1" customHeight="1" x14ac:dyDescent="0.2"/>
    <row r="7274" ht="12.75" hidden="1" customHeight="1" x14ac:dyDescent="0.2"/>
    <row r="7275" ht="12.75" hidden="1" customHeight="1" x14ac:dyDescent="0.2"/>
    <row r="7276" ht="12.75" hidden="1" customHeight="1" x14ac:dyDescent="0.2"/>
    <row r="7277" ht="12.75" hidden="1" customHeight="1" x14ac:dyDescent="0.2"/>
    <row r="7278" ht="12.75" hidden="1" customHeight="1" x14ac:dyDescent="0.2"/>
    <row r="7279" ht="12.75" hidden="1" customHeight="1" x14ac:dyDescent="0.2"/>
    <row r="7280" ht="12.75" hidden="1" customHeight="1" x14ac:dyDescent="0.2"/>
    <row r="7281" ht="12.75" hidden="1" customHeight="1" x14ac:dyDescent="0.2"/>
    <row r="7282" ht="12.75" hidden="1" customHeight="1" x14ac:dyDescent="0.2"/>
    <row r="7283" ht="12.75" hidden="1" customHeight="1" x14ac:dyDescent="0.2"/>
    <row r="7284" ht="12.75" hidden="1" customHeight="1" x14ac:dyDescent="0.2"/>
    <row r="7285" ht="12.75" hidden="1" customHeight="1" x14ac:dyDescent="0.2"/>
    <row r="7286" ht="12.75" hidden="1" customHeight="1" x14ac:dyDescent="0.2"/>
    <row r="7287" ht="12.75" hidden="1" customHeight="1" x14ac:dyDescent="0.2"/>
    <row r="7288" ht="12.75" hidden="1" customHeight="1" x14ac:dyDescent="0.2"/>
    <row r="7289" ht="12.75" hidden="1" customHeight="1" x14ac:dyDescent="0.2"/>
    <row r="7290" ht="12.75" hidden="1" customHeight="1" x14ac:dyDescent="0.2"/>
    <row r="7291" ht="12.75" hidden="1" customHeight="1" x14ac:dyDescent="0.2"/>
    <row r="7292" ht="12.75" hidden="1" customHeight="1" x14ac:dyDescent="0.2"/>
    <row r="7293" ht="12.75" hidden="1" customHeight="1" x14ac:dyDescent="0.2"/>
    <row r="7294" ht="12.75" hidden="1" customHeight="1" x14ac:dyDescent="0.2"/>
    <row r="7295" ht="12.75" hidden="1" customHeight="1" x14ac:dyDescent="0.2"/>
    <row r="7296" ht="12.75" hidden="1" customHeight="1" x14ac:dyDescent="0.2"/>
    <row r="7297" ht="12.75" hidden="1" customHeight="1" x14ac:dyDescent="0.2"/>
    <row r="7298" ht="12.75" hidden="1" customHeight="1" x14ac:dyDescent="0.2"/>
    <row r="7299" ht="12.75" hidden="1" customHeight="1" x14ac:dyDescent="0.2"/>
    <row r="7300" ht="12.75" hidden="1" customHeight="1" x14ac:dyDescent="0.2"/>
    <row r="7301" ht="12.75" hidden="1" customHeight="1" x14ac:dyDescent="0.2"/>
    <row r="7302" ht="12.75" hidden="1" customHeight="1" x14ac:dyDescent="0.2"/>
    <row r="7303" ht="12.75" hidden="1" customHeight="1" x14ac:dyDescent="0.2"/>
    <row r="7304" ht="12.75" hidden="1" customHeight="1" x14ac:dyDescent="0.2"/>
    <row r="7305" ht="12.75" hidden="1" customHeight="1" x14ac:dyDescent="0.2"/>
    <row r="7306" ht="12.75" hidden="1" customHeight="1" x14ac:dyDescent="0.2"/>
    <row r="7307" ht="12.75" hidden="1" customHeight="1" x14ac:dyDescent="0.2"/>
    <row r="7308" ht="12.75" hidden="1" customHeight="1" x14ac:dyDescent="0.2"/>
    <row r="7309" ht="12.75" hidden="1" customHeight="1" x14ac:dyDescent="0.2"/>
    <row r="7310" ht="12.75" hidden="1" customHeight="1" x14ac:dyDescent="0.2"/>
    <row r="7311" ht="12.75" hidden="1" customHeight="1" x14ac:dyDescent="0.2"/>
    <row r="7312" ht="12.75" hidden="1" customHeight="1" x14ac:dyDescent="0.2"/>
    <row r="7313" ht="12.75" hidden="1" customHeight="1" x14ac:dyDescent="0.2"/>
    <row r="7314" ht="12.75" hidden="1" customHeight="1" x14ac:dyDescent="0.2"/>
    <row r="7315" ht="12.75" hidden="1" customHeight="1" x14ac:dyDescent="0.2"/>
    <row r="7316" ht="12.75" hidden="1" customHeight="1" x14ac:dyDescent="0.2"/>
    <row r="7317" ht="12.75" hidden="1" customHeight="1" x14ac:dyDescent="0.2"/>
    <row r="7318" ht="12.75" hidden="1" customHeight="1" x14ac:dyDescent="0.2"/>
    <row r="7319" ht="12.75" hidden="1" customHeight="1" x14ac:dyDescent="0.2"/>
    <row r="7320" ht="12.75" hidden="1" customHeight="1" x14ac:dyDescent="0.2"/>
    <row r="7321" ht="12.75" hidden="1" customHeight="1" x14ac:dyDescent="0.2"/>
    <row r="7322" ht="12.75" hidden="1" customHeight="1" x14ac:dyDescent="0.2"/>
    <row r="7323" ht="12.75" hidden="1" customHeight="1" x14ac:dyDescent="0.2"/>
    <row r="7324" ht="12.75" hidden="1" customHeight="1" x14ac:dyDescent="0.2"/>
    <row r="7325" ht="12.75" hidden="1" customHeight="1" x14ac:dyDescent="0.2"/>
    <row r="7326" ht="12.75" hidden="1" customHeight="1" x14ac:dyDescent="0.2"/>
    <row r="7327" ht="12.75" hidden="1" customHeight="1" x14ac:dyDescent="0.2"/>
    <row r="7328" ht="12.75" hidden="1" customHeight="1" x14ac:dyDescent="0.2"/>
    <row r="7329" ht="12.75" hidden="1" customHeight="1" x14ac:dyDescent="0.2"/>
    <row r="7330" ht="12.75" hidden="1" customHeight="1" x14ac:dyDescent="0.2"/>
    <row r="7331" ht="12.75" hidden="1" customHeight="1" x14ac:dyDescent="0.2"/>
    <row r="7332" ht="12.75" hidden="1" customHeight="1" x14ac:dyDescent="0.2"/>
    <row r="7333" ht="12.75" hidden="1" customHeight="1" x14ac:dyDescent="0.2"/>
    <row r="7334" ht="12.75" hidden="1" customHeight="1" x14ac:dyDescent="0.2"/>
    <row r="7335" ht="12.75" hidden="1" customHeight="1" x14ac:dyDescent="0.2"/>
    <row r="7336" ht="12.75" hidden="1" customHeight="1" x14ac:dyDescent="0.2"/>
    <row r="7337" ht="12.75" hidden="1" customHeight="1" x14ac:dyDescent="0.2"/>
    <row r="7338" ht="12.75" hidden="1" customHeight="1" x14ac:dyDescent="0.2"/>
    <row r="7339" ht="12.75" hidden="1" customHeight="1" x14ac:dyDescent="0.2"/>
    <row r="7340" ht="12.75" hidden="1" customHeight="1" x14ac:dyDescent="0.2"/>
    <row r="7341" ht="12.75" hidden="1" customHeight="1" x14ac:dyDescent="0.2"/>
    <row r="7342" ht="12.75" hidden="1" customHeight="1" x14ac:dyDescent="0.2"/>
    <row r="7343" ht="12.75" hidden="1" customHeight="1" x14ac:dyDescent="0.2"/>
    <row r="7344" ht="12.75" hidden="1" customHeight="1" x14ac:dyDescent="0.2"/>
    <row r="7345" ht="12.75" hidden="1" customHeight="1" x14ac:dyDescent="0.2"/>
    <row r="7346" ht="12.75" hidden="1" customHeight="1" x14ac:dyDescent="0.2"/>
    <row r="7347" ht="12.75" hidden="1" customHeight="1" x14ac:dyDescent="0.2"/>
    <row r="7348" ht="12.75" hidden="1" customHeight="1" x14ac:dyDescent="0.2"/>
    <row r="7349" ht="12.75" hidden="1" customHeight="1" x14ac:dyDescent="0.2"/>
    <row r="7350" ht="12.75" hidden="1" customHeight="1" x14ac:dyDescent="0.2"/>
    <row r="7351" ht="12.75" hidden="1" customHeight="1" x14ac:dyDescent="0.2"/>
    <row r="7352" ht="12.75" hidden="1" customHeight="1" x14ac:dyDescent="0.2"/>
    <row r="7353" ht="12.75" hidden="1" customHeight="1" x14ac:dyDescent="0.2"/>
    <row r="7354" ht="12.75" hidden="1" customHeight="1" x14ac:dyDescent="0.2"/>
    <row r="7355" ht="12.75" hidden="1" customHeight="1" x14ac:dyDescent="0.2"/>
    <row r="7356" ht="12.75" hidden="1" customHeight="1" x14ac:dyDescent="0.2"/>
    <row r="7357" ht="12.75" hidden="1" customHeight="1" x14ac:dyDescent="0.2"/>
    <row r="7358" ht="12.75" hidden="1" customHeight="1" x14ac:dyDescent="0.2"/>
    <row r="7359" ht="12.75" hidden="1" customHeight="1" x14ac:dyDescent="0.2"/>
    <row r="7360" ht="12.75" hidden="1" customHeight="1" x14ac:dyDescent="0.2"/>
    <row r="7361" ht="12.75" hidden="1" customHeight="1" x14ac:dyDescent="0.2"/>
    <row r="7362" ht="12.75" hidden="1" customHeight="1" x14ac:dyDescent="0.2"/>
    <row r="7363" ht="12.75" hidden="1" customHeight="1" x14ac:dyDescent="0.2"/>
    <row r="7364" ht="12.75" hidden="1" customHeight="1" x14ac:dyDescent="0.2"/>
    <row r="7365" ht="12.75" hidden="1" customHeight="1" x14ac:dyDescent="0.2"/>
    <row r="7366" ht="12.75" hidden="1" customHeight="1" x14ac:dyDescent="0.2"/>
    <row r="7367" ht="12.75" hidden="1" customHeight="1" x14ac:dyDescent="0.2"/>
    <row r="7368" ht="12.75" hidden="1" customHeight="1" x14ac:dyDescent="0.2"/>
    <row r="7369" ht="12.75" hidden="1" customHeight="1" x14ac:dyDescent="0.2"/>
    <row r="7370" ht="12.75" hidden="1" customHeight="1" x14ac:dyDescent="0.2"/>
    <row r="7371" ht="12.75" hidden="1" customHeight="1" x14ac:dyDescent="0.2"/>
    <row r="7372" ht="12.75" hidden="1" customHeight="1" x14ac:dyDescent="0.2"/>
    <row r="7373" ht="12.75" hidden="1" customHeight="1" x14ac:dyDescent="0.2"/>
    <row r="7374" ht="12.75" hidden="1" customHeight="1" x14ac:dyDescent="0.2"/>
    <row r="7375" ht="12.75" hidden="1" customHeight="1" x14ac:dyDescent="0.2"/>
    <row r="7376" ht="12.75" hidden="1" customHeight="1" x14ac:dyDescent="0.2"/>
    <row r="7377" ht="12.75" hidden="1" customHeight="1" x14ac:dyDescent="0.2"/>
    <row r="7378" ht="12.75" hidden="1" customHeight="1" x14ac:dyDescent="0.2"/>
    <row r="7379" ht="12.75" hidden="1" customHeight="1" x14ac:dyDescent="0.2"/>
    <row r="7380" ht="12.75" hidden="1" customHeight="1" x14ac:dyDescent="0.2"/>
    <row r="7381" ht="12.75" hidden="1" customHeight="1" x14ac:dyDescent="0.2"/>
    <row r="7382" ht="12.75" hidden="1" customHeight="1" x14ac:dyDescent="0.2"/>
    <row r="7383" ht="12.75" hidden="1" customHeight="1" x14ac:dyDescent="0.2"/>
    <row r="7384" ht="12.75" hidden="1" customHeight="1" x14ac:dyDescent="0.2"/>
    <row r="7385" ht="12.75" hidden="1" customHeight="1" x14ac:dyDescent="0.2"/>
    <row r="7386" ht="12.75" hidden="1" customHeight="1" x14ac:dyDescent="0.2"/>
    <row r="7387" ht="12.75" hidden="1" customHeight="1" x14ac:dyDescent="0.2"/>
    <row r="7388" ht="12.75" hidden="1" customHeight="1" x14ac:dyDescent="0.2"/>
    <row r="7389" ht="12.75" hidden="1" customHeight="1" x14ac:dyDescent="0.2"/>
    <row r="7390" ht="12.75" hidden="1" customHeight="1" x14ac:dyDescent="0.2"/>
    <row r="7391" ht="12.75" hidden="1" customHeight="1" x14ac:dyDescent="0.2"/>
    <row r="7392" ht="12.75" hidden="1" customHeight="1" x14ac:dyDescent="0.2"/>
    <row r="7393" ht="12.75" hidden="1" customHeight="1" x14ac:dyDescent="0.2"/>
    <row r="7394" ht="12.75" hidden="1" customHeight="1" x14ac:dyDescent="0.2"/>
    <row r="7395" ht="12.75" hidden="1" customHeight="1" x14ac:dyDescent="0.2"/>
    <row r="7396" ht="12.75" hidden="1" customHeight="1" x14ac:dyDescent="0.2"/>
    <row r="7397" ht="12.75" hidden="1" customHeight="1" x14ac:dyDescent="0.2"/>
    <row r="7398" ht="12.75" hidden="1" customHeight="1" x14ac:dyDescent="0.2"/>
    <row r="7399" ht="12.75" hidden="1" customHeight="1" x14ac:dyDescent="0.2"/>
    <row r="7400" ht="12.75" hidden="1" customHeight="1" x14ac:dyDescent="0.2"/>
    <row r="7401" ht="12.75" hidden="1" customHeight="1" x14ac:dyDescent="0.2"/>
    <row r="7402" ht="12.75" hidden="1" customHeight="1" x14ac:dyDescent="0.2"/>
    <row r="7403" ht="12.75" hidden="1" customHeight="1" x14ac:dyDescent="0.2"/>
    <row r="7404" ht="12.75" hidden="1" customHeight="1" x14ac:dyDescent="0.2"/>
    <row r="7405" ht="12.75" hidden="1" customHeight="1" x14ac:dyDescent="0.2"/>
    <row r="7406" ht="12.75" hidden="1" customHeight="1" x14ac:dyDescent="0.2"/>
    <row r="7407" ht="12.75" hidden="1" customHeight="1" x14ac:dyDescent="0.2"/>
    <row r="7408" ht="12.75" hidden="1" customHeight="1" x14ac:dyDescent="0.2"/>
    <row r="7409" ht="12.75" hidden="1" customHeight="1" x14ac:dyDescent="0.2"/>
    <row r="7410" ht="12.75" hidden="1" customHeight="1" x14ac:dyDescent="0.2"/>
    <row r="7411" ht="12.75" hidden="1" customHeight="1" x14ac:dyDescent="0.2"/>
    <row r="7412" ht="12.75" hidden="1" customHeight="1" x14ac:dyDescent="0.2"/>
    <row r="7413" ht="12.75" hidden="1" customHeight="1" x14ac:dyDescent="0.2"/>
    <row r="7414" ht="12.75" hidden="1" customHeight="1" x14ac:dyDescent="0.2"/>
    <row r="7415" ht="12.75" hidden="1" customHeight="1" x14ac:dyDescent="0.2"/>
    <row r="7416" ht="12.75" hidden="1" customHeight="1" x14ac:dyDescent="0.2"/>
    <row r="7417" ht="12.75" hidden="1" customHeight="1" x14ac:dyDescent="0.2"/>
    <row r="7418" ht="12.75" hidden="1" customHeight="1" x14ac:dyDescent="0.2"/>
    <row r="7419" ht="12.75" hidden="1" customHeight="1" x14ac:dyDescent="0.2"/>
    <row r="7420" ht="12.75" hidden="1" customHeight="1" x14ac:dyDescent="0.2"/>
    <row r="7421" ht="12.75" hidden="1" customHeight="1" x14ac:dyDescent="0.2"/>
    <row r="7422" ht="12.75" hidden="1" customHeight="1" x14ac:dyDescent="0.2"/>
    <row r="7423" ht="12.75" hidden="1" customHeight="1" x14ac:dyDescent="0.2"/>
    <row r="7424" ht="12.75" hidden="1" customHeight="1" x14ac:dyDescent="0.2"/>
    <row r="7425" ht="12.75" hidden="1" customHeight="1" x14ac:dyDescent="0.2"/>
    <row r="7426" ht="12.75" hidden="1" customHeight="1" x14ac:dyDescent="0.2"/>
    <row r="7427" ht="12.75" hidden="1" customHeight="1" x14ac:dyDescent="0.2"/>
    <row r="7428" ht="12.75" hidden="1" customHeight="1" x14ac:dyDescent="0.2"/>
    <row r="7429" ht="12.75" hidden="1" customHeight="1" x14ac:dyDescent="0.2"/>
    <row r="7430" ht="12.75" hidden="1" customHeight="1" x14ac:dyDescent="0.2"/>
    <row r="7431" ht="12.75" hidden="1" customHeight="1" x14ac:dyDescent="0.2"/>
    <row r="7432" ht="12.75" hidden="1" customHeight="1" x14ac:dyDescent="0.2"/>
    <row r="7433" ht="12.75" hidden="1" customHeight="1" x14ac:dyDescent="0.2"/>
    <row r="7434" ht="12.75" hidden="1" customHeight="1" x14ac:dyDescent="0.2"/>
    <row r="7435" ht="12.75" hidden="1" customHeight="1" x14ac:dyDescent="0.2"/>
    <row r="7436" ht="12.75" hidden="1" customHeight="1" x14ac:dyDescent="0.2"/>
    <row r="7437" ht="12.75" hidden="1" customHeight="1" x14ac:dyDescent="0.2"/>
    <row r="7438" ht="12.75" hidden="1" customHeight="1" x14ac:dyDescent="0.2"/>
    <row r="7439" ht="12.75" hidden="1" customHeight="1" x14ac:dyDescent="0.2"/>
    <row r="7440" ht="12.75" hidden="1" customHeight="1" x14ac:dyDescent="0.2"/>
    <row r="7441" ht="12.75" hidden="1" customHeight="1" x14ac:dyDescent="0.2"/>
    <row r="7442" ht="12.75" hidden="1" customHeight="1" x14ac:dyDescent="0.2"/>
    <row r="7443" ht="12.75" hidden="1" customHeight="1" x14ac:dyDescent="0.2"/>
    <row r="7444" ht="12.75" hidden="1" customHeight="1" x14ac:dyDescent="0.2"/>
    <row r="7445" ht="12.75" hidden="1" customHeight="1" x14ac:dyDescent="0.2"/>
    <row r="7446" ht="12.75" hidden="1" customHeight="1" x14ac:dyDescent="0.2"/>
    <row r="7447" ht="12.75" hidden="1" customHeight="1" x14ac:dyDescent="0.2"/>
    <row r="7448" ht="12.75" hidden="1" customHeight="1" x14ac:dyDescent="0.2"/>
    <row r="7449" ht="12.75" hidden="1" customHeight="1" x14ac:dyDescent="0.2"/>
    <row r="7450" ht="12.75" hidden="1" customHeight="1" x14ac:dyDescent="0.2"/>
    <row r="7451" ht="12.75" hidden="1" customHeight="1" x14ac:dyDescent="0.2"/>
    <row r="7452" ht="12.75" hidden="1" customHeight="1" x14ac:dyDescent="0.2"/>
    <row r="7453" ht="12.75" hidden="1" customHeight="1" x14ac:dyDescent="0.2"/>
    <row r="7454" ht="12.75" hidden="1" customHeight="1" x14ac:dyDescent="0.2"/>
    <row r="7455" ht="12.75" hidden="1" customHeight="1" x14ac:dyDescent="0.2"/>
    <row r="7456" ht="12.75" hidden="1" customHeight="1" x14ac:dyDescent="0.2"/>
    <row r="7457" ht="12.75" hidden="1" customHeight="1" x14ac:dyDescent="0.2"/>
    <row r="7458" ht="12.75" hidden="1" customHeight="1" x14ac:dyDescent="0.2"/>
    <row r="7459" ht="12.75" hidden="1" customHeight="1" x14ac:dyDescent="0.2"/>
    <row r="7460" ht="12.75" hidden="1" customHeight="1" x14ac:dyDescent="0.2"/>
    <row r="7461" ht="12.75" hidden="1" customHeight="1" x14ac:dyDescent="0.2"/>
    <row r="7462" ht="12.75" hidden="1" customHeight="1" x14ac:dyDescent="0.2"/>
    <row r="7463" ht="12.75" hidden="1" customHeight="1" x14ac:dyDescent="0.2"/>
    <row r="7464" ht="12.75" hidden="1" customHeight="1" x14ac:dyDescent="0.2"/>
    <row r="7465" ht="12.75" hidden="1" customHeight="1" x14ac:dyDescent="0.2"/>
    <row r="7466" ht="12.75" hidden="1" customHeight="1" x14ac:dyDescent="0.2"/>
    <row r="7467" ht="12.75" hidden="1" customHeight="1" x14ac:dyDescent="0.2"/>
    <row r="7468" ht="12.75" hidden="1" customHeight="1" x14ac:dyDescent="0.2"/>
    <row r="7469" ht="12.75" hidden="1" customHeight="1" x14ac:dyDescent="0.2"/>
    <row r="7470" ht="12.75" hidden="1" customHeight="1" x14ac:dyDescent="0.2"/>
    <row r="7471" ht="12.75" hidden="1" customHeight="1" x14ac:dyDescent="0.2"/>
    <row r="7472" ht="12.75" hidden="1" customHeight="1" x14ac:dyDescent="0.2"/>
    <row r="7473" ht="12.75" hidden="1" customHeight="1" x14ac:dyDescent="0.2"/>
    <row r="7474" ht="12.75" hidden="1" customHeight="1" x14ac:dyDescent="0.2"/>
    <row r="7475" ht="12.75" hidden="1" customHeight="1" x14ac:dyDescent="0.2"/>
    <row r="7476" ht="12.75" hidden="1" customHeight="1" x14ac:dyDescent="0.2"/>
    <row r="7477" ht="12.75" hidden="1" customHeight="1" x14ac:dyDescent="0.2"/>
    <row r="7478" ht="12.75" hidden="1" customHeight="1" x14ac:dyDescent="0.2"/>
    <row r="7479" ht="12.75" hidden="1" customHeight="1" x14ac:dyDescent="0.2"/>
    <row r="7480" ht="12.75" hidden="1" customHeight="1" x14ac:dyDescent="0.2"/>
    <row r="7481" ht="12.75" hidden="1" customHeight="1" x14ac:dyDescent="0.2"/>
    <row r="7482" ht="12.75" hidden="1" customHeight="1" x14ac:dyDescent="0.2"/>
    <row r="7483" ht="12.75" hidden="1" customHeight="1" x14ac:dyDescent="0.2"/>
    <row r="7484" ht="12.75" hidden="1" customHeight="1" x14ac:dyDescent="0.2"/>
    <row r="7485" ht="12.75" hidden="1" customHeight="1" x14ac:dyDescent="0.2"/>
    <row r="7486" ht="12.75" hidden="1" customHeight="1" x14ac:dyDescent="0.2"/>
    <row r="7487" ht="12.75" hidden="1" customHeight="1" x14ac:dyDescent="0.2"/>
    <row r="7488" ht="12.75" hidden="1" customHeight="1" x14ac:dyDescent="0.2"/>
    <row r="7489" ht="12.75" hidden="1" customHeight="1" x14ac:dyDescent="0.2"/>
    <row r="7490" ht="12.75" hidden="1" customHeight="1" x14ac:dyDescent="0.2"/>
    <row r="7491" ht="12.75" hidden="1" customHeight="1" x14ac:dyDescent="0.2"/>
    <row r="7492" ht="12.75" hidden="1" customHeight="1" x14ac:dyDescent="0.2"/>
    <row r="7493" ht="12.75" hidden="1" customHeight="1" x14ac:dyDescent="0.2"/>
    <row r="7494" ht="12.75" hidden="1" customHeight="1" x14ac:dyDescent="0.2"/>
    <row r="7495" ht="12.75" hidden="1" customHeight="1" x14ac:dyDescent="0.2"/>
    <row r="7496" ht="12.75" hidden="1" customHeight="1" x14ac:dyDescent="0.2"/>
    <row r="7497" ht="12.75" hidden="1" customHeight="1" x14ac:dyDescent="0.2"/>
    <row r="7498" ht="12.75" hidden="1" customHeight="1" x14ac:dyDescent="0.2"/>
    <row r="7499" ht="12.75" hidden="1" customHeight="1" x14ac:dyDescent="0.2"/>
    <row r="7500" ht="12.75" hidden="1" customHeight="1" x14ac:dyDescent="0.2"/>
    <row r="7501" ht="12.75" hidden="1" customHeight="1" x14ac:dyDescent="0.2"/>
    <row r="7502" ht="12.75" hidden="1" customHeight="1" x14ac:dyDescent="0.2"/>
    <row r="7503" ht="12.75" hidden="1" customHeight="1" x14ac:dyDescent="0.2"/>
    <row r="7504" ht="12.75" hidden="1" customHeight="1" x14ac:dyDescent="0.2"/>
    <row r="7505" ht="12.75" hidden="1" customHeight="1" x14ac:dyDescent="0.2"/>
    <row r="7506" ht="12.75" hidden="1" customHeight="1" x14ac:dyDescent="0.2"/>
    <row r="7507" ht="12.75" hidden="1" customHeight="1" x14ac:dyDescent="0.2"/>
    <row r="7508" ht="12.75" hidden="1" customHeight="1" x14ac:dyDescent="0.2"/>
    <row r="7509" ht="12.75" hidden="1" customHeight="1" x14ac:dyDescent="0.2"/>
    <row r="7510" ht="12.75" hidden="1" customHeight="1" x14ac:dyDescent="0.2"/>
    <row r="7511" ht="12.75" hidden="1" customHeight="1" x14ac:dyDescent="0.2"/>
    <row r="7512" ht="12.75" hidden="1" customHeight="1" x14ac:dyDescent="0.2"/>
    <row r="7513" ht="12.75" hidden="1" customHeight="1" x14ac:dyDescent="0.2"/>
    <row r="7514" ht="12.75" hidden="1" customHeight="1" x14ac:dyDescent="0.2"/>
    <row r="7515" ht="12.75" hidden="1" customHeight="1" x14ac:dyDescent="0.2"/>
    <row r="7516" ht="12.75" hidden="1" customHeight="1" x14ac:dyDescent="0.2"/>
    <row r="7517" ht="12.75" hidden="1" customHeight="1" x14ac:dyDescent="0.2"/>
    <row r="7518" ht="12.75" hidden="1" customHeight="1" x14ac:dyDescent="0.2"/>
    <row r="7519" ht="12.75" hidden="1" customHeight="1" x14ac:dyDescent="0.2"/>
    <row r="7520" ht="12.75" hidden="1" customHeight="1" x14ac:dyDescent="0.2"/>
    <row r="7521" ht="12.75" hidden="1" customHeight="1" x14ac:dyDescent="0.2"/>
    <row r="7522" ht="12.75" hidden="1" customHeight="1" x14ac:dyDescent="0.2"/>
    <row r="7523" ht="12.75" hidden="1" customHeight="1" x14ac:dyDescent="0.2"/>
    <row r="7524" ht="12.75" hidden="1" customHeight="1" x14ac:dyDescent="0.2"/>
    <row r="7525" ht="12.75" hidden="1" customHeight="1" x14ac:dyDescent="0.2"/>
    <row r="7526" ht="12.75" hidden="1" customHeight="1" x14ac:dyDescent="0.2"/>
    <row r="7527" ht="12.75" hidden="1" customHeight="1" x14ac:dyDescent="0.2"/>
    <row r="7528" ht="12.75" hidden="1" customHeight="1" x14ac:dyDescent="0.2"/>
    <row r="7529" ht="12.75" hidden="1" customHeight="1" x14ac:dyDescent="0.2"/>
    <row r="7530" ht="12.75" hidden="1" customHeight="1" x14ac:dyDescent="0.2"/>
    <row r="7531" ht="12.75" hidden="1" customHeight="1" x14ac:dyDescent="0.2"/>
    <row r="7532" ht="12.75" hidden="1" customHeight="1" x14ac:dyDescent="0.2"/>
    <row r="7533" ht="12.75" hidden="1" customHeight="1" x14ac:dyDescent="0.2"/>
    <row r="7534" ht="12.75" hidden="1" customHeight="1" x14ac:dyDescent="0.2"/>
    <row r="7535" ht="12.75" hidden="1" customHeight="1" x14ac:dyDescent="0.2"/>
    <row r="7536" ht="12.75" hidden="1" customHeight="1" x14ac:dyDescent="0.2"/>
    <row r="7537" ht="12.75" hidden="1" customHeight="1" x14ac:dyDescent="0.2"/>
    <row r="7538" ht="12.75" hidden="1" customHeight="1" x14ac:dyDescent="0.2"/>
    <row r="7539" ht="12.75" hidden="1" customHeight="1" x14ac:dyDescent="0.2"/>
    <row r="7540" ht="12.75" hidden="1" customHeight="1" x14ac:dyDescent="0.2"/>
    <row r="7541" ht="12.75" hidden="1" customHeight="1" x14ac:dyDescent="0.2"/>
    <row r="7542" ht="12.75" hidden="1" customHeight="1" x14ac:dyDescent="0.2"/>
    <row r="7543" ht="12.75" hidden="1" customHeight="1" x14ac:dyDescent="0.2"/>
    <row r="7544" ht="12.75" hidden="1" customHeight="1" x14ac:dyDescent="0.2"/>
    <row r="7545" ht="12.75" hidden="1" customHeight="1" x14ac:dyDescent="0.2"/>
    <row r="7546" ht="12.75" hidden="1" customHeight="1" x14ac:dyDescent="0.2"/>
    <row r="7547" ht="12.75" hidden="1" customHeight="1" x14ac:dyDescent="0.2"/>
    <row r="7548" ht="12.75" hidden="1" customHeight="1" x14ac:dyDescent="0.2"/>
    <row r="7549" ht="12.75" hidden="1" customHeight="1" x14ac:dyDescent="0.2"/>
    <row r="7550" ht="12.75" hidden="1" customHeight="1" x14ac:dyDescent="0.2"/>
    <row r="7551" ht="12.75" hidden="1" customHeight="1" x14ac:dyDescent="0.2"/>
    <row r="7552" ht="12.75" hidden="1" customHeight="1" x14ac:dyDescent="0.2"/>
    <row r="7553" ht="12.75" hidden="1" customHeight="1" x14ac:dyDescent="0.2"/>
    <row r="7554" ht="12.75" hidden="1" customHeight="1" x14ac:dyDescent="0.2"/>
    <row r="7555" ht="12.75" hidden="1" customHeight="1" x14ac:dyDescent="0.2"/>
    <row r="7556" ht="12.75" hidden="1" customHeight="1" x14ac:dyDescent="0.2"/>
    <row r="7557" ht="12.75" hidden="1" customHeight="1" x14ac:dyDescent="0.2"/>
    <row r="7558" ht="12.75" hidden="1" customHeight="1" x14ac:dyDescent="0.2"/>
    <row r="7559" ht="12.75" hidden="1" customHeight="1" x14ac:dyDescent="0.2"/>
    <row r="7560" ht="12.75" hidden="1" customHeight="1" x14ac:dyDescent="0.2"/>
    <row r="7561" ht="12.75" hidden="1" customHeight="1" x14ac:dyDescent="0.2"/>
    <row r="7562" ht="12.75" hidden="1" customHeight="1" x14ac:dyDescent="0.2"/>
    <row r="7563" ht="12.75" hidden="1" customHeight="1" x14ac:dyDescent="0.2"/>
    <row r="7564" ht="12.75" hidden="1" customHeight="1" x14ac:dyDescent="0.2"/>
    <row r="7565" ht="12.75" hidden="1" customHeight="1" x14ac:dyDescent="0.2"/>
    <row r="7566" ht="12.75" hidden="1" customHeight="1" x14ac:dyDescent="0.2"/>
    <row r="7567" ht="12.75" hidden="1" customHeight="1" x14ac:dyDescent="0.2"/>
    <row r="7568" ht="12.75" hidden="1" customHeight="1" x14ac:dyDescent="0.2"/>
    <row r="7569" ht="12.75" hidden="1" customHeight="1" x14ac:dyDescent="0.2"/>
    <row r="7570" ht="12.75" hidden="1" customHeight="1" x14ac:dyDescent="0.2"/>
    <row r="7571" ht="12.75" hidden="1" customHeight="1" x14ac:dyDescent="0.2"/>
    <row r="7572" ht="12.75" hidden="1" customHeight="1" x14ac:dyDescent="0.2"/>
    <row r="7573" ht="12.75" hidden="1" customHeight="1" x14ac:dyDescent="0.2"/>
    <row r="7574" ht="12.75" hidden="1" customHeight="1" x14ac:dyDescent="0.2"/>
    <row r="7575" ht="12.75" hidden="1" customHeight="1" x14ac:dyDescent="0.2"/>
    <row r="7576" ht="12.75" hidden="1" customHeight="1" x14ac:dyDescent="0.2"/>
    <row r="7577" ht="12.75" hidden="1" customHeight="1" x14ac:dyDescent="0.2"/>
    <row r="7578" ht="12.75" hidden="1" customHeight="1" x14ac:dyDescent="0.2"/>
    <row r="7579" ht="12.75" hidden="1" customHeight="1" x14ac:dyDescent="0.2"/>
    <row r="7580" ht="12.75" hidden="1" customHeight="1" x14ac:dyDescent="0.2"/>
    <row r="7581" ht="12.75" hidden="1" customHeight="1" x14ac:dyDescent="0.2"/>
    <row r="7582" ht="12.75" hidden="1" customHeight="1" x14ac:dyDescent="0.2"/>
    <row r="7583" ht="12.75" hidden="1" customHeight="1" x14ac:dyDescent="0.2"/>
    <row r="7584" ht="12.75" hidden="1" customHeight="1" x14ac:dyDescent="0.2"/>
    <row r="7585" ht="12.75" hidden="1" customHeight="1" x14ac:dyDescent="0.2"/>
    <row r="7586" ht="12.75" hidden="1" customHeight="1" x14ac:dyDescent="0.2"/>
    <row r="7587" ht="12.75" hidden="1" customHeight="1" x14ac:dyDescent="0.2"/>
    <row r="7588" ht="12.75" hidden="1" customHeight="1" x14ac:dyDescent="0.2"/>
    <row r="7589" ht="12.75" hidden="1" customHeight="1" x14ac:dyDescent="0.2"/>
    <row r="7590" ht="12.75" hidden="1" customHeight="1" x14ac:dyDescent="0.2"/>
    <row r="7591" ht="12.75" hidden="1" customHeight="1" x14ac:dyDescent="0.2"/>
    <row r="7592" ht="12.75" hidden="1" customHeight="1" x14ac:dyDescent="0.2"/>
    <row r="7593" ht="12.75" hidden="1" customHeight="1" x14ac:dyDescent="0.2"/>
    <row r="7594" ht="12.75" hidden="1" customHeight="1" x14ac:dyDescent="0.2"/>
    <row r="7595" ht="12.75" hidden="1" customHeight="1" x14ac:dyDescent="0.2"/>
    <row r="7596" ht="12.75" hidden="1" customHeight="1" x14ac:dyDescent="0.2"/>
    <row r="7597" ht="12.75" hidden="1" customHeight="1" x14ac:dyDescent="0.2"/>
    <row r="7598" ht="12.75" hidden="1" customHeight="1" x14ac:dyDescent="0.2"/>
    <row r="7599" ht="12.75" hidden="1" customHeight="1" x14ac:dyDescent="0.2"/>
    <row r="7600" ht="12.75" hidden="1" customHeight="1" x14ac:dyDescent="0.2"/>
    <row r="7601" ht="12.75" hidden="1" customHeight="1" x14ac:dyDescent="0.2"/>
    <row r="7602" ht="12.75" hidden="1" customHeight="1" x14ac:dyDescent="0.2"/>
    <row r="7603" ht="12.75" hidden="1" customHeight="1" x14ac:dyDescent="0.2"/>
    <row r="7604" ht="12.75" hidden="1" customHeight="1" x14ac:dyDescent="0.2"/>
    <row r="7605" ht="12.75" hidden="1" customHeight="1" x14ac:dyDescent="0.2"/>
    <row r="7606" ht="12.75" hidden="1" customHeight="1" x14ac:dyDescent="0.2"/>
    <row r="7607" ht="12.75" hidden="1" customHeight="1" x14ac:dyDescent="0.2"/>
    <row r="7608" ht="12.75" hidden="1" customHeight="1" x14ac:dyDescent="0.2"/>
    <row r="7609" ht="12.75" hidden="1" customHeight="1" x14ac:dyDescent="0.2"/>
    <row r="7610" ht="12.75" hidden="1" customHeight="1" x14ac:dyDescent="0.2"/>
    <row r="7611" ht="12.75" hidden="1" customHeight="1" x14ac:dyDescent="0.2"/>
    <row r="7612" ht="12.75" hidden="1" customHeight="1" x14ac:dyDescent="0.2"/>
    <row r="7613" ht="12.75" hidden="1" customHeight="1" x14ac:dyDescent="0.2"/>
    <row r="7614" ht="12.75" hidden="1" customHeight="1" x14ac:dyDescent="0.2"/>
    <row r="7615" ht="12.75" hidden="1" customHeight="1" x14ac:dyDescent="0.2"/>
    <row r="7616" ht="12.75" hidden="1" customHeight="1" x14ac:dyDescent="0.2"/>
    <row r="7617" ht="12.75" hidden="1" customHeight="1" x14ac:dyDescent="0.2"/>
    <row r="7618" ht="12.75" hidden="1" customHeight="1" x14ac:dyDescent="0.2"/>
    <row r="7619" ht="12.75" hidden="1" customHeight="1" x14ac:dyDescent="0.2"/>
    <row r="7620" ht="12.75" hidden="1" customHeight="1" x14ac:dyDescent="0.2"/>
    <row r="7621" ht="12.75" hidden="1" customHeight="1" x14ac:dyDescent="0.2"/>
    <row r="7622" ht="12.75" hidden="1" customHeight="1" x14ac:dyDescent="0.2"/>
    <row r="7623" ht="12.75" hidden="1" customHeight="1" x14ac:dyDescent="0.2"/>
    <row r="7624" ht="12.75" hidden="1" customHeight="1" x14ac:dyDescent="0.2"/>
    <row r="7625" ht="12.75" hidden="1" customHeight="1" x14ac:dyDescent="0.2"/>
    <row r="7626" ht="12.75" hidden="1" customHeight="1" x14ac:dyDescent="0.2"/>
    <row r="7627" ht="12.75" hidden="1" customHeight="1" x14ac:dyDescent="0.2"/>
    <row r="7628" ht="12.75" hidden="1" customHeight="1" x14ac:dyDescent="0.2"/>
    <row r="7629" ht="12.75" hidden="1" customHeight="1" x14ac:dyDescent="0.2"/>
    <row r="7630" ht="12.75" hidden="1" customHeight="1" x14ac:dyDescent="0.2"/>
    <row r="7631" ht="12.75" hidden="1" customHeight="1" x14ac:dyDescent="0.2"/>
    <row r="7632" ht="12.75" hidden="1" customHeight="1" x14ac:dyDescent="0.2"/>
    <row r="7633" ht="12.75" hidden="1" customHeight="1" x14ac:dyDescent="0.2"/>
    <row r="7634" ht="12.75" hidden="1" customHeight="1" x14ac:dyDescent="0.2"/>
    <row r="7635" ht="12.75" hidden="1" customHeight="1" x14ac:dyDescent="0.2"/>
    <row r="7636" ht="12.75" hidden="1" customHeight="1" x14ac:dyDescent="0.2"/>
    <row r="7637" ht="12.75" hidden="1" customHeight="1" x14ac:dyDescent="0.2"/>
    <row r="7638" ht="12.75" hidden="1" customHeight="1" x14ac:dyDescent="0.2"/>
    <row r="7639" ht="12.75" hidden="1" customHeight="1" x14ac:dyDescent="0.2"/>
    <row r="7640" ht="12.75" hidden="1" customHeight="1" x14ac:dyDescent="0.2"/>
    <row r="7641" ht="12.75" hidden="1" customHeight="1" x14ac:dyDescent="0.2"/>
    <row r="7642" ht="12.75" hidden="1" customHeight="1" x14ac:dyDescent="0.2"/>
    <row r="7643" ht="12.75" hidden="1" customHeight="1" x14ac:dyDescent="0.2"/>
    <row r="7644" ht="12.75" hidden="1" customHeight="1" x14ac:dyDescent="0.2"/>
    <row r="7645" ht="12.75" hidden="1" customHeight="1" x14ac:dyDescent="0.2"/>
    <row r="7646" ht="12.75" hidden="1" customHeight="1" x14ac:dyDescent="0.2"/>
    <row r="7647" ht="12.75" hidden="1" customHeight="1" x14ac:dyDescent="0.2"/>
    <row r="7648" ht="12.75" hidden="1" customHeight="1" x14ac:dyDescent="0.2"/>
    <row r="7649" ht="12.75" hidden="1" customHeight="1" x14ac:dyDescent="0.2"/>
    <row r="7650" ht="12.75" hidden="1" customHeight="1" x14ac:dyDescent="0.2"/>
    <row r="7651" ht="12.75" hidden="1" customHeight="1" x14ac:dyDescent="0.2"/>
    <row r="7652" ht="12.75" hidden="1" customHeight="1" x14ac:dyDescent="0.2"/>
    <row r="7653" ht="12.75" hidden="1" customHeight="1" x14ac:dyDescent="0.2"/>
    <row r="7654" ht="12.75" hidden="1" customHeight="1" x14ac:dyDescent="0.2"/>
    <row r="7655" ht="12.75" hidden="1" customHeight="1" x14ac:dyDescent="0.2"/>
    <row r="7656" ht="12.75" hidden="1" customHeight="1" x14ac:dyDescent="0.2"/>
    <row r="7657" ht="12.75" hidden="1" customHeight="1" x14ac:dyDescent="0.2"/>
    <row r="7658" ht="12.75" hidden="1" customHeight="1" x14ac:dyDescent="0.2"/>
    <row r="7659" ht="12.75" hidden="1" customHeight="1" x14ac:dyDescent="0.2"/>
    <row r="7660" ht="12.75" hidden="1" customHeight="1" x14ac:dyDescent="0.2"/>
    <row r="7661" ht="12.75" hidden="1" customHeight="1" x14ac:dyDescent="0.2"/>
    <row r="7662" ht="12.75" hidden="1" customHeight="1" x14ac:dyDescent="0.2"/>
    <row r="7663" ht="12.75" hidden="1" customHeight="1" x14ac:dyDescent="0.2"/>
    <row r="7664" ht="12.75" hidden="1" customHeight="1" x14ac:dyDescent="0.2"/>
    <row r="7665" ht="12.75" hidden="1" customHeight="1" x14ac:dyDescent="0.2"/>
    <row r="7666" ht="12.75" hidden="1" customHeight="1" x14ac:dyDescent="0.2"/>
    <row r="7667" ht="12.75" hidden="1" customHeight="1" x14ac:dyDescent="0.2"/>
    <row r="7668" ht="12.75" hidden="1" customHeight="1" x14ac:dyDescent="0.2"/>
    <row r="7669" ht="12.75" hidden="1" customHeight="1" x14ac:dyDescent="0.2"/>
    <row r="7670" ht="12.75" hidden="1" customHeight="1" x14ac:dyDescent="0.2"/>
    <row r="7671" ht="12.75" hidden="1" customHeight="1" x14ac:dyDescent="0.2"/>
    <row r="7672" ht="12.75" hidden="1" customHeight="1" x14ac:dyDescent="0.2"/>
    <row r="7673" ht="12.75" hidden="1" customHeight="1" x14ac:dyDescent="0.2"/>
    <row r="7674" ht="12.75" hidden="1" customHeight="1" x14ac:dyDescent="0.2"/>
    <row r="7675" ht="12.75" hidden="1" customHeight="1" x14ac:dyDescent="0.2"/>
    <row r="7676" ht="12.75" hidden="1" customHeight="1" x14ac:dyDescent="0.2"/>
    <row r="7677" ht="12.75" hidden="1" customHeight="1" x14ac:dyDescent="0.2"/>
    <row r="7678" ht="12.75" hidden="1" customHeight="1" x14ac:dyDescent="0.2"/>
    <row r="7679" ht="12.75" hidden="1" customHeight="1" x14ac:dyDescent="0.2"/>
    <row r="7680" ht="12.75" hidden="1" customHeight="1" x14ac:dyDescent="0.2"/>
    <row r="7681" ht="12.75" hidden="1" customHeight="1" x14ac:dyDescent="0.2"/>
    <row r="7682" ht="12.75" hidden="1" customHeight="1" x14ac:dyDescent="0.2"/>
    <row r="7683" ht="12.75" hidden="1" customHeight="1" x14ac:dyDescent="0.2"/>
    <row r="7684" ht="12.75" hidden="1" customHeight="1" x14ac:dyDescent="0.2"/>
    <row r="7685" ht="12.75" hidden="1" customHeight="1" x14ac:dyDescent="0.2"/>
    <row r="7686" ht="12.75" hidden="1" customHeight="1" x14ac:dyDescent="0.2"/>
    <row r="7687" ht="12.75" hidden="1" customHeight="1" x14ac:dyDescent="0.2"/>
    <row r="7688" ht="12.75" hidden="1" customHeight="1" x14ac:dyDescent="0.2"/>
    <row r="7689" ht="12.75" hidden="1" customHeight="1" x14ac:dyDescent="0.2"/>
    <row r="7690" ht="12.75" hidden="1" customHeight="1" x14ac:dyDescent="0.2"/>
    <row r="7691" ht="12.75" hidden="1" customHeight="1" x14ac:dyDescent="0.2"/>
    <row r="7692" ht="12.75" hidden="1" customHeight="1" x14ac:dyDescent="0.2"/>
    <row r="7693" ht="12.75" hidden="1" customHeight="1" x14ac:dyDescent="0.2"/>
    <row r="7694" ht="12.75" hidden="1" customHeight="1" x14ac:dyDescent="0.2"/>
    <row r="7695" ht="12.75" hidden="1" customHeight="1" x14ac:dyDescent="0.2"/>
    <row r="7696" ht="12.75" hidden="1" customHeight="1" x14ac:dyDescent="0.2"/>
    <row r="7697" ht="12.75" hidden="1" customHeight="1" x14ac:dyDescent="0.2"/>
    <row r="7698" ht="12.75" hidden="1" customHeight="1" x14ac:dyDescent="0.2"/>
    <row r="7699" ht="12.75" hidden="1" customHeight="1" x14ac:dyDescent="0.2"/>
    <row r="7700" ht="12.75" hidden="1" customHeight="1" x14ac:dyDescent="0.2"/>
    <row r="7701" ht="12.75" hidden="1" customHeight="1" x14ac:dyDescent="0.2"/>
    <row r="7702" ht="12.75" hidden="1" customHeight="1" x14ac:dyDescent="0.2"/>
    <row r="7703" ht="12.75" hidden="1" customHeight="1" x14ac:dyDescent="0.2"/>
    <row r="7704" ht="12.75" hidden="1" customHeight="1" x14ac:dyDescent="0.2"/>
    <row r="7705" ht="12.75" hidden="1" customHeight="1" x14ac:dyDescent="0.2"/>
    <row r="7706" ht="12.75" hidden="1" customHeight="1" x14ac:dyDescent="0.2"/>
    <row r="7707" ht="12.75" hidden="1" customHeight="1" x14ac:dyDescent="0.2"/>
    <row r="7708" ht="12.75" hidden="1" customHeight="1" x14ac:dyDescent="0.2"/>
    <row r="7709" ht="12.75" hidden="1" customHeight="1" x14ac:dyDescent="0.2"/>
    <row r="7710" ht="12.75" hidden="1" customHeight="1" x14ac:dyDescent="0.2"/>
    <row r="7711" ht="12.75" hidden="1" customHeight="1" x14ac:dyDescent="0.2"/>
    <row r="7712" ht="12.75" hidden="1" customHeight="1" x14ac:dyDescent="0.2"/>
    <row r="7713" ht="12.75" hidden="1" customHeight="1" x14ac:dyDescent="0.2"/>
    <row r="7714" ht="12.75" hidden="1" customHeight="1" x14ac:dyDescent="0.2"/>
    <row r="7715" ht="12.75" hidden="1" customHeight="1" x14ac:dyDescent="0.2"/>
    <row r="7716" ht="12.75" hidden="1" customHeight="1" x14ac:dyDescent="0.2"/>
    <row r="7717" ht="12.75" hidden="1" customHeight="1" x14ac:dyDescent="0.2"/>
    <row r="7718" ht="12.75" hidden="1" customHeight="1" x14ac:dyDescent="0.2"/>
    <row r="7719" ht="12.75" hidden="1" customHeight="1" x14ac:dyDescent="0.2"/>
    <row r="7720" ht="12.75" hidden="1" customHeight="1" x14ac:dyDescent="0.2"/>
    <row r="7721" ht="12.75" hidden="1" customHeight="1" x14ac:dyDescent="0.2"/>
    <row r="7722" ht="12.75" hidden="1" customHeight="1" x14ac:dyDescent="0.2"/>
    <row r="7723" ht="12.75" hidden="1" customHeight="1" x14ac:dyDescent="0.2"/>
    <row r="7724" ht="12.75" hidden="1" customHeight="1" x14ac:dyDescent="0.2"/>
    <row r="7725" ht="12.75" hidden="1" customHeight="1" x14ac:dyDescent="0.2"/>
    <row r="7726" ht="12.75" hidden="1" customHeight="1" x14ac:dyDescent="0.2"/>
    <row r="7727" ht="12.75" hidden="1" customHeight="1" x14ac:dyDescent="0.2"/>
    <row r="7728" ht="12.75" hidden="1" customHeight="1" x14ac:dyDescent="0.2"/>
    <row r="7729" ht="12.75" hidden="1" customHeight="1" x14ac:dyDescent="0.2"/>
    <row r="7730" ht="12.75" hidden="1" customHeight="1" x14ac:dyDescent="0.2"/>
    <row r="7731" ht="12.75" hidden="1" customHeight="1" x14ac:dyDescent="0.2"/>
    <row r="7732" ht="12.75" hidden="1" customHeight="1" x14ac:dyDescent="0.2"/>
    <row r="7733" ht="12.75" hidden="1" customHeight="1" x14ac:dyDescent="0.2"/>
    <row r="7734" ht="12.75" hidden="1" customHeight="1" x14ac:dyDescent="0.2"/>
    <row r="7735" ht="12.75" hidden="1" customHeight="1" x14ac:dyDescent="0.2"/>
    <row r="7736" ht="12.75" hidden="1" customHeight="1" x14ac:dyDescent="0.2"/>
    <row r="7737" ht="12.75" hidden="1" customHeight="1" x14ac:dyDescent="0.2"/>
    <row r="7738" ht="12.75" hidden="1" customHeight="1" x14ac:dyDescent="0.2"/>
    <row r="7739" ht="12.75" hidden="1" customHeight="1" x14ac:dyDescent="0.2"/>
    <row r="7740" ht="12.75" hidden="1" customHeight="1" x14ac:dyDescent="0.2"/>
    <row r="7741" ht="12.75" hidden="1" customHeight="1" x14ac:dyDescent="0.2"/>
    <row r="7742" ht="12.75" hidden="1" customHeight="1" x14ac:dyDescent="0.2"/>
    <row r="7743" ht="12.75" hidden="1" customHeight="1" x14ac:dyDescent="0.2"/>
    <row r="7744" ht="12.75" hidden="1" customHeight="1" x14ac:dyDescent="0.2"/>
    <row r="7745" ht="12.75" hidden="1" customHeight="1" x14ac:dyDescent="0.2"/>
    <row r="7746" ht="12.75" hidden="1" customHeight="1" x14ac:dyDescent="0.2"/>
    <row r="7747" ht="12.75" hidden="1" customHeight="1" x14ac:dyDescent="0.2"/>
    <row r="7748" ht="12.75" hidden="1" customHeight="1" x14ac:dyDescent="0.2"/>
    <row r="7749" ht="12.75" hidden="1" customHeight="1" x14ac:dyDescent="0.2"/>
    <row r="7750" ht="12.75" hidden="1" customHeight="1" x14ac:dyDescent="0.2"/>
    <row r="7751" ht="12.75" hidden="1" customHeight="1" x14ac:dyDescent="0.2"/>
    <row r="7752" ht="12.75" hidden="1" customHeight="1" x14ac:dyDescent="0.2"/>
    <row r="7753" ht="12.75" hidden="1" customHeight="1" x14ac:dyDescent="0.2"/>
    <row r="7754" ht="12.75" hidden="1" customHeight="1" x14ac:dyDescent="0.2"/>
    <row r="7755" ht="12.75" hidden="1" customHeight="1" x14ac:dyDescent="0.2"/>
    <row r="7756" ht="12.75" hidden="1" customHeight="1" x14ac:dyDescent="0.2"/>
    <row r="7757" ht="12.75" hidden="1" customHeight="1" x14ac:dyDescent="0.2"/>
    <row r="7758" ht="12.75" hidden="1" customHeight="1" x14ac:dyDescent="0.2"/>
    <row r="7759" ht="12.75" hidden="1" customHeight="1" x14ac:dyDescent="0.2"/>
    <row r="7760" ht="12.75" hidden="1" customHeight="1" x14ac:dyDescent="0.2"/>
    <row r="7761" ht="12.75" hidden="1" customHeight="1" x14ac:dyDescent="0.2"/>
    <row r="7762" ht="12.75" hidden="1" customHeight="1" x14ac:dyDescent="0.2"/>
    <row r="7763" ht="12.75" hidden="1" customHeight="1" x14ac:dyDescent="0.2"/>
    <row r="7764" ht="12.75" hidden="1" customHeight="1" x14ac:dyDescent="0.2"/>
    <row r="7765" ht="12.75" hidden="1" customHeight="1" x14ac:dyDescent="0.2"/>
    <row r="7766" ht="12.75" hidden="1" customHeight="1" x14ac:dyDescent="0.2"/>
    <row r="7767" ht="12.75" hidden="1" customHeight="1" x14ac:dyDescent="0.2"/>
    <row r="7768" ht="12.75" hidden="1" customHeight="1" x14ac:dyDescent="0.2"/>
    <row r="7769" ht="12.75" hidden="1" customHeight="1" x14ac:dyDescent="0.2"/>
    <row r="7770" ht="12.75" hidden="1" customHeight="1" x14ac:dyDescent="0.2"/>
    <row r="7771" ht="12.75" hidden="1" customHeight="1" x14ac:dyDescent="0.2"/>
    <row r="7772" ht="12.75" hidden="1" customHeight="1" x14ac:dyDescent="0.2"/>
    <row r="7773" ht="12.75" hidden="1" customHeight="1" x14ac:dyDescent="0.2"/>
    <row r="7774" ht="12.75" hidden="1" customHeight="1" x14ac:dyDescent="0.2"/>
    <row r="7775" ht="12.75" hidden="1" customHeight="1" x14ac:dyDescent="0.2"/>
    <row r="7776" ht="12.75" hidden="1" customHeight="1" x14ac:dyDescent="0.2"/>
    <row r="7777" ht="12.75" hidden="1" customHeight="1" x14ac:dyDescent="0.2"/>
    <row r="7778" ht="12.75" hidden="1" customHeight="1" x14ac:dyDescent="0.2"/>
    <row r="7779" ht="12.75" hidden="1" customHeight="1" x14ac:dyDescent="0.2"/>
    <row r="7780" ht="12.75" hidden="1" customHeight="1" x14ac:dyDescent="0.2"/>
    <row r="7781" ht="12.75" hidden="1" customHeight="1" x14ac:dyDescent="0.2"/>
    <row r="7782" ht="12.75" hidden="1" customHeight="1" x14ac:dyDescent="0.2"/>
    <row r="7783" ht="12.75" hidden="1" customHeight="1" x14ac:dyDescent="0.2"/>
    <row r="7784" ht="12.75" hidden="1" customHeight="1" x14ac:dyDescent="0.2"/>
    <row r="7785" ht="12.75" hidden="1" customHeight="1" x14ac:dyDescent="0.2"/>
    <row r="7786" ht="12.75" hidden="1" customHeight="1" x14ac:dyDescent="0.2"/>
    <row r="7787" ht="12.75" hidden="1" customHeight="1" x14ac:dyDescent="0.2"/>
    <row r="7788" ht="12.75" hidden="1" customHeight="1" x14ac:dyDescent="0.2"/>
    <row r="7789" ht="12.75" hidden="1" customHeight="1" x14ac:dyDescent="0.2"/>
    <row r="7790" ht="12.75" hidden="1" customHeight="1" x14ac:dyDescent="0.2"/>
    <row r="7791" ht="12.75" hidden="1" customHeight="1" x14ac:dyDescent="0.2"/>
    <row r="7792" ht="12.75" hidden="1" customHeight="1" x14ac:dyDescent="0.2"/>
    <row r="7793" ht="12.75" hidden="1" customHeight="1" x14ac:dyDescent="0.2"/>
    <row r="7794" ht="12.75" hidden="1" customHeight="1" x14ac:dyDescent="0.2"/>
    <row r="7795" ht="12.75" hidden="1" customHeight="1" x14ac:dyDescent="0.2"/>
    <row r="7796" ht="12.75" hidden="1" customHeight="1" x14ac:dyDescent="0.2"/>
    <row r="7797" ht="12.75" hidden="1" customHeight="1" x14ac:dyDescent="0.2"/>
    <row r="7798" ht="12.75" hidden="1" customHeight="1" x14ac:dyDescent="0.2"/>
    <row r="7799" ht="12.75" hidden="1" customHeight="1" x14ac:dyDescent="0.2"/>
    <row r="7800" ht="12.75" hidden="1" customHeight="1" x14ac:dyDescent="0.2"/>
    <row r="7801" ht="12.75" hidden="1" customHeight="1" x14ac:dyDescent="0.2"/>
    <row r="7802" ht="12.75" hidden="1" customHeight="1" x14ac:dyDescent="0.2"/>
    <row r="7803" ht="12.75" hidden="1" customHeight="1" x14ac:dyDescent="0.2"/>
    <row r="7804" ht="12.75" hidden="1" customHeight="1" x14ac:dyDescent="0.2"/>
    <row r="7805" ht="12.75" hidden="1" customHeight="1" x14ac:dyDescent="0.2"/>
    <row r="7806" ht="12.75" hidden="1" customHeight="1" x14ac:dyDescent="0.2"/>
    <row r="7807" ht="12.75" hidden="1" customHeight="1" x14ac:dyDescent="0.2"/>
    <row r="7808" ht="12.75" hidden="1" customHeight="1" x14ac:dyDescent="0.2"/>
    <row r="7809" ht="12.75" hidden="1" customHeight="1" x14ac:dyDescent="0.2"/>
    <row r="7810" ht="12.75" hidden="1" customHeight="1" x14ac:dyDescent="0.2"/>
    <row r="7811" ht="12.75" hidden="1" customHeight="1" x14ac:dyDescent="0.2"/>
    <row r="7812" ht="12.75" hidden="1" customHeight="1" x14ac:dyDescent="0.2"/>
    <row r="7813" ht="12.75" hidden="1" customHeight="1" x14ac:dyDescent="0.2"/>
    <row r="7814" ht="12.75" hidden="1" customHeight="1" x14ac:dyDescent="0.2"/>
    <row r="7815" ht="12.75" hidden="1" customHeight="1" x14ac:dyDescent="0.2"/>
    <row r="7816" ht="12.75" hidden="1" customHeight="1" x14ac:dyDescent="0.2"/>
    <row r="7817" ht="12.75" hidden="1" customHeight="1" x14ac:dyDescent="0.2"/>
    <row r="7818" ht="12.75" hidden="1" customHeight="1" x14ac:dyDescent="0.2"/>
    <row r="7819" ht="12.75" hidden="1" customHeight="1" x14ac:dyDescent="0.2"/>
    <row r="7820" ht="12.75" hidden="1" customHeight="1" x14ac:dyDescent="0.2"/>
    <row r="7821" ht="12.75" hidden="1" customHeight="1" x14ac:dyDescent="0.2"/>
    <row r="7822" ht="12.75" hidden="1" customHeight="1" x14ac:dyDescent="0.2"/>
    <row r="7823" ht="12.75" hidden="1" customHeight="1" x14ac:dyDescent="0.2"/>
    <row r="7824" ht="12.75" hidden="1" customHeight="1" x14ac:dyDescent="0.2"/>
    <row r="7825" ht="12.75" hidden="1" customHeight="1" x14ac:dyDescent="0.2"/>
    <row r="7826" ht="12.75" hidden="1" customHeight="1" x14ac:dyDescent="0.2"/>
    <row r="7827" ht="12.75" hidden="1" customHeight="1" x14ac:dyDescent="0.2"/>
    <row r="7828" ht="12.75" hidden="1" customHeight="1" x14ac:dyDescent="0.2"/>
    <row r="7829" ht="12.75" hidden="1" customHeight="1" x14ac:dyDescent="0.2"/>
    <row r="7830" ht="12.75" hidden="1" customHeight="1" x14ac:dyDescent="0.2"/>
    <row r="7831" ht="12.75" hidden="1" customHeight="1" x14ac:dyDescent="0.2"/>
    <row r="7832" ht="12.75" hidden="1" customHeight="1" x14ac:dyDescent="0.2"/>
    <row r="7833" ht="12.75" hidden="1" customHeight="1" x14ac:dyDescent="0.2"/>
    <row r="7834" ht="12.75" hidden="1" customHeight="1" x14ac:dyDescent="0.2"/>
    <row r="7835" ht="12.75" hidden="1" customHeight="1" x14ac:dyDescent="0.2"/>
    <row r="7836" ht="12.75" hidden="1" customHeight="1" x14ac:dyDescent="0.2"/>
    <row r="7837" ht="12.75" hidden="1" customHeight="1" x14ac:dyDescent="0.2"/>
    <row r="7838" ht="12.75" hidden="1" customHeight="1" x14ac:dyDescent="0.2"/>
    <row r="7839" ht="12.75" hidden="1" customHeight="1" x14ac:dyDescent="0.2"/>
    <row r="7840" ht="12.75" hidden="1" customHeight="1" x14ac:dyDescent="0.2"/>
    <row r="7841" ht="12.75" hidden="1" customHeight="1" x14ac:dyDescent="0.2"/>
    <row r="7842" ht="12.75" hidden="1" customHeight="1" x14ac:dyDescent="0.2"/>
    <row r="7843" ht="12.75" hidden="1" customHeight="1" x14ac:dyDescent="0.2"/>
    <row r="7844" ht="12.75" hidden="1" customHeight="1" x14ac:dyDescent="0.2"/>
    <row r="7845" ht="12.75" hidden="1" customHeight="1" x14ac:dyDescent="0.2"/>
    <row r="7846" ht="12.75" hidden="1" customHeight="1" x14ac:dyDescent="0.2"/>
    <row r="7847" ht="12.75" hidden="1" customHeight="1" x14ac:dyDescent="0.2"/>
    <row r="7848" ht="12.75" hidden="1" customHeight="1" x14ac:dyDescent="0.2"/>
    <row r="7849" ht="12.75" hidden="1" customHeight="1" x14ac:dyDescent="0.2"/>
    <row r="7850" ht="12.75" hidden="1" customHeight="1" x14ac:dyDescent="0.2"/>
    <row r="7851" ht="12.75" hidden="1" customHeight="1" x14ac:dyDescent="0.2"/>
    <row r="7852" ht="12.75" hidden="1" customHeight="1" x14ac:dyDescent="0.2"/>
    <row r="7853" ht="12.75" hidden="1" customHeight="1" x14ac:dyDescent="0.2"/>
    <row r="7854" ht="12.75" hidden="1" customHeight="1" x14ac:dyDescent="0.2"/>
    <row r="7855" ht="12.75" hidden="1" customHeight="1" x14ac:dyDescent="0.2"/>
    <row r="7856" ht="12.75" hidden="1" customHeight="1" x14ac:dyDescent="0.2"/>
    <row r="7857" ht="12.75" hidden="1" customHeight="1" x14ac:dyDescent="0.2"/>
    <row r="7858" ht="12.75" hidden="1" customHeight="1" x14ac:dyDescent="0.2"/>
    <row r="7859" ht="12.75" hidden="1" customHeight="1" x14ac:dyDescent="0.2"/>
    <row r="7860" ht="12.75" hidden="1" customHeight="1" x14ac:dyDescent="0.2"/>
    <row r="7861" ht="12.75" hidden="1" customHeight="1" x14ac:dyDescent="0.2"/>
    <row r="7862" ht="12.75" hidden="1" customHeight="1" x14ac:dyDescent="0.2"/>
    <row r="7863" ht="12.75" hidden="1" customHeight="1" x14ac:dyDescent="0.2"/>
    <row r="7864" ht="12.75" hidden="1" customHeight="1" x14ac:dyDescent="0.2"/>
    <row r="7865" ht="12.75" hidden="1" customHeight="1" x14ac:dyDescent="0.2"/>
    <row r="7866" ht="12.75" hidden="1" customHeight="1" x14ac:dyDescent="0.2"/>
    <row r="7867" ht="12.75" hidden="1" customHeight="1" x14ac:dyDescent="0.2"/>
    <row r="7868" ht="12.75" hidden="1" customHeight="1" x14ac:dyDescent="0.2"/>
    <row r="7869" ht="12.75" hidden="1" customHeight="1" x14ac:dyDescent="0.2"/>
    <row r="7870" ht="12.75" hidden="1" customHeight="1" x14ac:dyDescent="0.2"/>
    <row r="7871" ht="12.75" hidden="1" customHeight="1" x14ac:dyDescent="0.2"/>
    <row r="7872" ht="12.75" hidden="1" customHeight="1" x14ac:dyDescent="0.2"/>
    <row r="7873" ht="12.75" hidden="1" customHeight="1" x14ac:dyDescent="0.2"/>
    <row r="7874" ht="12.75" hidden="1" customHeight="1" x14ac:dyDescent="0.2"/>
    <row r="7875" ht="12.75" hidden="1" customHeight="1" x14ac:dyDescent="0.2"/>
    <row r="7876" ht="12.75" hidden="1" customHeight="1" x14ac:dyDescent="0.2"/>
    <row r="7877" ht="12.75" hidden="1" customHeight="1" x14ac:dyDescent="0.2"/>
    <row r="7878" ht="12.75" hidden="1" customHeight="1" x14ac:dyDescent="0.2"/>
    <row r="7879" ht="12.75" hidden="1" customHeight="1" x14ac:dyDescent="0.2"/>
    <row r="7880" ht="12.75" hidden="1" customHeight="1" x14ac:dyDescent="0.2"/>
    <row r="7881" ht="12.75" hidden="1" customHeight="1" x14ac:dyDescent="0.2"/>
    <row r="7882" ht="12.75" hidden="1" customHeight="1" x14ac:dyDescent="0.2"/>
    <row r="7883" ht="12.75" hidden="1" customHeight="1" x14ac:dyDescent="0.2"/>
    <row r="7884" ht="12.75" hidden="1" customHeight="1" x14ac:dyDescent="0.2"/>
    <row r="7885" ht="12.75" hidden="1" customHeight="1" x14ac:dyDescent="0.2"/>
    <row r="7886" ht="12.75" hidden="1" customHeight="1" x14ac:dyDescent="0.2"/>
    <row r="7887" ht="12.75" hidden="1" customHeight="1" x14ac:dyDescent="0.2"/>
    <row r="7888" ht="12.75" hidden="1" customHeight="1" x14ac:dyDescent="0.2"/>
    <row r="7889" ht="12.75" hidden="1" customHeight="1" x14ac:dyDescent="0.2"/>
    <row r="7890" ht="12.75" hidden="1" customHeight="1" x14ac:dyDescent="0.2"/>
    <row r="7891" ht="12.75" hidden="1" customHeight="1" x14ac:dyDescent="0.2"/>
    <row r="7892" ht="12.75" hidden="1" customHeight="1" x14ac:dyDescent="0.2"/>
    <row r="7893" ht="12.75" hidden="1" customHeight="1" x14ac:dyDescent="0.2"/>
    <row r="7894" ht="12.75" hidden="1" customHeight="1" x14ac:dyDescent="0.2"/>
    <row r="7895" ht="12.75" hidden="1" customHeight="1" x14ac:dyDescent="0.2"/>
    <row r="7896" ht="12.75" hidden="1" customHeight="1" x14ac:dyDescent="0.2"/>
    <row r="7897" ht="12.75" hidden="1" customHeight="1" x14ac:dyDescent="0.2"/>
    <row r="7898" ht="12.75" hidden="1" customHeight="1" x14ac:dyDescent="0.2"/>
    <row r="7899" ht="12.75" hidden="1" customHeight="1" x14ac:dyDescent="0.2"/>
    <row r="7900" ht="12.75" hidden="1" customHeight="1" x14ac:dyDescent="0.2"/>
    <row r="7901" ht="12.75" hidden="1" customHeight="1" x14ac:dyDescent="0.2"/>
    <row r="7902" ht="12.75" hidden="1" customHeight="1" x14ac:dyDescent="0.2"/>
    <row r="7903" ht="12.75" hidden="1" customHeight="1" x14ac:dyDescent="0.2"/>
    <row r="7904" ht="12.75" hidden="1" customHeight="1" x14ac:dyDescent="0.2"/>
    <row r="7905" ht="12.75" hidden="1" customHeight="1" x14ac:dyDescent="0.2"/>
    <row r="7906" ht="12.75" hidden="1" customHeight="1" x14ac:dyDescent="0.2"/>
    <row r="7907" ht="12.75" hidden="1" customHeight="1" x14ac:dyDescent="0.2"/>
    <row r="7908" ht="12.75" hidden="1" customHeight="1" x14ac:dyDescent="0.2"/>
    <row r="7909" ht="12.75" hidden="1" customHeight="1" x14ac:dyDescent="0.2"/>
    <row r="7910" ht="12.75" hidden="1" customHeight="1" x14ac:dyDescent="0.2"/>
    <row r="7911" ht="12.75" hidden="1" customHeight="1" x14ac:dyDescent="0.2"/>
    <row r="7912" ht="12.75" hidden="1" customHeight="1" x14ac:dyDescent="0.2"/>
    <row r="7913" ht="12.75" hidden="1" customHeight="1" x14ac:dyDescent="0.2"/>
    <row r="7914" ht="12.75" hidden="1" customHeight="1" x14ac:dyDescent="0.2"/>
    <row r="7915" ht="12.75" hidden="1" customHeight="1" x14ac:dyDescent="0.2"/>
    <row r="7916" ht="12.75" hidden="1" customHeight="1" x14ac:dyDescent="0.2"/>
    <row r="7917" ht="12.75" hidden="1" customHeight="1" x14ac:dyDescent="0.2"/>
    <row r="7918" ht="12.75" hidden="1" customHeight="1" x14ac:dyDescent="0.2"/>
    <row r="7919" ht="12.75" hidden="1" customHeight="1" x14ac:dyDescent="0.2"/>
    <row r="7920" ht="12.75" hidden="1" customHeight="1" x14ac:dyDescent="0.2"/>
    <row r="7921" ht="12.75" hidden="1" customHeight="1" x14ac:dyDescent="0.2"/>
    <row r="7922" ht="12.75" hidden="1" customHeight="1" x14ac:dyDescent="0.2"/>
    <row r="7923" ht="12.75" hidden="1" customHeight="1" x14ac:dyDescent="0.2"/>
    <row r="7924" ht="12.75" hidden="1" customHeight="1" x14ac:dyDescent="0.2"/>
    <row r="7925" ht="12.75" hidden="1" customHeight="1" x14ac:dyDescent="0.2"/>
    <row r="7926" ht="12.75" hidden="1" customHeight="1" x14ac:dyDescent="0.2"/>
    <row r="7927" ht="12.75" hidden="1" customHeight="1" x14ac:dyDescent="0.2"/>
    <row r="7928" ht="12.75" hidden="1" customHeight="1" x14ac:dyDescent="0.2"/>
    <row r="7929" ht="12.75" hidden="1" customHeight="1" x14ac:dyDescent="0.2"/>
    <row r="7930" ht="12.75" hidden="1" customHeight="1" x14ac:dyDescent="0.2"/>
    <row r="7931" ht="12.75" hidden="1" customHeight="1" x14ac:dyDescent="0.2"/>
    <row r="7932" ht="12.75" hidden="1" customHeight="1" x14ac:dyDescent="0.2"/>
    <row r="7933" ht="12.75" hidden="1" customHeight="1" x14ac:dyDescent="0.2"/>
    <row r="7934" ht="12.75" hidden="1" customHeight="1" x14ac:dyDescent="0.2"/>
    <row r="7935" ht="12.75" hidden="1" customHeight="1" x14ac:dyDescent="0.2"/>
    <row r="7936" ht="12.75" hidden="1" customHeight="1" x14ac:dyDescent="0.2"/>
    <row r="7937" ht="12.75" hidden="1" customHeight="1" x14ac:dyDescent="0.2"/>
    <row r="7938" ht="12.75" hidden="1" customHeight="1" x14ac:dyDescent="0.2"/>
    <row r="7939" ht="12.75" hidden="1" customHeight="1" x14ac:dyDescent="0.2"/>
    <row r="7940" ht="12.75" hidden="1" customHeight="1" x14ac:dyDescent="0.2"/>
    <row r="7941" ht="12.75" hidden="1" customHeight="1" x14ac:dyDescent="0.2"/>
    <row r="7942" ht="12.75" hidden="1" customHeight="1" x14ac:dyDescent="0.2"/>
    <row r="7943" ht="12.75" hidden="1" customHeight="1" x14ac:dyDescent="0.2"/>
    <row r="7944" ht="12.75" hidden="1" customHeight="1" x14ac:dyDescent="0.2"/>
    <row r="7945" ht="12.75" hidden="1" customHeight="1" x14ac:dyDescent="0.2"/>
    <row r="7946" ht="12.75" hidden="1" customHeight="1" x14ac:dyDescent="0.2"/>
    <row r="7947" ht="12.75" hidden="1" customHeight="1" x14ac:dyDescent="0.2"/>
    <row r="7948" ht="12.75" hidden="1" customHeight="1" x14ac:dyDescent="0.2"/>
    <row r="7949" ht="12.75" hidden="1" customHeight="1" x14ac:dyDescent="0.2"/>
    <row r="7950" ht="12.75" hidden="1" customHeight="1" x14ac:dyDescent="0.2"/>
    <row r="7951" ht="12.75" hidden="1" customHeight="1" x14ac:dyDescent="0.2"/>
    <row r="7952" ht="12.75" hidden="1" customHeight="1" x14ac:dyDescent="0.2"/>
    <row r="7953" ht="12.75" hidden="1" customHeight="1" x14ac:dyDescent="0.2"/>
    <row r="7954" ht="12.75" hidden="1" customHeight="1" x14ac:dyDescent="0.2"/>
    <row r="7955" ht="12.75" hidden="1" customHeight="1" x14ac:dyDescent="0.2"/>
    <row r="7956" ht="12.75" hidden="1" customHeight="1" x14ac:dyDescent="0.2"/>
    <row r="7957" ht="12.75" hidden="1" customHeight="1" x14ac:dyDescent="0.2"/>
    <row r="7958" ht="12.75" hidden="1" customHeight="1" x14ac:dyDescent="0.2"/>
    <row r="7959" ht="12.75" hidden="1" customHeight="1" x14ac:dyDescent="0.2"/>
    <row r="7960" ht="12.75" hidden="1" customHeight="1" x14ac:dyDescent="0.2"/>
    <row r="7961" ht="12.75" hidden="1" customHeight="1" x14ac:dyDescent="0.2"/>
    <row r="7962" ht="12.75" hidden="1" customHeight="1" x14ac:dyDescent="0.2"/>
    <row r="7963" ht="12.75" hidden="1" customHeight="1" x14ac:dyDescent="0.2"/>
    <row r="7964" ht="12.75" hidden="1" customHeight="1" x14ac:dyDescent="0.2"/>
    <row r="7965" ht="12.75" hidden="1" customHeight="1" x14ac:dyDescent="0.2"/>
    <row r="7966" ht="12.75" hidden="1" customHeight="1" x14ac:dyDescent="0.2"/>
    <row r="7967" ht="12.75" hidden="1" customHeight="1" x14ac:dyDescent="0.2"/>
    <row r="7968" ht="12.75" hidden="1" customHeight="1" x14ac:dyDescent="0.2"/>
    <row r="7969" ht="12.75" hidden="1" customHeight="1" x14ac:dyDescent="0.2"/>
    <row r="7970" ht="12.75" hidden="1" customHeight="1" x14ac:dyDescent="0.2"/>
    <row r="7971" ht="12.75" hidden="1" customHeight="1" x14ac:dyDescent="0.2"/>
    <row r="7972" ht="12.75" hidden="1" customHeight="1" x14ac:dyDescent="0.2"/>
    <row r="7973" ht="12.75" hidden="1" customHeight="1" x14ac:dyDescent="0.2"/>
    <row r="7974" ht="12.75" hidden="1" customHeight="1" x14ac:dyDescent="0.2"/>
    <row r="7975" ht="12.75" hidden="1" customHeight="1" x14ac:dyDescent="0.2"/>
    <row r="7976" ht="12.75" hidden="1" customHeight="1" x14ac:dyDescent="0.2"/>
    <row r="7977" ht="12.75" hidden="1" customHeight="1" x14ac:dyDescent="0.2"/>
    <row r="7978" ht="12.75" hidden="1" customHeight="1" x14ac:dyDescent="0.2"/>
    <row r="7979" ht="12.75" hidden="1" customHeight="1" x14ac:dyDescent="0.2"/>
    <row r="7980" ht="12.75" hidden="1" customHeight="1" x14ac:dyDescent="0.2"/>
    <row r="7981" ht="12.75" hidden="1" customHeight="1" x14ac:dyDescent="0.2"/>
    <row r="7982" ht="12.75" hidden="1" customHeight="1" x14ac:dyDescent="0.2"/>
    <row r="7983" ht="12.75" hidden="1" customHeight="1" x14ac:dyDescent="0.2"/>
    <row r="7984" ht="12.75" hidden="1" customHeight="1" x14ac:dyDescent="0.2"/>
    <row r="7985" ht="12.75" hidden="1" customHeight="1" x14ac:dyDescent="0.2"/>
    <row r="7986" ht="12.75" hidden="1" customHeight="1" x14ac:dyDescent="0.2"/>
    <row r="7987" ht="12.75" hidden="1" customHeight="1" x14ac:dyDescent="0.2"/>
    <row r="7988" ht="12.75" hidden="1" customHeight="1" x14ac:dyDescent="0.2"/>
    <row r="7989" ht="12.75" hidden="1" customHeight="1" x14ac:dyDescent="0.2"/>
    <row r="7990" ht="12.75" hidden="1" customHeight="1" x14ac:dyDescent="0.2"/>
    <row r="7991" ht="12.75" hidden="1" customHeight="1" x14ac:dyDescent="0.2"/>
    <row r="7992" ht="12.75" hidden="1" customHeight="1" x14ac:dyDescent="0.2"/>
    <row r="7993" ht="12.75" hidden="1" customHeight="1" x14ac:dyDescent="0.2"/>
    <row r="7994" ht="12.75" hidden="1" customHeight="1" x14ac:dyDescent="0.2"/>
    <row r="7995" ht="12.75" hidden="1" customHeight="1" x14ac:dyDescent="0.2"/>
    <row r="7996" ht="12.75" hidden="1" customHeight="1" x14ac:dyDescent="0.2"/>
    <row r="7997" ht="12.75" hidden="1" customHeight="1" x14ac:dyDescent="0.2"/>
    <row r="7998" ht="12.75" hidden="1" customHeight="1" x14ac:dyDescent="0.2"/>
    <row r="7999" ht="12.75" hidden="1" customHeight="1" x14ac:dyDescent="0.2"/>
    <row r="8000" ht="12.75" hidden="1" customHeight="1" x14ac:dyDescent="0.2"/>
    <row r="8001" ht="12.75" hidden="1" customHeight="1" x14ac:dyDescent="0.2"/>
    <row r="8002" ht="12.75" hidden="1" customHeight="1" x14ac:dyDescent="0.2"/>
    <row r="8003" ht="12.75" hidden="1" customHeight="1" x14ac:dyDescent="0.2"/>
    <row r="8004" ht="12.75" hidden="1" customHeight="1" x14ac:dyDescent="0.2"/>
    <row r="8005" ht="12.75" hidden="1" customHeight="1" x14ac:dyDescent="0.2"/>
    <row r="8006" ht="12.75" hidden="1" customHeight="1" x14ac:dyDescent="0.2"/>
    <row r="8007" ht="12.75" hidden="1" customHeight="1" x14ac:dyDescent="0.2"/>
    <row r="8008" ht="12.75" hidden="1" customHeight="1" x14ac:dyDescent="0.2"/>
    <row r="8009" ht="12.75" hidden="1" customHeight="1" x14ac:dyDescent="0.2"/>
    <row r="8010" ht="12.75" hidden="1" customHeight="1" x14ac:dyDescent="0.2"/>
    <row r="8011" ht="12.75" hidden="1" customHeight="1" x14ac:dyDescent="0.2"/>
    <row r="8012" ht="12.75" hidden="1" customHeight="1" x14ac:dyDescent="0.2"/>
    <row r="8013" ht="12.75" hidden="1" customHeight="1" x14ac:dyDescent="0.2"/>
    <row r="8014" ht="12.75" hidden="1" customHeight="1" x14ac:dyDescent="0.2"/>
    <row r="8015" ht="12.75" hidden="1" customHeight="1" x14ac:dyDescent="0.2"/>
    <row r="8016" ht="12.75" hidden="1" customHeight="1" x14ac:dyDescent="0.2"/>
    <row r="8017" ht="12.75" hidden="1" customHeight="1" x14ac:dyDescent="0.2"/>
    <row r="8018" ht="12.75" hidden="1" customHeight="1" x14ac:dyDescent="0.2"/>
    <row r="8019" ht="12.75" hidden="1" customHeight="1" x14ac:dyDescent="0.2"/>
    <row r="8020" ht="12.75" hidden="1" customHeight="1" x14ac:dyDescent="0.2"/>
    <row r="8021" ht="12.75" hidden="1" customHeight="1" x14ac:dyDescent="0.2"/>
    <row r="8022" ht="12.75" hidden="1" customHeight="1" x14ac:dyDescent="0.2"/>
    <row r="8023" ht="12.75" hidden="1" customHeight="1" x14ac:dyDescent="0.2"/>
    <row r="8024" ht="12.75" hidden="1" customHeight="1" x14ac:dyDescent="0.2"/>
    <row r="8025" ht="12.75" hidden="1" customHeight="1" x14ac:dyDescent="0.2"/>
    <row r="8026" ht="12.75" hidden="1" customHeight="1" x14ac:dyDescent="0.2"/>
    <row r="8027" ht="12.75" hidden="1" customHeight="1" x14ac:dyDescent="0.2"/>
    <row r="8028" ht="12.75" hidden="1" customHeight="1" x14ac:dyDescent="0.2"/>
    <row r="8029" ht="12.75" hidden="1" customHeight="1" x14ac:dyDescent="0.2"/>
    <row r="8030" ht="12.75" hidden="1" customHeight="1" x14ac:dyDescent="0.2"/>
    <row r="8031" ht="12.75" hidden="1" customHeight="1" x14ac:dyDescent="0.2"/>
    <row r="8032" ht="12.75" hidden="1" customHeight="1" x14ac:dyDescent="0.2"/>
    <row r="8033" ht="12.75" hidden="1" customHeight="1" x14ac:dyDescent="0.2"/>
    <row r="8034" ht="12.75" hidden="1" customHeight="1" x14ac:dyDescent="0.2"/>
    <row r="8035" ht="12.75" hidden="1" customHeight="1" x14ac:dyDescent="0.2"/>
    <row r="8036" ht="12.75" hidden="1" customHeight="1" x14ac:dyDescent="0.2"/>
    <row r="8037" ht="12.75" hidden="1" customHeight="1" x14ac:dyDescent="0.2"/>
    <row r="8038" ht="12.75" hidden="1" customHeight="1" x14ac:dyDescent="0.2"/>
    <row r="8039" ht="12.75" hidden="1" customHeight="1" x14ac:dyDescent="0.2"/>
    <row r="8040" ht="12.75" hidden="1" customHeight="1" x14ac:dyDescent="0.2"/>
    <row r="8041" ht="12.75" hidden="1" customHeight="1" x14ac:dyDescent="0.2"/>
    <row r="8042" ht="12.75" hidden="1" customHeight="1" x14ac:dyDescent="0.2"/>
    <row r="8043" ht="12.75" hidden="1" customHeight="1" x14ac:dyDescent="0.2"/>
    <row r="8044" ht="12.75" hidden="1" customHeight="1" x14ac:dyDescent="0.2"/>
    <row r="8045" ht="12.75" hidden="1" customHeight="1" x14ac:dyDescent="0.2"/>
    <row r="8046" ht="12.75" hidden="1" customHeight="1" x14ac:dyDescent="0.2"/>
    <row r="8047" ht="12.75" hidden="1" customHeight="1" x14ac:dyDescent="0.2"/>
    <row r="8048" ht="12.75" hidden="1" customHeight="1" x14ac:dyDescent="0.2"/>
    <row r="8049" ht="12.75" hidden="1" customHeight="1" x14ac:dyDescent="0.2"/>
    <row r="8050" ht="12.75" hidden="1" customHeight="1" x14ac:dyDescent="0.2"/>
    <row r="8051" ht="12.75" hidden="1" customHeight="1" x14ac:dyDescent="0.2"/>
    <row r="8052" ht="12.75" hidden="1" customHeight="1" x14ac:dyDescent="0.2"/>
    <row r="8053" ht="12.75" hidden="1" customHeight="1" x14ac:dyDescent="0.2"/>
    <row r="8054" ht="12.75" hidden="1" customHeight="1" x14ac:dyDescent="0.2"/>
    <row r="8055" ht="12.75" hidden="1" customHeight="1" x14ac:dyDescent="0.2"/>
    <row r="8056" ht="12.75" hidden="1" customHeight="1" x14ac:dyDescent="0.2"/>
    <row r="8057" ht="12.75" hidden="1" customHeight="1" x14ac:dyDescent="0.2"/>
    <row r="8058" ht="12.75" hidden="1" customHeight="1" x14ac:dyDescent="0.2"/>
    <row r="8059" ht="12.75" hidden="1" customHeight="1" x14ac:dyDescent="0.2"/>
    <row r="8060" ht="12.75" hidden="1" customHeight="1" x14ac:dyDescent="0.2"/>
    <row r="8061" ht="12.75" hidden="1" customHeight="1" x14ac:dyDescent="0.2"/>
    <row r="8062" ht="12.75" hidden="1" customHeight="1" x14ac:dyDescent="0.2"/>
    <row r="8063" ht="12.75" hidden="1" customHeight="1" x14ac:dyDescent="0.2"/>
    <row r="8064" ht="12.75" hidden="1" customHeight="1" x14ac:dyDescent="0.2"/>
    <row r="8065" ht="12.75" hidden="1" customHeight="1" x14ac:dyDescent="0.2"/>
    <row r="8066" ht="12.75" hidden="1" customHeight="1" x14ac:dyDescent="0.2"/>
    <row r="8067" ht="12.75" hidden="1" customHeight="1" x14ac:dyDescent="0.2"/>
    <row r="8068" ht="12.75" hidden="1" customHeight="1" x14ac:dyDescent="0.2"/>
    <row r="8069" ht="12.75" hidden="1" customHeight="1" x14ac:dyDescent="0.2"/>
    <row r="8070" ht="12.75" hidden="1" customHeight="1" x14ac:dyDescent="0.2"/>
    <row r="8071" ht="12.75" hidden="1" customHeight="1" x14ac:dyDescent="0.2"/>
    <row r="8072" ht="12.75" hidden="1" customHeight="1" x14ac:dyDescent="0.2"/>
    <row r="8073" ht="12.75" hidden="1" customHeight="1" x14ac:dyDescent="0.2"/>
    <row r="8074" ht="12.75" hidden="1" customHeight="1" x14ac:dyDescent="0.2"/>
    <row r="8075" ht="12.75" hidden="1" customHeight="1" x14ac:dyDescent="0.2"/>
    <row r="8076" ht="12.75" hidden="1" customHeight="1" x14ac:dyDescent="0.2"/>
    <row r="8077" ht="12.75" hidden="1" customHeight="1" x14ac:dyDescent="0.2"/>
    <row r="8078" ht="12.75" hidden="1" customHeight="1" x14ac:dyDescent="0.2"/>
    <row r="8079" ht="12.75" hidden="1" customHeight="1" x14ac:dyDescent="0.2"/>
    <row r="8080" ht="12.75" hidden="1" customHeight="1" x14ac:dyDescent="0.2"/>
    <row r="8081" ht="12.75" hidden="1" customHeight="1" x14ac:dyDescent="0.2"/>
    <row r="8082" ht="12.75" hidden="1" customHeight="1" x14ac:dyDescent="0.2"/>
    <row r="8083" ht="12.75" hidden="1" customHeight="1" x14ac:dyDescent="0.2"/>
    <row r="8084" ht="12.75" hidden="1" customHeight="1" x14ac:dyDescent="0.2"/>
    <row r="8085" ht="12.75" hidden="1" customHeight="1" x14ac:dyDescent="0.2"/>
    <row r="8086" ht="12.75" hidden="1" customHeight="1" x14ac:dyDescent="0.2"/>
    <row r="8087" ht="12.75" hidden="1" customHeight="1" x14ac:dyDescent="0.2"/>
    <row r="8088" ht="12.75" hidden="1" customHeight="1" x14ac:dyDescent="0.2"/>
    <row r="8089" ht="12.75" hidden="1" customHeight="1" x14ac:dyDescent="0.2"/>
    <row r="8090" ht="12.75" hidden="1" customHeight="1" x14ac:dyDescent="0.2"/>
    <row r="8091" ht="12.75" hidden="1" customHeight="1" x14ac:dyDescent="0.2"/>
    <row r="8092" ht="12.75" hidden="1" customHeight="1" x14ac:dyDescent="0.2"/>
    <row r="8093" ht="12.75" hidden="1" customHeight="1" x14ac:dyDescent="0.2"/>
    <row r="8094" ht="12.75" hidden="1" customHeight="1" x14ac:dyDescent="0.2"/>
    <row r="8095" ht="12.75" hidden="1" customHeight="1" x14ac:dyDescent="0.2"/>
    <row r="8096" ht="12.75" hidden="1" customHeight="1" x14ac:dyDescent="0.2"/>
    <row r="8097" ht="12.75" hidden="1" customHeight="1" x14ac:dyDescent="0.2"/>
    <row r="8098" ht="12.75" hidden="1" customHeight="1" x14ac:dyDescent="0.2"/>
    <row r="8099" ht="12.75" hidden="1" customHeight="1" x14ac:dyDescent="0.2"/>
    <row r="8100" ht="12.75" hidden="1" customHeight="1" x14ac:dyDescent="0.2"/>
    <row r="8101" ht="12.75" hidden="1" customHeight="1" x14ac:dyDescent="0.2"/>
    <row r="8102" ht="12.75" hidden="1" customHeight="1" x14ac:dyDescent="0.2"/>
    <row r="8103" ht="12.75" hidden="1" customHeight="1" x14ac:dyDescent="0.2"/>
    <row r="8104" ht="12.75" hidden="1" customHeight="1" x14ac:dyDescent="0.2"/>
    <row r="8105" ht="12.75" hidden="1" customHeight="1" x14ac:dyDescent="0.2"/>
    <row r="8106" ht="12.75" hidden="1" customHeight="1" x14ac:dyDescent="0.2"/>
    <row r="8107" ht="12.75" hidden="1" customHeight="1" x14ac:dyDescent="0.2"/>
    <row r="8108" ht="12.75" hidden="1" customHeight="1" x14ac:dyDescent="0.2"/>
    <row r="8109" ht="12.75" hidden="1" customHeight="1" x14ac:dyDescent="0.2"/>
    <row r="8110" ht="12.75" hidden="1" customHeight="1" x14ac:dyDescent="0.2"/>
    <row r="8111" ht="12.75" hidden="1" customHeight="1" x14ac:dyDescent="0.2"/>
    <row r="8112" ht="12.75" hidden="1" customHeight="1" x14ac:dyDescent="0.2"/>
    <row r="8113" ht="12.75" hidden="1" customHeight="1" x14ac:dyDescent="0.2"/>
    <row r="8114" ht="12.75" hidden="1" customHeight="1" x14ac:dyDescent="0.2"/>
    <row r="8115" ht="12.75" hidden="1" customHeight="1" x14ac:dyDescent="0.2"/>
    <row r="8116" ht="12.75" hidden="1" customHeight="1" x14ac:dyDescent="0.2"/>
    <row r="8117" ht="12.75" hidden="1" customHeight="1" x14ac:dyDescent="0.2"/>
    <row r="8118" ht="12.75" hidden="1" customHeight="1" x14ac:dyDescent="0.2"/>
    <row r="8119" ht="12.75" hidden="1" customHeight="1" x14ac:dyDescent="0.2"/>
    <row r="8120" ht="12.75" hidden="1" customHeight="1" x14ac:dyDescent="0.2"/>
    <row r="8121" ht="12.75" hidden="1" customHeight="1" x14ac:dyDescent="0.2"/>
    <row r="8122" ht="12.75" hidden="1" customHeight="1" x14ac:dyDescent="0.2"/>
    <row r="8123" ht="12.75" hidden="1" customHeight="1" x14ac:dyDescent="0.2"/>
    <row r="8124" ht="12.75" hidden="1" customHeight="1" x14ac:dyDescent="0.2"/>
    <row r="8125" ht="12.75" hidden="1" customHeight="1" x14ac:dyDescent="0.2"/>
    <row r="8126" ht="12.75" hidden="1" customHeight="1" x14ac:dyDescent="0.2"/>
    <row r="8127" ht="12.75" hidden="1" customHeight="1" x14ac:dyDescent="0.2"/>
    <row r="8128" ht="12.75" hidden="1" customHeight="1" x14ac:dyDescent="0.2"/>
    <row r="8129" ht="12.75" hidden="1" customHeight="1" x14ac:dyDescent="0.2"/>
    <row r="8130" ht="12.75" hidden="1" customHeight="1" x14ac:dyDescent="0.2"/>
    <row r="8131" ht="12.75" hidden="1" customHeight="1" x14ac:dyDescent="0.2"/>
    <row r="8132" ht="12.75" hidden="1" customHeight="1" x14ac:dyDescent="0.2"/>
    <row r="8133" ht="12.75" hidden="1" customHeight="1" x14ac:dyDescent="0.2"/>
    <row r="8134" ht="12.75" hidden="1" customHeight="1" x14ac:dyDescent="0.2"/>
    <row r="8135" ht="12.75" hidden="1" customHeight="1" x14ac:dyDescent="0.2"/>
    <row r="8136" ht="12.75" hidden="1" customHeight="1" x14ac:dyDescent="0.2"/>
    <row r="8137" ht="12.75" hidden="1" customHeight="1" x14ac:dyDescent="0.2"/>
    <row r="8138" ht="12.75" hidden="1" customHeight="1" x14ac:dyDescent="0.2"/>
    <row r="8139" ht="12.75" hidden="1" customHeight="1" x14ac:dyDescent="0.2"/>
    <row r="8140" ht="12.75" hidden="1" customHeight="1" x14ac:dyDescent="0.2"/>
    <row r="8141" ht="12.75" hidden="1" customHeight="1" x14ac:dyDescent="0.2"/>
    <row r="8142" ht="12.75" hidden="1" customHeight="1" x14ac:dyDescent="0.2"/>
    <row r="8143" ht="12.75" hidden="1" customHeight="1" x14ac:dyDescent="0.2"/>
    <row r="8144" ht="12.75" hidden="1" customHeight="1" x14ac:dyDescent="0.2"/>
    <row r="8145" ht="12.75" hidden="1" customHeight="1" x14ac:dyDescent="0.2"/>
    <row r="8146" ht="12.75" hidden="1" customHeight="1" x14ac:dyDescent="0.2"/>
    <row r="8147" ht="12.75" hidden="1" customHeight="1" x14ac:dyDescent="0.2"/>
    <row r="8148" ht="12.75" hidden="1" customHeight="1" x14ac:dyDescent="0.2"/>
    <row r="8149" ht="12.75" hidden="1" customHeight="1" x14ac:dyDescent="0.2"/>
    <row r="8150" ht="12.75" hidden="1" customHeight="1" x14ac:dyDescent="0.2"/>
    <row r="8151" ht="12.75" hidden="1" customHeight="1" x14ac:dyDescent="0.2"/>
    <row r="8152" ht="12.75" hidden="1" customHeight="1" x14ac:dyDescent="0.2"/>
    <row r="8153" ht="12.75" hidden="1" customHeight="1" x14ac:dyDescent="0.2"/>
    <row r="8154" ht="12.75" hidden="1" customHeight="1" x14ac:dyDescent="0.2"/>
    <row r="8155" ht="12.75" hidden="1" customHeight="1" x14ac:dyDescent="0.2"/>
    <row r="8156" ht="12.75" hidden="1" customHeight="1" x14ac:dyDescent="0.2"/>
    <row r="8157" ht="12.75" hidden="1" customHeight="1" x14ac:dyDescent="0.2"/>
    <row r="8158" ht="12.75" hidden="1" customHeight="1" x14ac:dyDescent="0.2"/>
    <row r="8159" ht="12.75" hidden="1" customHeight="1" x14ac:dyDescent="0.2"/>
    <row r="8160" ht="12.75" hidden="1" customHeight="1" x14ac:dyDescent="0.2"/>
    <row r="8161" ht="12.75" hidden="1" customHeight="1" x14ac:dyDescent="0.2"/>
    <row r="8162" ht="12.75" hidden="1" customHeight="1" x14ac:dyDescent="0.2"/>
    <row r="8163" ht="12.75" hidden="1" customHeight="1" x14ac:dyDescent="0.2"/>
    <row r="8164" ht="12.75" hidden="1" customHeight="1" x14ac:dyDescent="0.2"/>
    <row r="8165" ht="12.75" hidden="1" customHeight="1" x14ac:dyDescent="0.2"/>
    <row r="8166" ht="12.75" hidden="1" customHeight="1" x14ac:dyDescent="0.2"/>
    <row r="8167" ht="12.75" hidden="1" customHeight="1" x14ac:dyDescent="0.2"/>
    <row r="8168" ht="12.75" hidden="1" customHeight="1" x14ac:dyDescent="0.2"/>
    <row r="8169" ht="12.75" hidden="1" customHeight="1" x14ac:dyDescent="0.2"/>
    <row r="8170" ht="12.75" hidden="1" customHeight="1" x14ac:dyDescent="0.2"/>
    <row r="8171" ht="12.75" hidden="1" customHeight="1" x14ac:dyDescent="0.2"/>
    <row r="8172" ht="12.75" hidden="1" customHeight="1" x14ac:dyDescent="0.2"/>
    <row r="8173" ht="12.75" hidden="1" customHeight="1" x14ac:dyDescent="0.2"/>
    <row r="8174" ht="12.75" hidden="1" customHeight="1" x14ac:dyDescent="0.2"/>
    <row r="8175" ht="12.75" hidden="1" customHeight="1" x14ac:dyDescent="0.2"/>
    <row r="8176" ht="12.75" hidden="1" customHeight="1" x14ac:dyDescent="0.2"/>
    <row r="8177" ht="12.75" hidden="1" customHeight="1" x14ac:dyDescent="0.2"/>
    <row r="8178" ht="12.75" hidden="1" customHeight="1" x14ac:dyDescent="0.2"/>
    <row r="8179" ht="12.75" hidden="1" customHeight="1" x14ac:dyDescent="0.2"/>
    <row r="8180" ht="12.75" hidden="1" customHeight="1" x14ac:dyDescent="0.2"/>
    <row r="8181" ht="12.75" hidden="1" customHeight="1" x14ac:dyDescent="0.2"/>
    <row r="8182" ht="12.75" hidden="1" customHeight="1" x14ac:dyDescent="0.2"/>
    <row r="8183" ht="12.75" hidden="1" customHeight="1" x14ac:dyDescent="0.2"/>
    <row r="8184" ht="12.75" hidden="1" customHeight="1" x14ac:dyDescent="0.2"/>
    <row r="8185" ht="12.75" hidden="1" customHeight="1" x14ac:dyDescent="0.2"/>
    <row r="8186" ht="12.75" hidden="1" customHeight="1" x14ac:dyDescent="0.2"/>
    <row r="8187" ht="12.75" hidden="1" customHeight="1" x14ac:dyDescent="0.2"/>
    <row r="8188" ht="12.75" hidden="1" customHeight="1" x14ac:dyDescent="0.2"/>
    <row r="8189" ht="12.75" hidden="1" customHeight="1" x14ac:dyDescent="0.2"/>
    <row r="8190" ht="12.75" hidden="1" customHeight="1" x14ac:dyDescent="0.2"/>
    <row r="8191" ht="12.75" hidden="1" customHeight="1" x14ac:dyDescent="0.2"/>
    <row r="8192" ht="12.75" hidden="1" customHeight="1" x14ac:dyDescent="0.2"/>
    <row r="8193" ht="12.75" hidden="1" customHeight="1" x14ac:dyDescent="0.2"/>
    <row r="8194" ht="12.75" hidden="1" customHeight="1" x14ac:dyDescent="0.2"/>
    <row r="8195" ht="12.75" hidden="1" customHeight="1" x14ac:dyDescent="0.2"/>
    <row r="8196" ht="12.75" hidden="1" customHeight="1" x14ac:dyDescent="0.2"/>
    <row r="8197" ht="12.75" hidden="1" customHeight="1" x14ac:dyDescent="0.2"/>
    <row r="8198" ht="12.75" hidden="1" customHeight="1" x14ac:dyDescent="0.2"/>
    <row r="8199" ht="12.75" hidden="1" customHeight="1" x14ac:dyDescent="0.2"/>
    <row r="8200" ht="12.75" hidden="1" customHeight="1" x14ac:dyDescent="0.2"/>
    <row r="8201" ht="12.75" hidden="1" customHeight="1" x14ac:dyDescent="0.2"/>
    <row r="8202" ht="12.75" hidden="1" customHeight="1" x14ac:dyDescent="0.2"/>
    <row r="8203" ht="12.75" hidden="1" customHeight="1" x14ac:dyDescent="0.2"/>
    <row r="8204" ht="12.75" hidden="1" customHeight="1" x14ac:dyDescent="0.2"/>
    <row r="8205" ht="12.75" hidden="1" customHeight="1" x14ac:dyDescent="0.2"/>
    <row r="8206" ht="12.75" hidden="1" customHeight="1" x14ac:dyDescent="0.2"/>
    <row r="8207" ht="12.75" hidden="1" customHeight="1" x14ac:dyDescent="0.2"/>
    <row r="8208" ht="12.75" hidden="1" customHeight="1" x14ac:dyDescent="0.2"/>
    <row r="8209" ht="12.75" hidden="1" customHeight="1" x14ac:dyDescent="0.2"/>
    <row r="8210" ht="12.75" hidden="1" customHeight="1" x14ac:dyDescent="0.2"/>
    <row r="8211" ht="12.75" hidden="1" customHeight="1" x14ac:dyDescent="0.2"/>
    <row r="8212" ht="12.75" hidden="1" customHeight="1" x14ac:dyDescent="0.2"/>
    <row r="8213" ht="12.75" hidden="1" customHeight="1" x14ac:dyDescent="0.2"/>
    <row r="8214" ht="12.75" hidden="1" customHeight="1" x14ac:dyDescent="0.2"/>
    <row r="8215" ht="12.75" hidden="1" customHeight="1" x14ac:dyDescent="0.2"/>
    <row r="8216" ht="12.75" hidden="1" customHeight="1" x14ac:dyDescent="0.2"/>
    <row r="8217" ht="12.75" hidden="1" customHeight="1" x14ac:dyDescent="0.2"/>
    <row r="8218" ht="12.75" hidden="1" customHeight="1" x14ac:dyDescent="0.2"/>
    <row r="8219" ht="12.75" hidden="1" customHeight="1" x14ac:dyDescent="0.2"/>
    <row r="8220" ht="12.75" hidden="1" customHeight="1" x14ac:dyDescent="0.2"/>
    <row r="8221" ht="12.75" hidden="1" customHeight="1" x14ac:dyDescent="0.2"/>
    <row r="8222" ht="12.75" hidden="1" customHeight="1" x14ac:dyDescent="0.2"/>
    <row r="8223" ht="12.75" hidden="1" customHeight="1" x14ac:dyDescent="0.2"/>
    <row r="8224" ht="12.75" hidden="1" customHeight="1" x14ac:dyDescent="0.2"/>
    <row r="8225" ht="12.75" hidden="1" customHeight="1" x14ac:dyDescent="0.2"/>
    <row r="8226" ht="12.75" hidden="1" customHeight="1" x14ac:dyDescent="0.2"/>
    <row r="8227" ht="12.75" hidden="1" customHeight="1" x14ac:dyDescent="0.2"/>
    <row r="8228" ht="12.75" hidden="1" customHeight="1" x14ac:dyDescent="0.2"/>
    <row r="8229" ht="12.75" hidden="1" customHeight="1" x14ac:dyDescent="0.2"/>
    <row r="8230" ht="12.75" hidden="1" customHeight="1" x14ac:dyDescent="0.2"/>
    <row r="8231" ht="12.75" hidden="1" customHeight="1" x14ac:dyDescent="0.2"/>
    <row r="8232" ht="12.75" hidden="1" customHeight="1" x14ac:dyDescent="0.2"/>
    <row r="8233" ht="12.75" hidden="1" customHeight="1" x14ac:dyDescent="0.2"/>
    <row r="8234" ht="12.75" hidden="1" customHeight="1" x14ac:dyDescent="0.2"/>
    <row r="8235" ht="12.75" hidden="1" customHeight="1" x14ac:dyDescent="0.2"/>
    <row r="8236" ht="12.75" hidden="1" customHeight="1" x14ac:dyDescent="0.2"/>
    <row r="8237" ht="12.75" hidden="1" customHeight="1" x14ac:dyDescent="0.2"/>
    <row r="8238" ht="12.75" hidden="1" customHeight="1" x14ac:dyDescent="0.2"/>
    <row r="8239" ht="12.75" hidden="1" customHeight="1" x14ac:dyDescent="0.2"/>
    <row r="8240" ht="12.75" hidden="1" customHeight="1" x14ac:dyDescent="0.2"/>
    <row r="8241" ht="12.75" hidden="1" customHeight="1" x14ac:dyDescent="0.2"/>
    <row r="8242" ht="12.75" hidden="1" customHeight="1" x14ac:dyDescent="0.2"/>
    <row r="8243" ht="12.75" hidden="1" customHeight="1" x14ac:dyDescent="0.2"/>
    <row r="8244" ht="12.75" hidden="1" customHeight="1" x14ac:dyDescent="0.2"/>
    <row r="8245" ht="12.75" hidden="1" customHeight="1" x14ac:dyDescent="0.2"/>
    <row r="8246" ht="12.75" hidden="1" customHeight="1" x14ac:dyDescent="0.2"/>
    <row r="8247" ht="12.75" hidden="1" customHeight="1" x14ac:dyDescent="0.2"/>
    <row r="8248" ht="12.75" hidden="1" customHeight="1" x14ac:dyDescent="0.2"/>
    <row r="8249" ht="12.75" hidden="1" customHeight="1" x14ac:dyDescent="0.2"/>
    <row r="8250" ht="12.75" hidden="1" customHeight="1" x14ac:dyDescent="0.2"/>
    <row r="8251" ht="12.75" hidden="1" customHeight="1" x14ac:dyDescent="0.2"/>
    <row r="8252" ht="12.75" hidden="1" customHeight="1" x14ac:dyDescent="0.2"/>
    <row r="8253" ht="12.75" hidden="1" customHeight="1" x14ac:dyDescent="0.2"/>
    <row r="8254" ht="12.75" hidden="1" customHeight="1" x14ac:dyDescent="0.2"/>
    <row r="8255" ht="12.75" hidden="1" customHeight="1" x14ac:dyDescent="0.2"/>
    <row r="8256" ht="12.75" hidden="1" customHeight="1" x14ac:dyDescent="0.2"/>
    <row r="8257" ht="12.75" hidden="1" customHeight="1" x14ac:dyDescent="0.2"/>
    <row r="8258" ht="12.75" hidden="1" customHeight="1" x14ac:dyDescent="0.2"/>
    <row r="8259" ht="12.75" hidden="1" customHeight="1" x14ac:dyDescent="0.2"/>
    <row r="8260" ht="12.75" hidden="1" customHeight="1" x14ac:dyDescent="0.2"/>
    <row r="8261" ht="12.75" hidden="1" customHeight="1" x14ac:dyDescent="0.2"/>
    <row r="8262" ht="12.75" hidden="1" customHeight="1" x14ac:dyDescent="0.2"/>
    <row r="8263" ht="12.75" hidden="1" customHeight="1" x14ac:dyDescent="0.2"/>
    <row r="8264" ht="12.75" hidden="1" customHeight="1" x14ac:dyDescent="0.2"/>
    <row r="8265" ht="12.75" hidden="1" customHeight="1" x14ac:dyDescent="0.2"/>
    <row r="8266" ht="12.75" hidden="1" customHeight="1" x14ac:dyDescent="0.2"/>
    <row r="8267" ht="12.75" hidden="1" customHeight="1" x14ac:dyDescent="0.2"/>
    <row r="8268" ht="12.75" hidden="1" customHeight="1" x14ac:dyDescent="0.2"/>
    <row r="8269" ht="12.75" hidden="1" customHeight="1" x14ac:dyDescent="0.2"/>
    <row r="8270" ht="12.75" hidden="1" customHeight="1" x14ac:dyDescent="0.2"/>
    <row r="8271" ht="12.75" hidden="1" customHeight="1" x14ac:dyDescent="0.2"/>
    <row r="8272" ht="12.75" hidden="1" customHeight="1" x14ac:dyDescent="0.2"/>
    <row r="8273" ht="12.75" hidden="1" customHeight="1" x14ac:dyDescent="0.2"/>
    <row r="8274" ht="12.75" hidden="1" customHeight="1" x14ac:dyDescent="0.2"/>
    <row r="8275" ht="12.75" hidden="1" customHeight="1" x14ac:dyDescent="0.2"/>
    <row r="8276" ht="12.75" hidden="1" customHeight="1" x14ac:dyDescent="0.2"/>
    <row r="8277" ht="12.75" hidden="1" customHeight="1" x14ac:dyDescent="0.2"/>
    <row r="8278" ht="12.75" hidden="1" customHeight="1" x14ac:dyDescent="0.2"/>
    <row r="8279" ht="12.75" hidden="1" customHeight="1" x14ac:dyDescent="0.2"/>
    <row r="8280" ht="12.75" hidden="1" customHeight="1" x14ac:dyDescent="0.2"/>
    <row r="8281" ht="12.75" hidden="1" customHeight="1" x14ac:dyDescent="0.2"/>
    <row r="8282" ht="12.75" hidden="1" customHeight="1" x14ac:dyDescent="0.2"/>
    <row r="8283" ht="12.75" hidden="1" customHeight="1" x14ac:dyDescent="0.2"/>
    <row r="8284" ht="12.75" hidden="1" customHeight="1" x14ac:dyDescent="0.2"/>
    <row r="8285" ht="12.75" hidden="1" customHeight="1" x14ac:dyDescent="0.2"/>
    <row r="8286" ht="12.75" hidden="1" customHeight="1" x14ac:dyDescent="0.2"/>
    <row r="8287" ht="12.75" hidden="1" customHeight="1" x14ac:dyDescent="0.2"/>
    <row r="8288" ht="12.75" hidden="1" customHeight="1" x14ac:dyDescent="0.2"/>
    <row r="8289" ht="12.75" hidden="1" customHeight="1" x14ac:dyDescent="0.2"/>
    <row r="8290" ht="12.75" hidden="1" customHeight="1" x14ac:dyDescent="0.2"/>
    <row r="8291" ht="12.75" hidden="1" customHeight="1" x14ac:dyDescent="0.2"/>
    <row r="8292" ht="12.75" hidden="1" customHeight="1" x14ac:dyDescent="0.2"/>
    <row r="8293" ht="12.75" hidden="1" customHeight="1" x14ac:dyDescent="0.2"/>
    <row r="8294" ht="12.75" hidden="1" customHeight="1" x14ac:dyDescent="0.2"/>
    <row r="8295" ht="12.75" hidden="1" customHeight="1" x14ac:dyDescent="0.2"/>
    <row r="8296" ht="12.75" hidden="1" customHeight="1" x14ac:dyDescent="0.2"/>
    <row r="8297" ht="12.75" hidden="1" customHeight="1" x14ac:dyDescent="0.2"/>
    <row r="8298" ht="12.75" hidden="1" customHeight="1" x14ac:dyDescent="0.2"/>
    <row r="8299" ht="12.75" hidden="1" customHeight="1" x14ac:dyDescent="0.2"/>
    <row r="8300" ht="12.75" hidden="1" customHeight="1" x14ac:dyDescent="0.2"/>
    <row r="8301" ht="12.75" hidden="1" customHeight="1" x14ac:dyDescent="0.2"/>
    <row r="8302" ht="12.75" hidden="1" customHeight="1" x14ac:dyDescent="0.2"/>
    <row r="8303" ht="12.75" hidden="1" customHeight="1" x14ac:dyDescent="0.2"/>
    <row r="8304" ht="12.75" hidden="1" customHeight="1" x14ac:dyDescent="0.2"/>
    <row r="8305" ht="12.75" hidden="1" customHeight="1" x14ac:dyDescent="0.2"/>
    <row r="8306" ht="12.75" hidden="1" customHeight="1" x14ac:dyDescent="0.2"/>
    <row r="8307" ht="12.75" hidden="1" customHeight="1" x14ac:dyDescent="0.2"/>
    <row r="8308" ht="12.75" hidden="1" customHeight="1" x14ac:dyDescent="0.2"/>
    <row r="8309" ht="12.75" hidden="1" customHeight="1" x14ac:dyDescent="0.2"/>
    <row r="8310" ht="12.75" hidden="1" customHeight="1" x14ac:dyDescent="0.2"/>
    <row r="8311" ht="12.75" hidden="1" customHeight="1" x14ac:dyDescent="0.2"/>
    <row r="8312" ht="12.75" hidden="1" customHeight="1" x14ac:dyDescent="0.2"/>
    <row r="8313" ht="12.75" hidden="1" customHeight="1" x14ac:dyDescent="0.2"/>
    <row r="8314" ht="12.75" hidden="1" customHeight="1" x14ac:dyDescent="0.2"/>
    <row r="8315" ht="12.75" hidden="1" customHeight="1" x14ac:dyDescent="0.2"/>
    <row r="8316" ht="12.75" hidden="1" customHeight="1" x14ac:dyDescent="0.2"/>
    <row r="8317" ht="12.75" hidden="1" customHeight="1" x14ac:dyDescent="0.2"/>
    <row r="8318" ht="12.75" hidden="1" customHeight="1" x14ac:dyDescent="0.2"/>
    <row r="8319" ht="12.75" hidden="1" customHeight="1" x14ac:dyDescent="0.2"/>
    <row r="8320" ht="12.75" hidden="1" customHeight="1" x14ac:dyDescent="0.2"/>
    <row r="8321" ht="12.75" hidden="1" customHeight="1" x14ac:dyDescent="0.2"/>
    <row r="8322" ht="12.75" hidden="1" customHeight="1" x14ac:dyDescent="0.2"/>
    <row r="8323" ht="12.75" hidden="1" customHeight="1" x14ac:dyDescent="0.2"/>
    <row r="8324" ht="12.75" hidden="1" customHeight="1" x14ac:dyDescent="0.2"/>
    <row r="8325" ht="12.75" hidden="1" customHeight="1" x14ac:dyDescent="0.2"/>
    <row r="8326" ht="12.75" hidden="1" customHeight="1" x14ac:dyDescent="0.2"/>
    <row r="8327" ht="12.75" hidden="1" customHeight="1" x14ac:dyDescent="0.2"/>
    <row r="8328" ht="12.75" hidden="1" customHeight="1" x14ac:dyDescent="0.2"/>
    <row r="8329" ht="12.75" hidden="1" customHeight="1" x14ac:dyDescent="0.2"/>
    <row r="8330" ht="12.75" hidden="1" customHeight="1" x14ac:dyDescent="0.2"/>
    <row r="8331" ht="12.75" hidden="1" customHeight="1" x14ac:dyDescent="0.2"/>
    <row r="8332" ht="12.75" hidden="1" customHeight="1" x14ac:dyDescent="0.2"/>
    <row r="8333" ht="12.75" hidden="1" customHeight="1" x14ac:dyDescent="0.2"/>
    <row r="8334" ht="12.75" hidden="1" customHeight="1" x14ac:dyDescent="0.2"/>
    <row r="8335" ht="12.75" hidden="1" customHeight="1" x14ac:dyDescent="0.2"/>
    <row r="8336" ht="12.75" hidden="1" customHeight="1" x14ac:dyDescent="0.2"/>
    <row r="8337" ht="12.75" hidden="1" customHeight="1" x14ac:dyDescent="0.2"/>
    <row r="8338" ht="12.75" hidden="1" customHeight="1" x14ac:dyDescent="0.2"/>
    <row r="8339" ht="12.75" hidden="1" customHeight="1" x14ac:dyDescent="0.2"/>
    <row r="8340" ht="12.75" hidden="1" customHeight="1" x14ac:dyDescent="0.2"/>
    <row r="8341" ht="12.75" hidden="1" customHeight="1" x14ac:dyDescent="0.2"/>
    <row r="8342" ht="12.75" hidden="1" customHeight="1" x14ac:dyDescent="0.2"/>
    <row r="8343" ht="12.75" hidden="1" customHeight="1" x14ac:dyDescent="0.2"/>
    <row r="8344" ht="12.75" hidden="1" customHeight="1" x14ac:dyDescent="0.2"/>
    <row r="8345" ht="12.75" hidden="1" customHeight="1" x14ac:dyDescent="0.2"/>
    <row r="8346" ht="12.75" hidden="1" customHeight="1" x14ac:dyDescent="0.2"/>
    <row r="8347" ht="12.75" hidden="1" customHeight="1" x14ac:dyDescent="0.2"/>
    <row r="8348" ht="12.75" hidden="1" customHeight="1" x14ac:dyDescent="0.2"/>
    <row r="8349" ht="12.75" hidden="1" customHeight="1" x14ac:dyDescent="0.2"/>
    <row r="8350" ht="12.75" hidden="1" customHeight="1" x14ac:dyDescent="0.2"/>
    <row r="8351" ht="12.75" hidden="1" customHeight="1" x14ac:dyDescent="0.2"/>
    <row r="8352" ht="12.75" hidden="1" customHeight="1" x14ac:dyDescent="0.2"/>
    <row r="8353" ht="12.75" hidden="1" customHeight="1" x14ac:dyDescent="0.2"/>
    <row r="8354" ht="12.75" hidden="1" customHeight="1" x14ac:dyDescent="0.2"/>
    <row r="8355" ht="12.75" hidden="1" customHeight="1" x14ac:dyDescent="0.2"/>
    <row r="8356" ht="12.75" hidden="1" customHeight="1" x14ac:dyDescent="0.2"/>
    <row r="8357" ht="12.75" hidden="1" customHeight="1" x14ac:dyDescent="0.2"/>
    <row r="8358" ht="12.75" hidden="1" customHeight="1" x14ac:dyDescent="0.2"/>
    <row r="8359" ht="12.75" hidden="1" customHeight="1" x14ac:dyDescent="0.2"/>
    <row r="8360" ht="12.75" hidden="1" customHeight="1" x14ac:dyDescent="0.2"/>
    <row r="8361" ht="12.75" hidden="1" customHeight="1" x14ac:dyDescent="0.2"/>
    <row r="8362" ht="12.75" hidden="1" customHeight="1" x14ac:dyDescent="0.2"/>
    <row r="8363" ht="12.75" hidden="1" customHeight="1" x14ac:dyDescent="0.2"/>
    <row r="8364" ht="12.75" hidden="1" customHeight="1" x14ac:dyDescent="0.2"/>
    <row r="8365" ht="12.75" hidden="1" customHeight="1" x14ac:dyDescent="0.2"/>
    <row r="8366" ht="12.75" hidden="1" customHeight="1" x14ac:dyDescent="0.2"/>
    <row r="8367" ht="12.75" hidden="1" customHeight="1" x14ac:dyDescent="0.2"/>
    <row r="8368" ht="12.75" hidden="1" customHeight="1" x14ac:dyDescent="0.2"/>
    <row r="8369" ht="12.75" hidden="1" customHeight="1" x14ac:dyDescent="0.2"/>
    <row r="8370" ht="12.75" hidden="1" customHeight="1" x14ac:dyDescent="0.2"/>
    <row r="8371" ht="12.75" hidden="1" customHeight="1" x14ac:dyDescent="0.2"/>
    <row r="8372" ht="12.75" hidden="1" customHeight="1" x14ac:dyDescent="0.2"/>
    <row r="8373" ht="12.75" hidden="1" customHeight="1" x14ac:dyDescent="0.2"/>
    <row r="8374" ht="12.75" hidden="1" customHeight="1" x14ac:dyDescent="0.2"/>
    <row r="8375" ht="12.75" hidden="1" customHeight="1" x14ac:dyDescent="0.2"/>
    <row r="8376" ht="12.75" hidden="1" customHeight="1" x14ac:dyDescent="0.2"/>
    <row r="8377" ht="12.75" hidden="1" customHeight="1" x14ac:dyDescent="0.2"/>
    <row r="8378" ht="12.75" hidden="1" customHeight="1" x14ac:dyDescent="0.2"/>
    <row r="8379" ht="12.75" hidden="1" customHeight="1" x14ac:dyDescent="0.2"/>
    <row r="8380" ht="12.75" hidden="1" customHeight="1" x14ac:dyDescent="0.2"/>
    <row r="8381" ht="12.75" hidden="1" customHeight="1" x14ac:dyDescent="0.2"/>
    <row r="8382" ht="12.75" hidden="1" customHeight="1" x14ac:dyDescent="0.2"/>
    <row r="8383" ht="12.75" hidden="1" customHeight="1" x14ac:dyDescent="0.2"/>
    <row r="8384" ht="12.75" hidden="1" customHeight="1" x14ac:dyDescent="0.2"/>
    <row r="8385" ht="12.75" hidden="1" customHeight="1" x14ac:dyDescent="0.2"/>
    <row r="8386" ht="12.75" hidden="1" customHeight="1" x14ac:dyDescent="0.2"/>
    <row r="8387" ht="12.75" hidden="1" customHeight="1" x14ac:dyDescent="0.2"/>
    <row r="8388" ht="12.75" hidden="1" customHeight="1" x14ac:dyDescent="0.2"/>
    <row r="8389" ht="12.75" hidden="1" customHeight="1" x14ac:dyDescent="0.2"/>
    <row r="8390" ht="12.75" hidden="1" customHeight="1" x14ac:dyDescent="0.2"/>
    <row r="8391" ht="12.75" hidden="1" customHeight="1" x14ac:dyDescent="0.2"/>
    <row r="8392" ht="12.75" hidden="1" customHeight="1" x14ac:dyDescent="0.2"/>
    <row r="8393" ht="12.75" hidden="1" customHeight="1" x14ac:dyDescent="0.2"/>
    <row r="8394" ht="12.75" hidden="1" customHeight="1" x14ac:dyDescent="0.2"/>
    <row r="8395" ht="12.75" hidden="1" customHeight="1" x14ac:dyDescent="0.2"/>
    <row r="8396" ht="12.75" hidden="1" customHeight="1" x14ac:dyDescent="0.2"/>
    <row r="8397" ht="12.75" hidden="1" customHeight="1" x14ac:dyDescent="0.2"/>
    <row r="8398" ht="12.75" hidden="1" customHeight="1" x14ac:dyDescent="0.2"/>
    <row r="8399" ht="12.75" hidden="1" customHeight="1" x14ac:dyDescent="0.2"/>
    <row r="8400" ht="12.75" hidden="1" customHeight="1" x14ac:dyDescent="0.2"/>
    <row r="8401" ht="12.75" hidden="1" customHeight="1" x14ac:dyDescent="0.2"/>
    <row r="8402" ht="12.75" hidden="1" customHeight="1" x14ac:dyDescent="0.2"/>
    <row r="8403" ht="12.75" hidden="1" customHeight="1" x14ac:dyDescent="0.2"/>
    <row r="8404" ht="12.75" hidden="1" customHeight="1" x14ac:dyDescent="0.2"/>
    <row r="8405" ht="12.75" hidden="1" customHeight="1" x14ac:dyDescent="0.2"/>
    <row r="8406" ht="12.75" hidden="1" customHeight="1" x14ac:dyDescent="0.2"/>
    <row r="8407" ht="12.75" hidden="1" customHeight="1" x14ac:dyDescent="0.2"/>
    <row r="8408" ht="12.75" hidden="1" customHeight="1" x14ac:dyDescent="0.2"/>
    <row r="8409" ht="12.75" hidden="1" customHeight="1" x14ac:dyDescent="0.2"/>
    <row r="8410" ht="12.75" hidden="1" customHeight="1" x14ac:dyDescent="0.2"/>
    <row r="8411" ht="12.75" hidden="1" customHeight="1" x14ac:dyDescent="0.2"/>
    <row r="8412" ht="12.75" hidden="1" customHeight="1" x14ac:dyDescent="0.2"/>
    <row r="8413" ht="12.75" hidden="1" customHeight="1" x14ac:dyDescent="0.2"/>
    <row r="8414" ht="12.75" hidden="1" customHeight="1" x14ac:dyDescent="0.2"/>
    <row r="8415" ht="12.75" hidden="1" customHeight="1" x14ac:dyDescent="0.2"/>
    <row r="8416" ht="12.75" hidden="1" customHeight="1" x14ac:dyDescent="0.2"/>
    <row r="8417" ht="12.75" hidden="1" customHeight="1" x14ac:dyDescent="0.2"/>
    <row r="8418" ht="12.75" hidden="1" customHeight="1" x14ac:dyDescent="0.2"/>
    <row r="8419" ht="12.75" hidden="1" customHeight="1" x14ac:dyDescent="0.2"/>
    <row r="8420" ht="12.75" hidden="1" customHeight="1" x14ac:dyDescent="0.2"/>
    <row r="8421" ht="12.75" hidden="1" customHeight="1" x14ac:dyDescent="0.2"/>
    <row r="8422" ht="12.75" hidden="1" customHeight="1" x14ac:dyDescent="0.2"/>
    <row r="8423" ht="12.75" hidden="1" customHeight="1" x14ac:dyDescent="0.2"/>
    <row r="8424" ht="12.75" hidden="1" customHeight="1" x14ac:dyDescent="0.2"/>
    <row r="8425" ht="12.75" hidden="1" customHeight="1" x14ac:dyDescent="0.2"/>
    <row r="8426" ht="12.75" hidden="1" customHeight="1" x14ac:dyDescent="0.2"/>
    <row r="8427" ht="12.75" hidden="1" customHeight="1" x14ac:dyDescent="0.2"/>
    <row r="8428" ht="12.75" hidden="1" customHeight="1" x14ac:dyDescent="0.2"/>
    <row r="8429" ht="12.75" hidden="1" customHeight="1" x14ac:dyDescent="0.2"/>
    <row r="8430" ht="12.75" hidden="1" customHeight="1" x14ac:dyDescent="0.2"/>
    <row r="8431" ht="12.75" hidden="1" customHeight="1" x14ac:dyDescent="0.2"/>
    <row r="8432" ht="12.75" hidden="1" customHeight="1" x14ac:dyDescent="0.2"/>
    <row r="8433" ht="12.75" hidden="1" customHeight="1" x14ac:dyDescent="0.2"/>
    <row r="8434" ht="12.75" hidden="1" customHeight="1" x14ac:dyDescent="0.2"/>
    <row r="8435" ht="12.75" hidden="1" customHeight="1" x14ac:dyDescent="0.2"/>
    <row r="8436" ht="12.75" hidden="1" customHeight="1" x14ac:dyDescent="0.2"/>
    <row r="8437" ht="12.75" hidden="1" customHeight="1" x14ac:dyDescent="0.2"/>
    <row r="8438" ht="12.75" hidden="1" customHeight="1" x14ac:dyDescent="0.2"/>
    <row r="8439" ht="12.75" hidden="1" customHeight="1" x14ac:dyDescent="0.2"/>
    <row r="8440" ht="12.75" hidden="1" customHeight="1" x14ac:dyDescent="0.2"/>
    <row r="8441" ht="12.75" hidden="1" customHeight="1" x14ac:dyDescent="0.2"/>
    <row r="8442" ht="12.75" hidden="1" customHeight="1" x14ac:dyDescent="0.2"/>
    <row r="8443" ht="12.75" hidden="1" customHeight="1" x14ac:dyDescent="0.2"/>
    <row r="8444" ht="12.75" hidden="1" customHeight="1" x14ac:dyDescent="0.2"/>
    <row r="8445" ht="12.75" hidden="1" customHeight="1" x14ac:dyDescent="0.2"/>
    <row r="8446" ht="12.75" hidden="1" customHeight="1" x14ac:dyDescent="0.2"/>
    <row r="8447" ht="12.75" hidden="1" customHeight="1" x14ac:dyDescent="0.2"/>
    <row r="8448" ht="12.75" hidden="1" customHeight="1" x14ac:dyDescent="0.2"/>
    <row r="8449" ht="12.75" hidden="1" customHeight="1" x14ac:dyDescent="0.2"/>
    <row r="8450" ht="12.75" hidden="1" customHeight="1" x14ac:dyDescent="0.2"/>
    <row r="8451" ht="12.75" hidden="1" customHeight="1" x14ac:dyDescent="0.2"/>
    <row r="8452" ht="12.75" hidden="1" customHeight="1" x14ac:dyDescent="0.2"/>
    <row r="8453" ht="12.75" hidden="1" customHeight="1" x14ac:dyDescent="0.2"/>
    <row r="8454" ht="12.75" hidden="1" customHeight="1" x14ac:dyDescent="0.2"/>
    <row r="8455" ht="12.75" hidden="1" customHeight="1" x14ac:dyDescent="0.2"/>
    <row r="8456" ht="12.75" hidden="1" customHeight="1" x14ac:dyDescent="0.2"/>
    <row r="8457" ht="12.75" hidden="1" customHeight="1" x14ac:dyDescent="0.2"/>
    <row r="8458" ht="12.75" hidden="1" customHeight="1" x14ac:dyDescent="0.2"/>
    <row r="8459" ht="12.75" hidden="1" customHeight="1" x14ac:dyDescent="0.2"/>
    <row r="8460" ht="12.75" hidden="1" customHeight="1" x14ac:dyDescent="0.2"/>
    <row r="8461" ht="12.75" hidden="1" customHeight="1" x14ac:dyDescent="0.2"/>
    <row r="8462" ht="12.75" hidden="1" customHeight="1" x14ac:dyDescent="0.2"/>
    <row r="8463" ht="12.75" hidden="1" customHeight="1" x14ac:dyDescent="0.2"/>
    <row r="8464" ht="12.75" hidden="1" customHeight="1" x14ac:dyDescent="0.2"/>
    <row r="8465" ht="12.75" hidden="1" customHeight="1" x14ac:dyDescent="0.2"/>
    <row r="8466" ht="12.75" hidden="1" customHeight="1" x14ac:dyDescent="0.2"/>
    <row r="8467" ht="12.75" hidden="1" customHeight="1" x14ac:dyDescent="0.2"/>
    <row r="8468" ht="12.75" hidden="1" customHeight="1" x14ac:dyDescent="0.2"/>
    <row r="8469" ht="12.75" hidden="1" customHeight="1" x14ac:dyDescent="0.2"/>
    <row r="8470" ht="12.75" hidden="1" customHeight="1" x14ac:dyDescent="0.2"/>
    <row r="8471" ht="12.75" hidden="1" customHeight="1" x14ac:dyDescent="0.2"/>
    <row r="8472" ht="12.75" hidden="1" customHeight="1" x14ac:dyDescent="0.2"/>
    <row r="8473" ht="12.75" hidden="1" customHeight="1" x14ac:dyDescent="0.2"/>
    <row r="8474" ht="12.75" hidden="1" customHeight="1" x14ac:dyDescent="0.2"/>
    <row r="8475" ht="12.75" hidden="1" customHeight="1" x14ac:dyDescent="0.2"/>
    <row r="8476" ht="12.75" hidden="1" customHeight="1" x14ac:dyDescent="0.2"/>
    <row r="8477" ht="12.75" hidden="1" customHeight="1" x14ac:dyDescent="0.2"/>
    <row r="8478" ht="12.75" hidden="1" customHeight="1" x14ac:dyDescent="0.2"/>
    <row r="8479" ht="12.75" hidden="1" customHeight="1" x14ac:dyDescent="0.2"/>
    <row r="8480" ht="12.75" hidden="1" customHeight="1" x14ac:dyDescent="0.2"/>
    <row r="8481" ht="12.75" hidden="1" customHeight="1" x14ac:dyDescent="0.2"/>
    <row r="8482" ht="12.75" hidden="1" customHeight="1" x14ac:dyDescent="0.2"/>
    <row r="8483" ht="12.75" hidden="1" customHeight="1" x14ac:dyDescent="0.2"/>
    <row r="8484" ht="12.75" hidden="1" customHeight="1" x14ac:dyDescent="0.2"/>
    <row r="8485" ht="12.75" hidden="1" customHeight="1" x14ac:dyDescent="0.2"/>
    <row r="8486" ht="12.75" hidden="1" customHeight="1" x14ac:dyDescent="0.2"/>
    <row r="8487" ht="12.75" hidden="1" customHeight="1" x14ac:dyDescent="0.2"/>
    <row r="8488" ht="12.75" hidden="1" customHeight="1" x14ac:dyDescent="0.2"/>
    <row r="8489" ht="12.75" hidden="1" customHeight="1" x14ac:dyDescent="0.2"/>
    <row r="8490" ht="12.75" hidden="1" customHeight="1" x14ac:dyDescent="0.2"/>
    <row r="8491" ht="12.75" hidden="1" customHeight="1" x14ac:dyDescent="0.2"/>
    <row r="8492" ht="12.75" hidden="1" customHeight="1" x14ac:dyDescent="0.2"/>
    <row r="8493" ht="12.75" hidden="1" customHeight="1" x14ac:dyDescent="0.2"/>
    <row r="8494" ht="12.75" hidden="1" customHeight="1" x14ac:dyDescent="0.2"/>
    <row r="8495" ht="12.75" hidden="1" customHeight="1" x14ac:dyDescent="0.2"/>
    <row r="8496" ht="12.75" hidden="1" customHeight="1" x14ac:dyDescent="0.2"/>
    <row r="8497" ht="12.75" hidden="1" customHeight="1" x14ac:dyDescent="0.2"/>
    <row r="8498" ht="12.75" hidden="1" customHeight="1" x14ac:dyDescent="0.2"/>
    <row r="8499" ht="12.75" hidden="1" customHeight="1" x14ac:dyDescent="0.2"/>
    <row r="8500" ht="12.75" hidden="1" customHeight="1" x14ac:dyDescent="0.2"/>
    <row r="8501" ht="12.75" hidden="1" customHeight="1" x14ac:dyDescent="0.2"/>
    <row r="8502" ht="12.75" hidden="1" customHeight="1" x14ac:dyDescent="0.2"/>
    <row r="8503" ht="12.75" hidden="1" customHeight="1" x14ac:dyDescent="0.2"/>
    <row r="8504" ht="12.75" hidden="1" customHeight="1" x14ac:dyDescent="0.2"/>
    <row r="8505" ht="12.75" hidden="1" customHeight="1" x14ac:dyDescent="0.2"/>
    <row r="8506" ht="12.75" hidden="1" customHeight="1" x14ac:dyDescent="0.2"/>
    <row r="8507" ht="12.75" hidden="1" customHeight="1" x14ac:dyDescent="0.2"/>
    <row r="8508" ht="12.75" hidden="1" customHeight="1" x14ac:dyDescent="0.2"/>
    <row r="8509" ht="12.75" hidden="1" customHeight="1" x14ac:dyDescent="0.2"/>
    <row r="8510" ht="12.75" hidden="1" customHeight="1" x14ac:dyDescent="0.2"/>
    <row r="8511" ht="12.75" hidden="1" customHeight="1" x14ac:dyDescent="0.2"/>
    <row r="8512" ht="12.75" hidden="1" customHeight="1" x14ac:dyDescent="0.2"/>
    <row r="8513" ht="12.75" hidden="1" customHeight="1" x14ac:dyDescent="0.2"/>
    <row r="8514" ht="12.75" hidden="1" customHeight="1" x14ac:dyDescent="0.2"/>
    <row r="8515" ht="12.75" hidden="1" customHeight="1" x14ac:dyDescent="0.2"/>
    <row r="8516" ht="12.75" hidden="1" customHeight="1" x14ac:dyDescent="0.2"/>
    <row r="8517" ht="12.75" hidden="1" customHeight="1" x14ac:dyDescent="0.2"/>
    <row r="8518" ht="12.75" hidden="1" customHeight="1" x14ac:dyDescent="0.2"/>
    <row r="8519" ht="12.75" hidden="1" customHeight="1" x14ac:dyDescent="0.2"/>
    <row r="8520" ht="12.75" hidden="1" customHeight="1" x14ac:dyDescent="0.2"/>
    <row r="8521" ht="12.75" hidden="1" customHeight="1" x14ac:dyDescent="0.2"/>
    <row r="8522" ht="12.75" hidden="1" customHeight="1" x14ac:dyDescent="0.2"/>
    <row r="8523" ht="12.75" hidden="1" customHeight="1" x14ac:dyDescent="0.2"/>
    <row r="8524" ht="12.75" hidden="1" customHeight="1" x14ac:dyDescent="0.2"/>
    <row r="8525" ht="12.75" hidden="1" customHeight="1" x14ac:dyDescent="0.2"/>
    <row r="8526" ht="12.75" hidden="1" customHeight="1" x14ac:dyDescent="0.2"/>
    <row r="8527" ht="12.75" hidden="1" customHeight="1" x14ac:dyDescent="0.2"/>
    <row r="8528" ht="12.75" hidden="1" customHeight="1" x14ac:dyDescent="0.2"/>
    <row r="8529" ht="12.75" hidden="1" customHeight="1" x14ac:dyDescent="0.2"/>
    <row r="8530" ht="12.75" hidden="1" customHeight="1" x14ac:dyDescent="0.2"/>
    <row r="8531" ht="12.75" hidden="1" customHeight="1" x14ac:dyDescent="0.2"/>
    <row r="8532" ht="12.75" hidden="1" customHeight="1" x14ac:dyDescent="0.2"/>
    <row r="8533" ht="12.75" hidden="1" customHeight="1" x14ac:dyDescent="0.2"/>
    <row r="8534" ht="12.75" hidden="1" customHeight="1" x14ac:dyDescent="0.2"/>
    <row r="8535" ht="12.75" hidden="1" customHeight="1" x14ac:dyDescent="0.2"/>
    <row r="8536" ht="12.75" hidden="1" customHeight="1" x14ac:dyDescent="0.2"/>
    <row r="8537" ht="12.75" hidden="1" customHeight="1" x14ac:dyDescent="0.2"/>
    <row r="8538" ht="12.75" hidden="1" customHeight="1" x14ac:dyDescent="0.2"/>
    <row r="8539" ht="12.75" hidden="1" customHeight="1" x14ac:dyDescent="0.2"/>
    <row r="8540" ht="12.75" hidden="1" customHeight="1" x14ac:dyDescent="0.2"/>
    <row r="8541" ht="12.75" hidden="1" customHeight="1" x14ac:dyDescent="0.2"/>
    <row r="8542" ht="12.75" hidden="1" customHeight="1" x14ac:dyDescent="0.2"/>
    <row r="8543" ht="12.75" hidden="1" customHeight="1" x14ac:dyDescent="0.2"/>
    <row r="8544" ht="12.75" hidden="1" customHeight="1" x14ac:dyDescent="0.2"/>
    <row r="8545" ht="12.75" hidden="1" customHeight="1" x14ac:dyDescent="0.2"/>
    <row r="8546" ht="12.75" hidden="1" customHeight="1" x14ac:dyDescent="0.2"/>
    <row r="8547" ht="12.75" hidden="1" customHeight="1" x14ac:dyDescent="0.2"/>
    <row r="8548" ht="12.75" hidden="1" customHeight="1" x14ac:dyDescent="0.2"/>
    <row r="8549" ht="12.75" hidden="1" customHeight="1" x14ac:dyDescent="0.2"/>
    <row r="8550" ht="12.75" hidden="1" customHeight="1" x14ac:dyDescent="0.2"/>
    <row r="8551" ht="12.75" hidden="1" customHeight="1" x14ac:dyDescent="0.2"/>
    <row r="8552" ht="12.75" hidden="1" customHeight="1" x14ac:dyDescent="0.2"/>
    <row r="8553" ht="12.75" hidden="1" customHeight="1" x14ac:dyDescent="0.2"/>
    <row r="8554" ht="12.75" hidden="1" customHeight="1" x14ac:dyDescent="0.2"/>
    <row r="8555" ht="12.75" hidden="1" customHeight="1" x14ac:dyDescent="0.2"/>
    <row r="8556" ht="12.75" hidden="1" customHeight="1" x14ac:dyDescent="0.2"/>
    <row r="8557" ht="12.75" hidden="1" customHeight="1" x14ac:dyDescent="0.2"/>
    <row r="8558" ht="12.75" hidden="1" customHeight="1" x14ac:dyDescent="0.2"/>
    <row r="8559" ht="12.75" hidden="1" customHeight="1" x14ac:dyDescent="0.2"/>
    <row r="8560" ht="12.75" hidden="1" customHeight="1" x14ac:dyDescent="0.2"/>
    <row r="8561" ht="12.75" hidden="1" customHeight="1" x14ac:dyDescent="0.2"/>
    <row r="8562" ht="12.75" hidden="1" customHeight="1" x14ac:dyDescent="0.2"/>
    <row r="8563" ht="12.75" hidden="1" customHeight="1" x14ac:dyDescent="0.2"/>
    <row r="8564" ht="12.75" hidden="1" customHeight="1" x14ac:dyDescent="0.2"/>
    <row r="8565" ht="12.75" hidden="1" customHeight="1" x14ac:dyDescent="0.2"/>
    <row r="8566" ht="12.75" hidden="1" customHeight="1" x14ac:dyDescent="0.2"/>
    <row r="8567" ht="12.75" hidden="1" customHeight="1" x14ac:dyDescent="0.2"/>
    <row r="8568" ht="12.75" hidden="1" customHeight="1" x14ac:dyDescent="0.2"/>
    <row r="8569" ht="12.75" hidden="1" customHeight="1" x14ac:dyDescent="0.2"/>
    <row r="8570" ht="12.75" hidden="1" customHeight="1" x14ac:dyDescent="0.2"/>
    <row r="8571" ht="12.75" hidden="1" customHeight="1" x14ac:dyDescent="0.2"/>
    <row r="8572" ht="12.75" hidden="1" customHeight="1" x14ac:dyDescent="0.2"/>
    <row r="8573" ht="12.75" hidden="1" customHeight="1" x14ac:dyDescent="0.2"/>
    <row r="8574" ht="12.75" hidden="1" customHeight="1" x14ac:dyDescent="0.2"/>
    <row r="8575" ht="12.75" hidden="1" customHeight="1" x14ac:dyDescent="0.2"/>
    <row r="8576" ht="12.75" hidden="1" customHeight="1" x14ac:dyDescent="0.2"/>
    <row r="8577" ht="12.75" hidden="1" customHeight="1" x14ac:dyDescent="0.2"/>
    <row r="8578" ht="12.75" hidden="1" customHeight="1" x14ac:dyDescent="0.2"/>
    <row r="8579" ht="12.75" hidden="1" customHeight="1" x14ac:dyDescent="0.2"/>
    <row r="8580" ht="12.75" hidden="1" customHeight="1" x14ac:dyDescent="0.2"/>
    <row r="8581" ht="12.75" hidden="1" customHeight="1" x14ac:dyDescent="0.2"/>
    <row r="8582" ht="12.75" hidden="1" customHeight="1" x14ac:dyDescent="0.2"/>
    <row r="8583" ht="12.75" hidden="1" customHeight="1" x14ac:dyDescent="0.2"/>
    <row r="8584" ht="12.75" hidden="1" customHeight="1" x14ac:dyDescent="0.2"/>
    <row r="8585" ht="12.75" hidden="1" customHeight="1" x14ac:dyDescent="0.2"/>
    <row r="8586" ht="12.75" hidden="1" customHeight="1" x14ac:dyDescent="0.2"/>
    <row r="8587" ht="12.75" hidden="1" customHeight="1" x14ac:dyDescent="0.2"/>
    <row r="8588" ht="12.75" hidden="1" customHeight="1" x14ac:dyDescent="0.2"/>
    <row r="8589" ht="12.75" hidden="1" customHeight="1" x14ac:dyDescent="0.2"/>
    <row r="8590" ht="12.75" hidden="1" customHeight="1" x14ac:dyDescent="0.2"/>
    <row r="8591" ht="12.75" hidden="1" customHeight="1" x14ac:dyDescent="0.2"/>
    <row r="8592" ht="12.75" hidden="1" customHeight="1" x14ac:dyDescent="0.2"/>
    <row r="8593" ht="12.75" hidden="1" customHeight="1" x14ac:dyDescent="0.2"/>
    <row r="8594" ht="12.75" hidden="1" customHeight="1" x14ac:dyDescent="0.2"/>
    <row r="8595" ht="12.75" hidden="1" customHeight="1" x14ac:dyDescent="0.2"/>
    <row r="8596" ht="12.75" hidden="1" customHeight="1" x14ac:dyDescent="0.2"/>
    <row r="8597" ht="12.75" hidden="1" customHeight="1" x14ac:dyDescent="0.2"/>
    <row r="8598" ht="12.75" hidden="1" customHeight="1" x14ac:dyDescent="0.2"/>
    <row r="8599" ht="12.75" hidden="1" customHeight="1" x14ac:dyDescent="0.2"/>
    <row r="8600" ht="12.75" hidden="1" customHeight="1" x14ac:dyDescent="0.2"/>
    <row r="8601" ht="12.75" hidden="1" customHeight="1" x14ac:dyDescent="0.2"/>
    <row r="8602" ht="12.75" hidden="1" customHeight="1" x14ac:dyDescent="0.2"/>
    <row r="8603" ht="12.75" hidden="1" customHeight="1" x14ac:dyDescent="0.2"/>
    <row r="8604" ht="12.75" hidden="1" customHeight="1" x14ac:dyDescent="0.2"/>
    <row r="8605" ht="12.75" hidden="1" customHeight="1" x14ac:dyDescent="0.2"/>
    <row r="8606" ht="12.75" hidden="1" customHeight="1" x14ac:dyDescent="0.2"/>
    <row r="8607" ht="12.75" hidden="1" customHeight="1" x14ac:dyDescent="0.2"/>
    <row r="8608" ht="12.75" hidden="1" customHeight="1" x14ac:dyDescent="0.2"/>
    <row r="8609" ht="12.75" hidden="1" customHeight="1" x14ac:dyDescent="0.2"/>
    <row r="8610" ht="12.75" hidden="1" customHeight="1" x14ac:dyDescent="0.2"/>
    <row r="8611" ht="12.75" hidden="1" customHeight="1" x14ac:dyDescent="0.2"/>
    <row r="8612" ht="12.75" hidden="1" customHeight="1" x14ac:dyDescent="0.2"/>
    <row r="8613" ht="12.75" hidden="1" customHeight="1" x14ac:dyDescent="0.2"/>
    <row r="8614" ht="12.75" hidden="1" customHeight="1" x14ac:dyDescent="0.2"/>
    <row r="8615" ht="12.75" hidden="1" customHeight="1" x14ac:dyDescent="0.2"/>
    <row r="8616" ht="12.75" hidden="1" customHeight="1" x14ac:dyDescent="0.2"/>
    <row r="8617" ht="12.75" hidden="1" customHeight="1" x14ac:dyDescent="0.2"/>
    <row r="8618" ht="12.75" hidden="1" customHeight="1" x14ac:dyDescent="0.2"/>
    <row r="8619" ht="12.75" hidden="1" customHeight="1" x14ac:dyDescent="0.2"/>
    <row r="8620" ht="12.75" hidden="1" customHeight="1" x14ac:dyDescent="0.2"/>
    <row r="8621" ht="12.75" hidden="1" customHeight="1" x14ac:dyDescent="0.2"/>
    <row r="8622" ht="12.75" hidden="1" customHeight="1" x14ac:dyDescent="0.2"/>
    <row r="8623" ht="12.75" hidden="1" customHeight="1" x14ac:dyDescent="0.2"/>
    <row r="8624" ht="12.75" hidden="1" customHeight="1" x14ac:dyDescent="0.2"/>
    <row r="8625" ht="12.75" hidden="1" customHeight="1" x14ac:dyDescent="0.2"/>
    <row r="8626" ht="12.75" hidden="1" customHeight="1" x14ac:dyDescent="0.2"/>
    <row r="8627" ht="12.75" hidden="1" customHeight="1" x14ac:dyDescent="0.2"/>
    <row r="8628" ht="12.75" hidden="1" customHeight="1" x14ac:dyDescent="0.2"/>
    <row r="8629" ht="12.75" hidden="1" customHeight="1" x14ac:dyDescent="0.2"/>
    <row r="8630" ht="12.75" hidden="1" customHeight="1" x14ac:dyDescent="0.2"/>
    <row r="8631" ht="12.75" hidden="1" customHeight="1" x14ac:dyDescent="0.2"/>
    <row r="8632" ht="12.75" hidden="1" customHeight="1" x14ac:dyDescent="0.2"/>
    <row r="8633" ht="12.75" hidden="1" customHeight="1" x14ac:dyDescent="0.2"/>
    <row r="8634" ht="12.75" hidden="1" customHeight="1" x14ac:dyDescent="0.2"/>
    <row r="8635" ht="12.75" hidden="1" customHeight="1" x14ac:dyDescent="0.2"/>
    <row r="8636" ht="12.75" hidden="1" customHeight="1" x14ac:dyDescent="0.2"/>
    <row r="8637" ht="12.75" hidden="1" customHeight="1" x14ac:dyDescent="0.2"/>
    <row r="8638" ht="12.75" hidden="1" customHeight="1" x14ac:dyDescent="0.2"/>
    <row r="8639" ht="12.75" hidden="1" customHeight="1" x14ac:dyDescent="0.2"/>
    <row r="8640" ht="12.75" hidden="1" customHeight="1" x14ac:dyDescent="0.2"/>
    <row r="8641" ht="12.75" hidden="1" customHeight="1" x14ac:dyDescent="0.2"/>
    <row r="8642" ht="12.75" hidden="1" customHeight="1" x14ac:dyDescent="0.2"/>
    <row r="8643" ht="12.75" hidden="1" customHeight="1" x14ac:dyDescent="0.2"/>
    <row r="8644" ht="12.75" hidden="1" customHeight="1" x14ac:dyDescent="0.2"/>
    <row r="8645" ht="12.75" hidden="1" customHeight="1" x14ac:dyDescent="0.2"/>
    <row r="8646" ht="12.75" hidden="1" customHeight="1" x14ac:dyDescent="0.2"/>
    <row r="8647" ht="12.75" hidden="1" customHeight="1" x14ac:dyDescent="0.2"/>
    <row r="8648" ht="12.75" hidden="1" customHeight="1" x14ac:dyDescent="0.2"/>
    <row r="8649" ht="12.75" hidden="1" customHeight="1" x14ac:dyDescent="0.2"/>
    <row r="8650" ht="12.75" hidden="1" customHeight="1" x14ac:dyDescent="0.2"/>
    <row r="8651" ht="12.75" hidden="1" customHeight="1" x14ac:dyDescent="0.2"/>
    <row r="8652" ht="12.75" hidden="1" customHeight="1" x14ac:dyDescent="0.2"/>
    <row r="8653" ht="12.75" hidden="1" customHeight="1" x14ac:dyDescent="0.2"/>
    <row r="8654" ht="12.75" hidden="1" customHeight="1" x14ac:dyDescent="0.2"/>
    <row r="8655" ht="12.75" hidden="1" customHeight="1" x14ac:dyDescent="0.2"/>
    <row r="8656" ht="12.75" hidden="1" customHeight="1" x14ac:dyDescent="0.2"/>
    <row r="8657" ht="12.75" hidden="1" customHeight="1" x14ac:dyDescent="0.2"/>
    <row r="8658" ht="12.75" hidden="1" customHeight="1" x14ac:dyDescent="0.2"/>
    <row r="8659" ht="12.75" hidden="1" customHeight="1" x14ac:dyDescent="0.2"/>
    <row r="8660" ht="12.75" hidden="1" customHeight="1" x14ac:dyDescent="0.2"/>
    <row r="8661" ht="12.75" hidden="1" customHeight="1" x14ac:dyDescent="0.2"/>
    <row r="8662" ht="12.75" hidden="1" customHeight="1" x14ac:dyDescent="0.2"/>
    <row r="8663" ht="12.75" hidden="1" customHeight="1" x14ac:dyDescent="0.2"/>
    <row r="8664" ht="12.75" hidden="1" customHeight="1" x14ac:dyDescent="0.2"/>
    <row r="8665" ht="12.75" hidden="1" customHeight="1" x14ac:dyDescent="0.2"/>
    <row r="8666" ht="12.75" hidden="1" customHeight="1" x14ac:dyDescent="0.2"/>
    <row r="8667" ht="12.75" hidden="1" customHeight="1" x14ac:dyDescent="0.2"/>
    <row r="8668" ht="12.75" hidden="1" customHeight="1" x14ac:dyDescent="0.2"/>
    <row r="8669" ht="12.75" hidden="1" customHeight="1" x14ac:dyDescent="0.2"/>
    <row r="8670" ht="12.75" hidden="1" customHeight="1" x14ac:dyDescent="0.2"/>
    <row r="8671" ht="12.75" hidden="1" customHeight="1" x14ac:dyDescent="0.2"/>
    <row r="8672" ht="12.75" hidden="1" customHeight="1" x14ac:dyDescent="0.2"/>
    <row r="8673" ht="12.75" hidden="1" customHeight="1" x14ac:dyDescent="0.2"/>
    <row r="8674" ht="12.75" hidden="1" customHeight="1" x14ac:dyDescent="0.2"/>
    <row r="8675" ht="12.75" hidden="1" customHeight="1" x14ac:dyDescent="0.2"/>
    <row r="8676" ht="12.75" hidden="1" customHeight="1" x14ac:dyDescent="0.2"/>
    <row r="8677" ht="12.75" hidden="1" customHeight="1" x14ac:dyDescent="0.2"/>
    <row r="8678" ht="12.75" hidden="1" customHeight="1" x14ac:dyDescent="0.2"/>
    <row r="8679" ht="12.75" hidden="1" customHeight="1" x14ac:dyDescent="0.2"/>
    <row r="8680" ht="12.75" hidden="1" customHeight="1" x14ac:dyDescent="0.2"/>
    <row r="8681" ht="12.75" hidden="1" customHeight="1" x14ac:dyDescent="0.2"/>
    <row r="8682" ht="12.75" hidden="1" customHeight="1" x14ac:dyDescent="0.2"/>
    <row r="8683" ht="12.75" hidden="1" customHeight="1" x14ac:dyDescent="0.2"/>
    <row r="8684" ht="12.75" hidden="1" customHeight="1" x14ac:dyDescent="0.2"/>
    <row r="8685" ht="12.75" hidden="1" customHeight="1" x14ac:dyDescent="0.2"/>
    <row r="8686" ht="12.75" hidden="1" customHeight="1" x14ac:dyDescent="0.2"/>
    <row r="8687" ht="12.75" hidden="1" customHeight="1" x14ac:dyDescent="0.2"/>
    <row r="8688" ht="12.75" hidden="1" customHeight="1" x14ac:dyDescent="0.2"/>
    <row r="8689" ht="12.75" hidden="1" customHeight="1" x14ac:dyDescent="0.2"/>
    <row r="8690" ht="12.75" hidden="1" customHeight="1" x14ac:dyDescent="0.2"/>
    <row r="8691" ht="12.75" hidden="1" customHeight="1" x14ac:dyDescent="0.2"/>
    <row r="8692" ht="12.75" hidden="1" customHeight="1" x14ac:dyDescent="0.2"/>
    <row r="8693" ht="12.75" hidden="1" customHeight="1" x14ac:dyDescent="0.2"/>
    <row r="8694" ht="12.75" hidden="1" customHeight="1" x14ac:dyDescent="0.2"/>
    <row r="8695" ht="12.75" hidden="1" customHeight="1" x14ac:dyDescent="0.2"/>
    <row r="8696" ht="12.75" hidden="1" customHeight="1" x14ac:dyDescent="0.2"/>
    <row r="8697" ht="12.75" hidden="1" customHeight="1" x14ac:dyDescent="0.2"/>
    <row r="8698" ht="12.75" hidden="1" customHeight="1" x14ac:dyDescent="0.2"/>
    <row r="8699" ht="12.75" hidden="1" customHeight="1" x14ac:dyDescent="0.2"/>
    <row r="8700" ht="12.75" hidden="1" customHeight="1" x14ac:dyDescent="0.2"/>
    <row r="8701" ht="12.75" hidden="1" customHeight="1" x14ac:dyDescent="0.2"/>
    <row r="8702" ht="12.75" hidden="1" customHeight="1" x14ac:dyDescent="0.2"/>
    <row r="8703" ht="12.75" hidden="1" customHeight="1" x14ac:dyDescent="0.2"/>
    <row r="8704" ht="12.75" hidden="1" customHeight="1" x14ac:dyDescent="0.2"/>
    <row r="8705" ht="12.75" hidden="1" customHeight="1" x14ac:dyDescent="0.2"/>
    <row r="8706" ht="12.75" hidden="1" customHeight="1" x14ac:dyDescent="0.2"/>
    <row r="8707" ht="12.75" hidden="1" customHeight="1" x14ac:dyDescent="0.2"/>
    <row r="8708" ht="12.75" hidden="1" customHeight="1" x14ac:dyDescent="0.2"/>
    <row r="8709" ht="12.75" hidden="1" customHeight="1" x14ac:dyDescent="0.2"/>
    <row r="8710" ht="12.75" hidden="1" customHeight="1" x14ac:dyDescent="0.2"/>
    <row r="8711" ht="12.75" hidden="1" customHeight="1" x14ac:dyDescent="0.2"/>
    <row r="8712" ht="12.75" hidden="1" customHeight="1" x14ac:dyDescent="0.2"/>
    <row r="8713" ht="12.75" hidden="1" customHeight="1" x14ac:dyDescent="0.2"/>
    <row r="8714" ht="12.75" hidden="1" customHeight="1" x14ac:dyDescent="0.2"/>
    <row r="8715" ht="12.75" hidden="1" customHeight="1" x14ac:dyDescent="0.2"/>
    <row r="8716" ht="12.75" hidden="1" customHeight="1" x14ac:dyDescent="0.2"/>
    <row r="8717" ht="12.75" hidden="1" customHeight="1" x14ac:dyDescent="0.2"/>
    <row r="8718" ht="12.75" hidden="1" customHeight="1" x14ac:dyDescent="0.2"/>
    <row r="8719" ht="12.75" hidden="1" customHeight="1" x14ac:dyDescent="0.2"/>
    <row r="8720" ht="12.75" hidden="1" customHeight="1" x14ac:dyDescent="0.2"/>
    <row r="8721" ht="12.75" hidden="1" customHeight="1" x14ac:dyDescent="0.2"/>
    <row r="8722" ht="12.75" hidden="1" customHeight="1" x14ac:dyDescent="0.2"/>
    <row r="8723" ht="12.75" hidden="1" customHeight="1" x14ac:dyDescent="0.2"/>
    <row r="8724" ht="12.75" hidden="1" customHeight="1" x14ac:dyDescent="0.2"/>
    <row r="8725" ht="12.75" hidden="1" customHeight="1" x14ac:dyDescent="0.2"/>
    <row r="8726" ht="12.75" hidden="1" customHeight="1" x14ac:dyDescent="0.2"/>
    <row r="8727" ht="12.75" hidden="1" customHeight="1" x14ac:dyDescent="0.2"/>
    <row r="8728" ht="12.75" hidden="1" customHeight="1" x14ac:dyDescent="0.2"/>
    <row r="8729" ht="12.75" hidden="1" customHeight="1" x14ac:dyDescent="0.2"/>
    <row r="8730" ht="12.75" hidden="1" customHeight="1" x14ac:dyDescent="0.2"/>
    <row r="8731" ht="12.75" hidden="1" customHeight="1" x14ac:dyDescent="0.2"/>
    <row r="8732" ht="12.75" hidden="1" customHeight="1" x14ac:dyDescent="0.2"/>
    <row r="8733" ht="12.75" hidden="1" customHeight="1" x14ac:dyDescent="0.2"/>
    <row r="8734" ht="12.75" hidden="1" customHeight="1" x14ac:dyDescent="0.2"/>
    <row r="8735" ht="12.75" hidden="1" customHeight="1" x14ac:dyDescent="0.2"/>
    <row r="8736" ht="12.75" hidden="1" customHeight="1" x14ac:dyDescent="0.2"/>
    <row r="8737" ht="12.75" hidden="1" customHeight="1" x14ac:dyDescent="0.2"/>
    <row r="8738" ht="12.75" hidden="1" customHeight="1" x14ac:dyDescent="0.2"/>
    <row r="8739" ht="12.75" hidden="1" customHeight="1" x14ac:dyDescent="0.2"/>
    <row r="8740" ht="12.75" hidden="1" customHeight="1" x14ac:dyDescent="0.2"/>
    <row r="8741" ht="12.75" hidden="1" customHeight="1" x14ac:dyDescent="0.2"/>
    <row r="8742" ht="12.75" hidden="1" customHeight="1" x14ac:dyDescent="0.2"/>
    <row r="8743" ht="12.75" hidden="1" customHeight="1" x14ac:dyDescent="0.2"/>
    <row r="8744" ht="12.75" hidden="1" customHeight="1" x14ac:dyDescent="0.2"/>
    <row r="8745" ht="12.75" hidden="1" customHeight="1" x14ac:dyDescent="0.2"/>
    <row r="8746" ht="12.75" hidden="1" customHeight="1" x14ac:dyDescent="0.2"/>
    <row r="8747" ht="12.75" hidden="1" customHeight="1" x14ac:dyDescent="0.2"/>
    <row r="8748" ht="12.75" hidden="1" customHeight="1" x14ac:dyDescent="0.2"/>
    <row r="8749" ht="12.75" hidden="1" customHeight="1" x14ac:dyDescent="0.2"/>
    <row r="8750" ht="12.75" hidden="1" customHeight="1" x14ac:dyDescent="0.2"/>
    <row r="8751" ht="12.75" hidden="1" customHeight="1" x14ac:dyDescent="0.2"/>
    <row r="8752" ht="12.75" hidden="1" customHeight="1" x14ac:dyDescent="0.2"/>
    <row r="8753" ht="12.75" hidden="1" customHeight="1" x14ac:dyDescent="0.2"/>
    <row r="8754" ht="12.75" hidden="1" customHeight="1" x14ac:dyDescent="0.2"/>
    <row r="8755" ht="12.75" hidden="1" customHeight="1" x14ac:dyDescent="0.2"/>
    <row r="8756" ht="12.75" hidden="1" customHeight="1" x14ac:dyDescent="0.2"/>
    <row r="8757" ht="12.75" hidden="1" customHeight="1" x14ac:dyDescent="0.2"/>
    <row r="8758" ht="12.75" hidden="1" customHeight="1" x14ac:dyDescent="0.2"/>
    <row r="8759" ht="12.75" hidden="1" customHeight="1" x14ac:dyDescent="0.2"/>
    <row r="8760" ht="12.75" hidden="1" customHeight="1" x14ac:dyDescent="0.2"/>
    <row r="8761" ht="12.75" hidden="1" customHeight="1" x14ac:dyDescent="0.2"/>
    <row r="8762" ht="12.75" hidden="1" customHeight="1" x14ac:dyDescent="0.2"/>
    <row r="8763" ht="12.75" hidden="1" customHeight="1" x14ac:dyDescent="0.2"/>
    <row r="8764" ht="12.75" hidden="1" customHeight="1" x14ac:dyDescent="0.2"/>
    <row r="8765" ht="12.75" hidden="1" customHeight="1" x14ac:dyDescent="0.2"/>
    <row r="8766" ht="12.75" hidden="1" customHeight="1" x14ac:dyDescent="0.2"/>
    <row r="8767" ht="12.75" hidden="1" customHeight="1" x14ac:dyDescent="0.2"/>
    <row r="8768" ht="12.75" hidden="1" customHeight="1" x14ac:dyDescent="0.2"/>
    <row r="8769" ht="12.75" hidden="1" customHeight="1" x14ac:dyDescent="0.2"/>
    <row r="8770" ht="12.75" hidden="1" customHeight="1" x14ac:dyDescent="0.2"/>
    <row r="8771" ht="12.75" hidden="1" customHeight="1" x14ac:dyDescent="0.2"/>
    <row r="8772" ht="12.75" hidden="1" customHeight="1" x14ac:dyDescent="0.2"/>
    <row r="8773" ht="12.75" hidden="1" customHeight="1" x14ac:dyDescent="0.2"/>
    <row r="8774" ht="12.75" hidden="1" customHeight="1" x14ac:dyDescent="0.2"/>
    <row r="8775" ht="12.75" hidden="1" customHeight="1" x14ac:dyDescent="0.2"/>
    <row r="8776" ht="12.75" hidden="1" customHeight="1" x14ac:dyDescent="0.2"/>
    <row r="8777" ht="12.75" hidden="1" customHeight="1" x14ac:dyDescent="0.2"/>
    <row r="8778" ht="12.75" hidden="1" customHeight="1" x14ac:dyDescent="0.2"/>
    <row r="8779" ht="12.75" hidden="1" customHeight="1" x14ac:dyDescent="0.2"/>
    <row r="8780" ht="12.75" hidden="1" customHeight="1" x14ac:dyDescent="0.2"/>
    <row r="8781" ht="12.75" hidden="1" customHeight="1" x14ac:dyDescent="0.2"/>
    <row r="8782" ht="12.75" hidden="1" customHeight="1" x14ac:dyDescent="0.2"/>
    <row r="8783" ht="12.75" hidden="1" customHeight="1" x14ac:dyDescent="0.2"/>
    <row r="8784" ht="12.75" hidden="1" customHeight="1" x14ac:dyDescent="0.2"/>
    <row r="8785" ht="12.75" hidden="1" customHeight="1" x14ac:dyDescent="0.2"/>
    <row r="8786" ht="12.75" hidden="1" customHeight="1" x14ac:dyDescent="0.2"/>
    <row r="8787" ht="12.75" hidden="1" customHeight="1" x14ac:dyDescent="0.2"/>
    <row r="8788" ht="12.75" hidden="1" customHeight="1" x14ac:dyDescent="0.2"/>
    <row r="8789" ht="12.75" hidden="1" customHeight="1" x14ac:dyDescent="0.2"/>
    <row r="8790" ht="12.75" hidden="1" customHeight="1" x14ac:dyDescent="0.2"/>
    <row r="8791" ht="12.75" hidden="1" customHeight="1" x14ac:dyDescent="0.2"/>
    <row r="8792" ht="12.75" hidden="1" customHeight="1" x14ac:dyDescent="0.2"/>
    <row r="8793" ht="12.75" hidden="1" customHeight="1" x14ac:dyDescent="0.2"/>
    <row r="8794" ht="12.75" hidden="1" customHeight="1" x14ac:dyDescent="0.2"/>
    <row r="8795" ht="12.75" hidden="1" customHeight="1" x14ac:dyDescent="0.2"/>
    <row r="8796" ht="12.75" hidden="1" customHeight="1" x14ac:dyDescent="0.2"/>
    <row r="8797" ht="12.75" hidden="1" customHeight="1" x14ac:dyDescent="0.2"/>
    <row r="8798" ht="12.75" hidden="1" customHeight="1" x14ac:dyDescent="0.2"/>
    <row r="8799" ht="12.75" hidden="1" customHeight="1" x14ac:dyDescent="0.2"/>
    <row r="8800" ht="12.75" hidden="1" customHeight="1" x14ac:dyDescent="0.2"/>
    <row r="8801" ht="12.75" hidden="1" customHeight="1" x14ac:dyDescent="0.2"/>
    <row r="8802" ht="12.75" hidden="1" customHeight="1" x14ac:dyDescent="0.2"/>
    <row r="8803" ht="12.75" hidden="1" customHeight="1" x14ac:dyDescent="0.2"/>
    <row r="8804" ht="12.75" hidden="1" customHeight="1" x14ac:dyDescent="0.2"/>
    <row r="8805" ht="12.75" hidden="1" customHeight="1" x14ac:dyDescent="0.2"/>
    <row r="8806" ht="12.75" hidden="1" customHeight="1" x14ac:dyDescent="0.2"/>
    <row r="8807" ht="12.75" hidden="1" customHeight="1" x14ac:dyDescent="0.2"/>
    <row r="8808" ht="12.75" hidden="1" customHeight="1" x14ac:dyDescent="0.2"/>
    <row r="8809" ht="12.75" hidden="1" customHeight="1" x14ac:dyDescent="0.2"/>
    <row r="8810" ht="12.75" hidden="1" customHeight="1" x14ac:dyDescent="0.2"/>
    <row r="8811" ht="12.75" hidden="1" customHeight="1" x14ac:dyDescent="0.2"/>
    <row r="8812" ht="12.75" hidden="1" customHeight="1" x14ac:dyDescent="0.2"/>
    <row r="8813" ht="12.75" hidden="1" customHeight="1" x14ac:dyDescent="0.2"/>
    <row r="8814" ht="12.75" hidden="1" customHeight="1" x14ac:dyDescent="0.2"/>
    <row r="8815" ht="12.75" hidden="1" customHeight="1" x14ac:dyDescent="0.2"/>
    <row r="8816" ht="12.75" hidden="1" customHeight="1" x14ac:dyDescent="0.2"/>
    <row r="8817" ht="12.75" hidden="1" customHeight="1" x14ac:dyDescent="0.2"/>
    <row r="8818" ht="12.75" hidden="1" customHeight="1" x14ac:dyDescent="0.2"/>
    <row r="8819" ht="12.75" hidden="1" customHeight="1" x14ac:dyDescent="0.2"/>
    <row r="8820" ht="12.75" hidden="1" customHeight="1" x14ac:dyDescent="0.2"/>
    <row r="8821" ht="12.75" hidden="1" customHeight="1" x14ac:dyDescent="0.2"/>
    <row r="8822" ht="12.75" hidden="1" customHeight="1" x14ac:dyDescent="0.2"/>
    <row r="8823" ht="12.75" hidden="1" customHeight="1" x14ac:dyDescent="0.2"/>
    <row r="8824" ht="12.75" hidden="1" customHeight="1" x14ac:dyDescent="0.2"/>
    <row r="8825" ht="12.75" hidden="1" customHeight="1" x14ac:dyDescent="0.2"/>
    <row r="8826" ht="12.75" hidden="1" customHeight="1" x14ac:dyDescent="0.2"/>
    <row r="8827" ht="12.75" hidden="1" customHeight="1" x14ac:dyDescent="0.2"/>
    <row r="8828" ht="12.75" hidden="1" customHeight="1" x14ac:dyDescent="0.2"/>
    <row r="8829" ht="12.75" hidden="1" customHeight="1" x14ac:dyDescent="0.2"/>
    <row r="8830" ht="12.75" hidden="1" customHeight="1" x14ac:dyDescent="0.2"/>
    <row r="8831" ht="12.75" hidden="1" customHeight="1" x14ac:dyDescent="0.2"/>
    <row r="8832" ht="12.75" hidden="1" customHeight="1" x14ac:dyDescent="0.2"/>
    <row r="8833" ht="12.75" hidden="1" customHeight="1" x14ac:dyDescent="0.2"/>
    <row r="8834" ht="12.75" hidden="1" customHeight="1" x14ac:dyDescent="0.2"/>
    <row r="8835" ht="12.75" hidden="1" customHeight="1" x14ac:dyDescent="0.2"/>
    <row r="8836" ht="12.75" hidden="1" customHeight="1" x14ac:dyDescent="0.2"/>
    <row r="8837" ht="12.75" hidden="1" customHeight="1" x14ac:dyDescent="0.2"/>
    <row r="8838" ht="12.75" hidden="1" customHeight="1" x14ac:dyDescent="0.2"/>
    <row r="8839" ht="12.75" hidden="1" customHeight="1" x14ac:dyDescent="0.2"/>
    <row r="8840" ht="12.75" hidden="1" customHeight="1" x14ac:dyDescent="0.2"/>
    <row r="8841" ht="12.75" hidden="1" customHeight="1" x14ac:dyDescent="0.2"/>
    <row r="8842" ht="12.75" hidden="1" customHeight="1" x14ac:dyDescent="0.2"/>
    <row r="8843" ht="12.75" hidden="1" customHeight="1" x14ac:dyDescent="0.2"/>
    <row r="8844" ht="12.75" hidden="1" customHeight="1" x14ac:dyDescent="0.2"/>
    <row r="8845" ht="12.75" hidden="1" customHeight="1" x14ac:dyDescent="0.2"/>
    <row r="8846" ht="12.75" hidden="1" customHeight="1" x14ac:dyDescent="0.2"/>
    <row r="8847" ht="12.75" hidden="1" customHeight="1" x14ac:dyDescent="0.2"/>
    <row r="8848" ht="12.75" hidden="1" customHeight="1" x14ac:dyDescent="0.2"/>
    <row r="8849" ht="12.75" hidden="1" customHeight="1" x14ac:dyDescent="0.2"/>
    <row r="8850" ht="12.75" hidden="1" customHeight="1" x14ac:dyDescent="0.2"/>
    <row r="8851" ht="12.75" hidden="1" customHeight="1" x14ac:dyDescent="0.2"/>
    <row r="8852" ht="12.75" hidden="1" customHeight="1" x14ac:dyDescent="0.2"/>
    <row r="8853" ht="12.75" hidden="1" customHeight="1" x14ac:dyDescent="0.2"/>
    <row r="8854" ht="12.75" hidden="1" customHeight="1" x14ac:dyDescent="0.2"/>
    <row r="8855" ht="12.75" hidden="1" customHeight="1" x14ac:dyDescent="0.2"/>
    <row r="8856" ht="12.75" hidden="1" customHeight="1" x14ac:dyDescent="0.2"/>
    <row r="8857" ht="12.75" hidden="1" customHeight="1" x14ac:dyDescent="0.2"/>
    <row r="8858" ht="12.75" hidden="1" customHeight="1" x14ac:dyDescent="0.2"/>
    <row r="8859" ht="12.75" hidden="1" customHeight="1" x14ac:dyDescent="0.2"/>
    <row r="8860" ht="12.75" hidden="1" customHeight="1" x14ac:dyDescent="0.2"/>
    <row r="8861" ht="12.75" hidden="1" customHeight="1" x14ac:dyDescent="0.2"/>
    <row r="8862" ht="12.75" hidden="1" customHeight="1" x14ac:dyDescent="0.2"/>
    <row r="8863" ht="12.75" hidden="1" customHeight="1" x14ac:dyDescent="0.2"/>
    <row r="8864" ht="12.75" hidden="1" customHeight="1" x14ac:dyDescent="0.2"/>
    <row r="8865" ht="12.75" hidden="1" customHeight="1" x14ac:dyDescent="0.2"/>
    <row r="8866" ht="12.75" hidden="1" customHeight="1" x14ac:dyDescent="0.2"/>
    <row r="8867" ht="12.75" hidden="1" customHeight="1" x14ac:dyDescent="0.2"/>
    <row r="8868" ht="12.75" hidden="1" customHeight="1" x14ac:dyDescent="0.2"/>
    <row r="8869" ht="12.75" hidden="1" customHeight="1" x14ac:dyDescent="0.2"/>
    <row r="8870" ht="12.75" hidden="1" customHeight="1" x14ac:dyDescent="0.2"/>
    <row r="8871" ht="12.75" hidden="1" customHeight="1" x14ac:dyDescent="0.2"/>
    <row r="8872" ht="12.75" hidden="1" customHeight="1" x14ac:dyDescent="0.2"/>
    <row r="8873" ht="12.75" hidden="1" customHeight="1" x14ac:dyDescent="0.2"/>
    <row r="8874" ht="12.75" hidden="1" customHeight="1" x14ac:dyDescent="0.2"/>
    <row r="8875" ht="12.75" hidden="1" customHeight="1" x14ac:dyDescent="0.2"/>
    <row r="8876" ht="12.75" hidden="1" customHeight="1" x14ac:dyDescent="0.2"/>
    <row r="8877" ht="12.75" hidden="1" customHeight="1" x14ac:dyDescent="0.2"/>
    <row r="8878" ht="12.75" hidden="1" customHeight="1" x14ac:dyDescent="0.2"/>
    <row r="8879" ht="12.75" hidden="1" customHeight="1" x14ac:dyDescent="0.2"/>
    <row r="8880" ht="12.75" hidden="1" customHeight="1" x14ac:dyDescent="0.2"/>
    <row r="8881" ht="12.75" hidden="1" customHeight="1" x14ac:dyDescent="0.2"/>
    <row r="8882" ht="12.75" hidden="1" customHeight="1" x14ac:dyDescent="0.2"/>
    <row r="8883" ht="12.75" hidden="1" customHeight="1" x14ac:dyDescent="0.2"/>
    <row r="8884" ht="12.75" hidden="1" customHeight="1" x14ac:dyDescent="0.2"/>
    <row r="8885" ht="12.75" hidden="1" customHeight="1" x14ac:dyDescent="0.2"/>
    <row r="8886" ht="12.75" hidden="1" customHeight="1" x14ac:dyDescent="0.2"/>
    <row r="8887" ht="12.75" hidden="1" customHeight="1" x14ac:dyDescent="0.2"/>
    <row r="8888" ht="12.75" hidden="1" customHeight="1" x14ac:dyDescent="0.2"/>
    <row r="8889" ht="12.75" hidden="1" customHeight="1" x14ac:dyDescent="0.2"/>
    <row r="8890" ht="12.75" hidden="1" customHeight="1" x14ac:dyDescent="0.2"/>
    <row r="8891" ht="12.75" hidden="1" customHeight="1" x14ac:dyDescent="0.2"/>
    <row r="8892" ht="12.75" hidden="1" customHeight="1" x14ac:dyDescent="0.2"/>
    <row r="8893" ht="12.75" hidden="1" customHeight="1" x14ac:dyDescent="0.2"/>
    <row r="8894" ht="12.75" hidden="1" customHeight="1" x14ac:dyDescent="0.2"/>
    <row r="8895" ht="12.75" hidden="1" customHeight="1" x14ac:dyDescent="0.2"/>
    <row r="8896" ht="12.75" hidden="1" customHeight="1" x14ac:dyDescent="0.2"/>
    <row r="8897" ht="12.75" hidden="1" customHeight="1" x14ac:dyDescent="0.2"/>
    <row r="8898" ht="12.75" hidden="1" customHeight="1" x14ac:dyDescent="0.2"/>
    <row r="8899" ht="12.75" hidden="1" customHeight="1" x14ac:dyDescent="0.2"/>
    <row r="8900" ht="12.75" hidden="1" customHeight="1" x14ac:dyDescent="0.2"/>
    <row r="8901" ht="12.75" hidden="1" customHeight="1" x14ac:dyDescent="0.2"/>
    <row r="8902" ht="12.75" hidden="1" customHeight="1" x14ac:dyDescent="0.2"/>
    <row r="8903" ht="12.75" hidden="1" customHeight="1" x14ac:dyDescent="0.2"/>
    <row r="8904" ht="12.75" hidden="1" customHeight="1" x14ac:dyDescent="0.2"/>
    <row r="8905" ht="12.75" hidden="1" customHeight="1" x14ac:dyDescent="0.2"/>
    <row r="8906" ht="12.75" hidden="1" customHeight="1" x14ac:dyDescent="0.2"/>
    <row r="8907" ht="12.75" hidden="1" customHeight="1" x14ac:dyDescent="0.2"/>
    <row r="8908" ht="12.75" hidden="1" customHeight="1" x14ac:dyDescent="0.2"/>
    <row r="8909" ht="12.75" hidden="1" customHeight="1" x14ac:dyDescent="0.2"/>
    <row r="8910" ht="12.75" hidden="1" customHeight="1" x14ac:dyDescent="0.2"/>
    <row r="8911" ht="12.75" hidden="1" customHeight="1" x14ac:dyDescent="0.2"/>
    <row r="8912" ht="12.75" hidden="1" customHeight="1" x14ac:dyDescent="0.2"/>
    <row r="8913" ht="12.75" hidden="1" customHeight="1" x14ac:dyDescent="0.2"/>
    <row r="8914" ht="12.75" hidden="1" customHeight="1" x14ac:dyDescent="0.2"/>
    <row r="8915" ht="12.75" hidden="1" customHeight="1" x14ac:dyDescent="0.2"/>
    <row r="8916" ht="12.75" hidden="1" customHeight="1" x14ac:dyDescent="0.2"/>
    <row r="8917" ht="12.75" hidden="1" customHeight="1" x14ac:dyDescent="0.2"/>
    <row r="8918" ht="12.75" hidden="1" customHeight="1" x14ac:dyDescent="0.2"/>
    <row r="8919" ht="12.75" hidden="1" customHeight="1" x14ac:dyDescent="0.2"/>
    <row r="8920" ht="12.75" hidden="1" customHeight="1" x14ac:dyDescent="0.2"/>
    <row r="8921" ht="12.75" hidden="1" customHeight="1" x14ac:dyDescent="0.2"/>
    <row r="8922" ht="12.75" hidden="1" customHeight="1" x14ac:dyDescent="0.2"/>
    <row r="8923" ht="12.75" hidden="1" customHeight="1" x14ac:dyDescent="0.2"/>
    <row r="8924" ht="12.75" hidden="1" customHeight="1" x14ac:dyDescent="0.2"/>
    <row r="8925" ht="12.75" hidden="1" customHeight="1" x14ac:dyDescent="0.2"/>
    <row r="8926" ht="12.75" hidden="1" customHeight="1" x14ac:dyDescent="0.2"/>
    <row r="8927" ht="12.75" hidden="1" customHeight="1" x14ac:dyDescent="0.2"/>
    <row r="8928" ht="12.75" hidden="1" customHeight="1" x14ac:dyDescent="0.2"/>
    <row r="8929" ht="12.75" hidden="1" customHeight="1" x14ac:dyDescent="0.2"/>
    <row r="8930" ht="12.75" hidden="1" customHeight="1" x14ac:dyDescent="0.2"/>
    <row r="8931" ht="12.75" hidden="1" customHeight="1" x14ac:dyDescent="0.2"/>
    <row r="8932" ht="12.75" hidden="1" customHeight="1" x14ac:dyDescent="0.2"/>
    <row r="8933" ht="12.75" hidden="1" customHeight="1" x14ac:dyDescent="0.2"/>
    <row r="8934" ht="12.75" hidden="1" customHeight="1" x14ac:dyDescent="0.2"/>
    <row r="8935" ht="12.75" hidden="1" customHeight="1" x14ac:dyDescent="0.2"/>
    <row r="8936" ht="12.75" hidden="1" customHeight="1" x14ac:dyDescent="0.2"/>
    <row r="8937" ht="12.75" hidden="1" customHeight="1" x14ac:dyDescent="0.2"/>
    <row r="8938" ht="12.75" hidden="1" customHeight="1" x14ac:dyDescent="0.2"/>
    <row r="8939" ht="12.75" hidden="1" customHeight="1" x14ac:dyDescent="0.2"/>
    <row r="8940" ht="12.75" hidden="1" customHeight="1" x14ac:dyDescent="0.2"/>
    <row r="8941" ht="12.75" hidden="1" customHeight="1" x14ac:dyDescent="0.2"/>
    <row r="8942" ht="12.75" hidden="1" customHeight="1" x14ac:dyDescent="0.2"/>
    <row r="8943" ht="12.75" hidden="1" customHeight="1" x14ac:dyDescent="0.2"/>
    <row r="8944" ht="12.75" hidden="1" customHeight="1" x14ac:dyDescent="0.2"/>
    <row r="8945" ht="12.75" hidden="1" customHeight="1" x14ac:dyDescent="0.2"/>
    <row r="8946" ht="12.75" hidden="1" customHeight="1" x14ac:dyDescent="0.2"/>
    <row r="8947" ht="12.75" hidden="1" customHeight="1" x14ac:dyDescent="0.2"/>
    <row r="8948" ht="12.75" hidden="1" customHeight="1" x14ac:dyDescent="0.2"/>
    <row r="8949" ht="12.75" hidden="1" customHeight="1" x14ac:dyDescent="0.2"/>
    <row r="8950" ht="12.75" hidden="1" customHeight="1" x14ac:dyDescent="0.2"/>
    <row r="8951" ht="12.75" hidden="1" customHeight="1" x14ac:dyDescent="0.2"/>
    <row r="8952" ht="12.75" hidden="1" customHeight="1" x14ac:dyDescent="0.2"/>
    <row r="8953" ht="12.75" hidden="1" customHeight="1" x14ac:dyDescent="0.2"/>
    <row r="8954" ht="12.75" hidden="1" customHeight="1" x14ac:dyDescent="0.2"/>
    <row r="8955" ht="12.75" hidden="1" customHeight="1" x14ac:dyDescent="0.2"/>
    <row r="8956" ht="12.75" hidden="1" customHeight="1" x14ac:dyDescent="0.2"/>
    <row r="8957" ht="12.75" hidden="1" customHeight="1" x14ac:dyDescent="0.2"/>
    <row r="8958" ht="12.75" hidden="1" customHeight="1" x14ac:dyDescent="0.2"/>
    <row r="8959" ht="12.75" hidden="1" customHeight="1" x14ac:dyDescent="0.2"/>
    <row r="8960" ht="12.75" hidden="1" customHeight="1" x14ac:dyDescent="0.2"/>
    <row r="8961" ht="12.75" hidden="1" customHeight="1" x14ac:dyDescent="0.2"/>
    <row r="8962" ht="12.75" hidden="1" customHeight="1" x14ac:dyDescent="0.2"/>
    <row r="8963" ht="12.75" hidden="1" customHeight="1" x14ac:dyDescent="0.2"/>
    <row r="8964" ht="12.75" hidden="1" customHeight="1" x14ac:dyDescent="0.2"/>
    <row r="8965" ht="12.75" hidden="1" customHeight="1" x14ac:dyDescent="0.2"/>
    <row r="8966" ht="12.75" hidden="1" customHeight="1" x14ac:dyDescent="0.2"/>
    <row r="8967" ht="12.75" hidden="1" customHeight="1" x14ac:dyDescent="0.2"/>
    <row r="8968" ht="12.75" hidden="1" customHeight="1" x14ac:dyDescent="0.2"/>
    <row r="8969" ht="12.75" hidden="1" customHeight="1" x14ac:dyDescent="0.2"/>
    <row r="8970" ht="12.75" hidden="1" customHeight="1" x14ac:dyDescent="0.2"/>
    <row r="8971" ht="12.75" hidden="1" customHeight="1" x14ac:dyDescent="0.2"/>
    <row r="8972" ht="12.75" hidden="1" customHeight="1" x14ac:dyDescent="0.2"/>
    <row r="8973" ht="12.75" hidden="1" customHeight="1" x14ac:dyDescent="0.2"/>
    <row r="8974" ht="12.75" hidden="1" customHeight="1" x14ac:dyDescent="0.2"/>
    <row r="8975" ht="12.75" hidden="1" customHeight="1" x14ac:dyDescent="0.2"/>
    <row r="8976" ht="12.75" hidden="1" customHeight="1" x14ac:dyDescent="0.2"/>
    <row r="8977" ht="12.75" hidden="1" customHeight="1" x14ac:dyDescent="0.2"/>
    <row r="8978" ht="12.75" hidden="1" customHeight="1" x14ac:dyDescent="0.2"/>
    <row r="8979" ht="12.75" hidden="1" customHeight="1" x14ac:dyDescent="0.2"/>
    <row r="8980" ht="12.75" hidden="1" customHeight="1" x14ac:dyDescent="0.2"/>
    <row r="8981" ht="12.75" hidden="1" customHeight="1" x14ac:dyDescent="0.2"/>
    <row r="8982" ht="12.75" hidden="1" customHeight="1" x14ac:dyDescent="0.2"/>
    <row r="8983" ht="12.75" hidden="1" customHeight="1" x14ac:dyDescent="0.2"/>
    <row r="8984" ht="12.75" hidden="1" customHeight="1" x14ac:dyDescent="0.2"/>
    <row r="8985" ht="12.75" hidden="1" customHeight="1" x14ac:dyDescent="0.2"/>
    <row r="8986" ht="12.75" hidden="1" customHeight="1" x14ac:dyDescent="0.2"/>
    <row r="8987" ht="12.75" hidden="1" customHeight="1" x14ac:dyDescent="0.2"/>
    <row r="8988" ht="12.75" hidden="1" customHeight="1" x14ac:dyDescent="0.2"/>
    <row r="8989" ht="12.75" hidden="1" customHeight="1" x14ac:dyDescent="0.2"/>
    <row r="8990" ht="12.75" hidden="1" customHeight="1" x14ac:dyDescent="0.2"/>
    <row r="8991" ht="12.75" hidden="1" customHeight="1" x14ac:dyDescent="0.2"/>
    <row r="8992" ht="12.75" hidden="1" customHeight="1" x14ac:dyDescent="0.2"/>
    <row r="8993" ht="12.75" hidden="1" customHeight="1" x14ac:dyDescent="0.2"/>
    <row r="8994" ht="12.75" hidden="1" customHeight="1" x14ac:dyDescent="0.2"/>
    <row r="8995" ht="12.75" hidden="1" customHeight="1" x14ac:dyDescent="0.2"/>
    <row r="8996" ht="12.75" hidden="1" customHeight="1" x14ac:dyDescent="0.2"/>
    <row r="8997" ht="12.75" hidden="1" customHeight="1" x14ac:dyDescent="0.2"/>
    <row r="8998" ht="12.75" hidden="1" customHeight="1" x14ac:dyDescent="0.2"/>
    <row r="8999" ht="12.75" hidden="1" customHeight="1" x14ac:dyDescent="0.2"/>
    <row r="9000" ht="12.75" hidden="1" customHeight="1" x14ac:dyDescent="0.2"/>
    <row r="9001" ht="12.75" hidden="1" customHeight="1" x14ac:dyDescent="0.2"/>
    <row r="9002" ht="12.75" hidden="1" customHeight="1" x14ac:dyDescent="0.2"/>
    <row r="9003" ht="12.75" hidden="1" customHeight="1" x14ac:dyDescent="0.2"/>
    <row r="9004" ht="12.75" hidden="1" customHeight="1" x14ac:dyDescent="0.2"/>
    <row r="9005" ht="12.75" hidden="1" customHeight="1" x14ac:dyDescent="0.2"/>
    <row r="9006" ht="12.75" hidden="1" customHeight="1" x14ac:dyDescent="0.2"/>
    <row r="9007" ht="12.75" hidden="1" customHeight="1" x14ac:dyDescent="0.2"/>
    <row r="9008" ht="12.75" hidden="1" customHeight="1" x14ac:dyDescent="0.2"/>
    <row r="9009" ht="12.75" hidden="1" customHeight="1" x14ac:dyDescent="0.2"/>
    <row r="9010" ht="12.75" hidden="1" customHeight="1" x14ac:dyDescent="0.2"/>
    <row r="9011" ht="12.75" hidden="1" customHeight="1" x14ac:dyDescent="0.2"/>
    <row r="9012" ht="12.75" hidden="1" customHeight="1" x14ac:dyDescent="0.2"/>
    <row r="9013" ht="12.75" hidden="1" customHeight="1" x14ac:dyDescent="0.2"/>
    <row r="9014" ht="12.75" hidden="1" customHeight="1" x14ac:dyDescent="0.2"/>
    <row r="9015" ht="12.75" hidden="1" customHeight="1" x14ac:dyDescent="0.2"/>
    <row r="9016" ht="12.75" hidden="1" customHeight="1" x14ac:dyDescent="0.2"/>
    <row r="9017" ht="12.75" hidden="1" customHeight="1" x14ac:dyDescent="0.2"/>
    <row r="9018" ht="12.75" hidden="1" customHeight="1" x14ac:dyDescent="0.2"/>
    <row r="9019" ht="12.75" hidden="1" customHeight="1" x14ac:dyDescent="0.2"/>
    <row r="9020" ht="12.75" hidden="1" customHeight="1" x14ac:dyDescent="0.2"/>
    <row r="9021" ht="12.75" hidden="1" customHeight="1" x14ac:dyDescent="0.2"/>
    <row r="9022" ht="12.75" hidden="1" customHeight="1" x14ac:dyDescent="0.2"/>
    <row r="9023" ht="12.75" hidden="1" customHeight="1" x14ac:dyDescent="0.2"/>
    <row r="9024" ht="12.75" hidden="1" customHeight="1" x14ac:dyDescent="0.2"/>
    <row r="9025" ht="12.75" hidden="1" customHeight="1" x14ac:dyDescent="0.2"/>
    <row r="9026" ht="12.75" hidden="1" customHeight="1" x14ac:dyDescent="0.2"/>
    <row r="9027" ht="12.75" hidden="1" customHeight="1" x14ac:dyDescent="0.2"/>
    <row r="9028" ht="12.75" hidden="1" customHeight="1" x14ac:dyDescent="0.2"/>
    <row r="9029" ht="12.75" hidden="1" customHeight="1" x14ac:dyDescent="0.2"/>
    <row r="9030" ht="12.75" hidden="1" customHeight="1" x14ac:dyDescent="0.2"/>
    <row r="9031" ht="12.75" hidden="1" customHeight="1" x14ac:dyDescent="0.2"/>
    <row r="9032" ht="12.75" hidden="1" customHeight="1" x14ac:dyDescent="0.2"/>
    <row r="9033" ht="12.75" hidden="1" customHeight="1" x14ac:dyDescent="0.2"/>
    <row r="9034" ht="12.75" hidden="1" customHeight="1" x14ac:dyDescent="0.2"/>
    <row r="9035" ht="12.75" hidden="1" customHeight="1" x14ac:dyDescent="0.2"/>
    <row r="9036" ht="12.75" hidden="1" customHeight="1" x14ac:dyDescent="0.2"/>
    <row r="9037" ht="12.75" hidden="1" customHeight="1" x14ac:dyDescent="0.2"/>
    <row r="9038" ht="12.75" hidden="1" customHeight="1" x14ac:dyDescent="0.2"/>
    <row r="9039" ht="12.75" hidden="1" customHeight="1" x14ac:dyDescent="0.2"/>
    <row r="9040" ht="12.75" hidden="1" customHeight="1" x14ac:dyDescent="0.2"/>
    <row r="9041" ht="12.75" hidden="1" customHeight="1" x14ac:dyDescent="0.2"/>
    <row r="9042" ht="12.75" hidden="1" customHeight="1" x14ac:dyDescent="0.2"/>
    <row r="9043" ht="12.75" hidden="1" customHeight="1" x14ac:dyDescent="0.2"/>
    <row r="9044" ht="12.75" hidden="1" customHeight="1" x14ac:dyDescent="0.2"/>
    <row r="9045" ht="12.75" hidden="1" customHeight="1" x14ac:dyDescent="0.2"/>
    <row r="9046" ht="12.75" hidden="1" customHeight="1" x14ac:dyDescent="0.2"/>
    <row r="9047" ht="12.75" hidden="1" customHeight="1" x14ac:dyDescent="0.2"/>
    <row r="9048" ht="12.75" hidden="1" customHeight="1" x14ac:dyDescent="0.2"/>
    <row r="9049" ht="12.75" hidden="1" customHeight="1" x14ac:dyDescent="0.2"/>
    <row r="9050" ht="12.75" hidden="1" customHeight="1" x14ac:dyDescent="0.2"/>
    <row r="9051" ht="12.75" hidden="1" customHeight="1" x14ac:dyDescent="0.2"/>
    <row r="9052" ht="12.75" hidden="1" customHeight="1" x14ac:dyDescent="0.2"/>
    <row r="9053" ht="12.75" hidden="1" customHeight="1" x14ac:dyDescent="0.2"/>
    <row r="9054" ht="12.75" hidden="1" customHeight="1" x14ac:dyDescent="0.2"/>
    <row r="9055" ht="12.75" hidden="1" customHeight="1" x14ac:dyDescent="0.2"/>
    <row r="9056" ht="12.75" hidden="1" customHeight="1" x14ac:dyDescent="0.2"/>
    <row r="9057" ht="12.75" hidden="1" customHeight="1" x14ac:dyDescent="0.2"/>
    <row r="9058" ht="12.75" hidden="1" customHeight="1" x14ac:dyDescent="0.2"/>
    <row r="9059" ht="12.75" hidden="1" customHeight="1" x14ac:dyDescent="0.2"/>
    <row r="9060" ht="12.75" hidden="1" customHeight="1" x14ac:dyDescent="0.2"/>
    <row r="9061" ht="12.75" hidden="1" customHeight="1" x14ac:dyDescent="0.2"/>
    <row r="9062" ht="12.75" hidden="1" customHeight="1" x14ac:dyDescent="0.2"/>
    <row r="9063" ht="12.75" hidden="1" customHeight="1" x14ac:dyDescent="0.2"/>
    <row r="9064" ht="12.75" hidden="1" customHeight="1" x14ac:dyDescent="0.2"/>
    <row r="9065" ht="12.75" hidden="1" customHeight="1" x14ac:dyDescent="0.2"/>
    <row r="9066" ht="12.75" hidden="1" customHeight="1" x14ac:dyDescent="0.2"/>
    <row r="9067" ht="12.75" hidden="1" customHeight="1" x14ac:dyDescent="0.2"/>
    <row r="9068" ht="12.75" hidden="1" customHeight="1" x14ac:dyDescent="0.2"/>
    <row r="9069" ht="12.75" hidden="1" customHeight="1" x14ac:dyDescent="0.2"/>
    <row r="9070" ht="12.75" hidden="1" customHeight="1" x14ac:dyDescent="0.2"/>
    <row r="9071" ht="12.75" hidden="1" customHeight="1" x14ac:dyDescent="0.2"/>
    <row r="9072" ht="12.75" hidden="1" customHeight="1" x14ac:dyDescent="0.2"/>
    <row r="9073" ht="12.75" hidden="1" customHeight="1" x14ac:dyDescent="0.2"/>
    <row r="9074" ht="12.75" hidden="1" customHeight="1" x14ac:dyDescent="0.2"/>
    <row r="9075" ht="12.75" hidden="1" customHeight="1" x14ac:dyDescent="0.2"/>
    <row r="9076" ht="12.75" hidden="1" customHeight="1" x14ac:dyDescent="0.2"/>
    <row r="9077" ht="12.75" hidden="1" customHeight="1" x14ac:dyDescent="0.2"/>
    <row r="9078" ht="12.75" hidden="1" customHeight="1" x14ac:dyDescent="0.2"/>
    <row r="9079" ht="12.75" hidden="1" customHeight="1" x14ac:dyDescent="0.2"/>
    <row r="9080" ht="12.75" hidden="1" customHeight="1" x14ac:dyDescent="0.2"/>
    <row r="9081" ht="12.75" hidden="1" customHeight="1" x14ac:dyDescent="0.2"/>
    <row r="9082" ht="12.75" hidden="1" customHeight="1" x14ac:dyDescent="0.2"/>
    <row r="9083" ht="12.75" hidden="1" customHeight="1" x14ac:dyDescent="0.2"/>
    <row r="9084" ht="12.75" hidden="1" customHeight="1" x14ac:dyDescent="0.2"/>
    <row r="9085" ht="12.75" hidden="1" customHeight="1" x14ac:dyDescent="0.2"/>
    <row r="9086" ht="12.75" hidden="1" customHeight="1" x14ac:dyDescent="0.2"/>
    <row r="9087" ht="12.75" hidden="1" customHeight="1" x14ac:dyDescent="0.2"/>
    <row r="9088" ht="12.75" hidden="1" customHeight="1" x14ac:dyDescent="0.2"/>
    <row r="9089" ht="12.75" hidden="1" customHeight="1" x14ac:dyDescent="0.2"/>
    <row r="9090" ht="12.75" hidden="1" customHeight="1" x14ac:dyDescent="0.2"/>
    <row r="9091" ht="12.75" hidden="1" customHeight="1" x14ac:dyDescent="0.2"/>
    <row r="9092" ht="12.75" hidden="1" customHeight="1" x14ac:dyDescent="0.2"/>
    <row r="9093" ht="12.75" hidden="1" customHeight="1" x14ac:dyDescent="0.2"/>
    <row r="9094" ht="12.75" hidden="1" customHeight="1" x14ac:dyDescent="0.2"/>
    <row r="9095" ht="12.75" hidden="1" customHeight="1" x14ac:dyDescent="0.2"/>
    <row r="9096" ht="12.75" hidden="1" customHeight="1" x14ac:dyDescent="0.2"/>
    <row r="9097" ht="12.75" hidden="1" customHeight="1" x14ac:dyDescent="0.2"/>
    <row r="9098" ht="12.75" hidden="1" customHeight="1" x14ac:dyDescent="0.2"/>
    <row r="9099" ht="12.75" hidden="1" customHeight="1" x14ac:dyDescent="0.2"/>
    <row r="9100" ht="12.75" hidden="1" customHeight="1" x14ac:dyDescent="0.2"/>
    <row r="9101" ht="12.75" hidden="1" customHeight="1" x14ac:dyDescent="0.2"/>
    <row r="9102" ht="12.75" hidden="1" customHeight="1" x14ac:dyDescent="0.2"/>
    <row r="9103" ht="12.75" hidden="1" customHeight="1" x14ac:dyDescent="0.2"/>
    <row r="9104" ht="12.75" hidden="1" customHeight="1" x14ac:dyDescent="0.2"/>
    <row r="9105" ht="12.75" hidden="1" customHeight="1" x14ac:dyDescent="0.2"/>
    <row r="9106" ht="12.75" hidden="1" customHeight="1" x14ac:dyDescent="0.2"/>
    <row r="9107" ht="12.75" hidden="1" customHeight="1" x14ac:dyDescent="0.2"/>
    <row r="9108" ht="12.75" hidden="1" customHeight="1" x14ac:dyDescent="0.2"/>
    <row r="9109" ht="12.75" hidden="1" customHeight="1" x14ac:dyDescent="0.2"/>
    <row r="9110" ht="12.75" hidden="1" customHeight="1" x14ac:dyDescent="0.2"/>
    <row r="9111" ht="12.75" hidden="1" customHeight="1" x14ac:dyDescent="0.2"/>
    <row r="9112" ht="12.75" hidden="1" customHeight="1" x14ac:dyDescent="0.2"/>
    <row r="9113" ht="12.75" hidden="1" customHeight="1" x14ac:dyDescent="0.2"/>
    <row r="9114" ht="12.75" hidden="1" customHeight="1" x14ac:dyDescent="0.2"/>
    <row r="9115" ht="12.75" hidden="1" customHeight="1" x14ac:dyDescent="0.2"/>
    <row r="9116" ht="12.75" hidden="1" customHeight="1" x14ac:dyDescent="0.2"/>
    <row r="9117" ht="12.75" hidden="1" customHeight="1" x14ac:dyDescent="0.2"/>
    <row r="9118" ht="12.75" hidden="1" customHeight="1" x14ac:dyDescent="0.2"/>
    <row r="9119" ht="12.75" hidden="1" customHeight="1" x14ac:dyDescent="0.2"/>
    <row r="9120" ht="12.75" hidden="1" customHeight="1" x14ac:dyDescent="0.2"/>
    <row r="9121" ht="12.75" hidden="1" customHeight="1" x14ac:dyDescent="0.2"/>
    <row r="9122" ht="12.75" hidden="1" customHeight="1" x14ac:dyDescent="0.2"/>
    <row r="9123" ht="12.75" hidden="1" customHeight="1" x14ac:dyDescent="0.2"/>
    <row r="9124" ht="12.75" hidden="1" customHeight="1" x14ac:dyDescent="0.2"/>
    <row r="9125" ht="12.75" hidden="1" customHeight="1" x14ac:dyDescent="0.2"/>
    <row r="9126" ht="12.75" hidden="1" customHeight="1" x14ac:dyDescent="0.2"/>
    <row r="9127" ht="12.75" hidden="1" customHeight="1" x14ac:dyDescent="0.2"/>
    <row r="9128" ht="12.75" hidden="1" customHeight="1" x14ac:dyDescent="0.2"/>
    <row r="9129" ht="12.75" hidden="1" customHeight="1" x14ac:dyDescent="0.2"/>
    <row r="9130" ht="12.75" hidden="1" customHeight="1" x14ac:dyDescent="0.2"/>
    <row r="9131" ht="12.75" hidden="1" customHeight="1" x14ac:dyDescent="0.2"/>
    <row r="9132" ht="12.75" hidden="1" customHeight="1" x14ac:dyDescent="0.2"/>
    <row r="9133" ht="12.75" hidden="1" customHeight="1" x14ac:dyDescent="0.2"/>
    <row r="9134" ht="12.75" hidden="1" customHeight="1" x14ac:dyDescent="0.2"/>
    <row r="9135" ht="12.75" hidden="1" customHeight="1" x14ac:dyDescent="0.2"/>
    <row r="9136" ht="12.75" hidden="1" customHeight="1" x14ac:dyDescent="0.2"/>
    <row r="9137" ht="12.75" hidden="1" customHeight="1" x14ac:dyDescent="0.2"/>
    <row r="9138" ht="12.75" hidden="1" customHeight="1" x14ac:dyDescent="0.2"/>
    <row r="9139" ht="12.75" hidden="1" customHeight="1" x14ac:dyDescent="0.2"/>
    <row r="9140" ht="12.75" hidden="1" customHeight="1" x14ac:dyDescent="0.2"/>
    <row r="9141" ht="12.75" hidden="1" customHeight="1" x14ac:dyDescent="0.2"/>
    <row r="9142" ht="12.75" hidden="1" customHeight="1" x14ac:dyDescent="0.2"/>
    <row r="9143" ht="12.75" hidden="1" customHeight="1" x14ac:dyDescent="0.2"/>
    <row r="9144" ht="12.75" hidden="1" customHeight="1" x14ac:dyDescent="0.2"/>
    <row r="9145" ht="12.75" hidden="1" customHeight="1" x14ac:dyDescent="0.2"/>
    <row r="9146" ht="12.75" hidden="1" customHeight="1" x14ac:dyDescent="0.2"/>
    <row r="9147" ht="12.75" hidden="1" customHeight="1" x14ac:dyDescent="0.2"/>
    <row r="9148" ht="12.75" hidden="1" customHeight="1" x14ac:dyDescent="0.2"/>
    <row r="9149" ht="12.75" hidden="1" customHeight="1" x14ac:dyDescent="0.2"/>
    <row r="9150" ht="12.75" hidden="1" customHeight="1" x14ac:dyDescent="0.2"/>
    <row r="9151" ht="12.75" hidden="1" customHeight="1" x14ac:dyDescent="0.2"/>
    <row r="9152" ht="12.75" hidden="1" customHeight="1" x14ac:dyDescent="0.2"/>
    <row r="9153" ht="12.75" hidden="1" customHeight="1" x14ac:dyDescent="0.2"/>
    <row r="9154" ht="12.75" hidden="1" customHeight="1" x14ac:dyDescent="0.2"/>
    <row r="9155" ht="12.75" hidden="1" customHeight="1" x14ac:dyDescent="0.2"/>
    <row r="9156" ht="12.75" hidden="1" customHeight="1" x14ac:dyDescent="0.2"/>
    <row r="9157" ht="12.75" hidden="1" customHeight="1" x14ac:dyDescent="0.2"/>
    <row r="9158" ht="12.75" hidden="1" customHeight="1" x14ac:dyDescent="0.2"/>
    <row r="9159" ht="12.75" hidden="1" customHeight="1" x14ac:dyDescent="0.2"/>
    <row r="9160" ht="12.75" hidden="1" customHeight="1" x14ac:dyDescent="0.2"/>
    <row r="9161" ht="12.75" hidden="1" customHeight="1" x14ac:dyDescent="0.2"/>
    <row r="9162" ht="12.75" hidden="1" customHeight="1" x14ac:dyDescent="0.2"/>
    <row r="9163" ht="12.75" hidden="1" customHeight="1" x14ac:dyDescent="0.2"/>
    <row r="9164" ht="12.75" hidden="1" customHeight="1" x14ac:dyDescent="0.2"/>
    <row r="9165" ht="12.75" hidden="1" customHeight="1" x14ac:dyDescent="0.2"/>
    <row r="9166" ht="12.75" hidden="1" customHeight="1" x14ac:dyDescent="0.2"/>
    <row r="9167" ht="12.75" hidden="1" customHeight="1" x14ac:dyDescent="0.2"/>
    <row r="9168" ht="12.75" hidden="1" customHeight="1" x14ac:dyDescent="0.2"/>
    <row r="9169" ht="12.75" hidden="1" customHeight="1" x14ac:dyDescent="0.2"/>
    <row r="9170" ht="12.75" hidden="1" customHeight="1" x14ac:dyDescent="0.2"/>
    <row r="9171" ht="12.75" hidden="1" customHeight="1" x14ac:dyDescent="0.2"/>
    <row r="9172" ht="12.75" hidden="1" customHeight="1" x14ac:dyDescent="0.2"/>
    <row r="9173" ht="12.75" hidden="1" customHeight="1" x14ac:dyDescent="0.2"/>
    <row r="9174" ht="12.75" hidden="1" customHeight="1" x14ac:dyDescent="0.2"/>
    <row r="9175" ht="12.75" hidden="1" customHeight="1" x14ac:dyDescent="0.2"/>
    <row r="9176" ht="12.75" hidden="1" customHeight="1" x14ac:dyDescent="0.2"/>
    <row r="9177" ht="12.75" hidden="1" customHeight="1" x14ac:dyDescent="0.2"/>
    <row r="9178" ht="12.75" hidden="1" customHeight="1" x14ac:dyDescent="0.2"/>
    <row r="9179" ht="12.75" hidden="1" customHeight="1" x14ac:dyDescent="0.2"/>
    <row r="9180" ht="12.75" hidden="1" customHeight="1" x14ac:dyDescent="0.2"/>
    <row r="9181" ht="12.75" hidden="1" customHeight="1" x14ac:dyDescent="0.2"/>
    <row r="9182" ht="12.75" hidden="1" customHeight="1" x14ac:dyDescent="0.2"/>
    <row r="9183" ht="12.75" hidden="1" customHeight="1" x14ac:dyDescent="0.2"/>
    <row r="9184" ht="12.75" hidden="1" customHeight="1" x14ac:dyDescent="0.2"/>
    <row r="9185" ht="12.75" hidden="1" customHeight="1" x14ac:dyDescent="0.2"/>
    <row r="9186" ht="12.75" hidden="1" customHeight="1" x14ac:dyDescent="0.2"/>
    <row r="9187" ht="12.75" hidden="1" customHeight="1" x14ac:dyDescent="0.2"/>
    <row r="9188" ht="12.75" hidden="1" customHeight="1" x14ac:dyDescent="0.2"/>
    <row r="9189" ht="12.75" hidden="1" customHeight="1" x14ac:dyDescent="0.2"/>
    <row r="9190" ht="12.75" hidden="1" customHeight="1" x14ac:dyDescent="0.2"/>
    <row r="9191" ht="12.75" hidden="1" customHeight="1" x14ac:dyDescent="0.2"/>
    <row r="9192" ht="12.75" hidden="1" customHeight="1" x14ac:dyDescent="0.2"/>
    <row r="9193" ht="12.75" hidden="1" customHeight="1" x14ac:dyDescent="0.2"/>
    <row r="9194" ht="12.75" hidden="1" customHeight="1" x14ac:dyDescent="0.2"/>
    <row r="9195" ht="12.75" hidden="1" customHeight="1" x14ac:dyDescent="0.2"/>
    <row r="9196" ht="12.75" hidden="1" customHeight="1" x14ac:dyDescent="0.2"/>
    <row r="9197" ht="12.75" hidden="1" customHeight="1" x14ac:dyDescent="0.2"/>
    <row r="9198" ht="12.75" hidden="1" customHeight="1" x14ac:dyDescent="0.2"/>
    <row r="9199" ht="12.75" hidden="1" customHeight="1" x14ac:dyDescent="0.2"/>
    <row r="9200" ht="12.75" hidden="1" customHeight="1" x14ac:dyDescent="0.2"/>
    <row r="9201" ht="12.75" hidden="1" customHeight="1" x14ac:dyDescent="0.2"/>
    <row r="9202" ht="12.75" hidden="1" customHeight="1" x14ac:dyDescent="0.2"/>
    <row r="9203" ht="12.75" hidden="1" customHeight="1" x14ac:dyDescent="0.2"/>
    <row r="9204" ht="12.75" hidden="1" customHeight="1" x14ac:dyDescent="0.2"/>
    <row r="9205" ht="12.75" hidden="1" customHeight="1" x14ac:dyDescent="0.2"/>
    <row r="9206" ht="12.75" hidden="1" customHeight="1" x14ac:dyDescent="0.2"/>
    <row r="9207" ht="12.75" hidden="1" customHeight="1" x14ac:dyDescent="0.2"/>
    <row r="9208" ht="12.75" hidden="1" customHeight="1" x14ac:dyDescent="0.2"/>
    <row r="9209" ht="12.75" hidden="1" customHeight="1" x14ac:dyDescent="0.2"/>
    <row r="9210" ht="12.75" hidden="1" customHeight="1" x14ac:dyDescent="0.2"/>
    <row r="9211" ht="12.75" hidden="1" customHeight="1" x14ac:dyDescent="0.2"/>
    <row r="9212" ht="12.75" hidden="1" customHeight="1" x14ac:dyDescent="0.2"/>
    <row r="9213" ht="12.75" hidden="1" customHeight="1" x14ac:dyDescent="0.2"/>
    <row r="9214" ht="12.75" hidden="1" customHeight="1" x14ac:dyDescent="0.2"/>
    <row r="9215" ht="12.75" hidden="1" customHeight="1" x14ac:dyDescent="0.2"/>
    <row r="9216" ht="12.75" hidden="1" customHeight="1" x14ac:dyDescent="0.2"/>
    <row r="9217" ht="12.75" hidden="1" customHeight="1" x14ac:dyDescent="0.2"/>
    <row r="9218" ht="12.75" hidden="1" customHeight="1" x14ac:dyDescent="0.2"/>
    <row r="9219" ht="12.75" hidden="1" customHeight="1" x14ac:dyDescent="0.2"/>
    <row r="9220" ht="12.75" hidden="1" customHeight="1" x14ac:dyDescent="0.2"/>
    <row r="9221" ht="12.75" hidden="1" customHeight="1" x14ac:dyDescent="0.2"/>
    <row r="9222" ht="12.75" hidden="1" customHeight="1" x14ac:dyDescent="0.2"/>
    <row r="9223" ht="12.75" hidden="1" customHeight="1" x14ac:dyDescent="0.2"/>
    <row r="9224" ht="12.75" hidden="1" customHeight="1" x14ac:dyDescent="0.2"/>
    <row r="9225" ht="12.75" hidden="1" customHeight="1" x14ac:dyDescent="0.2"/>
    <row r="9226" ht="12.75" hidden="1" customHeight="1" x14ac:dyDescent="0.2"/>
    <row r="9227" ht="12.75" hidden="1" customHeight="1" x14ac:dyDescent="0.2"/>
    <row r="9228" ht="12.75" hidden="1" customHeight="1" x14ac:dyDescent="0.2"/>
    <row r="9229" ht="12.75" hidden="1" customHeight="1" x14ac:dyDescent="0.2"/>
    <row r="9230" ht="12.75" hidden="1" customHeight="1" x14ac:dyDescent="0.2"/>
    <row r="9231" ht="12.75" hidden="1" customHeight="1" x14ac:dyDescent="0.2"/>
    <row r="9232" ht="12.75" hidden="1" customHeight="1" x14ac:dyDescent="0.2"/>
    <row r="9233" ht="12.75" hidden="1" customHeight="1" x14ac:dyDescent="0.2"/>
    <row r="9234" ht="12.75" hidden="1" customHeight="1" x14ac:dyDescent="0.2"/>
    <row r="9235" ht="12.75" hidden="1" customHeight="1" x14ac:dyDescent="0.2"/>
    <row r="9236" ht="12.75" hidden="1" customHeight="1" x14ac:dyDescent="0.2"/>
    <row r="9237" ht="12.75" hidden="1" customHeight="1" x14ac:dyDescent="0.2"/>
    <row r="9238" ht="12.75" hidden="1" customHeight="1" x14ac:dyDescent="0.2"/>
    <row r="9239" ht="12.75" hidden="1" customHeight="1" x14ac:dyDescent="0.2"/>
    <row r="9240" ht="12.75" hidden="1" customHeight="1" x14ac:dyDescent="0.2"/>
    <row r="9241" ht="12.75" hidden="1" customHeight="1" x14ac:dyDescent="0.2"/>
    <row r="9242" ht="12.75" hidden="1" customHeight="1" x14ac:dyDescent="0.2"/>
    <row r="9243" ht="12.75" hidden="1" customHeight="1" x14ac:dyDescent="0.2"/>
    <row r="9244" ht="12.75" hidden="1" customHeight="1" x14ac:dyDescent="0.2"/>
    <row r="9245" ht="12.75" hidden="1" customHeight="1" x14ac:dyDescent="0.2"/>
    <row r="9246" ht="12.75" hidden="1" customHeight="1" x14ac:dyDescent="0.2"/>
    <row r="9247" ht="12.75" hidden="1" customHeight="1" x14ac:dyDescent="0.2"/>
    <row r="9248" ht="12.75" hidden="1" customHeight="1" x14ac:dyDescent="0.2"/>
    <row r="9249" ht="12.75" hidden="1" customHeight="1" x14ac:dyDescent="0.2"/>
    <row r="9250" ht="12.75" hidden="1" customHeight="1" x14ac:dyDescent="0.2"/>
    <row r="9251" ht="12.75" hidden="1" customHeight="1" x14ac:dyDescent="0.2"/>
    <row r="9252" ht="12.75" hidden="1" customHeight="1" x14ac:dyDescent="0.2"/>
    <row r="9253" ht="12.75" hidden="1" customHeight="1" x14ac:dyDescent="0.2"/>
    <row r="9254" ht="12.75" hidden="1" customHeight="1" x14ac:dyDescent="0.2"/>
    <row r="9255" ht="12.75" hidden="1" customHeight="1" x14ac:dyDescent="0.2"/>
    <row r="9256" ht="12.75" hidden="1" customHeight="1" x14ac:dyDescent="0.2"/>
    <row r="9257" ht="12.75" hidden="1" customHeight="1" x14ac:dyDescent="0.2"/>
    <row r="9258" ht="12.75" hidden="1" customHeight="1" x14ac:dyDescent="0.2"/>
    <row r="9259" ht="12.75" hidden="1" customHeight="1" x14ac:dyDescent="0.2"/>
    <row r="9260" ht="12.75" hidden="1" customHeight="1" x14ac:dyDescent="0.2"/>
    <row r="9261" ht="12.75" hidden="1" customHeight="1" x14ac:dyDescent="0.2"/>
    <row r="9262" ht="12.75" hidden="1" customHeight="1" x14ac:dyDescent="0.2"/>
    <row r="9263" ht="12.75" hidden="1" customHeight="1" x14ac:dyDescent="0.2"/>
    <row r="9264" ht="12.75" hidden="1" customHeight="1" x14ac:dyDescent="0.2"/>
    <row r="9265" ht="12.75" hidden="1" customHeight="1" x14ac:dyDescent="0.2"/>
    <row r="9266" ht="12.75" hidden="1" customHeight="1" x14ac:dyDescent="0.2"/>
    <row r="9267" ht="12.75" hidden="1" customHeight="1" x14ac:dyDescent="0.2"/>
    <row r="9268" ht="12.75" hidden="1" customHeight="1" x14ac:dyDescent="0.2"/>
    <row r="9269" ht="12.75" hidden="1" customHeight="1" x14ac:dyDescent="0.2"/>
    <row r="9270" ht="12.75" hidden="1" customHeight="1" x14ac:dyDescent="0.2"/>
    <row r="9271" ht="12.75" hidden="1" customHeight="1" x14ac:dyDescent="0.2"/>
    <row r="9272" ht="12.75" hidden="1" customHeight="1" x14ac:dyDescent="0.2"/>
    <row r="9273" ht="12.75" hidden="1" customHeight="1" x14ac:dyDescent="0.2"/>
    <row r="9274" ht="12.75" hidden="1" customHeight="1" x14ac:dyDescent="0.2"/>
    <row r="9275" ht="12.75" hidden="1" customHeight="1" x14ac:dyDescent="0.2"/>
    <row r="9276" ht="12.75" hidden="1" customHeight="1" x14ac:dyDescent="0.2"/>
    <row r="9277" ht="12.75" hidden="1" customHeight="1" x14ac:dyDescent="0.2"/>
    <row r="9278" ht="12.75" hidden="1" customHeight="1" x14ac:dyDescent="0.2"/>
    <row r="9279" ht="12.75" hidden="1" customHeight="1" x14ac:dyDescent="0.2"/>
    <row r="9280" ht="12.75" hidden="1" customHeight="1" x14ac:dyDescent="0.2"/>
    <row r="9281" ht="12.75" hidden="1" customHeight="1" x14ac:dyDescent="0.2"/>
    <row r="9282" ht="12.75" hidden="1" customHeight="1" x14ac:dyDescent="0.2"/>
    <row r="9283" ht="12.75" hidden="1" customHeight="1" x14ac:dyDescent="0.2"/>
    <row r="9284" ht="12.75" hidden="1" customHeight="1" x14ac:dyDescent="0.2"/>
    <row r="9285" ht="12.75" hidden="1" customHeight="1" x14ac:dyDescent="0.2"/>
    <row r="9286" ht="12.75" hidden="1" customHeight="1" x14ac:dyDescent="0.2"/>
    <row r="9287" ht="12.75" hidden="1" customHeight="1" x14ac:dyDescent="0.2"/>
    <row r="9288" ht="12.75" hidden="1" customHeight="1" x14ac:dyDescent="0.2"/>
    <row r="9289" ht="12.75" hidden="1" customHeight="1" x14ac:dyDescent="0.2"/>
    <row r="9290" ht="12.75" hidden="1" customHeight="1" x14ac:dyDescent="0.2"/>
    <row r="9291" ht="12.75" hidden="1" customHeight="1" x14ac:dyDescent="0.2"/>
    <row r="9292" ht="12.75" hidden="1" customHeight="1" x14ac:dyDescent="0.2"/>
    <row r="9293" ht="12.75" hidden="1" customHeight="1" x14ac:dyDescent="0.2"/>
    <row r="9294" ht="12.75" hidden="1" customHeight="1" x14ac:dyDescent="0.2"/>
    <row r="9295" ht="12.75" hidden="1" customHeight="1" x14ac:dyDescent="0.2"/>
    <row r="9296" ht="12.75" hidden="1" customHeight="1" x14ac:dyDescent="0.2"/>
    <row r="9297" ht="12.75" hidden="1" customHeight="1" x14ac:dyDescent="0.2"/>
    <row r="9298" ht="12.75" hidden="1" customHeight="1" x14ac:dyDescent="0.2"/>
    <row r="9299" ht="12.75" hidden="1" customHeight="1" x14ac:dyDescent="0.2"/>
    <row r="9300" ht="12.75" hidden="1" customHeight="1" x14ac:dyDescent="0.2"/>
    <row r="9301" ht="12.75" hidden="1" customHeight="1" x14ac:dyDescent="0.2"/>
    <row r="9302" ht="12.75" hidden="1" customHeight="1" x14ac:dyDescent="0.2"/>
    <row r="9303" ht="12.75" hidden="1" customHeight="1" x14ac:dyDescent="0.2"/>
    <row r="9304" ht="12.75" hidden="1" customHeight="1" x14ac:dyDescent="0.2"/>
    <row r="9305" ht="12.75" hidden="1" customHeight="1" x14ac:dyDescent="0.2"/>
    <row r="9306" ht="12.75" hidden="1" customHeight="1" x14ac:dyDescent="0.2"/>
    <row r="9307" ht="12.75" hidden="1" customHeight="1" x14ac:dyDescent="0.2"/>
    <row r="9308" ht="12.75" hidden="1" customHeight="1" x14ac:dyDescent="0.2"/>
    <row r="9309" ht="12.75" hidden="1" customHeight="1" x14ac:dyDescent="0.2"/>
    <row r="9310" ht="12.75" hidden="1" customHeight="1" x14ac:dyDescent="0.2"/>
    <row r="9311" ht="12.75" hidden="1" customHeight="1" x14ac:dyDescent="0.2"/>
    <row r="9312" ht="12.75" hidden="1" customHeight="1" x14ac:dyDescent="0.2"/>
    <row r="9313" ht="12.75" hidden="1" customHeight="1" x14ac:dyDescent="0.2"/>
    <row r="9314" ht="12.75" hidden="1" customHeight="1" x14ac:dyDescent="0.2"/>
    <row r="9315" ht="12.75" hidden="1" customHeight="1" x14ac:dyDescent="0.2"/>
    <row r="9316" ht="12.75" hidden="1" customHeight="1" x14ac:dyDescent="0.2"/>
    <row r="9317" ht="12.75" hidden="1" customHeight="1" x14ac:dyDescent="0.2"/>
    <row r="9318" ht="12.75" hidden="1" customHeight="1" x14ac:dyDescent="0.2"/>
    <row r="9319" ht="12.75" hidden="1" customHeight="1" x14ac:dyDescent="0.2"/>
    <row r="9320" ht="12.75" hidden="1" customHeight="1" x14ac:dyDescent="0.2"/>
    <row r="9321" ht="12.75" hidden="1" customHeight="1" x14ac:dyDescent="0.2"/>
    <row r="9322" ht="12.75" hidden="1" customHeight="1" x14ac:dyDescent="0.2"/>
    <row r="9323" ht="12.75" hidden="1" customHeight="1" x14ac:dyDescent="0.2"/>
    <row r="9324" ht="12.75" hidden="1" customHeight="1" x14ac:dyDescent="0.2"/>
    <row r="9325" ht="12.75" hidden="1" customHeight="1" x14ac:dyDescent="0.2"/>
    <row r="9326" ht="12.75" hidden="1" customHeight="1" x14ac:dyDescent="0.2"/>
    <row r="9327" ht="12.75" hidden="1" customHeight="1" x14ac:dyDescent="0.2"/>
    <row r="9328" ht="12.75" hidden="1" customHeight="1" x14ac:dyDescent="0.2"/>
    <row r="9329" ht="12.75" hidden="1" customHeight="1" x14ac:dyDescent="0.2"/>
    <row r="9330" ht="12.75" hidden="1" customHeight="1" x14ac:dyDescent="0.2"/>
    <row r="9331" ht="12.75" hidden="1" customHeight="1" x14ac:dyDescent="0.2"/>
    <row r="9332" ht="12.75" hidden="1" customHeight="1" x14ac:dyDescent="0.2"/>
    <row r="9333" ht="12.75" hidden="1" customHeight="1" x14ac:dyDescent="0.2"/>
    <row r="9334" ht="12.75" hidden="1" customHeight="1" x14ac:dyDescent="0.2"/>
    <row r="9335" ht="12.75" hidden="1" customHeight="1" x14ac:dyDescent="0.2"/>
    <row r="9336" ht="12.75" hidden="1" customHeight="1" x14ac:dyDescent="0.2"/>
    <row r="9337" ht="12.75" hidden="1" customHeight="1" x14ac:dyDescent="0.2"/>
    <row r="9338" ht="12.75" hidden="1" customHeight="1" x14ac:dyDescent="0.2"/>
    <row r="9339" ht="12.75" hidden="1" customHeight="1" x14ac:dyDescent="0.2"/>
    <row r="9340" ht="12.75" hidden="1" customHeight="1" x14ac:dyDescent="0.2"/>
    <row r="9341" ht="12.75" hidden="1" customHeight="1" x14ac:dyDescent="0.2"/>
    <row r="9342" ht="12.75" hidden="1" customHeight="1" x14ac:dyDescent="0.2"/>
    <row r="9343" ht="12.75" hidden="1" customHeight="1" x14ac:dyDescent="0.2"/>
    <row r="9344" ht="12.75" hidden="1" customHeight="1" x14ac:dyDescent="0.2"/>
    <row r="9345" ht="12.75" hidden="1" customHeight="1" x14ac:dyDescent="0.2"/>
    <row r="9346" ht="12.75" hidden="1" customHeight="1" x14ac:dyDescent="0.2"/>
    <row r="9347" ht="12.75" hidden="1" customHeight="1" x14ac:dyDescent="0.2"/>
    <row r="9348" ht="12.75" hidden="1" customHeight="1" x14ac:dyDescent="0.2"/>
    <row r="9349" ht="12.75" hidden="1" customHeight="1" x14ac:dyDescent="0.2"/>
    <row r="9350" ht="12.75" hidden="1" customHeight="1" x14ac:dyDescent="0.2"/>
    <row r="9351" ht="12.75" hidden="1" customHeight="1" x14ac:dyDescent="0.2"/>
    <row r="9352" ht="12.75" hidden="1" customHeight="1" x14ac:dyDescent="0.2"/>
    <row r="9353" ht="12.75" hidden="1" customHeight="1" x14ac:dyDescent="0.2"/>
    <row r="9354" ht="12.75" hidden="1" customHeight="1" x14ac:dyDescent="0.2"/>
    <row r="9355" ht="12.75" hidden="1" customHeight="1" x14ac:dyDescent="0.2"/>
    <row r="9356" ht="12.75" hidden="1" customHeight="1" x14ac:dyDescent="0.2"/>
    <row r="9357" ht="12.75" hidden="1" customHeight="1" x14ac:dyDescent="0.2"/>
    <row r="9358" ht="12.75" hidden="1" customHeight="1" x14ac:dyDescent="0.2"/>
    <row r="9359" ht="12.75" hidden="1" customHeight="1" x14ac:dyDescent="0.2"/>
    <row r="9360" ht="12.75" hidden="1" customHeight="1" x14ac:dyDescent="0.2"/>
    <row r="9361" ht="12.75" hidden="1" customHeight="1" x14ac:dyDescent="0.2"/>
    <row r="9362" ht="12.75" hidden="1" customHeight="1" x14ac:dyDescent="0.2"/>
    <row r="9363" ht="12.75" hidden="1" customHeight="1" x14ac:dyDescent="0.2"/>
    <row r="9364" ht="12.75" hidden="1" customHeight="1" x14ac:dyDescent="0.2"/>
    <row r="9365" ht="12.75" hidden="1" customHeight="1" x14ac:dyDescent="0.2"/>
    <row r="9366" ht="12.75" hidden="1" customHeight="1" x14ac:dyDescent="0.2"/>
    <row r="9367" ht="12.75" hidden="1" customHeight="1" x14ac:dyDescent="0.2"/>
    <row r="9368" ht="12.75" hidden="1" customHeight="1" x14ac:dyDescent="0.2"/>
    <row r="9369" ht="12.75" hidden="1" customHeight="1" x14ac:dyDescent="0.2"/>
    <row r="9370" ht="12.75" hidden="1" customHeight="1" x14ac:dyDescent="0.2"/>
    <row r="9371" ht="12.75" hidden="1" customHeight="1" x14ac:dyDescent="0.2"/>
    <row r="9372" ht="12.75" hidden="1" customHeight="1" x14ac:dyDescent="0.2"/>
    <row r="9373" ht="12.75" hidden="1" customHeight="1" x14ac:dyDescent="0.2"/>
    <row r="9374" ht="12.75" hidden="1" customHeight="1" x14ac:dyDescent="0.2"/>
    <row r="9375" ht="12.75" hidden="1" customHeight="1" x14ac:dyDescent="0.2"/>
    <row r="9376" ht="12.75" hidden="1" customHeight="1" x14ac:dyDescent="0.2"/>
    <row r="9377" ht="12.75" hidden="1" customHeight="1" x14ac:dyDescent="0.2"/>
    <row r="9378" ht="12.75" hidden="1" customHeight="1" x14ac:dyDescent="0.2"/>
    <row r="9379" ht="12.75" hidden="1" customHeight="1" x14ac:dyDescent="0.2"/>
    <row r="9380" ht="12.75" hidden="1" customHeight="1" x14ac:dyDescent="0.2"/>
    <row r="9381" ht="12.75" hidden="1" customHeight="1" x14ac:dyDescent="0.2"/>
    <row r="9382" ht="12.75" hidden="1" customHeight="1" x14ac:dyDescent="0.2"/>
    <row r="9383" ht="12.75" hidden="1" customHeight="1" x14ac:dyDescent="0.2"/>
    <row r="9384" ht="12.75" hidden="1" customHeight="1" x14ac:dyDescent="0.2"/>
    <row r="9385" ht="12.75" hidden="1" customHeight="1" x14ac:dyDescent="0.2"/>
    <row r="9386" ht="12.75" hidden="1" customHeight="1" x14ac:dyDescent="0.2"/>
    <row r="9387" ht="12.75" hidden="1" customHeight="1" x14ac:dyDescent="0.2"/>
    <row r="9388" ht="12.75" hidden="1" customHeight="1" x14ac:dyDescent="0.2"/>
    <row r="9389" ht="12.75" hidden="1" customHeight="1" x14ac:dyDescent="0.2"/>
    <row r="9390" ht="12.75" hidden="1" customHeight="1" x14ac:dyDescent="0.2"/>
    <row r="9391" ht="12.75" hidden="1" customHeight="1" x14ac:dyDescent="0.2"/>
    <row r="9392" ht="12.75" hidden="1" customHeight="1" x14ac:dyDescent="0.2"/>
    <row r="9393" ht="12.75" hidden="1" customHeight="1" x14ac:dyDescent="0.2"/>
    <row r="9394" ht="12.75" hidden="1" customHeight="1" x14ac:dyDescent="0.2"/>
    <row r="9395" ht="12.75" hidden="1" customHeight="1" x14ac:dyDescent="0.2"/>
    <row r="9396" ht="12.75" hidden="1" customHeight="1" x14ac:dyDescent="0.2"/>
    <row r="9397" ht="12.75" hidden="1" customHeight="1" x14ac:dyDescent="0.2"/>
    <row r="9398" ht="12.75" hidden="1" customHeight="1" x14ac:dyDescent="0.2"/>
    <row r="9399" ht="12.75" hidden="1" customHeight="1" x14ac:dyDescent="0.2"/>
    <row r="9400" ht="12.75" hidden="1" customHeight="1" x14ac:dyDescent="0.2"/>
    <row r="9401" ht="12.75" hidden="1" customHeight="1" x14ac:dyDescent="0.2"/>
    <row r="9402" ht="12.75" hidden="1" customHeight="1" x14ac:dyDescent="0.2"/>
    <row r="9403" ht="12.75" hidden="1" customHeight="1" x14ac:dyDescent="0.2"/>
    <row r="9404" ht="12.75" hidden="1" customHeight="1" x14ac:dyDescent="0.2"/>
    <row r="9405" ht="12.75" hidden="1" customHeight="1" x14ac:dyDescent="0.2"/>
    <row r="9406" ht="12.75" hidden="1" customHeight="1" x14ac:dyDescent="0.2"/>
    <row r="9407" ht="12.75" hidden="1" customHeight="1" x14ac:dyDescent="0.2"/>
    <row r="9408" ht="12.75" hidden="1" customHeight="1" x14ac:dyDescent="0.2"/>
    <row r="9409" ht="12.75" hidden="1" customHeight="1" x14ac:dyDescent="0.2"/>
    <row r="9410" ht="12.75" hidden="1" customHeight="1" x14ac:dyDescent="0.2"/>
    <row r="9411" ht="12.75" hidden="1" customHeight="1" x14ac:dyDescent="0.2"/>
    <row r="9412" ht="12.75" hidden="1" customHeight="1" x14ac:dyDescent="0.2"/>
    <row r="9413" ht="12.75" hidden="1" customHeight="1" x14ac:dyDescent="0.2"/>
    <row r="9414" ht="12.75" hidden="1" customHeight="1" x14ac:dyDescent="0.2"/>
    <row r="9415" ht="12.75" hidden="1" customHeight="1" x14ac:dyDescent="0.2"/>
    <row r="9416" ht="12.75" hidden="1" customHeight="1" x14ac:dyDescent="0.2"/>
    <row r="9417" ht="12.75" hidden="1" customHeight="1" x14ac:dyDescent="0.2"/>
    <row r="9418" ht="12.75" hidden="1" customHeight="1" x14ac:dyDescent="0.2"/>
    <row r="9419" ht="12.75" hidden="1" customHeight="1" x14ac:dyDescent="0.2"/>
    <row r="9420" ht="12.75" hidden="1" customHeight="1" x14ac:dyDescent="0.2"/>
    <row r="9421" ht="12.75" hidden="1" customHeight="1" x14ac:dyDescent="0.2"/>
    <row r="9422" ht="12.75" hidden="1" customHeight="1" x14ac:dyDescent="0.2"/>
    <row r="9423" ht="12.75" hidden="1" customHeight="1" x14ac:dyDescent="0.2"/>
    <row r="9424" ht="12.75" hidden="1" customHeight="1" x14ac:dyDescent="0.2"/>
    <row r="9425" ht="12.75" hidden="1" customHeight="1" x14ac:dyDescent="0.2"/>
    <row r="9426" ht="12.75" hidden="1" customHeight="1" x14ac:dyDescent="0.2"/>
    <row r="9427" ht="12.75" hidden="1" customHeight="1" x14ac:dyDescent="0.2"/>
    <row r="9428" ht="12.75" hidden="1" customHeight="1" x14ac:dyDescent="0.2"/>
    <row r="9429" ht="12.75" hidden="1" customHeight="1" x14ac:dyDescent="0.2"/>
    <row r="9430" ht="12.75" hidden="1" customHeight="1" x14ac:dyDescent="0.2"/>
    <row r="9431" ht="12.75" hidden="1" customHeight="1" x14ac:dyDescent="0.2"/>
    <row r="9432" ht="12.75" hidden="1" customHeight="1" x14ac:dyDescent="0.2"/>
    <row r="9433" ht="12.75" hidden="1" customHeight="1" x14ac:dyDescent="0.2"/>
    <row r="9434" ht="12.75" hidden="1" customHeight="1" x14ac:dyDescent="0.2"/>
    <row r="9435" ht="12.75" hidden="1" customHeight="1" x14ac:dyDescent="0.2"/>
    <row r="9436" ht="12.75" hidden="1" customHeight="1" x14ac:dyDescent="0.2"/>
    <row r="9437" ht="12.75" hidden="1" customHeight="1" x14ac:dyDescent="0.2"/>
    <row r="9438" ht="12.75" hidden="1" customHeight="1" x14ac:dyDescent="0.2"/>
    <row r="9439" ht="12.75" hidden="1" customHeight="1" x14ac:dyDescent="0.2"/>
    <row r="9440" ht="12.75" hidden="1" customHeight="1" x14ac:dyDescent="0.2"/>
    <row r="9441" ht="12.75" hidden="1" customHeight="1" x14ac:dyDescent="0.2"/>
    <row r="9442" ht="12.75" hidden="1" customHeight="1" x14ac:dyDescent="0.2"/>
    <row r="9443" ht="12.75" hidden="1" customHeight="1" x14ac:dyDescent="0.2"/>
    <row r="9444" ht="12.75" hidden="1" customHeight="1" x14ac:dyDescent="0.2"/>
    <row r="9445" ht="12.75" hidden="1" customHeight="1" x14ac:dyDescent="0.2"/>
    <row r="9446" ht="12.75" hidden="1" customHeight="1" x14ac:dyDescent="0.2"/>
    <row r="9447" ht="12.75" hidden="1" customHeight="1" x14ac:dyDescent="0.2"/>
    <row r="9448" ht="12.75" hidden="1" customHeight="1" x14ac:dyDescent="0.2"/>
    <row r="9449" ht="12.75" hidden="1" customHeight="1" x14ac:dyDescent="0.2"/>
    <row r="9450" ht="12.75" hidden="1" customHeight="1" x14ac:dyDescent="0.2"/>
    <row r="9451" ht="12.75" hidden="1" customHeight="1" x14ac:dyDescent="0.2"/>
    <row r="9452" ht="12.75" hidden="1" customHeight="1" x14ac:dyDescent="0.2"/>
    <row r="9453" ht="12.75" hidden="1" customHeight="1" x14ac:dyDescent="0.2"/>
    <row r="9454" ht="12.75" hidden="1" customHeight="1" x14ac:dyDescent="0.2"/>
    <row r="9455" ht="12.75" hidden="1" customHeight="1" x14ac:dyDescent="0.2"/>
    <row r="9456" ht="12.75" hidden="1" customHeight="1" x14ac:dyDescent="0.2"/>
    <row r="9457" ht="12.75" hidden="1" customHeight="1" x14ac:dyDescent="0.2"/>
    <row r="9458" ht="12.75" hidden="1" customHeight="1" x14ac:dyDescent="0.2"/>
    <row r="9459" ht="12.75" hidden="1" customHeight="1" x14ac:dyDescent="0.2"/>
    <row r="9460" ht="12.75" hidden="1" customHeight="1" x14ac:dyDescent="0.2"/>
    <row r="9461" ht="12.75" hidden="1" customHeight="1" x14ac:dyDescent="0.2"/>
    <row r="9462" ht="12.75" hidden="1" customHeight="1" x14ac:dyDescent="0.2"/>
    <row r="9463" ht="12.75" hidden="1" customHeight="1" x14ac:dyDescent="0.2"/>
    <row r="9464" ht="12.75" hidden="1" customHeight="1" x14ac:dyDescent="0.2"/>
    <row r="9465" ht="12.75" hidden="1" customHeight="1" x14ac:dyDescent="0.2"/>
    <row r="9466" ht="12.75" hidden="1" customHeight="1" x14ac:dyDescent="0.2"/>
    <row r="9467" ht="12.75" hidden="1" customHeight="1" x14ac:dyDescent="0.2"/>
    <row r="9468" ht="12.75" hidden="1" customHeight="1" x14ac:dyDescent="0.2"/>
    <row r="9469" ht="12.75" hidden="1" customHeight="1" x14ac:dyDescent="0.2"/>
    <row r="9470" ht="12.75" hidden="1" customHeight="1" x14ac:dyDescent="0.2"/>
    <row r="9471" ht="12.75" hidden="1" customHeight="1" x14ac:dyDescent="0.2"/>
    <row r="9472" ht="12.75" hidden="1" customHeight="1" x14ac:dyDescent="0.2"/>
    <row r="9473" ht="12.75" hidden="1" customHeight="1" x14ac:dyDescent="0.2"/>
    <row r="9474" ht="12.75" hidden="1" customHeight="1" x14ac:dyDescent="0.2"/>
    <row r="9475" ht="12.75" hidden="1" customHeight="1" x14ac:dyDescent="0.2"/>
    <row r="9476" ht="12.75" hidden="1" customHeight="1" x14ac:dyDescent="0.2"/>
    <row r="9477" ht="12.75" hidden="1" customHeight="1" x14ac:dyDescent="0.2"/>
    <row r="9478" ht="12.75" hidden="1" customHeight="1" x14ac:dyDescent="0.2"/>
    <row r="9479" ht="12.75" hidden="1" customHeight="1" x14ac:dyDescent="0.2"/>
    <row r="9480" ht="12.75" hidden="1" customHeight="1" x14ac:dyDescent="0.2"/>
    <row r="9481" ht="12.75" hidden="1" customHeight="1" x14ac:dyDescent="0.2"/>
    <row r="9482" ht="12.75" hidden="1" customHeight="1" x14ac:dyDescent="0.2"/>
    <row r="9483" ht="12.75" hidden="1" customHeight="1" x14ac:dyDescent="0.2"/>
    <row r="9484" ht="12.75" hidden="1" customHeight="1" x14ac:dyDescent="0.2"/>
    <row r="9485" ht="12.75" hidden="1" customHeight="1" x14ac:dyDescent="0.2"/>
    <row r="9486" ht="12.75" hidden="1" customHeight="1" x14ac:dyDescent="0.2"/>
    <row r="9487" ht="12.75" hidden="1" customHeight="1" x14ac:dyDescent="0.2"/>
    <row r="9488" ht="12.75" hidden="1" customHeight="1" x14ac:dyDescent="0.2"/>
    <row r="9489" ht="12.75" hidden="1" customHeight="1" x14ac:dyDescent="0.2"/>
    <row r="9490" ht="12.75" hidden="1" customHeight="1" x14ac:dyDescent="0.2"/>
    <row r="9491" ht="12.75" hidden="1" customHeight="1" x14ac:dyDescent="0.2"/>
    <row r="9492" ht="12.75" hidden="1" customHeight="1" x14ac:dyDescent="0.2"/>
    <row r="9493" ht="12.75" hidden="1" customHeight="1" x14ac:dyDescent="0.2"/>
    <row r="9494" ht="12.75" hidden="1" customHeight="1" x14ac:dyDescent="0.2"/>
    <row r="9495" ht="12.75" hidden="1" customHeight="1" x14ac:dyDescent="0.2"/>
    <row r="9496" ht="12.75" hidden="1" customHeight="1" x14ac:dyDescent="0.2"/>
    <row r="9497" ht="12.75" hidden="1" customHeight="1" x14ac:dyDescent="0.2"/>
    <row r="9498" ht="12.75" hidden="1" customHeight="1" x14ac:dyDescent="0.2"/>
    <row r="9499" ht="12.75" hidden="1" customHeight="1" x14ac:dyDescent="0.2"/>
    <row r="9500" ht="12.75" hidden="1" customHeight="1" x14ac:dyDescent="0.2"/>
    <row r="9501" ht="12.75" hidden="1" customHeight="1" x14ac:dyDescent="0.2"/>
    <row r="9502" ht="12.75" hidden="1" customHeight="1" x14ac:dyDescent="0.2"/>
    <row r="9503" ht="12.75" hidden="1" customHeight="1" x14ac:dyDescent="0.2"/>
    <row r="9504" ht="12.75" hidden="1" customHeight="1" x14ac:dyDescent="0.2"/>
    <row r="9505" ht="12.75" hidden="1" customHeight="1" x14ac:dyDescent="0.2"/>
    <row r="9506" ht="12.75" hidden="1" customHeight="1" x14ac:dyDescent="0.2"/>
    <row r="9507" ht="12.75" hidden="1" customHeight="1" x14ac:dyDescent="0.2"/>
    <row r="9508" ht="12.75" hidden="1" customHeight="1" x14ac:dyDescent="0.2"/>
    <row r="9509" ht="12.75" hidden="1" customHeight="1" x14ac:dyDescent="0.2"/>
    <row r="9510" ht="12.75" hidden="1" customHeight="1" x14ac:dyDescent="0.2"/>
    <row r="9511" ht="12.75" hidden="1" customHeight="1" x14ac:dyDescent="0.2"/>
    <row r="9512" ht="12.75" hidden="1" customHeight="1" x14ac:dyDescent="0.2"/>
    <row r="9513" ht="12.75" hidden="1" customHeight="1" x14ac:dyDescent="0.2"/>
    <row r="9514" ht="12.75" hidden="1" customHeight="1" x14ac:dyDescent="0.2"/>
    <row r="9515" ht="12.75" hidden="1" customHeight="1" x14ac:dyDescent="0.2"/>
    <row r="9516" ht="12.75" hidden="1" customHeight="1" x14ac:dyDescent="0.2"/>
    <row r="9517" ht="12.75" hidden="1" customHeight="1" x14ac:dyDescent="0.2"/>
    <row r="9518" ht="12.75" hidden="1" customHeight="1" x14ac:dyDescent="0.2"/>
    <row r="9519" ht="12.75" hidden="1" customHeight="1" x14ac:dyDescent="0.2"/>
    <row r="9520" ht="12.75" hidden="1" customHeight="1" x14ac:dyDescent="0.2"/>
    <row r="9521" ht="12.75" hidden="1" customHeight="1" x14ac:dyDescent="0.2"/>
    <row r="9522" ht="12.75" hidden="1" customHeight="1" x14ac:dyDescent="0.2"/>
    <row r="9523" ht="12.75" hidden="1" customHeight="1" x14ac:dyDescent="0.2"/>
    <row r="9524" ht="12.75" hidden="1" customHeight="1" x14ac:dyDescent="0.2"/>
    <row r="9525" ht="12.75" hidden="1" customHeight="1" x14ac:dyDescent="0.2"/>
    <row r="9526" ht="12.75" hidden="1" customHeight="1" x14ac:dyDescent="0.2"/>
    <row r="9527" ht="12.75" hidden="1" customHeight="1" x14ac:dyDescent="0.2"/>
    <row r="9528" ht="12.75" hidden="1" customHeight="1" x14ac:dyDescent="0.2"/>
    <row r="9529" ht="12.75" hidden="1" customHeight="1" x14ac:dyDescent="0.2"/>
    <row r="9530" ht="12.75" hidden="1" customHeight="1" x14ac:dyDescent="0.2"/>
    <row r="9531" ht="12.75" hidden="1" customHeight="1" x14ac:dyDescent="0.2"/>
    <row r="9532" ht="12.75" hidden="1" customHeight="1" x14ac:dyDescent="0.2"/>
    <row r="9533" ht="12.75" hidden="1" customHeight="1" x14ac:dyDescent="0.2"/>
    <row r="9534" ht="12.75" hidden="1" customHeight="1" x14ac:dyDescent="0.2"/>
    <row r="9535" ht="12.75" hidden="1" customHeight="1" x14ac:dyDescent="0.2"/>
    <row r="9536" ht="12.75" hidden="1" customHeight="1" x14ac:dyDescent="0.2"/>
    <row r="9537" ht="12.75" hidden="1" customHeight="1" x14ac:dyDescent="0.2"/>
    <row r="9538" ht="12.75" hidden="1" customHeight="1" x14ac:dyDescent="0.2"/>
    <row r="9539" ht="12.75" hidden="1" customHeight="1" x14ac:dyDescent="0.2"/>
    <row r="9540" ht="12.75" hidden="1" customHeight="1" x14ac:dyDescent="0.2"/>
    <row r="9541" ht="12.75" hidden="1" customHeight="1" x14ac:dyDescent="0.2"/>
    <row r="9542" ht="12.75" hidden="1" customHeight="1" x14ac:dyDescent="0.2"/>
    <row r="9543" ht="12.75" hidden="1" customHeight="1" x14ac:dyDescent="0.2"/>
    <row r="9544" ht="12.75" hidden="1" customHeight="1" x14ac:dyDescent="0.2"/>
    <row r="9545" ht="12.75" hidden="1" customHeight="1" x14ac:dyDescent="0.2"/>
    <row r="9546" ht="12.75" hidden="1" customHeight="1" x14ac:dyDescent="0.2"/>
    <row r="9547" ht="12.75" hidden="1" customHeight="1" x14ac:dyDescent="0.2"/>
    <row r="9548" ht="12.75" hidden="1" customHeight="1" x14ac:dyDescent="0.2"/>
    <row r="9549" ht="12.75" hidden="1" customHeight="1" x14ac:dyDescent="0.2"/>
    <row r="9550" ht="12.75" hidden="1" customHeight="1" x14ac:dyDescent="0.2"/>
    <row r="9551" ht="12.75" hidden="1" customHeight="1" x14ac:dyDescent="0.2"/>
    <row r="9552" ht="12.75" hidden="1" customHeight="1" x14ac:dyDescent="0.2"/>
    <row r="9553" ht="12.75" hidden="1" customHeight="1" x14ac:dyDescent="0.2"/>
    <row r="9554" ht="12.75" hidden="1" customHeight="1" x14ac:dyDescent="0.2"/>
    <row r="9555" ht="12.75" hidden="1" customHeight="1" x14ac:dyDescent="0.2"/>
    <row r="9556" ht="12.75" hidden="1" customHeight="1" x14ac:dyDescent="0.2"/>
    <row r="9557" ht="12.75" hidden="1" customHeight="1" x14ac:dyDescent="0.2"/>
    <row r="9558" ht="12.75" hidden="1" customHeight="1" x14ac:dyDescent="0.2"/>
    <row r="9559" ht="12.75" hidden="1" customHeight="1" x14ac:dyDescent="0.2"/>
    <row r="9560" ht="12.75" hidden="1" customHeight="1" x14ac:dyDescent="0.2"/>
    <row r="9561" ht="12.75" hidden="1" customHeight="1" x14ac:dyDescent="0.2"/>
    <row r="9562" ht="12.75" hidden="1" customHeight="1" x14ac:dyDescent="0.2"/>
    <row r="9563" ht="12.75" hidden="1" customHeight="1" x14ac:dyDescent="0.2"/>
    <row r="9564" ht="12.75" hidden="1" customHeight="1" x14ac:dyDescent="0.2"/>
    <row r="9565" ht="12.75" hidden="1" customHeight="1" x14ac:dyDescent="0.2"/>
    <row r="9566" ht="12.75" hidden="1" customHeight="1" x14ac:dyDescent="0.2"/>
    <row r="9567" ht="12.75" hidden="1" customHeight="1" x14ac:dyDescent="0.2"/>
    <row r="9568" ht="12.75" hidden="1" customHeight="1" x14ac:dyDescent="0.2"/>
    <row r="9569" ht="12.75" hidden="1" customHeight="1" x14ac:dyDescent="0.2"/>
    <row r="9570" ht="12.75" hidden="1" customHeight="1" x14ac:dyDescent="0.2"/>
    <row r="9571" ht="12.75" hidden="1" customHeight="1" x14ac:dyDescent="0.2"/>
    <row r="9572" ht="12.75" hidden="1" customHeight="1" x14ac:dyDescent="0.2"/>
    <row r="9573" ht="12.75" hidden="1" customHeight="1" x14ac:dyDescent="0.2"/>
    <row r="9574" ht="12.75" hidden="1" customHeight="1" x14ac:dyDescent="0.2"/>
    <row r="9575" ht="12.75" hidden="1" customHeight="1" x14ac:dyDescent="0.2"/>
    <row r="9576" ht="12.75" hidden="1" customHeight="1" x14ac:dyDescent="0.2"/>
    <row r="9577" ht="12.75" hidden="1" customHeight="1" x14ac:dyDescent="0.2"/>
    <row r="9578" ht="12.75" hidden="1" customHeight="1" x14ac:dyDescent="0.2"/>
    <row r="9579" ht="12.75" hidden="1" customHeight="1" x14ac:dyDescent="0.2"/>
    <row r="9580" ht="12.75" hidden="1" customHeight="1" x14ac:dyDescent="0.2"/>
    <row r="9581" ht="12.75" hidden="1" customHeight="1" x14ac:dyDescent="0.2"/>
    <row r="9582" ht="12.75" hidden="1" customHeight="1" x14ac:dyDescent="0.2"/>
    <row r="9583" ht="12.75" hidden="1" customHeight="1" x14ac:dyDescent="0.2"/>
    <row r="9584" ht="12.75" hidden="1" customHeight="1" x14ac:dyDescent="0.2"/>
    <row r="9585" ht="12.75" hidden="1" customHeight="1" x14ac:dyDescent="0.2"/>
    <row r="9586" ht="12.75" hidden="1" customHeight="1" x14ac:dyDescent="0.2"/>
    <row r="9587" ht="12.75" hidden="1" customHeight="1" x14ac:dyDescent="0.2"/>
    <row r="9588" ht="12.75" hidden="1" customHeight="1" x14ac:dyDescent="0.2"/>
    <row r="9589" ht="12.75" hidden="1" customHeight="1" x14ac:dyDescent="0.2"/>
    <row r="9590" ht="12.75" hidden="1" customHeight="1" x14ac:dyDescent="0.2"/>
    <row r="9591" ht="12.75" hidden="1" customHeight="1" x14ac:dyDescent="0.2"/>
    <row r="9592" ht="12.75" hidden="1" customHeight="1" x14ac:dyDescent="0.2"/>
    <row r="9593" ht="12.75" hidden="1" customHeight="1" x14ac:dyDescent="0.2"/>
    <row r="9594" ht="12.75" hidden="1" customHeight="1" x14ac:dyDescent="0.2"/>
    <row r="9595" ht="12.75" hidden="1" customHeight="1" x14ac:dyDescent="0.2"/>
    <row r="9596" ht="12.75" hidden="1" customHeight="1" x14ac:dyDescent="0.2"/>
    <row r="9597" ht="12.75" hidden="1" customHeight="1" x14ac:dyDescent="0.2"/>
    <row r="9598" ht="12.75" hidden="1" customHeight="1" x14ac:dyDescent="0.2"/>
    <row r="9599" ht="12.75" hidden="1" customHeight="1" x14ac:dyDescent="0.2"/>
    <row r="9600" ht="12.75" hidden="1" customHeight="1" x14ac:dyDescent="0.2"/>
    <row r="9601" ht="12.75" hidden="1" customHeight="1" x14ac:dyDescent="0.2"/>
    <row r="9602" ht="12.75" hidden="1" customHeight="1" x14ac:dyDescent="0.2"/>
    <row r="9603" ht="12.75" hidden="1" customHeight="1" x14ac:dyDescent="0.2"/>
    <row r="9604" ht="12.75" hidden="1" customHeight="1" x14ac:dyDescent="0.2"/>
    <row r="9605" ht="12.75" hidden="1" customHeight="1" x14ac:dyDescent="0.2"/>
    <row r="9606" ht="12.75" hidden="1" customHeight="1" x14ac:dyDescent="0.2"/>
    <row r="9607" ht="12.75" hidden="1" customHeight="1" x14ac:dyDescent="0.2"/>
    <row r="9608" ht="12.75" hidden="1" customHeight="1" x14ac:dyDescent="0.2"/>
    <row r="9609" ht="12.75" hidden="1" customHeight="1" x14ac:dyDescent="0.2"/>
    <row r="9610" ht="12.75" hidden="1" customHeight="1" x14ac:dyDescent="0.2"/>
    <row r="9611" ht="12.75" hidden="1" customHeight="1" x14ac:dyDescent="0.2"/>
    <row r="9612" ht="12.75" hidden="1" customHeight="1" x14ac:dyDescent="0.2"/>
    <row r="9613" ht="12.75" hidden="1" customHeight="1" x14ac:dyDescent="0.2"/>
    <row r="9614" ht="12.75" hidden="1" customHeight="1" x14ac:dyDescent="0.2"/>
    <row r="9615" ht="12.75" hidden="1" customHeight="1" x14ac:dyDescent="0.2"/>
    <row r="9616" ht="12.75" hidden="1" customHeight="1" x14ac:dyDescent="0.2"/>
    <row r="9617" ht="12.75" hidden="1" customHeight="1" x14ac:dyDescent="0.2"/>
    <row r="9618" ht="12.75" hidden="1" customHeight="1" x14ac:dyDescent="0.2"/>
    <row r="9619" ht="12.75" hidden="1" customHeight="1" x14ac:dyDescent="0.2"/>
    <row r="9620" ht="12.75" hidden="1" customHeight="1" x14ac:dyDescent="0.2"/>
    <row r="9621" ht="12.75" hidden="1" customHeight="1" x14ac:dyDescent="0.2"/>
    <row r="9622" ht="12.75" hidden="1" customHeight="1" x14ac:dyDescent="0.2"/>
    <row r="9623" ht="12.75" hidden="1" customHeight="1" x14ac:dyDescent="0.2"/>
    <row r="9624" ht="12.75" hidden="1" customHeight="1" x14ac:dyDescent="0.2"/>
    <row r="9625" ht="12.75" hidden="1" customHeight="1" x14ac:dyDescent="0.2"/>
    <row r="9626" ht="12.75" hidden="1" customHeight="1" x14ac:dyDescent="0.2"/>
    <row r="9627" ht="12.75" hidden="1" customHeight="1" x14ac:dyDescent="0.2"/>
    <row r="9628" ht="12.75" hidden="1" customHeight="1" x14ac:dyDescent="0.2"/>
    <row r="9629" ht="12.75" hidden="1" customHeight="1" x14ac:dyDescent="0.2"/>
    <row r="9630" ht="12.75" hidden="1" customHeight="1" x14ac:dyDescent="0.2"/>
    <row r="9631" ht="12.75" hidden="1" customHeight="1" x14ac:dyDescent="0.2"/>
    <row r="9632" ht="12.75" hidden="1" customHeight="1" x14ac:dyDescent="0.2"/>
    <row r="9633" ht="12.75" hidden="1" customHeight="1" x14ac:dyDescent="0.2"/>
    <row r="9634" ht="12.75" hidden="1" customHeight="1" x14ac:dyDescent="0.2"/>
    <row r="9635" ht="12.75" hidden="1" customHeight="1" x14ac:dyDescent="0.2"/>
    <row r="9636" ht="12.75" hidden="1" customHeight="1" x14ac:dyDescent="0.2"/>
    <row r="9637" ht="12.75" hidden="1" customHeight="1" x14ac:dyDescent="0.2"/>
    <row r="9638" ht="12.75" hidden="1" customHeight="1" x14ac:dyDescent="0.2"/>
    <row r="9639" ht="12.75" hidden="1" customHeight="1" x14ac:dyDescent="0.2"/>
    <row r="9640" ht="12.75" hidden="1" customHeight="1" x14ac:dyDescent="0.2"/>
    <row r="9641" ht="12.75" hidden="1" customHeight="1" x14ac:dyDescent="0.2"/>
    <row r="9642" ht="12.75" hidden="1" customHeight="1" x14ac:dyDescent="0.2"/>
    <row r="9643" ht="12.75" hidden="1" customHeight="1" x14ac:dyDescent="0.2"/>
    <row r="9644" ht="12.75" hidden="1" customHeight="1" x14ac:dyDescent="0.2"/>
    <row r="9645" ht="12.75" hidden="1" customHeight="1" x14ac:dyDescent="0.2"/>
    <row r="9646" ht="12.75" hidden="1" customHeight="1" x14ac:dyDescent="0.2"/>
    <row r="9647" ht="12.75" hidden="1" customHeight="1" x14ac:dyDescent="0.2"/>
    <row r="9648" ht="12.75" hidden="1" customHeight="1" x14ac:dyDescent="0.2"/>
    <row r="9649" ht="12.75" hidden="1" customHeight="1" x14ac:dyDescent="0.2"/>
    <row r="9650" ht="12.75" hidden="1" customHeight="1" x14ac:dyDescent="0.2"/>
    <row r="9651" ht="12.75" hidden="1" customHeight="1" x14ac:dyDescent="0.2"/>
    <row r="9652" ht="12.75" hidden="1" customHeight="1" x14ac:dyDescent="0.2"/>
    <row r="9653" ht="12.75" hidden="1" customHeight="1" x14ac:dyDescent="0.2"/>
    <row r="9654" ht="12.75" hidden="1" customHeight="1" x14ac:dyDescent="0.2"/>
    <row r="9655" ht="12.75" hidden="1" customHeight="1" x14ac:dyDescent="0.2"/>
    <row r="9656" ht="12.75" hidden="1" customHeight="1" x14ac:dyDescent="0.2"/>
    <row r="9657" ht="12.75" hidden="1" customHeight="1" x14ac:dyDescent="0.2"/>
    <row r="9658" ht="12.75" hidden="1" customHeight="1" x14ac:dyDescent="0.2"/>
    <row r="9659" ht="12.75" hidden="1" customHeight="1" x14ac:dyDescent="0.2"/>
    <row r="9660" ht="12.75" hidden="1" customHeight="1" x14ac:dyDescent="0.2"/>
    <row r="9661" ht="12.75" hidden="1" customHeight="1" x14ac:dyDescent="0.2"/>
    <row r="9662" ht="12.75" hidden="1" customHeight="1" x14ac:dyDescent="0.2"/>
    <row r="9663" ht="12.75" hidden="1" customHeight="1" x14ac:dyDescent="0.2"/>
    <row r="9664" ht="12.75" hidden="1" customHeight="1" x14ac:dyDescent="0.2"/>
    <row r="9665" ht="12.75" hidden="1" customHeight="1" x14ac:dyDescent="0.2"/>
    <row r="9666" ht="12.75" hidden="1" customHeight="1" x14ac:dyDescent="0.2"/>
    <row r="9667" ht="12.75" hidden="1" customHeight="1" x14ac:dyDescent="0.2"/>
    <row r="9668" ht="12.75" hidden="1" customHeight="1" x14ac:dyDescent="0.2"/>
    <row r="9669" ht="12.75" hidden="1" customHeight="1" x14ac:dyDescent="0.2"/>
    <row r="9670" ht="12.75" hidden="1" customHeight="1" x14ac:dyDescent="0.2"/>
    <row r="9671" ht="12.75" hidden="1" customHeight="1" x14ac:dyDescent="0.2"/>
    <row r="9672" ht="12.75" hidden="1" customHeight="1" x14ac:dyDescent="0.2"/>
    <row r="9673" ht="12.75" hidden="1" customHeight="1" x14ac:dyDescent="0.2"/>
    <row r="9674" ht="12.75" hidden="1" customHeight="1" x14ac:dyDescent="0.2"/>
    <row r="9675" ht="12.75" hidden="1" customHeight="1" x14ac:dyDescent="0.2"/>
    <row r="9676" ht="12.75" hidden="1" customHeight="1" x14ac:dyDescent="0.2"/>
    <row r="9677" ht="12.75" hidden="1" customHeight="1" x14ac:dyDescent="0.2"/>
    <row r="9678" ht="12.75" hidden="1" customHeight="1" x14ac:dyDescent="0.2"/>
    <row r="9679" ht="12.75" hidden="1" customHeight="1" x14ac:dyDescent="0.2"/>
    <row r="9680" ht="12.75" hidden="1" customHeight="1" x14ac:dyDescent="0.2"/>
    <row r="9681" ht="12.75" hidden="1" customHeight="1" x14ac:dyDescent="0.2"/>
    <row r="9682" ht="12.75" hidden="1" customHeight="1" x14ac:dyDescent="0.2"/>
    <row r="9683" ht="12.75" hidden="1" customHeight="1" x14ac:dyDescent="0.2"/>
    <row r="9684" ht="12.75" hidden="1" customHeight="1" x14ac:dyDescent="0.2"/>
    <row r="9685" ht="12.75" hidden="1" customHeight="1" x14ac:dyDescent="0.2"/>
    <row r="9686" ht="12.75" hidden="1" customHeight="1" x14ac:dyDescent="0.2"/>
    <row r="9687" ht="12.75" hidden="1" customHeight="1" x14ac:dyDescent="0.2"/>
    <row r="9688" ht="12.75" hidden="1" customHeight="1" x14ac:dyDescent="0.2"/>
    <row r="9689" ht="12.75" hidden="1" customHeight="1" x14ac:dyDescent="0.2"/>
    <row r="9690" ht="12.75" hidden="1" customHeight="1" x14ac:dyDescent="0.2"/>
    <row r="9691" ht="12.75" hidden="1" customHeight="1" x14ac:dyDescent="0.2"/>
    <row r="9692" ht="12.75" hidden="1" customHeight="1" x14ac:dyDescent="0.2"/>
    <row r="9693" ht="12.75" hidden="1" customHeight="1" x14ac:dyDescent="0.2"/>
    <row r="9694" ht="12.75" hidden="1" customHeight="1" x14ac:dyDescent="0.2"/>
    <row r="9695" ht="12.75" hidden="1" customHeight="1" x14ac:dyDescent="0.2"/>
    <row r="9696" ht="12.75" hidden="1" customHeight="1" x14ac:dyDescent="0.2"/>
    <row r="9697" ht="12.75" hidden="1" customHeight="1" x14ac:dyDescent="0.2"/>
    <row r="9698" ht="12.75" hidden="1" customHeight="1" x14ac:dyDescent="0.2"/>
    <row r="9699" ht="12.75" hidden="1" customHeight="1" x14ac:dyDescent="0.2"/>
    <row r="9700" ht="12.75" hidden="1" customHeight="1" x14ac:dyDescent="0.2"/>
    <row r="9701" ht="12.75" hidden="1" customHeight="1" x14ac:dyDescent="0.2"/>
    <row r="9702" ht="12.75" hidden="1" customHeight="1" x14ac:dyDescent="0.2"/>
    <row r="9703" ht="12.75" hidden="1" customHeight="1" x14ac:dyDescent="0.2"/>
    <row r="9704" ht="12.75" hidden="1" customHeight="1" x14ac:dyDescent="0.2"/>
    <row r="9705" ht="12.75" hidden="1" customHeight="1" x14ac:dyDescent="0.2"/>
    <row r="9706" ht="12.75" hidden="1" customHeight="1" x14ac:dyDescent="0.2"/>
    <row r="9707" ht="12.75" hidden="1" customHeight="1" x14ac:dyDescent="0.2"/>
    <row r="9708" ht="12.75" hidden="1" customHeight="1" x14ac:dyDescent="0.2"/>
    <row r="9709" ht="12.75" hidden="1" customHeight="1" x14ac:dyDescent="0.2"/>
    <row r="9710" ht="12.75" hidden="1" customHeight="1" x14ac:dyDescent="0.2"/>
    <row r="9711" ht="12.75" hidden="1" customHeight="1" x14ac:dyDescent="0.2"/>
    <row r="9712" ht="12.75" hidden="1" customHeight="1" x14ac:dyDescent="0.2"/>
    <row r="9713" ht="12.75" hidden="1" customHeight="1" x14ac:dyDescent="0.2"/>
    <row r="9714" ht="12.75" hidden="1" customHeight="1" x14ac:dyDescent="0.2"/>
    <row r="9715" ht="12.75" hidden="1" customHeight="1" x14ac:dyDescent="0.2"/>
    <row r="9716" ht="12.75" hidden="1" customHeight="1" x14ac:dyDescent="0.2"/>
    <row r="9717" ht="12.75" hidden="1" customHeight="1" x14ac:dyDescent="0.2"/>
    <row r="9718" ht="12.75" hidden="1" customHeight="1" x14ac:dyDescent="0.2"/>
    <row r="9719" ht="12.75" hidden="1" customHeight="1" x14ac:dyDescent="0.2"/>
    <row r="9720" ht="12.75" hidden="1" customHeight="1" x14ac:dyDescent="0.2"/>
    <row r="9721" ht="12.75" hidden="1" customHeight="1" x14ac:dyDescent="0.2"/>
    <row r="9722" ht="12.75" hidden="1" customHeight="1" x14ac:dyDescent="0.2"/>
    <row r="9723" ht="12.75" hidden="1" customHeight="1" x14ac:dyDescent="0.2"/>
    <row r="9724" ht="12.75" hidden="1" customHeight="1" x14ac:dyDescent="0.2"/>
    <row r="9725" ht="12.75" hidden="1" customHeight="1" x14ac:dyDescent="0.2"/>
    <row r="9726" ht="12.75" hidden="1" customHeight="1" x14ac:dyDescent="0.2"/>
    <row r="9727" ht="12.75" hidden="1" customHeight="1" x14ac:dyDescent="0.2"/>
    <row r="9728" ht="12.75" hidden="1" customHeight="1" x14ac:dyDescent="0.2"/>
    <row r="9729" ht="12.75" hidden="1" customHeight="1" x14ac:dyDescent="0.2"/>
    <row r="9730" ht="12.75" hidden="1" customHeight="1" x14ac:dyDescent="0.2"/>
    <row r="9731" ht="12.75" hidden="1" customHeight="1" x14ac:dyDescent="0.2"/>
    <row r="9732" ht="12.75" hidden="1" customHeight="1" x14ac:dyDescent="0.2"/>
    <row r="9733" ht="12.75" hidden="1" customHeight="1" x14ac:dyDescent="0.2"/>
    <row r="9734" ht="12.75" hidden="1" customHeight="1" x14ac:dyDescent="0.2"/>
    <row r="9735" ht="12.75" hidden="1" customHeight="1" x14ac:dyDescent="0.2"/>
    <row r="9736" ht="12.75" hidden="1" customHeight="1" x14ac:dyDescent="0.2"/>
    <row r="9737" ht="12.75" hidden="1" customHeight="1" x14ac:dyDescent="0.2"/>
    <row r="9738" ht="12.75" hidden="1" customHeight="1" x14ac:dyDescent="0.2"/>
    <row r="9739" ht="12.75" hidden="1" customHeight="1" x14ac:dyDescent="0.2"/>
    <row r="9740" ht="12.75" hidden="1" customHeight="1" x14ac:dyDescent="0.2"/>
    <row r="9741" ht="12.75" hidden="1" customHeight="1" x14ac:dyDescent="0.2"/>
    <row r="9742" ht="12.75" hidden="1" customHeight="1" x14ac:dyDescent="0.2"/>
    <row r="9743" ht="12.75" hidden="1" customHeight="1" x14ac:dyDescent="0.2"/>
    <row r="9744" ht="12.75" hidden="1" customHeight="1" x14ac:dyDescent="0.2"/>
    <row r="9745" ht="12.75" hidden="1" customHeight="1" x14ac:dyDescent="0.2"/>
    <row r="9746" ht="12.75" hidden="1" customHeight="1" x14ac:dyDescent="0.2"/>
    <row r="9747" ht="12.75" hidden="1" customHeight="1" x14ac:dyDescent="0.2"/>
    <row r="9748" ht="12.75" hidden="1" customHeight="1" x14ac:dyDescent="0.2"/>
    <row r="9749" ht="12.75" hidden="1" customHeight="1" x14ac:dyDescent="0.2"/>
    <row r="9750" ht="12.75" hidden="1" customHeight="1" x14ac:dyDescent="0.2"/>
    <row r="9751" ht="12.75" hidden="1" customHeight="1" x14ac:dyDescent="0.2"/>
    <row r="9752" ht="12.75" hidden="1" customHeight="1" x14ac:dyDescent="0.2"/>
    <row r="9753" ht="12.75" hidden="1" customHeight="1" x14ac:dyDescent="0.2"/>
    <row r="9754" ht="12.75" hidden="1" customHeight="1" x14ac:dyDescent="0.2"/>
    <row r="9755" ht="12.75" hidden="1" customHeight="1" x14ac:dyDescent="0.2"/>
    <row r="9756" ht="12.75" hidden="1" customHeight="1" x14ac:dyDescent="0.2"/>
    <row r="9757" ht="12.75" hidden="1" customHeight="1" x14ac:dyDescent="0.2"/>
    <row r="9758" ht="12.75" hidden="1" customHeight="1" x14ac:dyDescent="0.2"/>
    <row r="9759" ht="12.75" hidden="1" customHeight="1" x14ac:dyDescent="0.2"/>
    <row r="9760" ht="12.75" hidden="1" customHeight="1" x14ac:dyDescent="0.2"/>
    <row r="9761" ht="12.75" hidden="1" customHeight="1" x14ac:dyDescent="0.2"/>
    <row r="9762" ht="12.75" hidden="1" customHeight="1" x14ac:dyDescent="0.2"/>
    <row r="9763" ht="12.75" hidden="1" customHeight="1" x14ac:dyDescent="0.2"/>
    <row r="9764" ht="12.75" hidden="1" customHeight="1" x14ac:dyDescent="0.2"/>
    <row r="9765" ht="12.75" hidden="1" customHeight="1" x14ac:dyDescent="0.2"/>
    <row r="9766" ht="12.75" hidden="1" customHeight="1" x14ac:dyDescent="0.2"/>
    <row r="9767" ht="12.75" hidden="1" customHeight="1" x14ac:dyDescent="0.2"/>
    <row r="9768" ht="12.75" hidden="1" customHeight="1" x14ac:dyDescent="0.2"/>
    <row r="9769" ht="12.75" hidden="1" customHeight="1" x14ac:dyDescent="0.2"/>
    <row r="9770" ht="12.75" hidden="1" customHeight="1" x14ac:dyDescent="0.2"/>
    <row r="9771" ht="12.75" hidden="1" customHeight="1" x14ac:dyDescent="0.2"/>
    <row r="9772" ht="12.75" hidden="1" customHeight="1" x14ac:dyDescent="0.2"/>
    <row r="9773" ht="12.75" hidden="1" customHeight="1" x14ac:dyDescent="0.2"/>
    <row r="9774" ht="12.75" hidden="1" customHeight="1" x14ac:dyDescent="0.2"/>
    <row r="9775" ht="12.75" hidden="1" customHeight="1" x14ac:dyDescent="0.2"/>
    <row r="9776" ht="12.75" hidden="1" customHeight="1" x14ac:dyDescent="0.2"/>
    <row r="9777" ht="12.75" hidden="1" customHeight="1" x14ac:dyDescent="0.2"/>
    <row r="9778" ht="12.75" hidden="1" customHeight="1" x14ac:dyDescent="0.2"/>
    <row r="9779" ht="12.75" hidden="1" customHeight="1" x14ac:dyDescent="0.2"/>
    <row r="9780" ht="12.75" hidden="1" customHeight="1" x14ac:dyDescent="0.2"/>
    <row r="9781" ht="12.75" hidden="1" customHeight="1" x14ac:dyDescent="0.2"/>
    <row r="9782" ht="12.75" hidden="1" customHeight="1" x14ac:dyDescent="0.2"/>
    <row r="9783" ht="12.75" hidden="1" customHeight="1" x14ac:dyDescent="0.2"/>
    <row r="9784" ht="12.75" hidden="1" customHeight="1" x14ac:dyDescent="0.2"/>
    <row r="9785" ht="12.75" hidden="1" customHeight="1" x14ac:dyDescent="0.2"/>
    <row r="9786" ht="12.75" hidden="1" customHeight="1" x14ac:dyDescent="0.2"/>
    <row r="9787" ht="12.75" hidden="1" customHeight="1" x14ac:dyDescent="0.2"/>
    <row r="9788" ht="12.75" hidden="1" customHeight="1" x14ac:dyDescent="0.2"/>
    <row r="9789" ht="12.75" hidden="1" customHeight="1" x14ac:dyDescent="0.2"/>
    <row r="9790" ht="12.75" hidden="1" customHeight="1" x14ac:dyDescent="0.2"/>
    <row r="9791" ht="12.75" hidden="1" customHeight="1" x14ac:dyDescent="0.2"/>
    <row r="9792" ht="12.75" hidden="1" customHeight="1" x14ac:dyDescent="0.2"/>
    <row r="9793" ht="12.75" hidden="1" customHeight="1" x14ac:dyDescent="0.2"/>
    <row r="9794" ht="12.75" hidden="1" customHeight="1" x14ac:dyDescent="0.2"/>
    <row r="9795" ht="12.75" hidden="1" customHeight="1" x14ac:dyDescent="0.2"/>
    <row r="9796" ht="12.75" hidden="1" customHeight="1" x14ac:dyDescent="0.2"/>
    <row r="9797" ht="12.75" hidden="1" customHeight="1" x14ac:dyDescent="0.2"/>
    <row r="9798" ht="12.75" hidden="1" customHeight="1" x14ac:dyDescent="0.2"/>
    <row r="9799" ht="12.75" hidden="1" customHeight="1" x14ac:dyDescent="0.2"/>
    <row r="9800" ht="12.75" hidden="1" customHeight="1" x14ac:dyDescent="0.2"/>
    <row r="9801" ht="12.75" hidden="1" customHeight="1" x14ac:dyDescent="0.2"/>
    <row r="9802" ht="12.75" hidden="1" customHeight="1" x14ac:dyDescent="0.2"/>
    <row r="9803" ht="12.75" hidden="1" customHeight="1" x14ac:dyDescent="0.2"/>
    <row r="9804" ht="12.75" hidden="1" customHeight="1" x14ac:dyDescent="0.2"/>
    <row r="9805" ht="12.75" hidden="1" customHeight="1" x14ac:dyDescent="0.2"/>
    <row r="9806" ht="12.75" hidden="1" customHeight="1" x14ac:dyDescent="0.2"/>
    <row r="9807" ht="12.75" hidden="1" customHeight="1" x14ac:dyDescent="0.2"/>
    <row r="9808" ht="12.75" hidden="1" customHeight="1" x14ac:dyDescent="0.2"/>
    <row r="9809" ht="12.75" hidden="1" customHeight="1" x14ac:dyDescent="0.2"/>
    <row r="9810" ht="12.75" hidden="1" customHeight="1" x14ac:dyDescent="0.2"/>
    <row r="9811" ht="12.75" hidden="1" customHeight="1" x14ac:dyDescent="0.2"/>
    <row r="9812" ht="12.75" hidden="1" customHeight="1" x14ac:dyDescent="0.2"/>
    <row r="9813" ht="12.75" hidden="1" customHeight="1" x14ac:dyDescent="0.2"/>
    <row r="9814" ht="12.75" hidden="1" customHeight="1" x14ac:dyDescent="0.2"/>
    <row r="9815" ht="12.75" hidden="1" customHeight="1" x14ac:dyDescent="0.2"/>
    <row r="9816" ht="12.75" hidden="1" customHeight="1" x14ac:dyDescent="0.2"/>
    <row r="9817" ht="12.75" hidden="1" customHeight="1" x14ac:dyDescent="0.2"/>
    <row r="9818" ht="12.75" hidden="1" customHeight="1" x14ac:dyDescent="0.2"/>
    <row r="9819" ht="12.75" hidden="1" customHeight="1" x14ac:dyDescent="0.2"/>
    <row r="9820" ht="12.75" hidden="1" customHeight="1" x14ac:dyDescent="0.2"/>
    <row r="9821" ht="12.75" hidden="1" customHeight="1" x14ac:dyDescent="0.2"/>
    <row r="9822" ht="12.75" hidden="1" customHeight="1" x14ac:dyDescent="0.2"/>
    <row r="9823" ht="12.75" hidden="1" customHeight="1" x14ac:dyDescent="0.2"/>
    <row r="9824" ht="12.75" hidden="1" customHeight="1" x14ac:dyDescent="0.2"/>
    <row r="9825" ht="12.75" hidden="1" customHeight="1" x14ac:dyDescent="0.2"/>
    <row r="9826" ht="12.75" hidden="1" customHeight="1" x14ac:dyDescent="0.2"/>
    <row r="9827" ht="12.75" hidden="1" customHeight="1" x14ac:dyDescent="0.2"/>
    <row r="9828" ht="12.75" hidden="1" customHeight="1" x14ac:dyDescent="0.2"/>
    <row r="9829" ht="12.75" hidden="1" customHeight="1" x14ac:dyDescent="0.2"/>
    <row r="9830" ht="12.75" hidden="1" customHeight="1" x14ac:dyDescent="0.2"/>
    <row r="9831" ht="12.75" hidden="1" customHeight="1" x14ac:dyDescent="0.2"/>
    <row r="9832" ht="12.75" hidden="1" customHeight="1" x14ac:dyDescent="0.2"/>
    <row r="9833" ht="12.75" hidden="1" customHeight="1" x14ac:dyDescent="0.2"/>
    <row r="9834" ht="12.75" hidden="1" customHeight="1" x14ac:dyDescent="0.2"/>
    <row r="9835" ht="12.75" hidden="1" customHeight="1" x14ac:dyDescent="0.2"/>
    <row r="9836" ht="12.75" hidden="1" customHeight="1" x14ac:dyDescent="0.2"/>
    <row r="9837" ht="12.75" hidden="1" customHeight="1" x14ac:dyDescent="0.2"/>
    <row r="9838" ht="12.75" hidden="1" customHeight="1" x14ac:dyDescent="0.2"/>
    <row r="9839" ht="12.75" hidden="1" customHeight="1" x14ac:dyDescent="0.2"/>
    <row r="9840" ht="12.75" hidden="1" customHeight="1" x14ac:dyDescent="0.2"/>
    <row r="9841" ht="12.75" hidden="1" customHeight="1" x14ac:dyDescent="0.2"/>
    <row r="9842" ht="12.75" hidden="1" customHeight="1" x14ac:dyDescent="0.2"/>
    <row r="9843" ht="12.75" hidden="1" customHeight="1" x14ac:dyDescent="0.2"/>
    <row r="9844" ht="12.75" hidden="1" customHeight="1" x14ac:dyDescent="0.2"/>
    <row r="9845" ht="12.75" hidden="1" customHeight="1" x14ac:dyDescent="0.2"/>
    <row r="9846" ht="12.75" hidden="1" customHeight="1" x14ac:dyDescent="0.2"/>
    <row r="9847" ht="12.75" hidden="1" customHeight="1" x14ac:dyDescent="0.2"/>
    <row r="9848" ht="12.75" hidden="1" customHeight="1" x14ac:dyDescent="0.2"/>
    <row r="9849" ht="12.75" hidden="1" customHeight="1" x14ac:dyDescent="0.2"/>
    <row r="9850" ht="12.75" hidden="1" customHeight="1" x14ac:dyDescent="0.2"/>
    <row r="9851" ht="12.75" hidden="1" customHeight="1" x14ac:dyDescent="0.2"/>
    <row r="9852" ht="12.75" hidden="1" customHeight="1" x14ac:dyDescent="0.2"/>
    <row r="9853" ht="12.75" hidden="1" customHeight="1" x14ac:dyDescent="0.2"/>
    <row r="9854" ht="12.75" hidden="1" customHeight="1" x14ac:dyDescent="0.2"/>
    <row r="9855" ht="12.75" hidden="1" customHeight="1" x14ac:dyDescent="0.2"/>
    <row r="9856" ht="12.75" hidden="1" customHeight="1" x14ac:dyDescent="0.2"/>
    <row r="9857" ht="12.75" hidden="1" customHeight="1" x14ac:dyDescent="0.2"/>
    <row r="9858" ht="12.75" hidden="1" customHeight="1" x14ac:dyDescent="0.2"/>
    <row r="9859" ht="12.75" hidden="1" customHeight="1" x14ac:dyDescent="0.2"/>
    <row r="9860" ht="12.75" hidden="1" customHeight="1" x14ac:dyDescent="0.2"/>
    <row r="9861" ht="12.75" hidden="1" customHeight="1" x14ac:dyDescent="0.2"/>
    <row r="9862" ht="12.75" hidden="1" customHeight="1" x14ac:dyDescent="0.2"/>
    <row r="9863" ht="12.75" hidden="1" customHeight="1" x14ac:dyDescent="0.2"/>
    <row r="9864" ht="12.75" hidden="1" customHeight="1" x14ac:dyDescent="0.2"/>
    <row r="9865" ht="12.75" hidden="1" customHeight="1" x14ac:dyDescent="0.2"/>
    <row r="9866" ht="12.75" hidden="1" customHeight="1" x14ac:dyDescent="0.2"/>
    <row r="9867" ht="12.75" hidden="1" customHeight="1" x14ac:dyDescent="0.2"/>
    <row r="9868" ht="12.75" hidden="1" customHeight="1" x14ac:dyDescent="0.2"/>
    <row r="9869" ht="12.75" hidden="1" customHeight="1" x14ac:dyDescent="0.2"/>
    <row r="9870" ht="12.75" hidden="1" customHeight="1" x14ac:dyDescent="0.2"/>
    <row r="9871" ht="12.75" hidden="1" customHeight="1" x14ac:dyDescent="0.2"/>
    <row r="9872" ht="12.75" hidden="1" customHeight="1" x14ac:dyDescent="0.2"/>
    <row r="9873" ht="12.75" hidden="1" customHeight="1" x14ac:dyDescent="0.2"/>
    <row r="9874" ht="12.75" hidden="1" customHeight="1" x14ac:dyDescent="0.2"/>
    <row r="9875" ht="12.75" hidden="1" customHeight="1" x14ac:dyDescent="0.2"/>
    <row r="9876" ht="12.75" hidden="1" customHeight="1" x14ac:dyDescent="0.2"/>
    <row r="9877" ht="12.75" hidden="1" customHeight="1" x14ac:dyDescent="0.2"/>
    <row r="9878" ht="12.75" hidden="1" customHeight="1" x14ac:dyDescent="0.2"/>
    <row r="9879" ht="12.75" hidden="1" customHeight="1" x14ac:dyDescent="0.2"/>
    <row r="9880" ht="12.75" hidden="1" customHeight="1" x14ac:dyDescent="0.2"/>
    <row r="9881" ht="12.75" hidden="1" customHeight="1" x14ac:dyDescent="0.2"/>
    <row r="9882" ht="12.75" hidden="1" customHeight="1" x14ac:dyDescent="0.2"/>
    <row r="9883" ht="12.75" hidden="1" customHeight="1" x14ac:dyDescent="0.2"/>
    <row r="9884" ht="12.75" hidden="1" customHeight="1" x14ac:dyDescent="0.2"/>
    <row r="9885" ht="12.75" hidden="1" customHeight="1" x14ac:dyDescent="0.2"/>
    <row r="9886" ht="12.75" hidden="1" customHeight="1" x14ac:dyDescent="0.2"/>
    <row r="9887" ht="12.75" hidden="1" customHeight="1" x14ac:dyDescent="0.2"/>
    <row r="9888" ht="12.75" hidden="1" customHeight="1" x14ac:dyDescent="0.2"/>
    <row r="9889" ht="12.75" hidden="1" customHeight="1" x14ac:dyDescent="0.2"/>
    <row r="9890" ht="12.75" hidden="1" customHeight="1" x14ac:dyDescent="0.2"/>
    <row r="9891" ht="12.75" hidden="1" customHeight="1" x14ac:dyDescent="0.2"/>
    <row r="9892" ht="12.75" hidden="1" customHeight="1" x14ac:dyDescent="0.2"/>
    <row r="9893" ht="12.75" hidden="1" customHeight="1" x14ac:dyDescent="0.2"/>
    <row r="9894" ht="12.75" hidden="1" customHeight="1" x14ac:dyDescent="0.2"/>
    <row r="9895" ht="12.75" hidden="1" customHeight="1" x14ac:dyDescent="0.2"/>
    <row r="9896" ht="12.75" hidden="1" customHeight="1" x14ac:dyDescent="0.2"/>
    <row r="9897" ht="12.75" hidden="1" customHeight="1" x14ac:dyDescent="0.2"/>
    <row r="9898" ht="12.75" hidden="1" customHeight="1" x14ac:dyDescent="0.2"/>
    <row r="9899" ht="12.75" hidden="1" customHeight="1" x14ac:dyDescent="0.2"/>
    <row r="9900" ht="12.75" hidden="1" customHeight="1" x14ac:dyDescent="0.2"/>
    <row r="9901" ht="12.75" hidden="1" customHeight="1" x14ac:dyDescent="0.2"/>
    <row r="9902" ht="12.75" hidden="1" customHeight="1" x14ac:dyDescent="0.2"/>
    <row r="9903" ht="12.75" hidden="1" customHeight="1" x14ac:dyDescent="0.2"/>
    <row r="9904" ht="12.75" hidden="1" customHeight="1" x14ac:dyDescent="0.2"/>
    <row r="9905" ht="12.75" hidden="1" customHeight="1" x14ac:dyDescent="0.2"/>
    <row r="9906" ht="12.75" hidden="1" customHeight="1" x14ac:dyDescent="0.2"/>
    <row r="9907" ht="12.75" hidden="1" customHeight="1" x14ac:dyDescent="0.2"/>
    <row r="9908" ht="12.75" hidden="1" customHeight="1" x14ac:dyDescent="0.2"/>
    <row r="9909" ht="12.75" hidden="1" customHeight="1" x14ac:dyDescent="0.2"/>
    <row r="9910" ht="12.75" hidden="1" customHeight="1" x14ac:dyDescent="0.2"/>
    <row r="9911" ht="12.75" hidden="1" customHeight="1" x14ac:dyDescent="0.2"/>
    <row r="9912" ht="12.75" hidden="1" customHeight="1" x14ac:dyDescent="0.2"/>
    <row r="9913" ht="12.75" hidden="1" customHeight="1" x14ac:dyDescent="0.2"/>
    <row r="9914" ht="12.75" hidden="1" customHeight="1" x14ac:dyDescent="0.2"/>
    <row r="9915" ht="12.75" hidden="1" customHeight="1" x14ac:dyDescent="0.2"/>
    <row r="9916" ht="12.75" hidden="1" customHeight="1" x14ac:dyDescent="0.2"/>
    <row r="9917" ht="12.75" hidden="1" customHeight="1" x14ac:dyDescent="0.2"/>
    <row r="9918" ht="12.75" hidden="1" customHeight="1" x14ac:dyDescent="0.2"/>
    <row r="9919" ht="12.75" hidden="1" customHeight="1" x14ac:dyDescent="0.2"/>
    <row r="9920" ht="12.75" hidden="1" customHeight="1" x14ac:dyDescent="0.2"/>
    <row r="9921" ht="12.75" hidden="1" customHeight="1" x14ac:dyDescent="0.2"/>
    <row r="9922" ht="12.75" hidden="1" customHeight="1" x14ac:dyDescent="0.2"/>
    <row r="9923" ht="12.75" hidden="1" customHeight="1" x14ac:dyDescent="0.2"/>
    <row r="9924" ht="12.75" hidden="1" customHeight="1" x14ac:dyDescent="0.2"/>
    <row r="9925" ht="12.75" hidden="1" customHeight="1" x14ac:dyDescent="0.2"/>
    <row r="9926" ht="12.75" hidden="1" customHeight="1" x14ac:dyDescent="0.2"/>
    <row r="9927" ht="12.75" hidden="1" customHeight="1" x14ac:dyDescent="0.2"/>
    <row r="9928" ht="12.75" hidden="1" customHeight="1" x14ac:dyDescent="0.2"/>
    <row r="9929" ht="12.75" hidden="1" customHeight="1" x14ac:dyDescent="0.2"/>
    <row r="9930" ht="12.75" hidden="1" customHeight="1" x14ac:dyDescent="0.2"/>
    <row r="9931" ht="12.75" hidden="1" customHeight="1" x14ac:dyDescent="0.2"/>
    <row r="9932" ht="12.75" hidden="1" customHeight="1" x14ac:dyDescent="0.2"/>
    <row r="9933" ht="12.75" hidden="1" customHeight="1" x14ac:dyDescent="0.2"/>
    <row r="9934" ht="12.75" hidden="1" customHeight="1" x14ac:dyDescent="0.2"/>
    <row r="9935" ht="12.75" hidden="1" customHeight="1" x14ac:dyDescent="0.2"/>
    <row r="9936" ht="12.75" hidden="1" customHeight="1" x14ac:dyDescent="0.2"/>
    <row r="9937" ht="12.75" hidden="1" customHeight="1" x14ac:dyDescent="0.2"/>
    <row r="9938" ht="12.75" hidden="1" customHeight="1" x14ac:dyDescent="0.2"/>
    <row r="9939" ht="12.75" hidden="1" customHeight="1" x14ac:dyDescent="0.2"/>
    <row r="9940" ht="12.75" hidden="1" customHeight="1" x14ac:dyDescent="0.2"/>
    <row r="9941" ht="12.75" hidden="1" customHeight="1" x14ac:dyDescent="0.2"/>
    <row r="9942" ht="12.75" hidden="1" customHeight="1" x14ac:dyDescent="0.2"/>
    <row r="9943" ht="12.75" hidden="1" customHeight="1" x14ac:dyDescent="0.2"/>
    <row r="9944" ht="12.75" hidden="1" customHeight="1" x14ac:dyDescent="0.2"/>
    <row r="9945" ht="12.75" hidden="1" customHeight="1" x14ac:dyDescent="0.2"/>
    <row r="9946" ht="12.75" hidden="1" customHeight="1" x14ac:dyDescent="0.2"/>
    <row r="9947" ht="12.75" hidden="1" customHeight="1" x14ac:dyDescent="0.2"/>
    <row r="9948" ht="12.75" hidden="1" customHeight="1" x14ac:dyDescent="0.2"/>
    <row r="9949" ht="12.75" hidden="1" customHeight="1" x14ac:dyDescent="0.2"/>
    <row r="9950" ht="12.75" hidden="1" customHeight="1" x14ac:dyDescent="0.2"/>
    <row r="9951" ht="12.75" hidden="1" customHeight="1" x14ac:dyDescent="0.2"/>
    <row r="9952" ht="12.75" hidden="1" customHeight="1" x14ac:dyDescent="0.2"/>
    <row r="9953" ht="12.75" hidden="1" customHeight="1" x14ac:dyDescent="0.2"/>
    <row r="9954" ht="12.75" hidden="1" customHeight="1" x14ac:dyDescent="0.2"/>
    <row r="9955" ht="12.75" hidden="1" customHeight="1" x14ac:dyDescent="0.2"/>
    <row r="9956" ht="12.75" hidden="1" customHeight="1" x14ac:dyDescent="0.2"/>
    <row r="9957" ht="12.75" hidden="1" customHeight="1" x14ac:dyDescent="0.2"/>
    <row r="9958" ht="12.75" hidden="1" customHeight="1" x14ac:dyDescent="0.2"/>
    <row r="9959" ht="12.75" hidden="1" customHeight="1" x14ac:dyDescent="0.2"/>
    <row r="9960" ht="12.75" hidden="1" customHeight="1" x14ac:dyDescent="0.2"/>
    <row r="9961" ht="12.75" hidden="1" customHeight="1" x14ac:dyDescent="0.2"/>
    <row r="9962" ht="12.75" hidden="1" customHeight="1" x14ac:dyDescent="0.2"/>
    <row r="9963" ht="12.75" hidden="1" customHeight="1" x14ac:dyDescent="0.2"/>
    <row r="9964" ht="12.75" hidden="1" customHeight="1" x14ac:dyDescent="0.2"/>
    <row r="9965" ht="12.75" hidden="1" customHeight="1" x14ac:dyDescent="0.2"/>
    <row r="9966" ht="12.75" hidden="1" customHeight="1" x14ac:dyDescent="0.2"/>
    <row r="9967" ht="12.75" hidden="1" customHeight="1" x14ac:dyDescent="0.2"/>
    <row r="9968" ht="12.75" hidden="1" customHeight="1" x14ac:dyDescent="0.2"/>
    <row r="9969" ht="12.75" hidden="1" customHeight="1" x14ac:dyDescent="0.2"/>
    <row r="9970" ht="12.75" hidden="1" customHeight="1" x14ac:dyDescent="0.2"/>
    <row r="9971" ht="12.75" hidden="1" customHeight="1" x14ac:dyDescent="0.2"/>
    <row r="9972" ht="12.75" hidden="1" customHeight="1" x14ac:dyDescent="0.2"/>
    <row r="9973" ht="12.75" hidden="1" customHeight="1" x14ac:dyDescent="0.2"/>
    <row r="9974" ht="12.75" hidden="1" customHeight="1" x14ac:dyDescent="0.2"/>
    <row r="9975" ht="12.75" hidden="1" customHeight="1" x14ac:dyDescent="0.2"/>
    <row r="9976" ht="12.75" hidden="1" customHeight="1" x14ac:dyDescent="0.2"/>
    <row r="9977" ht="12.75" hidden="1" customHeight="1" x14ac:dyDescent="0.2"/>
    <row r="9978" ht="12.75" hidden="1" customHeight="1" x14ac:dyDescent="0.2"/>
    <row r="9979" ht="12.75" hidden="1" customHeight="1" x14ac:dyDescent="0.2"/>
    <row r="9980" ht="12.75" hidden="1" customHeight="1" x14ac:dyDescent="0.2"/>
    <row r="9981" ht="12.75" hidden="1" customHeight="1" x14ac:dyDescent="0.2"/>
    <row r="9982" ht="12.75" hidden="1" customHeight="1" x14ac:dyDescent="0.2"/>
    <row r="9983" ht="12.75" hidden="1" customHeight="1" x14ac:dyDescent="0.2"/>
    <row r="9984" ht="12.75" hidden="1" customHeight="1" x14ac:dyDescent="0.2"/>
    <row r="9985" ht="12.75" hidden="1" customHeight="1" x14ac:dyDescent="0.2"/>
    <row r="9986" ht="12.75" hidden="1" customHeight="1" x14ac:dyDescent="0.2"/>
    <row r="9987" ht="12.75" hidden="1" customHeight="1" x14ac:dyDescent="0.2"/>
    <row r="9988" ht="12.75" hidden="1" customHeight="1" x14ac:dyDescent="0.2"/>
    <row r="9989" ht="12.75" hidden="1" customHeight="1" x14ac:dyDescent="0.2"/>
    <row r="9990" ht="12.75" hidden="1" customHeight="1" x14ac:dyDescent="0.2"/>
    <row r="9991" ht="12.75" hidden="1" customHeight="1" x14ac:dyDescent="0.2"/>
    <row r="9992" ht="12.75" hidden="1" customHeight="1" x14ac:dyDescent="0.2"/>
    <row r="9993" ht="12.75" hidden="1" customHeight="1" x14ac:dyDescent="0.2"/>
    <row r="9994" ht="12.75" hidden="1" customHeight="1" x14ac:dyDescent="0.2"/>
    <row r="9995" ht="12.75" hidden="1" customHeight="1" x14ac:dyDescent="0.2"/>
    <row r="9996" ht="12.75" hidden="1" customHeight="1" x14ac:dyDescent="0.2"/>
    <row r="9997" ht="12.75" hidden="1" customHeight="1" x14ac:dyDescent="0.2"/>
    <row r="9998" ht="12.75" hidden="1" customHeight="1" x14ac:dyDescent="0.2"/>
    <row r="9999" ht="12.75" hidden="1" customHeight="1" x14ac:dyDescent="0.2"/>
    <row r="10000" ht="12.75" hidden="1" customHeight="1" x14ac:dyDescent="0.2"/>
    <row r="10001" ht="12.75" hidden="1" customHeight="1" x14ac:dyDescent="0.2"/>
    <row r="10002" ht="12.75" hidden="1" customHeight="1" x14ac:dyDescent="0.2"/>
    <row r="10003" ht="12.75" hidden="1" customHeight="1" x14ac:dyDescent="0.2"/>
    <row r="10004" ht="12.75" hidden="1" customHeight="1" x14ac:dyDescent="0.2"/>
    <row r="10005" ht="12.75" hidden="1" customHeight="1" x14ac:dyDescent="0.2"/>
    <row r="10006" ht="12.75" hidden="1" customHeight="1" x14ac:dyDescent="0.2"/>
    <row r="10007" ht="12.75" hidden="1" customHeight="1" x14ac:dyDescent="0.2"/>
    <row r="10008" ht="12.75" hidden="1" customHeight="1" x14ac:dyDescent="0.2"/>
    <row r="10009" ht="12.75" hidden="1" customHeight="1" x14ac:dyDescent="0.2"/>
    <row r="10010" ht="12.75" hidden="1" customHeight="1" x14ac:dyDescent="0.2"/>
    <row r="10011" ht="12.75" hidden="1" customHeight="1" x14ac:dyDescent="0.2"/>
    <row r="10012" ht="12.75" hidden="1" customHeight="1" x14ac:dyDescent="0.2"/>
    <row r="10013" ht="12.75" hidden="1" customHeight="1" x14ac:dyDescent="0.2"/>
    <row r="10014" ht="12.75" hidden="1" customHeight="1" x14ac:dyDescent="0.2"/>
    <row r="10015" ht="12.75" hidden="1" customHeight="1" x14ac:dyDescent="0.2"/>
    <row r="10016" ht="12.75" hidden="1" customHeight="1" x14ac:dyDescent="0.2"/>
    <row r="10017" ht="12.75" hidden="1" customHeight="1" x14ac:dyDescent="0.2"/>
    <row r="10018" ht="12.75" hidden="1" customHeight="1" x14ac:dyDescent="0.2"/>
    <row r="10019" ht="12.75" hidden="1" customHeight="1" x14ac:dyDescent="0.2"/>
    <row r="10020" ht="12.75" hidden="1" customHeight="1" x14ac:dyDescent="0.2"/>
    <row r="10021" ht="12.75" hidden="1" customHeight="1" x14ac:dyDescent="0.2"/>
    <row r="10022" ht="12.75" hidden="1" customHeight="1" x14ac:dyDescent="0.2"/>
    <row r="10023" ht="12.75" hidden="1" customHeight="1" x14ac:dyDescent="0.2"/>
    <row r="10024" ht="12.75" hidden="1" customHeight="1" x14ac:dyDescent="0.2"/>
    <row r="10025" ht="12.75" hidden="1" customHeight="1" x14ac:dyDescent="0.2"/>
    <row r="10026" ht="12.75" hidden="1" customHeight="1" x14ac:dyDescent="0.2"/>
    <row r="10027" ht="12.75" hidden="1" customHeight="1" x14ac:dyDescent="0.2"/>
    <row r="10028" ht="12.75" hidden="1" customHeight="1" x14ac:dyDescent="0.2"/>
    <row r="10029" ht="12.75" hidden="1" customHeight="1" x14ac:dyDescent="0.2"/>
    <row r="10030" ht="12.75" hidden="1" customHeight="1" x14ac:dyDescent="0.2"/>
    <row r="10031" ht="12.75" hidden="1" customHeight="1" x14ac:dyDescent="0.2"/>
    <row r="10032" ht="12.75" hidden="1" customHeight="1" x14ac:dyDescent="0.2"/>
    <row r="10033" ht="12.75" hidden="1" customHeight="1" x14ac:dyDescent="0.2"/>
    <row r="10034" ht="12.75" hidden="1" customHeight="1" x14ac:dyDescent="0.2"/>
    <row r="10035" ht="12.75" hidden="1" customHeight="1" x14ac:dyDescent="0.2"/>
    <row r="10036" ht="12.75" hidden="1" customHeight="1" x14ac:dyDescent="0.2"/>
    <row r="10037" ht="12.75" hidden="1" customHeight="1" x14ac:dyDescent="0.2"/>
    <row r="10038" ht="12.75" hidden="1" customHeight="1" x14ac:dyDescent="0.2"/>
    <row r="10039" ht="12.75" hidden="1" customHeight="1" x14ac:dyDescent="0.2"/>
    <row r="10040" ht="12.75" hidden="1" customHeight="1" x14ac:dyDescent="0.2"/>
    <row r="10041" ht="12.75" hidden="1" customHeight="1" x14ac:dyDescent="0.2"/>
    <row r="10042" ht="12.75" hidden="1" customHeight="1" x14ac:dyDescent="0.2"/>
    <row r="10043" ht="12.75" hidden="1" customHeight="1" x14ac:dyDescent="0.2"/>
    <row r="10044" ht="12.75" hidden="1" customHeight="1" x14ac:dyDescent="0.2"/>
    <row r="10045" ht="12.75" hidden="1" customHeight="1" x14ac:dyDescent="0.2"/>
    <row r="10046" ht="12.75" hidden="1" customHeight="1" x14ac:dyDescent="0.2"/>
    <row r="10047" ht="12.75" hidden="1" customHeight="1" x14ac:dyDescent="0.2"/>
    <row r="10048" ht="12.75" hidden="1" customHeight="1" x14ac:dyDescent="0.2"/>
    <row r="10049" ht="12.75" hidden="1" customHeight="1" x14ac:dyDescent="0.2"/>
    <row r="10050" ht="12.75" hidden="1" customHeight="1" x14ac:dyDescent="0.2"/>
    <row r="10051" ht="12.75" hidden="1" customHeight="1" x14ac:dyDescent="0.2"/>
    <row r="10052" ht="12.75" hidden="1" customHeight="1" x14ac:dyDescent="0.2"/>
    <row r="10053" ht="12.75" hidden="1" customHeight="1" x14ac:dyDescent="0.2"/>
    <row r="10054" ht="12.75" hidden="1" customHeight="1" x14ac:dyDescent="0.2"/>
    <row r="10055" ht="12.75" hidden="1" customHeight="1" x14ac:dyDescent="0.2"/>
    <row r="10056" ht="12.75" hidden="1" customHeight="1" x14ac:dyDescent="0.2"/>
    <row r="10057" ht="12.75" hidden="1" customHeight="1" x14ac:dyDescent="0.2"/>
    <row r="10058" ht="12.75" hidden="1" customHeight="1" x14ac:dyDescent="0.2"/>
    <row r="10059" ht="12.75" hidden="1" customHeight="1" x14ac:dyDescent="0.2"/>
    <row r="10060" ht="12.75" hidden="1" customHeight="1" x14ac:dyDescent="0.2"/>
    <row r="10061" ht="12.75" hidden="1" customHeight="1" x14ac:dyDescent="0.2"/>
    <row r="10062" ht="12.75" hidden="1" customHeight="1" x14ac:dyDescent="0.2"/>
    <row r="10063" ht="12.75" hidden="1" customHeight="1" x14ac:dyDescent="0.2"/>
    <row r="10064" ht="12.75" hidden="1" customHeight="1" x14ac:dyDescent="0.2"/>
    <row r="10065" ht="12.75" hidden="1" customHeight="1" x14ac:dyDescent="0.2"/>
    <row r="10066" ht="12.75" hidden="1" customHeight="1" x14ac:dyDescent="0.2"/>
    <row r="10067" ht="12.75" hidden="1" customHeight="1" x14ac:dyDescent="0.2"/>
    <row r="10068" ht="12.75" hidden="1" customHeight="1" x14ac:dyDescent="0.2"/>
    <row r="10069" ht="12.75" hidden="1" customHeight="1" x14ac:dyDescent="0.2"/>
    <row r="10070" ht="12.75" hidden="1" customHeight="1" x14ac:dyDescent="0.2"/>
    <row r="10071" ht="12.75" hidden="1" customHeight="1" x14ac:dyDescent="0.2"/>
    <row r="10072" ht="12.75" hidden="1" customHeight="1" x14ac:dyDescent="0.2"/>
    <row r="10073" ht="12.75" hidden="1" customHeight="1" x14ac:dyDescent="0.2"/>
    <row r="10074" ht="12.75" hidden="1" customHeight="1" x14ac:dyDescent="0.2"/>
    <row r="10075" ht="12.75" hidden="1" customHeight="1" x14ac:dyDescent="0.2"/>
    <row r="10076" ht="12.75" hidden="1" customHeight="1" x14ac:dyDescent="0.2"/>
    <row r="10077" ht="12.75" hidden="1" customHeight="1" x14ac:dyDescent="0.2"/>
    <row r="10078" ht="12.75" hidden="1" customHeight="1" x14ac:dyDescent="0.2"/>
    <row r="10079" ht="12.75" hidden="1" customHeight="1" x14ac:dyDescent="0.2"/>
    <row r="10080" ht="12.75" hidden="1" customHeight="1" x14ac:dyDescent="0.2"/>
    <row r="10081" ht="12.75" hidden="1" customHeight="1" x14ac:dyDescent="0.2"/>
    <row r="10082" ht="12.75" hidden="1" customHeight="1" x14ac:dyDescent="0.2"/>
    <row r="10083" ht="12.75" hidden="1" customHeight="1" x14ac:dyDescent="0.2"/>
    <row r="10084" ht="12.75" hidden="1" customHeight="1" x14ac:dyDescent="0.2"/>
    <row r="10085" ht="12.75" hidden="1" customHeight="1" x14ac:dyDescent="0.2"/>
    <row r="10086" ht="12.75" hidden="1" customHeight="1" x14ac:dyDescent="0.2"/>
    <row r="10087" ht="12.75" hidden="1" customHeight="1" x14ac:dyDescent="0.2"/>
    <row r="10088" ht="12.75" hidden="1" customHeight="1" x14ac:dyDescent="0.2"/>
    <row r="10089" ht="12.75" hidden="1" customHeight="1" x14ac:dyDescent="0.2"/>
    <row r="10090" ht="12.75" hidden="1" customHeight="1" x14ac:dyDescent="0.2"/>
    <row r="10091" ht="12.75" hidden="1" customHeight="1" x14ac:dyDescent="0.2"/>
    <row r="10092" ht="12.75" hidden="1" customHeight="1" x14ac:dyDescent="0.2"/>
    <row r="10093" ht="12.75" hidden="1" customHeight="1" x14ac:dyDescent="0.2"/>
    <row r="10094" ht="12.75" hidden="1" customHeight="1" x14ac:dyDescent="0.2"/>
    <row r="10095" ht="12.75" hidden="1" customHeight="1" x14ac:dyDescent="0.2"/>
    <row r="10096" ht="12.75" hidden="1" customHeight="1" x14ac:dyDescent="0.2"/>
    <row r="10097" ht="12.75" hidden="1" customHeight="1" x14ac:dyDescent="0.2"/>
    <row r="10098" ht="12.75" hidden="1" customHeight="1" x14ac:dyDescent="0.2"/>
    <row r="10099" ht="12.75" hidden="1" customHeight="1" x14ac:dyDescent="0.2"/>
    <row r="10100" ht="12.75" hidden="1" customHeight="1" x14ac:dyDescent="0.2"/>
    <row r="10101" ht="12.75" hidden="1" customHeight="1" x14ac:dyDescent="0.2"/>
    <row r="10102" ht="12.75" hidden="1" customHeight="1" x14ac:dyDescent="0.2"/>
    <row r="10103" ht="12.75" hidden="1" customHeight="1" x14ac:dyDescent="0.2"/>
    <row r="10104" ht="12.75" hidden="1" customHeight="1" x14ac:dyDescent="0.2"/>
    <row r="10105" ht="12.75" hidden="1" customHeight="1" x14ac:dyDescent="0.2"/>
    <row r="10106" ht="12.75" hidden="1" customHeight="1" x14ac:dyDescent="0.2"/>
    <row r="10107" ht="12.75" hidden="1" customHeight="1" x14ac:dyDescent="0.2"/>
    <row r="10108" ht="12.75" hidden="1" customHeight="1" x14ac:dyDescent="0.2"/>
    <row r="10109" ht="12.75" hidden="1" customHeight="1" x14ac:dyDescent="0.2"/>
    <row r="10110" ht="12.75" hidden="1" customHeight="1" x14ac:dyDescent="0.2"/>
    <row r="10111" ht="12.75" hidden="1" customHeight="1" x14ac:dyDescent="0.2"/>
    <row r="10112" ht="12.75" hidden="1" customHeight="1" x14ac:dyDescent="0.2"/>
    <row r="10113" ht="12.75" hidden="1" customHeight="1" x14ac:dyDescent="0.2"/>
    <row r="10114" ht="12.75" hidden="1" customHeight="1" x14ac:dyDescent="0.2"/>
    <row r="10115" ht="12.75" hidden="1" customHeight="1" x14ac:dyDescent="0.2"/>
    <row r="10116" ht="12.75" hidden="1" customHeight="1" x14ac:dyDescent="0.2"/>
    <row r="10117" ht="12.75" hidden="1" customHeight="1" x14ac:dyDescent="0.2"/>
    <row r="10118" ht="12.75" hidden="1" customHeight="1" x14ac:dyDescent="0.2"/>
    <row r="10119" ht="12.75" hidden="1" customHeight="1" x14ac:dyDescent="0.2"/>
    <row r="10120" ht="12.75" hidden="1" customHeight="1" x14ac:dyDescent="0.2"/>
    <row r="10121" ht="12.75" hidden="1" customHeight="1" x14ac:dyDescent="0.2"/>
    <row r="10122" ht="12.75" hidden="1" customHeight="1" x14ac:dyDescent="0.2"/>
    <row r="10123" ht="12.75" hidden="1" customHeight="1" x14ac:dyDescent="0.2"/>
    <row r="10124" ht="12.75" hidden="1" customHeight="1" x14ac:dyDescent="0.2"/>
    <row r="10125" ht="12.75" hidden="1" customHeight="1" x14ac:dyDescent="0.2"/>
    <row r="10126" ht="12.75" hidden="1" customHeight="1" x14ac:dyDescent="0.2"/>
    <row r="10127" ht="12.75" hidden="1" customHeight="1" x14ac:dyDescent="0.2"/>
    <row r="10128" ht="12.75" hidden="1" customHeight="1" x14ac:dyDescent="0.2"/>
    <row r="10129" ht="12.75" hidden="1" customHeight="1" x14ac:dyDescent="0.2"/>
    <row r="10130" ht="12.75" hidden="1" customHeight="1" x14ac:dyDescent="0.2"/>
    <row r="10131" ht="12.75" hidden="1" customHeight="1" x14ac:dyDescent="0.2"/>
    <row r="10132" ht="12.75" hidden="1" customHeight="1" x14ac:dyDescent="0.2"/>
    <row r="10133" ht="12.75" hidden="1" customHeight="1" x14ac:dyDescent="0.2"/>
    <row r="10134" ht="12.75" hidden="1" customHeight="1" x14ac:dyDescent="0.2"/>
    <row r="10135" ht="12.75" hidden="1" customHeight="1" x14ac:dyDescent="0.2"/>
    <row r="10136" ht="12.75" hidden="1" customHeight="1" x14ac:dyDescent="0.2"/>
    <row r="10137" ht="12.75" hidden="1" customHeight="1" x14ac:dyDescent="0.2"/>
    <row r="10138" ht="12.75" hidden="1" customHeight="1" x14ac:dyDescent="0.2"/>
    <row r="10139" ht="12.75" hidden="1" customHeight="1" x14ac:dyDescent="0.2"/>
    <row r="10140" ht="12.75" hidden="1" customHeight="1" x14ac:dyDescent="0.2"/>
    <row r="10141" ht="12.75" hidden="1" customHeight="1" x14ac:dyDescent="0.2"/>
    <row r="10142" ht="12.75" hidden="1" customHeight="1" x14ac:dyDescent="0.2"/>
    <row r="10143" ht="12.75" hidden="1" customHeight="1" x14ac:dyDescent="0.2"/>
    <row r="10144" ht="12.75" hidden="1" customHeight="1" x14ac:dyDescent="0.2"/>
    <row r="10145" ht="12.75" hidden="1" customHeight="1" x14ac:dyDescent="0.2"/>
    <row r="10146" ht="12.75" hidden="1" customHeight="1" x14ac:dyDescent="0.2"/>
    <row r="10147" ht="12.75" hidden="1" customHeight="1" x14ac:dyDescent="0.2"/>
    <row r="10148" ht="12.75" hidden="1" customHeight="1" x14ac:dyDescent="0.2"/>
    <row r="10149" ht="12.75" hidden="1" customHeight="1" x14ac:dyDescent="0.2"/>
    <row r="10150" ht="12.75" hidden="1" customHeight="1" x14ac:dyDescent="0.2"/>
    <row r="10151" ht="12.75" hidden="1" customHeight="1" x14ac:dyDescent="0.2"/>
    <row r="10152" ht="12.75" hidden="1" customHeight="1" x14ac:dyDescent="0.2"/>
    <row r="10153" ht="12.75" hidden="1" customHeight="1" x14ac:dyDescent="0.2"/>
    <row r="10154" ht="12.75" hidden="1" customHeight="1" x14ac:dyDescent="0.2"/>
    <row r="10155" ht="12.75" hidden="1" customHeight="1" x14ac:dyDescent="0.2"/>
    <row r="10156" ht="12.75" hidden="1" customHeight="1" x14ac:dyDescent="0.2"/>
    <row r="10157" ht="12.75" hidden="1" customHeight="1" x14ac:dyDescent="0.2"/>
    <row r="10158" ht="12.75" hidden="1" customHeight="1" x14ac:dyDescent="0.2"/>
    <row r="10159" ht="12.75" hidden="1" customHeight="1" x14ac:dyDescent="0.2"/>
    <row r="10160" ht="12.75" hidden="1" customHeight="1" x14ac:dyDescent="0.2"/>
    <row r="10161" ht="12.75" hidden="1" customHeight="1" x14ac:dyDescent="0.2"/>
    <row r="10162" ht="12.75" hidden="1" customHeight="1" x14ac:dyDescent="0.2"/>
    <row r="10163" ht="12.75" hidden="1" customHeight="1" x14ac:dyDescent="0.2"/>
    <row r="10164" ht="12.75" hidden="1" customHeight="1" x14ac:dyDescent="0.2"/>
    <row r="10165" ht="12.75" hidden="1" customHeight="1" x14ac:dyDescent="0.2"/>
    <row r="10166" ht="12.75" hidden="1" customHeight="1" x14ac:dyDescent="0.2"/>
    <row r="10167" ht="12.75" hidden="1" customHeight="1" x14ac:dyDescent="0.2"/>
    <row r="10168" ht="12.75" hidden="1" customHeight="1" x14ac:dyDescent="0.2"/>
    <row r="10169" ht="12.75" hidden="1" customHeight="1" x14ac:dyDescent="0.2"/>
    <row r="10170" ht="12.75" hidden="1" customHeight="1" x14ac:dyDescent="0.2"/>
    <row r="10171" ht="12.75" hidden="1" customHeight="1" x14ac:dyDescent="0.2"/>
    <row r="10172" ht="12.75" hidden="1" customHeight="1" x14ac:dyDescent="0.2"/>
    <row r="10173" ht="12.75" hidden="1" customHeight="1" x14ac:dyDescent="0.2"/>
    <row r="10174" ht="12.75" hidden="1" customHeight="1" x14ac:dyDescent="0.2"/>
    <row r="10175" ht="12.75" hidden="1" customHeight="1" x14ac:dyDescent="0.2"/>
    <row r="10176" ht="12.75" hidden="1" customHeight="1" x14ac:dyDescent="0.2"/>
    <row r="10177" ht="12.75" hidden="1" customHeight="1" x14ac:dyDescent="0.2"/>
    <row r="10178" ht="12.75" hidden="1" customHeight="1" x14ac:dyDescent="0.2"/>
    <row r="10179" ht="12.75" hidden="1" customHeight="1" x14ac:dyDescent="0.2"/>
    <row r="10180" ht="12.75" hidden="1" customHeight="1" x14ac:dyDescent="0.2"/>
    <row r="10181" ht="12.75" hidden="1" customHeight="1" x14ac:dyDescent="0.2"/>
    <row r="10182" ht="12.75" hidden="1" customHeight="1" x14ac:dyDescent="0.2"/>
    <row r="10183" ht="12.75" hidden="1" customHeight="1" x14ac:dyDescent="0.2"/>
    <row r="10184" ht="12.75" hidden="1" customHeight="1" x14ac:dyDescent="0.2"/>
    <row r="10185" ht="12.75" hidden="1" customHeight="1" x14ac:dyDescent="0.2"/>
    <row r="10186" ht="12.75" hidden="1" customHeight="1" x14ac:dyDescent="0.2"/>
    <row r="10187" ht="12.75" hidden="1" customHeight="1" x14ac:dyDescent="0.2"/>
    <row r="10188" ht="12.75" hidden="1" customHeight="1" x14ac:dyDescent="0.2"/>
    <row r="10189" ht="12.75" hidden="1" customHeight="1" x14ac:dyDescent="0.2"/>
    <row r="10190" ht="12.75" hidden="1" customHeight="1" x14ac:dyDescent="0.2"/>
    <row r="10191" ht="12.75" hidden="1" customHeight="1" x14ac:dyDescent="0.2"/>
    <row r="10192" ht="12.75" hidden="1" customHeight="1" x14ac:dyDescent="0.2"/>
    <row r="10193" ht="12.75" hidden="1" customHeight="1" x14ac:dyDescent="0.2"/>
    <row r="10194" ht="12.75" hidden="1" customHeight="1" x14ac:dyDescent="0.2"/>
    <row r="10195" ht="12.75" hidden="1" customHeight="1" x14ac:dyDescent="0.2"/>
    <row r="10196" ht="12.75" hidden="1" customHeight="1" x14ac:dyDescent="0.2"/>
    <row r="10197" ht="12.75" hidden="1" customHeight="1" x14ac:dyDescent="0.2"/>
    <row r="10198" ht="12.75" hidden="1" customHeight="1" x14ac:dyDescent="0.2"/>
    <row r="10199" ht="12.75" hidden="1" customHeight="1" x14ac:dyDescent="0.2"/>
    <row r="10200" ht="12.75" hidden="1" customHeight="1" x14ac:dyDescent="0.2"/>
    <row r="10201" ht="12.75" hidden="1" customHeight="1" x14ac:dyDescent="0.2"/>
    <row r="10202" ht="12.75" hidden="1" customHeight="1" x14ac:dyDescent="0.2"/>
    <row r="10203" ht="12.75" hidden="1" customHeight="1" x14ac:dyDescent="0.2"/>
    <row r="10204" ht="12.75" hidden="1" customHeight="1" x14ac:dyDescent="0.2"/>
    <row r="10205" ht="12.75" hidden="1" customHeight="1" x14ac:dyDescent="0.2"/>
    <row r="10206" ht="12.75" hidden="1" customHeight="1" x14ac:dyDescent="0.2"/>
    <row r="10207" ht="12.75" hidden="1" customHeight="1" x14ac:dyDescent="0.2"/>
    <row r="10208" ht="12.75" hidden="1" customHeight="1" x14ac:dyDescent="0.2"/>
    <row r="10209" ht="12.75" hidden="1" customHeight="1" x14ac:dyDescent="0.2"/>
    <row r="10210" ht="12.75" hidden="1" customHeight="1" x14ac:dyDescent="0.2"/>
    <row r="10211" ht="12.75" hidden="1" customHeight="1" x14ac:dyDescent="0.2"/>
    <row r="10212" ht="12.75" hidden="1" customHeight="1" x14ac:dyDescent="0.2"/>
    <row r="10213" ht="12.75" hidden="1" customHeight="1" x14ac:dyDescent="0.2"/>
    <row r="10214" ht="12.75" hidden="1" customHeight="1" x14ac:dyDescent="0.2"/>
    <row r="10215" ht="12.75" hidden="1" customHeight="1" x14ac:dyDescent="0.2"/>
    <row r="10216" ht="12.75" hidden="1" customHeight="1" x14ac:dyDescent="0.2"/>
    <row r="10217" ht="12.75" hidden="1" customHeight="1" x14ac:dyDescent="0.2"/>
    <row r="10218" ht="12.75" hidden="1" customHeight="1" x14ac:dyDescent="0.2"/>
    <row r="10219" ht="12.75" hidden="1" customHeight="1" x14ac:dyDescent="0.2"/>
    <row r="10220" ht="12.75" hidden="1" customHeight="1" x14ac:dyDescent="0.2"/>
    <row r="10221" ht="12.75" hidden="1" customHeight="1" x14ac:dyDescent="0.2"/>
    <row r="10222" ht="12.75" hidden="1" customHeight="1" x14ac:dyDescent="0.2"/>
    <row r="10223" ht="12.75" hidden="1" customHeight="1" x14ac:dyDescent="0.2"/>
    <row r="10224" ht="12.75" hidden="1" customHeight="1" x14ac:dyDescent="0.2"/>
    <row r="10225" ht="12.75" hidden="1" customHeight="1" x14ac:dyDescent="0.2"/>
    <row r="10226" ht="12.75" hidden="1" customHeight="1" x14ac:dyDescent="0.2"/>
    <row r="10227" ht="12.75" hidden="1" customHeight="1" x14ac:dyDescent="0.2"/>
    <row r="10228" ht="12.75" hidden="1" customHeight="1" x14ac:dyDescent="0.2"/>
    <row r="10229" ht="12.75" hidden="1" customHeight="1" x14ac:dyDescent="0.2"/>
    <row r="10230" ht="12.75" hidden="1" customHeight="1" x14ac:dyDescent="0.2"/>
    <row r="10231" ht="12.75" hidden="1" customHeight="1" x14ac:dyDescent="0.2"/>
    <row r="10232" ht="12.75" hidden="1" customHeight="1" x14ac:dyDescent="0.2"/>
    <row r="10233" ht="12.75" hidden="1" customHeight="1" x14ac:dyDescent="0.2"/>
    <row r="10234" ht="12.75" hidden="1" customHeight="1" x14ac:dyDescent="0.2"/>
    <row r="10235" ht="12.75" hidden="1" customHeight="1" x14ac:dyDescent="0.2"/>
    <row r="10236" ht="12.75" hidden="1" customHeight="1" x14ac:dyDescent="0.2"/>
    <row r="10237" ht="12.75" hidden="1" customHeight="1" x14ac:dyDescent="0.2"/>
    <row r="10238" ht="12.75" hidden="1" customHeight="1" x14ac:dyDescent="0.2"/>
    <row r="10239" ht="12.75" hidden="1" customHeight="1" x14ac:dyDescent="0.2"/>
    <row r="10240" ht="12.75" hidden="1" customHeight="1" x14ac:dyDescent="0.2"/>
    <row r="10241" ht="12.75" hidden="1" customHeight="1" x14ac:dyDescent="0.2"/>
    <row r="10242" ht="12.75" hidden="1" customHeight="1" x14ac:dyDescent="0.2"/>
    <row r="10243" ht="12.75" hidden="1" customHeight="1" x14ac:dyDescent="0.2"/>
    <row r="10244" ht="12.75" hidden="1" customHeight="1" x14ac:dyDescent="0.2"/>
    <row r="10245" ht="12.75" hidden="1" customHeight="1" x14ac:dyDescent="0.2"/>
    <row r="10246" ht="12.75" hidden="1" customHeight="1" x14ac:dyDescent="0.2"/>
    <row r="10247" ht="12.75" hidden="1" customHeight="1" x14ac:dyDescent="0.2"/>
    <row r="10248" ht="12.75" hidden="1" customHeight="1" x14ac:dyDescent="0.2"/>
    <row r="10249" ht="12.75" hidden="1" customHeight="1" x14ac:dyDescent="0.2"/>
    <row r="10250" ht="12.75" hidden="1" customHeight="1" x14ac:dyDescent="0.2"/>
    <row r="10251" ht="12.75" hidden="1" customHeight="1" x14ac:dyDescent="0.2"/>
    <row r="10252" ht="12.75" hidden="1" customHeight="1" x14ac:dyDescent="0.2"/>
    <row r="10253" ht="12.75" hidden="1" customHeight="1" x14ac:dyDescent="0.2"/>
    <row r="10254" ht="12.75" hidden="1" customHeight="1" x14ac:dyDescent="0.2"/>
    <row r="10255" ht="12.75" hidden="1" customHeight="1" x14ac:dyDescent="0.2"/>
    <row r="10256" ht="12.75" hidden="1" customHeight="1" x14ac:dyDescent="0.2"/>
    <row r="10257" ht="12.75" hidden="1" customHeight="1" x14ac:dyDescent="0.2"/>
    <row r="10258" ht="12.75" hidden="1" customHeight="1" x14ac:dyDescent="0.2"/>
    <row r="10259" ht="12.75" hidden="1" customHeight="1" x14ac:dyDescent="0.2"/>
    <row r="10260" ht="12.75" hidden="1" customHeight="1" x14ac:dyDescent="0.2"/>
    <row r="10261" ht="12.75" hidden="1" customHeight="1" x14ac:dyDescent="0.2"/>
    <row r="10262" ht="12.75" hidden="1" customHeight="1" x14ac:dyDescent="0.2"/>
    <row r="10263" ht="12.75" hidden="1" customHeight="1" x14ac:dyDescent="0.2"/>
    <row r="10264" ht="12.75" hidden="1" customHeight="1" x14ac:dyDescent="0.2"/>
    <row r="10265" ht="12.75" hidden="1" customHeight="1" x14ac:dyDescent="0.2"/>
    <row r="10266" ht="12.75" hidden="1" customHeight="1" x14ac:dyDescent="0.2"/>
    <row r="10267" ht="12.75" hidden="1" customHeight="1" x14ac:dyDescent="0.2"/>
    <row r="10268" ht="12.75" hidden="1" customHeight="1" x14ac:dyDescent="0.2"/>
    <row r="10269" ht="12.75" hidden="1" customHeight="1" x14ac:dyDescent="0.2"/>
    <row r="10270" ht="12.75" hidden="1" customHeight="1" x14ac:dyDescent="0.2"/>
    <row r="10271" ht="12.75" hidden="1" customHeight="1" x14ac:dyDescent="0.2"/>
    <row r="10272" ht="12.75" hidden="1" customHeight="1" x14ac:dyDescent="0.2"/>
    <row r="10273" ht="12.75" hidden="1" customHeight="1" x14ac:dyDescent="0.2"/>
    <row r="10274" ht="12.75" hidden="1" customHeight="1" x14ac:dyDescent="0.2"/>
    <row r="10275" ht="12.75" hidden="1" customHeight="1" x14ac:dyDescent="0.2"/>
    <row r="10276" ht="12.75" hidden="1" customHeight="1" x14ac:dyDescent="0.2"/>
    <row r="10277" ht="12.75" hidden="1" customHeight="1" x14ac:dyDescent="0.2"/>
    <row r="10278" ht="12.75" hidden="1" customHeight="1" x14ac:dyDescent="0.2"/>
    <row r="10279" ht="12.75" hidden="1" customHeight="1" x14ac:dyDescent="0.2"/>
    <row r="10280" ht="12.75" hidden="1" customHeight="1" x14ac:dyDescent="0.2"/>
    <row r="10281" ht="12.75" hidden="1" customHeight="1" x14ac:dyDescent="0.2"/>
    <row r="10282" ht="12.75" hidden="1" customHeight="1" x14ac:dyDescent="0.2"/>
    <row r="10283" ht="12.75" hidden="1" customHeight="1" x14ac:dyDescent="0.2"/>
    <row r="10284" ht="12.75" hidden="1" customHeight="1" x14ac:dyDescent="0.2"/>
    <row r="10285" ht="12.75" hidden="1" customHeight="1" x14ac:dyDescent="0.2"/>
    <row r="10286" ht="12.75" hidden="1" customHeight="1" x14ac:dyDescent="0.2"/>
    <row r="10287" ht="12.75" hidden="1" customHeight="1" x14ac:dyDescent="0.2"/>
    <row r="10288" ht="12.75" hidden="1" customHeight="1" x14ac:dyDescent="0.2"/>
    <row r="10289" ht="12.75" hidden="1" customHeight="1" x14ac:dyDescent="0.2"/>
    <row r="10290" ht="12.75" hidden="1" customHeight="1" x14ac:dyDescent="0.2"/>
    <row r="10291" ht="12.75" hidden="1" customHeight="1" x14ac:dyDescent="0.2"/>
    <row r="10292" ht="12.75" hidden="1" customHeight="1" x14ac:dyDescent="0.2"/>
    <row r="10293" ht="12.75" hidden="1" customHeight="1" x14ac:dyDescent="0.2"/>
    <row r="10294" ht="12.75" hidden="1" customHeight="1" x14ac:dyDescent="0.2"/>
    <row r="10295" ht="12.75" hidden="1" customHeight="1" x14ac:dyDescent="0.2"/>
    <row r="10296" ht="12.75" hidden="1" customHeight="1" x14ac:dyDescent="0.2"/>
    <row r="10297" ht="12.75" hidden="1" customHeight="1" x14ac:dyDescent="0.2"/>
    <row r="10298" ht="12.75" hidden="1" customHeight="1" x14ac:dyDescent="0.2"/>
    <row r="10299" ht="12.75" hidden="1" customHeight="1" x14ac:dyDescent="0.2"/>
    <row r="10300" ht="12.75" hidden="1" customHeight="1" x14ac:dyDescent="0.2"/>
    <row r="10301" ht="12.75" hidden="1" customHeight="1" x14ac:dyDescent="0.2"/>
    <row r="10302" ht="12.75" hidden="1" customHeight="1" x14ac:dyDescent="0.2"/>
    <row r="10303" ht="12.75" hidden="1" customHeight="1" x14ac:dyDescent="0.2"/>
    <row r="10304" ht="12.75" hidden="1" customHeight="1" x14ac:dyDescent="0.2"/>
    <row r="10305" ht="12.75" hidden="1" customHeight="1" x14ac:dyDescent="0.2"/>
    <row r="10306" ht="12.75" hidden="1" customHeight="1" x14ac:dyDescent="0.2"/>
    <row r="10307" ht="12.75" hidden="1" customHeight="1" x14ac:dyDescent="0.2"/>
    <row r="10308" ht="12.75" hidden="1" customHeight="1" x14ac:dyDescent="0.2"/>
    <row r="10309" ht="12.75" hidden="1" customHeight="1" x14ac:dyDescent="0.2"/>
    <row r="10310" ht="12.75" hidden="1" customHeight="1" x14ac:dyDescent="0.2"/>
    <row r="10311" ht="12.75" hidden="1" customHeight="1" x14ac:dyDescent="0.2"/>
    <row r="10312" ht="12.75" hidden="1" customHeight="1" x14ac:dyDescent="0.2"/>
    <row r="10313" ht="12.75" hidden="1" customHeight="1" x14ac:dyDescent="0.2"/>
    <row r="10314" ht="12.75" hidden="1" customHeight="1" x14ac:dyDescent="0.2"/>
    <row r="10315" ht="12.75" hidden="1" customHeight="1" x14ac:dyDescent="0.2"/>
    <row r="10316" ht="12.75" hidden="1" customHeight="1" x14ac:dyDescent="0.2"/>
    <row r="10317" ht="12.75" hidden="1" customHeight="1" x14ac:dyDescent="0.2"/>
    <row r="10318" ht="12.75" hidden="1" customHeight="1" x14ac:dyDescent="0.2"/>
    <row r="10319" ht="12.75" hidden="1" customHeight="1" x14ac:dyDescent="0.2"/>
    <row r="10320" ht="12.75" hidden="1" customHeight="1" x14ac:dyDescent="0.2"/>
    <row r="10321" ht="12.75" hidden="1" customHeight="1" x14ac:dyDescent="0.2"/>
    <row r="10322" ht="12.75" hidden="1" customHeight="1" x14ac:dyDescent="0.2"/>
    <row r="10323" ht="12.75" hidden="1" customHeight="1" x14ac:dyDescent="0.2"/>
    <row r="10324" ht="12.75" hidden="1" customHeight="1" x14ac:dyDescent="0.2"/>
    <row r="10325" ht="12.75" hidden="1" customHeight="1" x14ac:dyDescent="0.2"/>
    <row r="10326" ht="12.75" hidden="1" customHeight="1" x14ac:dyDescent="0.2"/>
    <row r="10327" ht="12.75" hidden="1" customHeight="1" x14ac:dyDescent="0.2"/>
    <row r="10328" ht="12.75" hidden="1" customHeight="1" x14ac:dyDescent="0.2"/>
    <row r="10329" ht="12.75" hidden="1" customHeight="1" x14ac:dyDescent="0.2"/>
    <row r="10330" ht="12.75" hidden="1" customHeight="1" x14ac:dyDescent="0.2"/>
    <row r="10331" ht="12.75" hidden="1" customHeight="1" x14ac:dyDescent="0.2"/>
    <row r="10332" ht="12.75" hidden="1" customHeight="1" x14ac:dyDescent="0.2"/>
    <row r="10333" ht="12.75" hidden="1" customHeight="1" x14ac:dyDescent="0.2"/>
    <row r="10334" ht="12.75" hidden="1" customHeight="1" x14ac:dyDescent="0.2"/>
    <row r="10335" ht="12.75" hidden="1" customHeight="1" x14ac:dyDescent="0.2"/>
    <row r="10336" ht="12.75" hidden="1" customHeight="1" x14ac:dyDescent="0.2"/>
    <row r="10337" ht="12.75" hidden="1" customHeight="1" x14ac:dyDescent="0.2"/>
    <row r="10338" ht="12.75" hidden="1" customHeight="1" x14ac:dyDescent="0.2"/>
    <row r="10339" ht="12.75" hidden="1" customHeight="1" x14ac:dyDescent="0.2"/>
    <row r="10340" ht="12.75" hidden="1" customHeight="1" x14ac:dyDescent="0.2"/>
    <row r="10341" ht="12.75" hidden="1" customHeight="1" x14ac:dyDescent="0.2"/>
    <row r="10342" ht="12.75" hidden="1" customHeight="1" x14ac:dyDescent="0.2"/>
    <row r="10343" ht="12.75" hidden="1" customHeight="1" x14ac:dyDescent="0.2"/>
    <row r="10344" ht="12.75" hidden="1" customHeight="1" x14ac:dyDescent="0.2"/>
    <row r="10345" ht="12.75" hidden="1" customHeight="1" x14ac:dyDescent="0.2"/>
    <row r="10346" ht="12.75" hidden="1" customHeight="1" x14ac:dyDescent="0.2"/>
    <row r="10347" ht="12.75" hidden="1" customHeight="1" x14ac:dyDescent="0.2"/>
    <row r="10348" ht="12.75" hidden="1" customHeight="1" x14ac:dyDescent="0.2"/>
    <row r="10349" ht="12.75" hidden="1" customHeight="1" x14ac:dyDescent="0.2"/>
    <row r="10350" ht="12.75" hidden="1" customHeight="1" x14ac:dyDescent="0.2"/>
    <row r="10351" ht="12.75" hidden="1" customHeight="1" x14ac:dyDescent="0.2"/>
    <row r="10352" ht="12.75" hidden="1" customHeight="1" x14ac:dyDescent="0.2"/>
    <row r="10353" ht="12.75" hidden="1" customHeight="1" x14ac:dyDescent="0.2"/>
    <row r="10354" ht="12.75" hidden="1" customHeight="1" x14ac:dyDescent="0.2"/>
    <row r="10355" ht="12.75" hidden="1" customHeight="1" x14ac:dyDescent="0.2"/>
    <row r="10356" ht="12.75" hidden="1" customHeight="1" x14ac:dyDescent="0.2"/>
    <row r="10357" ht="12.75" hidden="1" customHeight="1" x14ac:dyDescent="0.2"/>
    <row r="10358" ht="12.75" hidden="1" customHeight="1" x14ac:dyDescent="0.2"/>
    <row r="10359" ht="12.75" hidden="1" customHeight="1" x14ac:dyDescent="0.2"/>
    <row r="10360" ht="12.75" hidden="1" customHeight="1" x14ac:dyDescent="0.2"/>
    <row r="10361" ht="12.75" hidden="1" customHeight="1" x14ac:dyDescent="0.2"/>
    <row r="10362" ht="12.75" hidden="1" customHeight="1" x14ac:dyDescent="0.2"/>
    <row r="10363" ht="12.75" hidden="1" customHeight="1" x14ac:dyDescent="0.2"/>
    <row r="10364" ht="12.75" hidden="1" customHeight="1" x14ac:dyDescent="0.2"/>
    <row r="10365" ht="12.75" hidden="1" customHeight="1" x14ac:dyDescent="0.2"/>
    <row r="10366" ht="12.75" hidden="1" customHeight="1" x14ac:dyDescent="0.2"/>
    <row r="10367" ht="12.75" hidden="1" customHeight="1" x14ac:dyDescent="0.2"/>
    <row r="10368" ht="12.75" hidden="1" customHeight="1" x14ac:dyDescent="0.2"/>
    <row r="10369" ht="12.75" hidden="1" customHeight="1" x14ac:dyDescent="0.2"/>
    <row r="10370" ht="12.75" hidden="1" customHeight="1" x14ac:dyDescent="0.2"/>
    <row r="10371" ht="12.75" hidden="1" customHeight="1" x14ac:dyDescent="0.2"/>
    <row r="10372" ht="12.75" hidden="1" customHeight="1" x14ac:dyDescent="0.2"/>
    <row r="10373" ht="12.75" hidden="1" customHeight="1" x14ac:dyDescent="0.2"/>
    <row r="10374" ht="12.75" hidden="1" customHeight="1" x14ac:dyDescent="0.2"/>
    <row r="10375" ht="12.75" hidden="1" customHeight="1" x14ac:dyDescent="0.2"/>
    <row r="10376" ht="12.75" hidden="1" customHeight="1" x14ac:dyDescent="0.2"/>
    <row r="10377" ht="12.75" hidden="1" customHeight="1" x14ac:dyDescent="0.2"/>
    <row r="10378" ht="12.75" hidden="1" customHeight="1" x14ac:dyDescent="0.2"/>
    <row r="10379" ht="12.75" hidden="1" customHeight="1" x14ac:dyDescent="0.2"/>
    <row r="10380" ht="12.75" hidden="1" customHeight="1" x14ac:dyDescent="0.2"/>
    <row r="10381" ht="12.75" hidden="1" customHeight="1" x14ac:dyDescent="0.2"/>
    <row r="10382" ht="12.75" hidden="1" customHeight="1" x14ac:dyDescent="0.2"/>
    <row r="10383" ht="12.75" hidden="1" customHeight="1" x14ac:dyDescent="0.2"/>
    <row r="10384" ht="12.75" hidden="1" customHeight="1" x14ac:dyDescent="0.2"/>
    <row r="10385" ht="12.75" hidden="1" customHeight="1" x14ac:dyDescent="0.2"/>
    <row r="10386" ht="12.75" hidden="1" customHeight="1" x14ac:dyDescent="0.2"/>
    <row r="10387" ht="12.75" hidden="1" customHeight="1" x14ac:dyDescent="0.2"/>
    <row r="10388" ht="12.75" hidden="1" customHeight="1" x14ac:dyDescent="0.2"/>
    <row r="10389" ht="12.75" hidden="1" customHeight="1" x14ac:dyDescent="0.2"/>
    <row r="10390" ht="12.75" hidden="1" customHeight="1" x14ac:dyDescent="0.2"/>
    <row r="10391" ht="12.75" hidden="1" customHeight="1" x14ac:dyDescent="0.2"/>
    <row r="10392" ht="12.75" hidden="1" customHeight="1" x14ac:dyDescent="0.2"/>
    <row r="10393" ht="12.75" hidden="1" customHeight="1" x14ac:dyDescent="0.2"/>
    <row r="10394" ht="12.75" hidden="1" customHeight="1" x14ac:dyDescent="0.2"/>
    <row r="10395" ht="12.75" hidden="1" customHeight="1" x14ac:dyDescent="0.2"/>
    <row r="10396" ht="12.75" hidden="1" customHeight="1" x14ac:dyDescent="0.2"/>
    <row r="10397" ht="12.75" hidden="1" customHeight="1" x14ac:dyDescent="0.2"/>
    <row r="10398" ht="12.75" hidden="1" customHeight="1" x14ac:dyDescent="0.2"/>
    <row r="10399" ht="12.75" hidden="1" customHeight="1" x14ac:dyDescent="0.2"/>
    <row r="10400" ht="12.75" hidden="1" customHeight="1" x14ac:dyDescent="0.2"/>
    <row r="10401" ht="12.75" hidden="1" customHeight="1" x14ac:dyDescent="0.2"/>
    <row r="10402" ht="12.75" hidden="1" customHeight="1" x14ac:dyDescent="0.2"/>
    <row r="10403" ht="12.75" hidden="1" customHeight="1" x14ac:dyDescent="0.2"/>
    <row r="10404" ht="12.75" hidden="1" customHeight="1" x14ac:dyDescent="0.2"/>
    <row r="10405" ht="12.75" hidden="1" customHeight="1" x14ac:dyDescent="0.2"/>
    <row r="10406" ht="12.75" hidden="1" customHeight="1" x14ac:dyDescent="0.2"/>
    <row r="10407" ht="12.75" hidden="1" customHeight="1" x14ac:dyDescent="0.2"/>
    <row r="10408" ht="12.75" hidden="1" customHeight="1" x14ac:dyDescent="0.2"/>
    <row r="10409" ht="12.75" hidden="1" customHeight="1" x14ac:dyDescent="0.2"/>
    <row r="10410" ht="12.75" hidden="1" customHeight="1" x14ac:dyDescent="0.2"/>
    <row r="10411" ht="12.75" hidden="1" customHeight="1" x14ac:dyDescent="0.2"/>
    <row r="10412" ht="12.75" hidden="1" customHeight="1" x14ac:dyDescent="0.2"/>
    <row r="10413" ht="12.75" hidden="1" customHeight="1" x14ac:dyDescent="0.2"/>
    <row r="10414" ht="12.75" hidden="1" customHeight="1" x14ac:dyDescent="0.2"/>
    <row r="10415" ht="12.75" hidden="1" customHeight="1" x14ac:dyDescent="0.2"/>
    <row r="10416" ht="12.75" hidden="1" customHeight="1" x14ac:dyDescent="0.2"/>
    <row r="10417" ht="12.75" hidden="1" customHeight="1" x14ac:dyDescent="0.2"/>
    <row r="10418" ht="12.75" hidden="1" customHeight="1" x14ac:dyDescent="0.2"/>
    <row r="10419" ht="12.75" hidden="1" customHeight="1" x14ac:dyDescent="0.2"/>
    <row r="10420" ht="12.75" hidden="1" customHeight="1" x14ac:dyDescent="0.2"/>
    <row r="10421" ht="12.75" hidden="1" customHeight="1" x14ac:dyDescent="0.2"/>
    <row r="10422" ht="12.75" hidden="1" customHeight="1" x14ac:dyDescent="0.2"/>
    <row r="10423" ht="12.75" hidden="1" customHeight="1" x14ac:dyDescent="0.2"/>
    <row r="10424" ht="12.75" hidden="1" customHeight="1" x14ac:dyDescent="0.2"/>
    <row r="10425" ht="12.75" hidden="1" customHeight="1" x14ac:dyDescent="0.2"/>
    <row r="10426" ht="12.75" hidden="1" customHeight="1" x14ac:dyDescent="0.2"/>
    <row r="10427" ht="12.75" hidden="1" customHeight="1" x14ac:dyDescent="0.2"/>
    <row r="10428" ht="12.75" hidden="1" customHeight="1" x14ac:dyDescent="0.2"/>
    <row r="10429" ht="12.75" hidden="1" customHeight="1" x14ac:dyDescent="0.2"/>
    <row r="10430" ht="12.75" hidden="1" customHeight="1" x14ac:dyDescent="0.2"/>
    <row r="10431" ht="12.75" hidden="1" customHeight="1" x14ac:dyDescent="0.2"/>
    <row r="10432" ht="12.75" hidden="1" customHeight="1" x14ac:dyDescent="0.2"/>
    <row r="10433" ht="12.75" hidden="1" customHeight="1" x14ac:dyDescent="0.2"/>
    <row r="10434" ht="12.75" hidden="1" customHeight="1" x14ac:dyDescent="0.2"/>
    <row r="10435" ht="12.75" hidden="1" customHeight="1" x14ac:dyDescent="0.2"/>
    <row r="10436" ht="12.75" hidden="1" customHeight="1" x14ac:dyDescent="0.2"/>
    <row r="10437" ht="12.75" hidden="1" customHeight="1" x14ac:dyDescent="0.2"/>
    <row r="10438" ht="12.75" hidden="1" customHeight="1" x14ac:dyDescent="0.2"/>
    <row r="10439" ht="12.75" hidden="1" customHeight="1" x14ac:dyDescent="0.2"/>
    <row r="10440" ht="12.75" hidden="1" customHeight="1" x14ac:dyDescent="0.2"/>
    <row r="10441" ht="12.75" hidden="1" customHeight="1" x14ac:dyDescent="0.2"/>
    <row r="10442" ht="12.75" hidden="1" customHeight="1" x14ac:dyDescent="0.2"/>
    <row r="10443" ht="12.75" hidden="1" customHeight="1" x14ac:dyDescent="0.2"/>
    <row r="10444" ht="12.75" hidden="1" customHeight="1" x14ac:dyDescent="0.2"/>
    <row r="10445" ht="12.75" hidden="1" customHeight="1" x14ac:dyDescent="0.2"/>
    <row r="10446" ht="12.75" hidden="1" customHeight="1" x14ac:dyDescent="0.2"/>
    <row r="10447" ht="12.75" hidden="1" customHeight="1" x14ac:dyDescent="0.2"/>
    <row r="10448" ht="12.75" hidden="1" customHeight="1" x14ac:dyDescent="0.2"/>
    <row r="10449" ht="12.75" hidden="1" customHeight="1" x14ac:dyDescent="0.2"/>
    <row r="10450" ht="12.75" hidden="1" customHeight="1" x14ac:dyDescent="0.2"/>
    <row r="10451" ht="12.75" hidden="1" customHeight="1" x14ac:dyDescent="0.2"/>
    <row r="10452" ht="12.75" hidden="1" customHeight="1" x14ac:dyDescent="0.2"/>
    <row r="10453" ht="12.75" hidden="1" customHeight="1" x14ac:dyDescent="0.2"/>
    <row r="10454" ht="12.75" hidden="1" customHeight="1" x14ac:dyDescent="0.2"/>
    <row r="10455" ht="12.75" hidden="1" customHeight="1" x14ac:dyDescent="0.2"/>
    <row r="10456" ht="12.75" hidden="1" customHeight="1" x14ac:dyDescent="0.2"/>
    <row r="10457" ht="12.75" hidden="1" customHeight="1" x14ac:dyDescent="0.2"/>
    <row r="10458" ht="12.75" hidden="1" customHeight="1" x14ac:dyDescent="0.2"/>
    <row r="10459" ht="12.75" hidden="1" customHeight="1" x14ac:dyDescent="0.2"/>
    <row r="10460" ht="12.75" hidden="1" customHeight="1" x14ac:dyDescent="0.2"/>
    <row r="10461" ht="12.75" hidden="1" customHeight="1" x14ac:dyDescent="0.2"/>
    <row r="10462" ht="12.75" hidden="1" customHeight="1" x14ac:dyDescent="0.2"/>
    <row r="10463" ht="12.75" hidden="1" customHeight="1" x14ac:dyDescent="0.2"/>
    <row r="10464" ht="12.75" hidden="1" customHeight="1" x14ac:dyDescent="0.2"/>
    <row r="10465" ht="12.75" hidden="1" customHeight="1" x14ac:dyDescent="0.2"/>
    <row r="10466" ht="12.75" hidden="1" customHeight="1" x14ac:dyDescent="0.2"/>
    <row r="10467" ht="12.75" hidden="1" customHeight="1" x14ac:dyDescent="0.2"/>
    <row r="10468" ht="12.75" hidden="1" customHeight="1" x14ac:dyDescent="0.2"/>
    <row r="10469" ht="12.75" hidden="1" customHeight="1" x14ac:dyDescent="0.2"/>
    <row r="10470" ht="12.75" hidden="1" customHeight="1" x14ac:dyDescent="0.2"/>
    <row r="10471" ht="12.75" hidden="1" customHeight="1" x14ac:dyDescent="0.2"/>
    <row r="10472" ht="12.75" hidden="1" customHeight="1" x14ac:dyDescent="0.2"/>
    <row r="10473" ht="12.75" hidden="1" customHeight="1" x14ac:dyDescent="0.2"/>
    <row r="10474" ht="12.75" hidden="1" customHeight="1" x14ac:dyDescent="0.2"/>
    <row r="10475" ht="12.75" hidden="1" customHeight="1" x14ac:dyDescent="0.2"/>
    <row r="10476" ht="12.75" hidden="1" customHeight="1" x14ac:dyDescent="0.2"/>
    <row r="10477" ht="12.75" hidden="1" customHeight="1" x14ac:dyDescent="0.2"/>
    <row r="10478" ht="12.75" hidden="1" customHeight="1" x14ac:dyDescent="0.2"/>
    <row r="10479" ht="12.75" hidden="1" customHeight="1" x14ac:dyDescent="0.2"/>
    <row r="10480" ht="12.75" hidden="1" customHeight="1" x14ac:dyDescent="0.2"/>
    <row r="10481" ht="12.75" hidden="1" customHeight="1" x14ac:dyDescent="0.2"/>
    <row r="10482" ht="12.75" hidden="1" customHeight="1" x14ac:dyDescent="0.2"/>
    <row r="10483" ht="12.75" hidden="1" customHeight="1" x14ac:dyDescent="0.2"/>
    <row r="10484" ht="12.75" hidden="1" customHeight="1" x14ac:dyDescent="0.2"/>
    <row r="10485" ht="12.75" hidden="1" customHeight="1" x14ac:dyDescent="0.2"/>
    <row r="10486" ht="12.75" hidden="1" customHeight="1" x14ac:dyDescent="0.2"/>
    <row r="10487" ht="12.75" hidden="1" customHeight="1" x14ac:dyDescent="0.2"/>
    <row r="10488" ht="12.75" hidden="1" customHeight="1" x14ac:dyDescent="0.2"/>
    <row r="10489" ht="12.75" hidden="1" customHeight="1" x14ac:dyDescent="0.2"/>
    <row r="10490" ht="12.75" hidden="1" customHeight="1" x14ac:dyDescent="0.2"/>
    <row r="10491" ht="12.75" hidden="1" customHeight="1" x14ac:dyDescent="0.2"/>
    <row r="10492" ht="12.75" hidden="1" customHeight="1" x14ac:dyDescent="0.2"/>
    <row r="10493" ht="12.75" hidden="1" customHeight="1" x14ac:dyDescent="0.2"/>
    <row r="10494" ht="12.75" hidden="1" customHeight="1" x14ac:dyDescent="0.2"/>
    <row r="10495" ht="12.75" hidden="1" customHeight="1" x14ac:dyDescent="0.2"/>
    <row r="10496" ht="12.75" hidden="1" customHeight="1" x14ac:dyDescent="0.2"/>
    <row r="10497" ht="12.75" hidden="1" customHeight="1" x14ac:dyDescent="0.2"/>
    <row r="10498" ht="12.75" hidden="1" customHeight="1" x14ac:dyDescent="0.2"/>
    <row r="10499" ht="12.75" hidden="1" customHeight="1" x14ac:dyDescent="0.2"/>
    <row r="10500" ht="12.75" hidden="1" customHeight="1" x14ac:dyDescent="0.2"/>
    <row r="10501" ht="12.75" hidden="1" customHeight="1" x14ac:dyDescent="0.2"/>
    <row r="10502" ht="12.75" hidden="1" customHeight="1" x14ac:dyDescent="0.2"/>
    <row r="10503" ht="12.75" hidden="1" customHeight="1" x14ac:dyDescent="0.2"/>
    <row r="10504" ht="12.75" hidden="1" customHeight="1" x14ac:dyDescent="0.2"/>
    <row r="10505" ht="12.75" hidden="1" customHeight="1" x14ac:dyDescent="0.2"/>
    <row r="10506" ht="12.75" hidden="1" customHeight="1" x14ac:dyDescent="0.2"/>
    <row r="10507" ht="12.75" hidden="1" customHeight="1" x14ac:dyDescent="0.2"/>
    <row r="10508" ht="12.75" hidden="1" customHeight="1" x14ac:dyDescent="0.2"/>
    <row r="10509" ht="12.75" hidden="1" customHeight="1" x14ac:dyDescent="0.2"/>
    <row r="10510" ht="12.75" hidden="1" customHeight="1" x14ac:dyDescent="0.2"/>
    <row r="10511" ht="12.75" hidden="1" customHeight="1" x14ac:dyDescent="0.2"/>
    <row r="10512" ht="12.75" hidden="1" customHeight="1" x14ac:dyDescent="0.2"/>
    <row r="10513" ht="12.75" hidden="1" customHeight="1" x14ac:dyDescent="0.2"/>
    <row r="10514" ht="12.75" hidden="1" customHeight="1" x14ac:dyDescent="0.2"/>
    <row r="10515" ht="12.75" hidden="1" customHeight="1" x14ac:dyDescent="0.2"/>
    <row r="10516" ht="12.75" hidden="1" customHeight="1" x14ac:dyDescent="0.2"/>
    <row r="10517" ht="12.75" hidden="1" customHeight="1" x14ac:dyDescent="0.2"/>
    <row r="10518" ht="12.75" hidden="1" customHeight="1" x14ac:dyDescent="0.2"/>
    <row r="10519" ht="12.75" hidden="1" customHeight="1" x14ac:dyDescent="0.2"/>
    <row r="10520" ht="12.75" hidden="1" customHeight="1" x14ac:dyDescent="0.2"/>
    <row r="10521" ht="12.75" hidden="1" customHeight="1" x14ac:dyDescent="0.2"/>
    <row r="10522" ht="12.75" hidden="1" customHeight="1" x14ac:dyDescent="0.2"/>
    <row r="10523" ht="12.75" hidden="1" customHeight="1" x14ac:dyDescent="0.2"/>
    <row r="10524" ht="12.75" hidden="1" customHeight="1" x14ac:dyDescent="0.2"/>
    <row r="10525" ht="12.75" hidden="1" customHeight="1" x14ac:dyDescent="0.2"/>
    <row r="10526" ht="12.75" hidden="1" customHeight="1" x14ac:dyDescent="0.2"/>
    <row r="10527" ht="12.75" hidden="1" customHeight="1" x14ac:dyDescent="0.2"/>
    <row r="10528" ht="12.75" hidden="1" customHeight="1" x14ac:dyDescent="0.2"/>
    <row r="10529" ht="12.75" hidden="1" customHeight="1" x14ac:dyDescent="0.2"/>
    <row r="10530" ht="12.75" hidden="1" customHeight="1" x14ac:dyDescent="0.2"/>
    <row r="10531" ht="12.75" hidden="1" customHeight="1" x14ac:dyDescent="0.2"/>
    <row r="10532" ht="12.75" hidden="1" customHeight="1" x14ac:dyDescent="0.2"/>
    <row r="10533" ht="12.75" hidden="1" customHeight="1" x14ac:dyDescent="0.2"/>
    <row r="10534" ht="12.75" hidden="1" customHeight="1" x14ac:dyDescent="0.2"/>
    <row r="10535" ht="12.75" hidden="1" customHeight="1" x14ac:dyDescent="0.2"/>
    <row r="10536" ht="12.75" hidden="1" customHeight="1" x14ac:dyDescent="0.2"/>
    <row r="10537" ht="12.75" hidden="1" customHeight="1" x14ac:dyDescent="0.2"/>
    <row r="10538" ht="12.75" hidden="1" customHeight="1" x14ac:dyDescent="0.2"/>
    <row r="10539" ht="12.75" hidden="1" customHeight="1" x14ac:dyDescent="0.2"/>
    <row r="10540" ht="12.75" hidden="1" customHeight="1" x14ac:dyDescent="0.2"/>
    <row r="10541" ht="12.75" hidden="1" customHeight="1" x14ac:dyDescent="0.2"/>
    <row r="10542" ht="12.75" hidden="1" customHeight="1" x14ac:dyDescent="0.2"/>
    <row r="10543" ht="12.75" hidden="1" customHeight="1" x14ac:dyDescent="0.2"/>
    <row r="10544" ht="12.75" hidden="1" customHeight="1" x14ac:dyDescent="0.2"/>
    <row r="10545" ht="12.75" hidden="1" customHeight="1" x14ac:dyDescent="0.2"/>
    <row r="10546" ht="12.75" hidden="1" customHeight="1" x14ac:dyDescent="0.2"/>
    <row r="10547" ht="12.75" hidden="1" customHeight="1" x14ac:dyDescent="0.2"/>
    <row r="10548" ht="12.75" hidden="1" customHeight="1" x14ac:dyDescent="0.2"/>
    <row r="10549" ht="12.75" hidden="1" customHeight="1" x14ac:dyDescent="0.2"/>
    <row r="10550" ht="12.75" hidden="1" customHeight="1" x14ac:dyDescent="0.2"/>
    <row r="10551" ht="12.75" hidden="1" customHeight="1" x14ac:dyDescent="0.2"/>
    <row r="10552" ht="12.75" hidden="1" customHeight="1" x14ac:dyDescent="0.2"/>
    <row r="10553" ht="12.75" hidden="1" customHeight="1" x14ac:dyDescent="0.2"/>
    <row r="10554" ht="12.75" hidden="1" customHeight="1" x14ac:dyDescent="0.2"/>
    <row r="10555" ht="12.75" hidden="1" customHeight="1" x14ac:dyDescent="0.2"/>
    <row r="10556" ht="12.75" hidden="1" customHeight="1" x14ac:dyDescent="0.2"/>
    <row r="10557" ht="12.75" hidden="1" customHeight="1" x14ac:dyDescent="0.2"/>
    <row r="10558" ht="12.75" hidden="1" customHeight="1" x14ac:dyDescent="0.2"/>
    <row r="10559" ht="12.75" hidden="1" customHeight="1" x14ac:dyDescent="0.2"/>
    <row r="10560" ht="12.75" hidden="1" customHeight="1" x14ac:dyDescent="0.2"/>
    <row r="10561" ht="12.75" hidden="1" customHeight="1" x14ac:dyDescent="0.2"/>
    <row r="10562" ht="12.75" hidden="1" customHeight="1" x14ac:dyDescent="0.2"/>
    <row r="10563" ht="12.75" hidden="1" customHeight="1" x14ac:dyDescent="0.2"/>
    <row r="10564" ht="12.75" hidden="1" customHeight="1" x14ac:dyDescent="0.2"/>
    <row r="10565" ht="12.75" hidden="1" customHeight="1" x14ac:dyDescent="0.2"/>
    <row r="10566" ht="12.75" hidden="1" customHeight="1" x14ac:dyDescent="0.2"/>
    <row r="10567" ht="12.75" hidden="1" customHeight="1" x14ac:dyDescent="0.2"/>
    <row r="10568" ht="12.75" hidden="1" customHeight="1" x14ac:dyDescent="0.2"/>
    <row r="10569" ht="12.75" hidden="1" customHeight="1" x14ac:dyDescent="0.2"/>
    <row r="10570" ht="12.75" hidden="1" customHeight="1" x14ac:dyDescent="0.2"/>
    <row r="10571" ht="12.75" hidden="1" customHeight="1" x14ac:dyDescent="0.2"/>
    <row r="10572" ht="12.75" hidden="1" customHeight="1" x14ac:dyDescent="0.2"/>
    <row r="10573" ht="12.75" hidden="1" customHeight="1" x14ac:dyDescent="0.2"/>
    <row r="10574" ht="12.75" hidden="1" customHeight="1" x14ac:dyDescent="0.2"/>
    <row r="10575" ht="12.75" hidden="1" customHeight="1" x14ac:dyDescent="0.2"/>
    <row r="10576" ht="12.75" hidden="1" customHeight="1" x14ac:dyDescent="0.2"/>
    <row r="10577" ht="12.75" hidden="1" customHeight="1" x14ac:dyDescent="0.2"/>
    <row r="10578" ht="12.75" hidden="1" customHeight="1" x14ac:dyDescent="0.2"/>
    <row r="10579" ht="12.75" hidden="1" customHeight="1" x14ac:dyDescent="0.2"/>
    <row r="10580" ht="12.75" hidden="1" customHeight="1" x14ac:dyDescent="0.2"/>
    <row r="10581" ht="12.75" hidden="1" customHeight="1" x14ac:dyDescent="0.2"/>
    <row r="10582" ht="12.75" hidden="1" customHeight="1" x14ac:dyDescent="0.2"/>
    <row r="10583" ht="12.75" hidden="1" customHeight="1" x14ac:dyDescent="0.2"/>
    <row r="10584" ht="12.75" hidden="1" customHeight="1" x14ac:dyDescent="0.2"/>
    <row r="10585" ht="12.75" hidden="1" customHeight="1" x14ac:dyDescent="0.2"/>
    <row r="10586" ht="12.75" hidden="1" customHeight="1" x14ac:dyDescent="0.2"/>
    <row r="10587" ht="12.75" hidden="1" customHeight="1" x14ac:dyDescent="0.2"/>
    <row r="10588" ht="12.75" hidden="1" customHeight="1" x14ac:dyDescent="0.2"/>
    <row r="10589" ht="12.75" hidden="1" customHeight="1" x14ac:dyDescent="0.2"/>
    <row r="10590" ht="12.75" hidden="1" customHeight="1" x14ac:dyDescent="0.2"/>
    <row r="10591" ht="12.75" hidden="1" customHeight="1" x14ac:dyDescent="0.2"/>
    <row r="10592" ht="12.75" hidden="1" customHeight="1" x14ac:dyDescent="0.2"/>
    <row r="10593" ht="12.75" hidden="1" customHeight="1" x14ac:dyDescent="0.2"/>
    <row r="10594" ht="12.75" hidden="1" customHeight="1" x14ac:dyDescent="0.2"/>
    <row r="10595" ht="12.75" hidden="1" customHeight="1" x14ac:dyDescent="0.2"/>
    <row r="10596" ht="12.75" hidden="1" customHeight="1" x14ac:dyDescent="0.2"/>
    <row r="10597" ht="12.75" hidden="1" customHeight="1" x14ac:dyDescent="0.2"/>
    <row r="10598" ht="12.75" hidden="1" customHeight="1" x14ac:dyDescent="0.2"/>
    <row r="10599" ht="12.75" hidden="1" customHeight="1" x14ac:dyDescent="0.2"/>
    <row r="10600" ht="12.75" hidden="1" customHeight="1" x14ac:dyDescent="0.2"/>
    <row r="10601" ht="12.75" hidden="1" customHeight="1" x14ac:dyDescent="0.2"/>
    <row r="10602" ht="12.75" hidden="1" customHeight="1" x14ac:dyDescent="0.2"/>
    <row r="10603" ht="12.75" hidden="1" customHeight="1" x14ac:dyDescent="0.2"/>
    <row r="10604" ht="12.75" hidden="1" customHeight="1" x14ac:dyDescent="0.2"/>
    <row r="10605" ht="12.75" hidden="1" customHeight="1" x14ac:dyDescent="0.2"/>
    <row r="10606" ht="12.75" hidden="1" customHeight="1" x14ac:dyDescent="0.2"/>
    <row r="10607" ht="12.75" hidden="1" customHeight="1" x14ac:dyDescent="0.2"/>
    <row r="10608" ht="12.75" hidden="1" customHeight="1" x14ac:dyDescent="0.2"/>
    <row r="10609" ht="12.75" hidden="1" customHeight="1" x14ac:dyDescent="0.2"/>
    <row r="10610" ht="12.75" hidden="1" customHeight="1" x14ac:dyDescent="0.2"/>
    <row r="10611" ht="12.75" hidden="1" customHeight="1" x14ac:dyDescent="0.2"/>
    <row r="10612" ht="12.75" hidden="1" customHeight="1" x14ac:dyDescent="0.2"/>
    <row r="10613" ht="12.75" hidden="1" customHeight="1" x14ac:dyDescent="0.2"/>
    <row r="10614" ht="12.75" hidden="1" customHeight="1" x14ac:dyDescent="0.2"/>
    <row r="10615" ht="12.75" hidden="1" customHeight="1" x14ac:dyDescent="0.2"/>
    <row r="10616" ht="12.75" hidden="1" customHeight="1" x14ac:dyDescent="0.2"/>
    <row r="10617" ht="12.75" hidden="1" customHeight="1" x14ac:dyDescent="0.2"/>
    <row r="10618" ht="12.75" hidden="1" customHeight="1" x14ac:dyDescent="0.2"/>
    <row r="10619" ht="12.75" hidden="1" customHeight="1" x14ac:dyDescent="0.2"/>
    <row r="10620" ht="12.75" hidden="1" customHeight="1" x14ac:dyDescent="0.2"/>
    <row r="10621" ht="12.75" hidden="1" customHeight="1" x14ac:dyDescent="0.2"/>
    <row r="10622" ht="12.75" hidden="1" customHeight="1" x14ac:dyDescent="0.2"/>
    <row r="10623" ht="12.75" hidden="1" customHeight="1" x14ac:dyDescent="0.2"/>
    <row r="10624" ht="12.75" hidden="1" customHeight="1" x14ac:dyDescent="0.2"/>
    <row r="10625" ht="12.75" hidden="1" customHeight="1" x14ac:dyDescent="0.2"/>
    <row r="10626" ht="12.75" hidden="1" customHeight="1" x14ac:dyDescent="0.2"/>
    <row r="10627" ht="12.75" hidden="1" customHeight="1" x14ac:dyDescent="0.2"/>
    <row r="10628" ht="12.75" hidden="1" customHeight="1" x14ac:dyDescent="0.2"/>
    <row r="10629" ht="12.75" hidden="1" customHeight="1" x14ac:dyDescent="0.2"/>
    <row r="10630" ht="12.75" hidden="1" customHeight="1" x14ac:dyDescent="0.2"/>
    <row r="10631" ht="12.75" hidden="1" customHeight="1" x14ac:dyDescent="0.2"/>
    <row r="10632" ht="12.75" hidden="1" customHeight="1" x14ac:dyDescent="0.2"/>
    <row r="10633" ht="12.75" hidden="1" customHeight="1" x14ac:dyDescent="0.2"/>
    <row r="10634" ht="12.75" hidden="1" customHeight="1" x14ac:dyDescent="0.2"/>
    <row r="10635" ht="12.75" hidden="1" customHeight="1" x14ac:dyDescent="0.2"/>
    <row r="10636" ht="12.75" hidden="1" customHeight="1" x14ac:dyDescent="0.2"/>
    <row r="10637" ht="12.75" hidden="1" customHeight="1" x14ac:dyDescent="0.2"/>
    <row r="10638" ht="12.75" hidden="1" customHeight="1" x14ac:dyDescent="0.2"/>
    <row r="10639" ht="12.75" hidden="1" customHeight="1" x14ac:dyDescent="0.2"/>
    <row r="10640" ht="12.75" hidden="1" customHeight="1" x14ac:dyDescent="0.2"/>
    <row r="10641" ht="12.75" hidden="1" customHeight="1" x14ac:dyDescent="0.2"/>
    <row r="10642" ht="12.75" hidden="1" customHeight="1" x14ac:dyDescent="0.2"/>
    <row r="10643" ht="12.75" hidden="1" customHeight="1" x14ac:dyDescent="0.2"/>
    <row r="10644" ht="12.75" hidden="1" customHeight="1" x14ac:dyDescent="0.2"/>
    <row r="10645" ht="12.75" hidden="1" customHeight="1" x14ac:dyDescent="0.2"/>
    <row r="10646" ht="12.75" hidden="1" customHeight="1" x14ac:dyDescent="0.2"/>
    <row r="10647" ht="12.75" hidden="1" customHeight="1" x14ac:dyDescent="0.2"/>
    <row r="10648" ht="12.75" hidden="1" customHeight="1" x14ac:dyDescent="0.2"/>
    <row r="10649" ht="12.75" hidden="1" customHeight="1" x14ac:dyDescent="0.2"/>
    <row r="10650" ht="12.75" hidden="1" customHeight="1" x14ac:dyDescent="0.2"/>
    <row r="10651" ht="12.75" hidden="1" customHeight="1" x14ac:dyDescent="0.2"/>
    <row r="10652" ht="12.75" hidden="1" customHeight="1" x14ac:dyDescent="0.2"/>
    <row r="10653" ht="12.75" hidden="1" customHeight="1" x14ac:dyDescent="0.2"/>
    <row r="10654" ht="12.75" hidden="1" customHeight="1" x14ac:dyDescent="0.2"/>
    <row r="10655" ht="12.75" hidden="1" customHeight="1" x14ac:dyDescent="0.2"/>
    <row r="10656" ht="12.75" hidden="1" customHeight="1" x14ac:dyDescent="0.2"/>
    <row r="10657" ht="12.75" hidden="1" customHeight="1" x14ac:dyDescent="0.2"/>
    <row r="10658" ht="12.75" hidden="1" customHeight="1" x14ac:dyDescent="0.2"/>
    <row r="10659" ht="12.75" hidden="1" customHeight="1" x14ac:dyDescent="0.2"/>
    <row r="10660" ht="12.75" hidden="1" customHeight="1" x14ac:dyDescent="0.2"/>
    <row r="10661" ht="12.75" hidden="1" customHeight="1" x14ac:dyDescent="0.2"/>
    <row r="10662" ht="12.75" hidden="1" customHeight="1" x14ac:dyDescent="0.2"/>
    <row r="10663" ht="12.75" hidden="1" customHeight="1" x14ac:dyDescent="0.2"/>
    <row r="10664" ht="12.75" hidden="1" customHeight="1" x14ac:dyDescent="0.2"/>
    <row r="10665" ht="12.75" hidden="1" customHeight="1" x14ac:dyDescent="0.2"/>
    <row r="10666" ht="12.75" hidden="1" customHeight="1" x14ac:dyDescent="0.2"/>
    <row r="10667" ht="12.75" hidden="1" customHeight="1" x14ac:dyDescent="0.2"/>
    <row r="10668" ht="12.75" hidden="1" customHeight="1" x14ac:dyDescent="0.2"/>
    <row r="10669" ht="12.75" hidden="1" customHeight="1" x14ac:dyDescent="0.2"/>
    <row r="10670" ht="12.75" hidden="1" customHeight="1" x14ac:dyDescent="0.2"/>
    <row r="10671" ht="12.75" hidden="1" customHeight="1" x14ac:dyDescent="0.2"/>
    <row r="10672" ht="12.75" hidden="1" customHeight="1" x14ac:dyDescent="0.2"/>
    <row r="10673" ht="12.75" hidden="1" customHeight="1" x14ac:dyDescent="0.2"/>
    <row r="10674" ht="12.75" hidden="1" customHeight="1" x14ac:dyDescent="0.2"/>
    <row r="10675" ht="12.75" hidden="1" customHeight="1" x14ac:dyDescent="0.2"/>
    <row r="10676" ht="12.75" hidden="1" customHeight="1" x14ac:dyDescent="0.2"/>
    <row r="10677" ht="12.75" hidden="1" customHeight="1" x14ac:dyDescent="0.2"/>
    <row r="10678" ht="12.75" hidden="1" customHeight="1" x14ac:dyDescent="0.2"/>
    <row r="10679" ht="12.75" hidden="1" customHeight="1" x14ac:dyDescent="0.2"/>
    <row r="10680" ht="12.75" hidden="1" customHeight="1" x14ac:dyDescent="0.2"/>
    <row r="10681" ht="12.75" hidden="1" customHeight="1" x14ac:dyDescent="0.2"/>
    <row r="10682" ht="12.75" hidden="1" customHeight="1" x14ac:dyDescent="0.2"/>
    <row r="10683" ht="12.75" hidden="1" customHeight="1" x14ac:dyDescent="0.2"/>
    <row r="10684" ht="12.75" hidden="1" customHeight="1" x14ac:dyDescent="0.2"/>
    <row r="10685" ht="12.75" hidden="1" customHeight="1" x14ac:dyDescent="0.2"/>
    <row r="10686" ht="12.75" hidden="1" customHeight="1" x14ac:dyDescent="0.2"/>
    <row r="10687" ht="12.75" hidden="1" customHeight="1" x14ac:dyDescent="0.2"/>
    <row r="10688" ht="12.75" hidden="1" customHeight="1" x14ac:dyDescent="0.2"/>
    <row r="10689" ht="12.75" hidden="1" customHeight="1" x14ac:dyDescent="0.2"/>
    <row r="10690" ht="12.75" hidden="1" customHeight="1" x14ac:dyDescent="0.2"/>
    <row r="10691" ht="12.75" hidden="1" customHeight="1" x14ac:dyDescent="0.2"/>
    <row r="10692" ht="12.75" hidden="1" customHeight="1" x14ac:dyDescent="0.2"/>
    <row r="10693" ht="12.75" hidden="1" customHeight="1" x14ac:dyDescent="0.2"/>
    <row r="10694" ht="12.75" hidden="1" customHeight="1" x14ac:dyDescent="0.2"/>
    <row r="10695" ht="12.75" hidden="1" customHeight="1" x14ac:dyDescent="0.2"/>
    <row r="10696" ht="12.75" hidden="1" customHeight="1" x14ac:dyDescent="0.2"/>
    <row r="10697" ht="12.75" hidden="1" customHeight="1" x14ac:dyDescent="0.2"/>
    <row r="10698" ht="12.75" hidden="1" customHeight="1" x14ac:dyDescent="0.2"/>
    <row r="10699" ht="12.75" hidden="1" customHeight="1" x14ac:dyDescent="0.2"/>
    <row r="10700" ht="12.75" hidden="1" customHeight="1" x14ac:dyDescent="0.2"/>
    <row r="10701" ht="12.75" hidden="1" customHeight="1" x14ac:dyDescent="0.2"/>
    <row r="10702" ht="12.75" hidden="1" customHeight="1" x14ac:dyDescent="0.2"/>
    <row r="10703" ht="12.75" hidden="1" customHeight="1" x14ac:dyDescent="0.2"/>
    <row r="10704" ht="12.75" hidden="1" customHeight="1" x14ac:dyDescent="0.2"/>
    <row r="10705" ht="12.75" hidden="1" customHeight="1" x14ac:dyDescent="0.2"/>
    <row r="10706" ht="12.75" hidden="1" customHeight="1" x14ac:dyDescent="0.2"/>
    <row r="10707" ht="12.75" hidden="1" customHeight="1" x14ac:dyDescent="0.2"/>
    <row r="10708" ht="12.75" hidden="1" customHeight="1" x14ac:dyDescent="0.2"/>
    <row r="10709" ht="12.75" hidden="1" customHeight="1" x14ac:dyDescent="0.2"/>
    <row r="10710" ht="12.75" hidden="1" customHeight="1" x14ac:dyDescent="0.2"/>
    <row r="10711" ht="12.75" hidden="1" customHeight="1" x14ac:dyDescent="0.2"/>
    <row r="10712" ht="12.75" hidden="1" customHeight="1" x14ac:dyDescent="0.2"/>
    <row r="10713" ht="12.75" hidden="1" customHeight="1" x14ac:dyDescent="0.2"/>
    <row r="10714" ht="12.75" hidden="1" customHeight="1" x14ac:dyDescent="0.2"/>
    <row r="10715" ht="12.75" hidden="1" customHeight="1" x14ac:dyDescent="0.2"/>
    <row r="10716" ht="12.75" hidden="1" customHeight="1" x14ac:dyDescent="0.2"/>
    <row r="10717" ht="12.75" hidden="1" customHeight="1" x14ac:dyDescent="0.2"/>
    <row r="10718" ht="12.75" hidden="1" customHeight="1" x14ac:dyDescent="0.2"/>
    <row r="10719" ht="12.75" hidden="1" customHeight="1" x14ac:dyDescent="0.2"/>
    <row r="10720" ht="12.75" hidden="1" customHeight="1" x14ac:dyDescent="0.2"/>
    <row r="10721" ht="12.75" hidden="1" customHeight="1" x14ac:dyDescent="0.2"/>
    <row r="10722" ht="12.75" hidden="1" customHeight="1" x14ac:dyDescent="0.2"/>
    <row r="10723" ht="12.75" hidden="1" customHeight="1" x14ac:dyDescent="0.2"/>
    <row r="10724" ht="12.75" hidden="1" customHeight="1" x14ac:dyDescent="0.2"/>
    <row r="10725" ht="12.75" hidden="1" customHeight="1" x14ac:dyDescent="0.2"/>
    <row r="10726" ht="12.75" hidden="1" customHeight="1" x14ac:dyDescent="0.2"/>
    <row r="10727" ht="12.75" hidden="1" customHeight="1" x14ac:dyDescent="0.2"/>
    <row r="10728" ht="12.75" hidden="1" customHeight="1" x14ac:dyDescent="0.2"/>
    <row r="10729" ht="12.75" hidden="1" customHeight="1" x14ac:dyDescent="0.2"/>
    <row r="10730" ht="12.75" hidden="1" customHeight="1" x14ac:dyDescent="0.2"/>
    <row r="10731" ht="12.75" hidden="1" customHeight="1" x14ac:dyDescent="0.2"/>
    <row r="10732" ht="12.75" hidden="1" customHeight="1" x14ac:dyDescent="0.2"/>
    <row r="10733" ht="12.75" hidden="1" customHeight="1" x14ac:dyDescent="0.2"/>
    <row r="10734" ht="12.75" hidden="1" customHeight="1" x14ac:dyDescent="0.2"/>
    <row r="10735" ht="12.75" hidden="1" customHeight="1" x14ac:dyDescent="0.2"/>
    <row r="10736" ht="12.75" hidden="1" customHeight="1" x14ac:dyDescent="0.2"/>
    <row r="10737" ht="12.75" hidden="1" customHeight="1" x14ac:dyDescent="0.2"/>
    <row r="10738" ht="12.75" hidden="1" customHeight="1" x14ac:dyDescent="0.2"/>
    <row r="10739" ht="12.75" hidden="1" customHeight="1" x14ac:dyDescent="0.2"/>
    <row r="10740" ht="12.75" hidden="1" customHeight="1" x14ac:dyDescent="0.2"/>
    <row r="10741" ht="12.75" hidden="1" customHeight="1" x14ac:dyDescent="0.2"/>
    <row r="10742" ht="12.75" hidden="1" customHeight="1" x14ac:dyDescent="0.2"/>
    <row r="10743" ht="12.75" hidden="1" customHeight="1" x14ac:dyDescent="0.2"/>
    <row r="10744" ht="12.75" hidden="1" customHeight="1" x14ac:dyDescent="0.2"/>
    <row r="10745" ht="12.75" hidden="1" customHeight="1" x14ac:dyDescent="0.2"/>
    <row r="10746" ht="12.75" hidden="1" customHeight="1" x14ac:dyDescent="0.2"/>
    <row r="10747" ht="12.75" hidden="1" customHeight="1" x14ac:dyDescent="0.2"/>
    <row r="10748" ht="12.75" hidden="1" customHeight="1" x14ac:dyDescent="0.2"/>
    <row r="10749" ht="12.75" hidden="1" customHeight="1" x14ac:dyDescent="0.2"/>
    <row r="10750" ht="12.75" hidden="1" customHeight="1" x14ac:dyDescent="0.2"/>
    <row r="10751" ht="12.75" hidden="1" customHeight="1" x14ac:dyDescent="0.2"/>
    <row r="10752" ht="12.75" hidden="1" customHeight="1" x14ac:dyDescent="0.2"/>
    <row r="10753" ht="12.75" hidden="1" customHeight="1" x14ac:dyDescent="0.2"/>
    <row r="10754" ht="12.75" hidden="1" customHeight="1" x14ac:dyDescent="0.2"/>
    <row r="10755" ht="12.75" hidden="1" customHeight="1" x14ac:dyDescent="0.2"/>
    <row r="10756" ht="12.75" hidden="1" customHeight="1" x14ac:dyDescent="0.2"/>
    <row r="10757" ht="12.75" hidden="1" customHeight="1" x14ac:dyDescent="0.2"/>
    <row r="10758" ht="12.75" hidden="1" customHeight="1" x14ac:dyDescent="0.2"/>
    <row r="10759" ht="12.75" hidden="1" customHeight="1" x14ac:dyDescent="0.2"/>
    <row r="10760" ht="12.75" hidden="1" customHeight="1" x14ac:dyDescent="0.2"/>
    <row r="10761" ht="12.75" hidden="1" customHeight="1" x14ac:dyDescent="0.2"/>
    <row r="10762" ht="12.75" hidden="1" customHeight="1" x14ac:dyDescent="0.2"/>
    <row r="10763" ht="12.75" hidden="1" customHeight="1" x14ac:dyDescent="0.2"/>
    <row r="10764" ht="12.75" hidden="1" customHeight="1" x14ac:dyDescent="0.2"/>
    <row r="10765" ht="12.75" hidden="1" customHeight="1" x14ac:dyDescent="0.2"/>
    <row r="10766" ht="12.75" hidden="1" customHeight="1" x14ac:dyDescent="0.2"/>
    <row r="10767" ht="12.75" hidden="1" customHeight="1" x14ac:dyDescent="0.2"/>
    <row r="10768" ht="12.75" hidden="1" customHeight="1" x14ac:dyDescent="0.2"/>
    <row r="10769" ht="12.75" hidden="1" customHeight="1" x14ac:dyDescent="0.2"/>
    <row r="10770" ht="12.75" hidden="1" customHeight="1" x14ac:dyDescent="0.2"/>
    <row r="10771" ht="12.75" hidden="1" customHeight="1" x14ac:dyDescent="0.2"/>
    <row r="10772" ht="12.75" hidden="1" customHeight="1" x14ac:dyDescent="0.2"/>
    <row r="10773" ht="12.75" hidden="1" customHeight="1" x14ac:dyDescent="0.2"/>
    <row r="10774" ht="12.75" hidden="1" customHeight="1" x14ac:dyDescent="0.2"/>
    <row r="10775" ht="12.75" hidden="1" customHeight="1" x14ac:dyDescent="0.2"/>
    <row r="10776" ht="12.75" hidden="1" customHeight="1" x14ac:dyDescent="0.2"/>
    <row r="10777" ht="12.75" hidden="1" customHeight="1" x14ac:dyDescent="0.2"/>
    <row r="10778" ht="12.75" hidden="1" customHeight="1" x14ac:dyDescent="0.2"/>
    <row r="10779" ht="12.75" hidden="1" customHeight="1" x14ac:dyDescent="0.2"/>
    <row r="10780" ht="12.75" hidden="1" customHeight="1" x14ac:dyDescent="0.2"/>
    <row r="10781" ht="12.75" hidden="1" customHeight="1" x14ac:dyDescent="0.2"/>
    <row r="10782" ht="12.75" hidden="1" customHeight="1" x14ac:dyDescent="0.2"/>
    <row r="10783" ht="12.75" hidden="1" customHeight="1" x14ac:dyDescent="0.2"/>
    <row r="10784" ht="12.75" hidden="1" customHeight="1" x14ac:dyDescent="0.2"/>
    <row r="10785" ht="12.75" hidden="1" customHeight="1" x14ac:dyDescent="0.2"/>
    <row r="10786" ht="12.75" hidden="1" customHeight="1" x14ac:dyDescent="0.2"/>
    <row r="10787" ht="12.75" hidden="1" customHeight="1" x14ac:dyDescent="0.2"/>
    <row r="10788" ht="12.75" hidden="1" customHeight="1" x14ac:dyDescent="0.2"/>
    <row r="10789" ht="12.75" hidden="1" customHeight="1" x14ac:dyDescent="0.2"/>
    <row r="10790" ht="12.75" hidden="1" customHeight="1" x14ac:dyDescent="0.2"/>
    <row r="10791" ht="12.75" hidden="1" customHeight="1" x14ac:dyDescent="0.2"/>
    <row r="10792" ht="12.75" hidden="1" customHeight="1" x14ac:dyDescent="0.2"/>
    <row r="10793" ht="12.75" hidden="1" customHeight="1" x14ac:dyDescent="0.2"/>
    <row r="10794" ht="12.75" hidden="1" customHeight="1" x14ac:dyDescent="0.2"/>
    <row r="10795" ht="12.75" hidden="1" customHeight="1" x14ac:dyDescent="0.2"/>
    <row r="10796" ht="12.75" hidden="1" customHeight="1" x14ac:dyDescent="0.2"/>
    <row r="10797" ht="12.75" hidden="1" customHeight="1" x14ac:dyDescent="0.2"/>
    <row r="10798" ht="12.75" hidden="1" customHeight="1" x14ac:dyDescent="0.2"/>
    <row r="10799" ht="12.75" hidden="1" customHeight="1" x14ac:dyDescent="0.2"/>
    <row r="10800" ht="12.75" hidden="1" customHeight="1" x14ac:dyDescent="0.2"/>
    <row r="10801" ht="12.75" hidden="1" customHeight="1" x14ac:dyDescent="0.2"/>
    <row r="10802" ht="12.75" hidden="1" customHeight="1" x14ac:dyDescent="0.2"/>
    <row r="10803" ht="12.75" hidden="1" customHeight="1" x14ac:dyDescent="0.2"/>
    <row r="10804" ht="12.75" hidden="1" customHeight="1" x14ac:dyDescent="0.2"/>
    <row r="10805" ht="12.75" hidden="1" customHeight="1" x14ac:dyDescent="0.2"/>
    <row r="10806" ht="12.75" hidden="1" customHeight="1" x14ac:dyDescent="0.2"/>
    <row r="10807" ht="12.75" hidden="1" customHeight="1" x14ac:dyDescent="0.2"/>
    <row r="10808" ht="12.75" hidden="1" customHeight="1" x14ac:dyDescent="0.2"/>
    <row r="10809" ht="12.75" hidden="1" customHeight="1" x14ac:dyDescent="0.2"/>
    <row r="10810" ht="12.75" hidden="1" customHeight="1" x14ac:dyDescent="0.2"/>
    <row r="10811" ht="12.75" hidden="1" customHeight="1" x14ac:dyDescent="0.2"/>
    <row r="10812" ht="12.75" hidden="1" customHeight="1" x14ac:dyDescent="0.2"/>
    <row r="10813" ht="12.75" hidden="1" customHeight="1" x14ac:dyDescent="0.2"/>
    <row r="10814" ht="12.75" hidden="1" customHeight="1" x14ac:dyDescent="0.2"/>
    <row r="10815" ht="12.75" hidden="1" customHeight="1" x14ac:dyDescent="0.2"/>
    <row r="10816" ht="12.75" hidden="1" customHeight="1" x14ac:dyDescent="0.2"/>
    <row r="10817" ht="12.75" hidden="1" customHeight="1" x14ac:dyDescent="0.2"/>
    <row r="10818" ht="12.75" hidden="1" customHeight="1" x14ac:dyDescent="0.2"/>
    <row r="10819" ht="12.75" hidden="1" customHeight="1" x14ac:dyDescent="0.2"/>
    <row r="10820" ht="12.75" hidden="1" customHeight="1" x14ac:dyDescent="0.2"/>
    <row r="10821" ht="12.75" hidden="1" customHeight="1" x14ac:dyDescent="0.2"/>
    <row r="10822" ht="12.75" hidden="1" customHeight="1" x14ac:dyDescent="0.2"/>
    <row r="10823" ht="12.75" hidden="1" customHeight="1" x14ac:dyDescent="0.2"/>
    <row r="10824" ht="12.75" hidden="1" customHeight="1" x14ac:dyDescent="0.2"/>
    <row r="10825" ht="12.75" hidden="1" customHeight="1" x14ac:dyDescent="0.2"/>
    <row r="10826" ht="12.75" hidden="1" customHeight="1" x14ac:dyDescent="0.2"/>
    <row r="10827" ht="12.75" hidden="1" customHeight="1" x14ac:dyDescent="0.2"/>
    <row r="10828" ht="12.75" hidden="1" customHeight="1" x14ac:dyDescent="0.2"/>
    <row r="10829" ht="12.75" hidden="1" customHeight="1" x14ac:dyDescent="0.2"/>
    <row r="10830" ht="12.75" hidden="1" customHeight="1" x14ac:dyDescent="0.2"/>
    <row r="10831" ht="12.75" hidden="1" customHeight="1" x14ac:dyDescent="0.2"/>
    <row r="10832" ht="12.75" hidden="1" customHeight="1" x14ac:dyDescent="0.2"/>
    <row r="10833" ht="12.75" hidden="1" customHeight="1" x14ac:dyDescent="0.2"/>
    <row r="10834" ht="12.75" hidden="1" customHeight="1" x14ac:dyDescent="0.2"/>
    <row r="10835" ht="12.75" hidden="1" customHeight="1" x14ac:dyDescent="0.2"/>
    <row r="10836" ht="12.75" hidden="1" customHeight="1" x14ac:dyDescent="0.2"/>
    <row r="10837" ht="12.75" hidden="1" customHeight="1" x14ac:dyDescent="0.2"/>
    <row r="10838" ht="12.75" hidden="1" customHeight="1" x14ac:dyDescent="0.2"/>
    <row r="10839" ht="12.75" hidden="1" customHeight="1" x14ac:dyDescent="0.2"/>
    <row r="10840" ht="12.75" hidden="1" customHeight="1" x14ac:dyDescent="0.2"/>
    <row r="10841" ht="12.75" hidden="1" customHeight="1" x14ac:dyDescent="0.2"/>
    <row r="10842" ht="12.75" hidden="1" customHeight="1" x14ac:dyDescent="0.2"/>
    <row r="10843" ht="12.75" hidden="1" customHeight="1" x14ac:dyDescent="0.2"/>
    <row r="10844" ht="12.75" hidden="1" customHeight="1" x14ac:dyDescent="0.2"/>
    <row r="10845" ht="12.75" hidden="1" customHeight="1" x14ac:dyDescent="0.2"/>
    <row r="10846" ht="12.75" hidden="1" customHeight="1" x14ac:dyDescent="0.2"/>
    <row r="10847" ht="12.75" hidden="1" customHeight="1" x14ac:dyDescent="0.2"/>
    <row r="10848" ht="12.75" hidden="1" customHeight="1" x14ac:dyDescent="0.2"/>
    <row r="10849" ht="12.75" hidden="1" customHeight="1" x14ac:dyDescent="0.2"/>
    <row r="10850" ht="12.75" hidden="1" customHeight="1" x14ac:dyDescent="0.2"/>
    <row r="10851" ht="12.75" hidden="1" customHeight="1" x14ac:dyDescent="0.2"/>
    <row r="10852" ht="12.75" hidden="1" customHeight="1" x14ac:dyDescent="0.2"/>
    <row r="10853" ht="12.75" hidden="1" customHeight="1" x14ac:dyDescent="0.2"/>
    <row r="10854" ht="12.75" hidden="1" customHeight="1" x14ac:dyDescent="0.2"/>
    <row r="10855" ht="12.75" hidden="1" customHeight="1" x14ac:dyDescent="0.2"/>
    <row r="10856" ht="12.75" hidden="1" customHeight="1" x14ac:dyDescent="0.2"/>
    <row r="10857" ht="12.75" hidden="1" customHeight="1" x14ac:dyDescent="0.2"/>
    <row r="10858" ht="12.75" hidden="1" customHeight="1" x14ac:dyDescent="0.2"/>
    <row r="10859" ht="12.75" hidden="1" customHeight="1" x14ac:dyDescent="0.2"/>
    <row r="10860" ht="12.75" hidden="1" customHeight="1" x14ac:dyDescent="0.2"/>
    <row r="10861" ht="12.75" hidden="1" customHeight="1" x14ac:dyDescent="0.2"/>
    <row r="10862" ht="12.75" hidden="1" customHeight="1" x14ac:dyDescent="0.2"/>
    <row r="10863" ht="12.75" hidden="1" customHeight="1" x14ac:dyDescent="0.2"/>
    <row r="10864" ht="12.75" hidden="1" customHeight="1" x14ac:dyDescent="0.2"/>
    <row r="10865" ht="12.75" hidden="1" customHeight="1" x14ac:dyDescent="0.2"/>
    <row r="10866" ht="12.75" hidden="1" customHeight="1" x14ac:dyDescent="0.2"/>
    <row r="10867" ht="12.75" hidden="1" customHeight="1" x14ac:dyDescent="0.2"/>
    <row r="10868" ht="12.75" hidden="1" customHeight="1" x14ac:dyDescent="0.2"/>
    <row r="10869" ht="12.75" hidden="1" customHeight="1" x14ac:dyDescent="0.2"/>
    <row r="10870" ht="12.75" hidden="1" customHeight="1" x14ac:dyDescent="0.2"/>
    <row r="10871" ht="12.75" hidden="1" customHeight="1" x14ac:dyDescent="0.2"/>
    <row r="10872" ht="12.75" hidden="1" customHeight="1" x14ac:dyDescent="0.2"/>
    <row r="10873" ht="12.75" hidden="1" customHeight="1" x14ac:dyDescent="0.2"/>
    <row r="10874" ht="12.75" hidden="1" customHeight="1" x14ac:dyDescent="0.2"/>
    <row r="10875" ht="12.75" hidden="1" customHeight="1" x14ac:dyDescent="0.2"/>
    <row r="10876" ht="12.75" hidden="1" customHeight="1" x14ac:dyDescent="0.2"/>
    <row r="10877" ht="12.75" hidden="1" customHeight="1" x14ac:dyDescent="0.2"/>
    <row r="10878" ht="12.75" hidden="1" customHeight="1" x14ac:dyDescent="0.2"/>
    <row r="10879" ht="12.75" hidden="1" customHeight="1" x14ac:dyDescent="0.2"/>
    <row r="10880" ht="12.75" hidden="1" customHeight="1" x14ac:dyDescent="0.2"/>
    <row r="10881" ht="12.75" hidden="1" customHeight="1" x14ac:dyDescent="0.2"/>
    <row r="10882" ht="12.75" hidden="1" customHeight="1" x14ac:dyDescent="0.2"/>
    <row r="10883" ht="12.75" hidden="1" customHeight="1" x14ac:dyDescent="0.2"/>
    <row r="10884" ht="12.75" hidden="1" customHeight="1" x14ac:dyDescent="0.2"/>
    <row r="10885" ht="12.75" hidden="1" customHeight="1" x14ac:dyDescent="0.2"/>
    <row r="10886" ht="12.75" hidden="1" customHeight="1" x14ac:dyDescent="0.2"/>
    <row r="10887" ht="12.75" hidden="1" customHeight="1" x14ac:dyDescent="0.2"/>
    <row r="10888" ht="12.75" hidden="1" customHeight="1" x14ac:dyDescent="0.2"/>
    <row r="10889" ht="12.75" hidden="1" customHeight="1" x14ac:dyDescent="0.2"/>
    <row r="10890" ht="12.75" hidden="1" customHeight="1" x14ac:dyDescent="0.2"/>
    <row r="10891" ht="12.75" hidden="1" customHeight="1" x14ac:dyDescent="0.2"/>
    <row r="10892" ht="12.75" hidden="1" customHeight="1" x14ac:dyDescent="0.2"/>
    <row r="10893" ht="12.75" hidden="1" customHeight="1" x14ac:dyDescent="0.2"/>
    <row r="10894" ht="12.75" hidden="1" customHeight="1" x14ac:dyDescent="0.2"/>
    <row r="10895" ht="12.75" hidden="1" customHeight="1" x14ac:dyDescent="0.2"/>
    <row r="10896" ht="12.75" hidden="1" customHeight="1" x14ac:dyDescent="0.2"/>
    <row r="10897" ht="12.75" hidden="1" customHeight="1" x14ac:dyDescent="0.2"/>
    <row r="10898" ht="12.75" hidden="1" customHeight="1" x14ac:dyDescent="0.2"/>
    <row r="10899" ht="12.75" hidden="1" customHeight="1" x14ac:dyDescent="0.2"/>
    <row r="10900" ht="12.75" hidden="1" customHeight="1" x14ac:dyDescent="0.2"/>
    <row r="10901" ht="12.75" hidden="1" customHeight="1" x14ac:dyDescent="0.2"/>
    <row r="10902" ht="12.75" hidden="1" customHeight="1" x14ac:dyDescent="0.2"/>
    <row r="10903" ht="12.75" hidden="1" customHeight="1" x14ac:dyDescent="0.2"/>
    <row r="10904" ht="12.75" hidden="1" customHeight="1" x14ac:dyDescent="0.2"/>
    <row r="10905" ht="12.75" hidden="1" customHeight="1" x14ac:dyDescent="0.2"/>
    <row r="10906" ht="12.75" hidden="1" customHeight="1" x14ac:dyDescent="0.2"/>
    <row r="10907" ht="12.75" hidden="1" customHeight="1" x14ac:dyDescent="0.2"/>
    <row r="10908" ht="12.75" hidden="1" customHeight="1" x14ac:dyDescent="0.2"/>
    <row r="10909" ht="12.75" hidden="1" customHeight="1" x14ac:dyDescent="0.2"/>
    <row r="10910" ht="12.75" hidden="1" customHeight="1" x14ac:dyDescent="0.2"/>
    <row r="10911" ht="12.75" hidden="1" customHeight="1" x14ac:dyDescent="0.2"/>
    <row r="10912" ht="12.75" hidden="1" customHeight="1" x14ac:dyDescent="0.2"/>
    <row r="10913" ht="12.75" hidden="1" customHeight="1" x14ac:dyDescent="0.2"/>
    <row r="10914" ht="12.75" hidden="1" customHeight="1" x14ac:dyDescent="0.2"/>
    <row r="10915" ht="12.75" hidden="1" customHeight="1" x14ac:dyDescent="0.2"/>
    <row r="10916" ht="12.75" hidden="1" customHeight="1" x14ac:dyDescent="0.2"/>
    <row r="10917" ht="12.75" hidden="1" customHeight="1" x14ac:dyDescent="0.2"/>
    <row r="10918" ht="12.75" hidden="1" customHeight="1" x14ac:dyDescent="0.2"/>
    <row r="10919" ht="12.75" hidden="1" customHeight="1" x14ac:dyDescent="0.2"/>
    <row r="10920" ht="12.75" hidden="1" customHeight="1" x14ac:dyDescent="0.2"/>
    <row r="10921" ht="12.75" hidden="1" customHeight="1" x14ac:dyDescent="0.2"/>
    <row r="10922" ht="12.75" hidden="1" customHeight="1" x14ac:dyDescent="0.2"/>
    <row r="10923" ht="12.75" hidden="1" customHeight="1" x14ac:dyDescent="0.2"/>
    <row r="10924" ht="12.75" hidden="1" customHeight="1" x14ac:dyDescent="0.2"/>
    <row r="10925" ht="12.75" hidden="1" customHeight="1" x14ac:dyDescent="0.2"/>
    <row r="10926" ht="12.75" hidden="1" customHeight="1" x14ac:dyDescent="0.2"/>
    <row r="10927" ht="12.75" hidden="1" customHeight="1" x14ac:dyDescent="0.2"/>
    <row r="10928" ht="12.75" hidden="1" customHeight="1" x14ac:dyDescent="0.2"/>
    <row r="10929" ht="12.75" hidden="1" customHeight="1" x14ac:dyDescent="0.2"/>
    <row r="10930" ht="12.75" hidden="1" customHeight="1" x14ac:dyDescent="0.2"/>
    <row r="10931" ht="12.75" hidden="1" customHeight="1" x14ac:dyDescent="0.2"/>
    <row r="10932" ht="12.75" hidden="1" customHeight="1" x14ac:dyDescent="0.2"/>
    <row r="10933" ht="12.75" hidden="1" customHeight="1" x14ac:dyDescent="0.2"/>
    <row r="10934" ht="12.75" hidden="1" customHeight="1" x14ac:dyDescent="0.2"/>
    <row r="10935" ht="12.75" hidden="1" customHeight="1" x14ac:dyDescent="0.2"/>
    <row r="10936" ht="12.75" hidden="1" customHeight="1" x14ac:dyDescent="0.2"/>
    <row r="10937" ht="12.75" hidden="1" customHeight="1" x14ac:dyDescent="0.2"/>
    <row r="10938" ht="12.75" hidden="1" customHeight="1" x14ac:dyDescent="0.2"/>
    <row r="10939" ht="12.75" hidden="1" customHeight="1" x14ac:dyDescent="0.2"/>
    <row r="10940" ht="12.75" hidden="1" customHeight="1" x14ac:dyDescent="0.2"/>
    <row r="10941" ht="12.75" hidden="1" customHeight="1" x14ac:dyDescent="0.2"/>
    <row r="10942" ht="12.75" hidden="1" customHeight="1" x14ac:dyDescent="0.2"/>
    <row r="10943" ht="12.75" hidden="1" customHeight="1" x14ac:dyDescent="0.2"/>
    <row r="10944" ht="12.75" hidden="1" customHeight="1" x14ac:dyDescent="0.2"/>
    <row r="10945" ht="12.75" hidden="1" customHeight="1" x14ac:dyDescent="0.2"/>
    <row r="10946" ht="12.75" hidden="1" customHeight="1" x14ac:dyDescent="0.2"/>
    <row r="10947" ht="12.75" hidden="1" customHeight="1" x14ac:dyDescent="0.2"/>
    <row r="10948" ht="12.75" hidden="1" customHeight="1" x14ac:dyDescent="0.2"/>
    <row r="10949" ht="12.75" hidden="1" customHeight="1" x14ac:dyDescent="0.2"/>
    <row r="10950" ht="12.75" hidden="1" customHeight="1" x14ac:dyDescent="0.2"/>
    <row r="10951" ht="12.75" hidden="1" customHeight="1" x14ac:dyDescent="0.2"/>
    <row r="10952" ht="12.75" hidden="1" customHeight="1" x14ac:dyDescent="0.2"/>
    <row r="10953" ht="12.75" hidden="1" customHeight="1" x14ac:dyDescent="0.2"/>
    <row r="10954" ht="12.75" hidden="1" customHeight="1" x14ac:dyDescent="0.2"/>
    <row r="10955" ht="12.75" hidden="1" customHeight="1" x14ac:dyDescent="0.2"/>
    <row r="10956" ht="12.75" hidden="1" customHeight="1" x14ac:dyDescent="0.2"/>
    <row r="10957" ht="12.75" hidden="1" customHeight="1" x14ac:dyDescent="0.2"/>
    <row r="10958" ht="12.75" hidden="1" customHeight="1" x14ac:dyDescent="0.2"/>
    <row r="10959" ht="12.75" hidden="1" customHeight="1" x14ac:dyDescent="0.2"/>
    <row r="10960" ht="12.75" hidden="1" customHeight="1" x14ac:dyDescent="0.2"/>
    <row r="10961" ht="12.75" hidden="1" customHeight="1" x14ac:dyDescent="0.2"/>
    <row r="10962" ht="12.75" hidden="1" customHeight="1" x14ac:dyDescent="0.2"/>
    <row r="10963" ht="12.75" hidden="1" customHeight="1" x14ac:dyDescent="0.2"/>
    <row r="10964" ht="12.75" hidden="1" customHeight="1" x14ac:dyDescent="0.2"/>
    <row r="10965" ht="12.75" hidden="1" customHeight="1" x14ac:dyDescent="0.2"/>
    <row r="10966" ht="12.75" hidden="1" customHeight="1" x14ac:dyDescent="0.2"/>
    <row r="10967" ht="12.75" hidden="1" customHeight="1" x14ac:dyDescent="0.2"/>
    <row r="10968" ht="12.75" hidden="1" customHeight="1" x14ac:dyDescent="0.2"/>
    <row r="10969" ht="12.75" hidden="1" customHeight="1" x14ac:dyDescent="0.2"/>
    <row r="10970" ht="12.75" hidden="1" customHeight="1" x14ac:dyDescent="0.2"/>
    <row r="10971" ht="12.75" hidden="1" customHeight="1" x14ac:dyDescent="0.2"/>
    <row r="10972" ht="12.75" hidden="1" customHeight="1" x14ac:dyDescent="0.2"/>
    <row r="10973" ht="12.75" hidden="1" customHeight="1" x14ac:dyDescent="0.2"/>
    <row r="10974" ht="12.75" hidden="1" customHeight="1" x14ac:dyDescent="0.2"/>
    <row r="10975" ht="12.75" hidden="1" customHeight="1" x14ac:dyDescent="0.2"/>
    <row r="10976" ht="12.75" hidden="1" customHeight="1" x14ac:dyDescent="0.2"/>
    <row r="10977" ht="12.75" hidden="1" customHeight="1" x14ac:dyDescent="0.2"/>
    <row r="10978" ht="12.75" hidden="1" customHeight="1" x14ac:dyDescent="0.2"/>
    <row r="10979" ht="12.75" hidden="1" customHeight="1" x14ac:dyDescent="0.2"/>
    <row r="10980" ht="12.75" hidden="1" customHeight="1" x14ac:dyDescent="0.2"/>
    <row r="10981" ht="12.75" hidden="1" customHeight="1" x14ac:dyDescent="0.2"/>
    <row r="10982" ht="12.75" hidden="1" customHeight="1" x14ac:dyDescent="0.2"/>
    <row r="10983" ht="12.75" hidden="1" customHeight="1" x14ac:dyDescent="0.2"/>
    <row r="10984" ht="12.75" hidden="1" customHeight="1" x14ac:dyDescent="0.2"/>
    <row r="10985" ht="12.75" hidden="1" customHeight="1" x14ac:dyDescent="0.2"/>
    <row r="10986" ht="12.75" hidden="1" customHeight="1" x14ac:dyDescent="0.2"/>
    <row r="10987" ht="12.75" hidden="1" customHeight="1" x14ac:dyDescent="0.2"/>
    <row r="10988" ht="12.75" hidden="1" customHeight="1" x14ac:dyDescent="0.2"/>
    <row r="10989" ht="12.75" hidden="1" customHeight="1" x14ac:dyDescent="0.2"/>
    <row r="10990" ht="12.75" hidden="1" customHeight="1" x14ac:dyDescent="0.2"/>
    <row r="10991" ht="12.75" hidden="1" customHeight="1" x14ac:dyDescent="0.2"/>
    <row r="10992" ht="12.75" hidden="1" customHeight="1" x14ac:dyDescent="0.2"/>
    <row r="10993" ht="12.75" hidden="1" customHeight="1" x14ac:dyDescent="0.2"/>
    <row r="10994" ht="12.75" hidden="1" customHeight="1" x14ac:dyDescent="0.2"/>
    <row r="10995" ht="12.75" hidden="1" customHeight="1" x14ac:dyDescent="0.2"/>
    <row r="10996" ht="12.75" hidden="1" customHeight="1" x14ac:dyDescent="0.2"/>
    <row r="10997" ht="12.75" hidden="1" customHeight="1" x14ac:dyDescent="0.2"/>
    <row r="10998" ht="12.75" hidden="1" customHeight="1" x14ac:dyDescent="0.2"/>
    <row r="10999" ht="12.75" hidden="1" customHeight="1" x14ac:dyDescent="0.2"/>
    <row r="11000" ht="12.75" hidden="1" customHeight="1" x14ac:dyDescent="0.2"/>
    <row r="11001" ht="12.75" hidden="1" customHeight="1" x14ac:dyDescent="0.2"/>
    <row r="11002" ht="12.75" hidden="1" customHeight="1" x14ac:dyDescent="0.2"/>
    <row r="11003" ht="12.75" hidden="1" customHeight="1" x14ac:dyDescent="0.2"/>
    <row r="11004" ht="12.75" hidden="1" customHeight="1" x14ac:dyDescent="0.2"/>
    <row r="11005" ht="12.75" hidden="1" customHeight="1" x14ac:dyDescent="0.2"/>
    <row r="11006" ht="12.75" hidden="1" customHeight="1" x14ac:dyDescent="0.2"/>
    <row r="11007" ht="12.75" hidden="1" customHeight="1" x14ac:dyDescent="0.2"/>
    <row r="11008" ht="12.75" hidden="1" customHeight="1" x14ac:dyDescent="0.2"/>
    <row r="11009" ht="12.75" hidden="1" customHeight="1" x14ac:dyDescent="0.2"/>
    <row r="11010" ht="12.75" hidden="1" customHeight="1" x14ac:dyDescent="0.2"/>
    <row r="11011" ht="12.75" hidden="1" customHeight="1" x14ac:dyDescent="0.2"/>
    <row r="11012" ht="12.75" hidden="1" customHeight="1" x14ac:dyDescent="0.2"/>
    <row r="11013" ht="12.75" hidden="1" customHeight="1" x14ac:dyDescent="0.2"/>
    <row r="11014" ht="12.75" hidden="1" customHeight="1" x14ac:dyDescent="0.2"/>
    <row r="11015" ht="12.75" hidden="1" customHeight="1" x14ac:dyDescent="0.2"/>
    <row r="11016" ht="12.75" hidden="1" customHeight="1" x14ac:dyDescent="0.2"/>
    <row r="11017" ht="12.75" hidden="1" customHeight="1" x14ac:dyDescent="0.2"/>
    <row r="11018" ht="12.75" hidden="1" customHeight="1" x14ac:dyDescent="0.2"/>
    <row r="11019" ht="12.75" hidden="1" customHeight="1" x14ac:dyDescent="0.2"/>
    <row r="11020" ht="12.75" hidden="1" customHeight="1" x14ac:dyDescent="0.2"/>
    <row r="11021" ht="12.75" hidden="1" customHeight="1" x14ac:dyDescent="0.2"/>
    <row r="11022" ht="12.75" hidden="1" customHeight="1" x14ac:dyDescent="0.2"/>
    <row r="11023" ht="12.75" hidden="1" customHeight="1" x14ac:dyDescent="0.2"/>
    <row r="11024" ht="12.75" hidden="1" customHeight="1" x14ac:dyDescent="0.2"/>
    <row r="11025" ht="12.75" hidden="1" customHeight="1" x14ac:dyDescent="0.2"/>
    <row r="11026" ht="12.75" hidden="1" customHeight="1" x14ac:dyDescent="0.2"/>
    <row r="11027" ht="12.75" hidden="1" customHeight="1" x14ac:dyDescent="0.2"/>
    <row r="11028" ht="12.75" hidden="1" customHeight="1" x14ac:dyDescent="0.2"/>
    <row r="11029" ht="12.75" hidden="1" customHeight="1" x14ac:dyDescent="0.2"/>
    <row r="11030" ht="12.75" hidden="1" customHeight="1" x14ac:dyDescent="0.2"/>
    <row r="11031" ht="12.75" hidden="1" customHeight="1" x14ac:dyDescent="0.2"/>
    <row r="11032" ht="12.75" hidden="1" customHeight="1" x14ac:dyDescent="0.2"/>
    <row r="11033" ht="12.75" hidden="1" customHeight="1" x14ac:dyDescent="0.2"/>
    <row r="11034" ht="12.75" hidden="1" customHeight="1" x14ac:dyDescent="0.2"/>
    <row r="11035" ht="12.75" hidden="1" customHeight="1" x14ac:dyDescent="0.2"/>
    <row r="11036" ht="12.75" hidden="1" customHeight="1" x14ac:dyDescent="0.2"/>
    <row r="11037" ht="12.75" hidden="1" customHeight="1" x14ac:dyDescent="0.2"/>
    <row r="11038" ht="12.75" hidden="1" customHeight="1" x14ac:dyDescent="0.2"/>
    <row r="11039" ht="12.75" hidden="1" customHeight="1" x14ac:dyDescent="0.2"/>
    <row r="11040" ht="12.75" hidden="1" customHeight="1" x14ac:dyDescent="0.2"/>
    <row r="11041" ht="12.75" hidden="1" customHeight="1" x14ac:dyDescent="0.2"/>
    <row r="11042" ht="12.75" hidden="1" customHeight="1" x14ac:dyDescent="0.2"/>
    <row r="11043" ht="12.75" hidden="1" customHeight="1" x14ac:dyDescent="0.2"/>
    <row r="11044" ht="12.75" hidden="1" customHeight="1" x14ac:dyDescent="0.2"/>
    <row r="11045" ht="12.75" hidden="1" customHeight="1" x14ac:dyDescent="0.2"/>
    <row r="11046" ht="12.75" hidden="1" customHeight="1" x14ac:dyDescent="0.2"/>
    <row r="11047" ht="12.75" hidden="1" customHeight="1" x14ac:dyDescent="0.2"/>
    <row r="11048" ht="12.75" hidden="1" customHeight="1" x14ac:dyDescent="0.2"/>
    <row r="11049" ht="12.75" hidden="1" customHeight="1" x14ac:dyDescent="0.2"/>
    <row r="11050" ht="12.75" hidden="1" customHeight="1" x14ac:dyDescent="0.2"/>
    <row r="11051" ht="12.75" hidden="1" customHeight="1" x14ac:dyDescent="0.2"/>
    <row r="11052" ht="12.75" hidden="1" customHeight="1" x14ac:dyDescent="0.2"/>
    <row r="11053" ht="12.75" hidden="1" customHeight="1" x14ac:dyDescent="0.2"/>
    <row r="11054" ht="12.75" hidden="1" customHeight="1" x14ac:dyDescent="0.2"/>
    <row r="11055" ht="12.75" hidden="1" customHeight="1" x14ac:dyDescent="0.2"/>
    <row r="11056" ht="12.75" hidden="1" customHeight="1" x14ac:dyDescent="0.2"/>
    <row r="11057" ht="12.75" hidden="1" customHeight="1" x14ac:dyDescent="0.2"/>
    <row r="11058" ht="12.75" hidden="1" customHeight="1" x14ac:dyDescent="0.2"/>
    <row r="11059" ht="12.75" hidden="1" customHeight="1" x14ac:dyDescent="0.2"/>
    <row r="11060" ht="12.75" hidden="1" customHeight="1" x14ac:dyDescent="0.2"/>
    <row r="11061" ht="12.75" hidden="1" customHeight="1" x14ac:dyDescent="0.2"/>
    <row r="11062" ht="12.75" hidden="1" customHeight="1" x14ac:dyDescent="0.2"/>
    <row r="11063" ht="12.75" hidden="1" customHeight="1" x14ac:dyDescent="0.2"/>
    <row r="11064" ht="12.75" hidden="1" customHeight="1" x14ac:dyDescent="0.2"/>
    <row r="11065" ht="12.75" hidden="1" customHeight="1" x14ac:dyDescent="0.2"/>
    <row r="11066" ht="12.75" hidden="1" customHeight="1" x14ac:dyDescent="0.2"/>
    <row r="11067" ht="12.75" hidden="1" customHeight="1" x14ac:dyDescent="0.2"/>
    <row r="11068" ht="12.75" hidden="1" customHeight="1" x14ac:dyDescent="0.2"/>
    <row r="11069" ht="12.75" hidden="1" customHeight="1" x14ac:dyDescent="0.2"/>
    <row r="11070" ht="12.75" hidden="1" customHeight="1" x14ac:dyDescent="0.2"/>
    <row r="11071" ht="12.75" hidden="1" customHeight="1" x14ac:dyDescent="0.2"/>
    <row r="11072" ht="12.75" hidden="1" customHeight="1" x14ac:dyDescent="0.2"/>
    <row r="11073" ht="12.75" hidden="1" customHeight="1" x14ac:dyDescent="0.2"/>
    <row r="11074" ht="12.75" hidden="1" customHeight="1" x14ac:dyDescent="0.2"/>
    <row r="11075" ht="12.75" hidden="1" customHeight="1" x14ac:dyDescent="0.2"/>
    <row r="11076" ht="12.75" hidden="1" customHeight="1" x14ac:dyDescent="0.2"/>
    <row r="11077" ht="12.75" hidden="1" customHeight="1" x14ac:dyDescent="0.2"/>
    <row r="11078" ht="12.75" hidden="1" customHeight="1" x14ac:dyDescent="0.2"/>
    <row r="11079" ht="12.75" hidden="1" customHeight="1" x14ac:dyDescent="0.2"/>
    <row r="11080" ht="12.75" hidden="1" customHeight="1" x14ac:dyDescent="0.2"/>
    <row r="11081" ht="12.75" hidden="1" customHeight="1" x14ac:dyDescent="0.2"/>
    <row r="11082" ht="12.75" hidden="1" customHeight="1" x14ac:dyDescent="0.2"/>
    <row r="11083" ht="12.75" hidden="1" customHeight="1" x14ac:dyDescent="0.2"/>
    <row r="11084" ht="12.75" hidden="1" customHeight="1" x14ac:dyDescent="0.2"/>
    <row r="11085" ht="12.75" hidden="1" customHeight="1" x14ac:dyDescent="0.2"/>
    <row r="11086" ht="12.75" hidden="1" customHeight="1" x14ac:dyDescent="0.2"/>
    <row r="11087" ht="12.75" hidden="1" customHeight="1" x14ac:dyDescent="0.2"/>
    <row r="11088" ht="12.75" hidden="1" customHeight="1" x14ac:dyDescent="0.2"/>
    <row r="11089" ht="12.75" hidden="1" customHeight="1" x14ac:dyDescent="0.2"/>
    <row r="11090" ht="12.75" hidden="1" customHeight="1" x14ac:dyDescent="0.2"/>
    <row r="11091" ht="12.75" hidden="1" customHeight="1" x14ac:dyDescent="0.2"/>
    <row r="11092" ht="12.75" hidden="1" customHeight="1" x14ac:dyDescent="0.2"/>
    <row r="11093" ht="12.75" hidden="1" customHeight="1" x14ac:dyDescent="0.2"/>
    <row r="11094" ht="12.75" hidden="1" customHeight="1" x14ac:dyDescent="0.2"/>
    <row r="11095" ht="12.75" hidden="1" customHeight="1" x14ac:dyDescent="0.2"/>
    <row r="11096" ht="12.75" hidden="1" customHeight="1" x14ac:dyDescent="0.2"/>
    <row r="11097" ht="12.75" hidden="1" customHeight="1" x14ac:dyDescent="0.2"/>
    <row r="11098" ht="12.75" hidden="1" customHeight="1" x14ac:dyDescent="0.2"/>
    <row r="11099" ht="12.75" hidden="1" customHeight="1" x14ac:dyDescent="0.2"/>
    <row r="11100" ht="12.75" hidden="1" customHeight="1" x14ac:dyDescent="0.2"/>
    <row r="11101" ht="12.75" hidden="1" customHeight="1" x14ac:dyDescent="0.2"/>
    <row r="11102" ht="12.75" hidden="1" customHeight="1" x14ac:dyDescent="0.2"/>
    <row r="11103" ht="12.75" hidden="1" customHeight="1" x14ac:dyDescent="0.2"/>
    <row r="11104" ht="12.75" hidden="1" customHeight="1" x14ac:dyDescent="0.2"/>
    <row r="11105" ht="12.75" hidden="1" customHeight="1" x14ac:dyDescent="0.2"/>
    <row r="11106" ht="12.75" hidden="1" customHeight="1" x14ac:dyDescent="0.2"/>
    <row r="11107" ht="12.75" hidden="1" customHeight="1" x14ac:dyDescent="0.2"/>
    <row r="11108" ht="12.75" hidden="1" customHeight="1" x14ac:dyDescent="0.2"/>
    <row r="11109" ht="12.75" hidden="1" customHeight="1" x14ac:dyDescent="0.2"/>
    <row r="11110" ht="12.75" hidden="1" customHeight="1" x14ac:dyDescent="0.2"/>
    <row r="11111" ht="12.75" hidden="1" customHeight="1" x14ac:dyDescent="0.2"/>
    <row r="11112" ht="12.75" hidden="1" customHeight="1" x14ac:dyDescent="0.2"/>
    <row r="11113" ht="12.75" hidden="1" customHeight="1" x14ac:dyDescent="0.2"/>
    <row r="11114" ht="12.75" hidden="1" customHeight="1" x14ac:dyDescent="0.2"/>
    <row r="11115" ht="12.75" hidden="1" customHeight="1" x14ac:dyDescent="0.2"/>
    <row r="11116" ht="12.75" hidden="1" customHeight="1" x14ac:dyDescent="0.2"/>
    <row r="11117" ht="12.75" hidden="1" customHeight="1" x14ac:dyDescent="0.2"/>
    <row r="11118" ht="12.75" hidden="1" customHeight="1" x14ac:dyDescent="0.2"/>
    <row r="11119" ht="12.75" hidden="1" customHeight="1" x14ac:dyDescent="0.2"/>
    <row r="11120" ht="12.75" hidden="1" customHeight="1" x14ac:dyDescent="0.2"/>
    <row r="11121" ht="12.75" hidden="1" customHeight="1" x14ac:dyDescent="0.2"/>
    <row r="11122" ht="12.75" hidden="1" customHeight="1" x14ac:dyDescent="0.2"/>
    <row r="11123" ht="12.75" hidden="1" customHeight="1" x14ac:dyDescent="0.2"/>
    <row r="11124" ht="12.75" hidden="1" customHeight="1" x14ac:dyDescent="0.2"/>
    <row r="11125" ht="12.75" hidden="1" customHeight="1" x14ac:dyDescent="0.2"/>
    <row r="11126" ht="12.75" hidden="1" customHeight="1" x14ac:dyDescent="0.2"/>
    <row r="11127" ht="12.75" hidden="1" customHeight="1" x14ac:dyDescent="0.2"/>
    <row r="11128" ht="12.75" hidden="1" customHeight="1" x14ac:dyDescent="0.2"/>
    <row r="11129" ht="12.75" hidden="1" customHeight="1" x14ac:dyDescent="0.2"/>
    <row r="11130" ht="12.75" hidden="1" customHeight="1" x14ac:dyDescent="0.2"/>
    <row r="11131" ht="12.75" hidden="1" customHeight="1" x14ac:dyDescent="0.2"/>
    <row r="11132" ht="12.75" hidden="1" customHeight="1" x14ac:dyDescent="0.2"/>
    <row r="11133" ht="12.75" hidden="1" customHeight="1" x14ac:dyDescent="0.2"/>
    <row r="11134" ht="12.75" hidden="1" customHeight="1" x14ac:dyDescent="0.2"/>
    <row r="11135" ht="12.75" hidden="1" customHeight="1" x14ac:dyDescent="0.2"/>
    <row r="11136" ht="12.75" hidden="1" customHeight="1" x14ac:dyDescent="0.2"/>
    <row r="11137" ht="12.75" hidden="1" customHeight="1" x14ac:dyDescent="0.2"/>
    <row r="11138" ht="12.75" hidden="1" customHeight="1" x14ac:dyDescent="0.2"/>
    <row r="11139" ht="12.75" hidden="1" customHeight="1" x14ac:dyDescent="0.2"/>
    <row r="11140" ht="12.75" hidden="1" customHeight="1" x14ac:dyDescent="0.2"/>
    <row r="11141" ht="12.75" hidden="1" customHeight="1" x14ac:dyDescent="0.2"/>
    <row r="11142" ht="12.75" hidden="1" customHeight="1" x14ac:dyDescent="0.2"/>
    <row r="11143" ht="12.75" hidden="1" customHeight="1" x14ac:dyDescent="0.2"/>
    <row r="11144" ht="12.75" hidden="1" customHeight="1" x14ac:dyDescent="0.2"/>
    <row r="11145" ht="12.75" hidden="1" customHeight="1" x14ac:dyDescent="0.2"/>
    <row r="11146" ht="12.75" hidden="1" customHeight="1" x14ac:dyDescent="0.2"/>
    <row r="11147" ht="12.75" hidden="1" customHeight="1" x14ac:dyDescent="0.2"/>
    <row r="11148" ht="12.75" hidden="1" customHeight="1" x14ac:dyDescent="0.2"/>
    <row r="11149" ht="12.75" hidden="1" customHeight="1" x14ac:dyDescent="0.2"/>
    <row r="11150" ht="12.75" hidden="1" customHeight="1" x14ac:dyDescent="0.2"/>
    <row r="11151" ht="12.75" hidden="1" customHeight="1" x14ac:dyDescent="0.2"/>
    <row r="11152" ht="12.75" hidden="1" customHeight="1" x14ac:dyDescent="0.2"/>
    <row r="11153" ht="12.75" hidden="1" customHeight="1" x14ac:dyDescent="0.2"/>
    <row r="11154" ht="12.75" hidden="1" customHeight="1" x14ac:dyDescent="0.2"/>
    <row r="11155" ht="12.75" hidden="1" customHeight="1" x14ac:dyDescent="0.2"/>
    <row r="11156" ht="12.75" hidden="1" customHeight="1" x14ac:dyDescent="0.2"/>
    <row r="11157" ht="12.75" hidden="1" customHeight="1" x14ac:dyDescent="0.2"/>
    <row r="11158" ht="12.75" hidden="1" customHeight="1" x14ac:dyDescent="0.2"/>
    <row r="11159" ht="12.75" hidden="1" customHeight="1" x14ac:dyDescent="0.2"/>
    <row r="11160" ht="12.75" hidden="1" customHeight="1" x14ac:dyDescent="0.2"/>
    <row r="11161" ht="12.75" hidden="1" customHeight="1" x14ac:dyDescent="0.2"/>
    <row r="11162" ht="12.75" hidden="1" customHeight="1" x14ac:dyDescent="0.2"/>
    <row r="11163" ht="12.75" hidden="1" customHeight="1" x14ac:dyDescent="0.2"/>
    <row r="11164" ht="12.75" hidden="1" customHeight="1" x14ac:dyDescent="0.2"/>
    <row r="11165" ht="12.75" hidden="1" customHeight="1" x14ac:dyDescent="0.2"/>
    <row r="11166" ht="12.75" hidden="1" customHeight="1" x14ac:dyDescent="0.2"/>
    <row r="11167" ht="12.75" hidden="1" customHeight="1" x14ac:dyDescent="0.2"/>
    <row r="11168" ht="12.75" hidden="1" customHeight="1" x14ac:dyDescent="0.2"/>
    <row r="11169" ht="12.75" hidden="1" customHeight="1" x14ac:dyDescent="0.2"/>
    <row r="11170" ht="12.75" hidden="1" customHeight="1" x14ac:dyDescent="0.2"/>
    <row r="11171" ht="12.75" hidden="1" customHeight="1" x14ac:dyDescent="0.2"/>
    <row r="11172" ht="12.75" hidden="1" customHeight="1" x14ac:dyDescent="0.2"/>
    <row r="11173" ht="12.75" hidden="1" customHeight="1" x14ac:dyDescent="0.2"/>
    <row r="11174" ht="12.75" hidden="1" customHeight="1" x14ac:dyDescent="0.2"/>
    <row r="11175" ht="12.75" hidden="1" customHeight="1" x14ac:dyDescent="0.2"/>
    <row r="11176" ht="12.75" hidden="1" customHeight="1" x14ac:dyDescent="0.2"/>
    <row r="11177" ht="12.75" hidden="1" customHeight="1" x14ac:dyDescent="0.2"/>
    <row r="11178" ht="12.75" hidden="1" customHeight="1" x14ac:dyDescent="0.2"/>
    <row r="11179" ht="12.75" hidden="1" customHeight="1" x14ac:dyDescent="0.2"/>
    <row r="11180" ht="12.75" hidden="1" customHeight="1" x14ac:dyDescent="0.2"/>
    <row r="11181" ht="12.75" hidden="1" customHeight="1" x14ac:dyDescent="0.2"/>
    <row r="11182" ht="12.75" hidden="1" customHeight="1" x14ac:dyDescent="0.2"/>
    <row r="11183" ht="12.75" hidden="1" customHeight="1" x14ac:dyDescent="0.2"/>
    <row r="11184" ht="12.75" hidden="1" customHeight="1" x14ac:dyDescent="0.2"/>
    <row r="11185" ht="12.75" hidden="1" customHeight="1" x14ac:dyDescent="0.2"/>
    <row r="11186" ht="12.75" hidden="1" customHeight="1" x14ac:dyDescent="0.2"/>
    <row r="11187" ht="12.75" hidden="1" customHeight="1" x14ac:dyDescent="0.2"/>
    <row r="11188" ht="12.75" hidden="1" customHeight="1" x14ac:dyDescent="0.2"/>
    <row r="11189" ht="12.75" hidden="1" customHeight="1" x14ac:dyDescent="0.2"/>
    <row r="11190" ht="12.75" hidden="1" customHeight="1" x14ac:dyDescent="0.2"/>
    <row r="11191" ht="12.75" hidden="1" customHeight="1" x14ac:dyDescent="0.2"/>
    <row r="11192" ht="12.75" hidden="1" customHeight="1" x14ac:dyDescent="0.2"/>
    <row r="11193" ht="12.75" hidden="1" customHeight="1" x14ac:dyDescent="0.2"/>
    <row r="11194" ht="12.75" hidden="1" customHeight="1" x14ac:dyDescent="0.2"/>
    <row r="11195" ht="12.75" hidden="1" customHeight="1" x14ac:dyDescent="0.2"/>
    <row r="11196" ht="12.75" hidden="1" customHeight="1" x14ac:dyDescent="0.2"/>
    <row r="11197" ht="12.75" hidden="1" customHeight="1" x14ac:dyDescent="0.2"/>
    <row r="11198" ht="12.75" hidden="1" customHeight="1" x14ac:dyDescent="0.2"/>
    <row r="11199" ht="12.75" hidden="1" customHeight="1" x14ac:dyDescent="0.2"/>
    <row r="11200" ht="12.75" hidden="1" customHeight="1" x14ac:dyDescent="0.2"/>
    <row r="11201" ht="12.75" hidden="1" customHeight="1" x14ac:dyDescent="0.2"/>
    <row r="11202" ht="12.75" hidden="1" customHeight="1" x14ac:dyDescent="0.2"/>
    <row r="11203" ht="12.75" hidden="1" customHeight="1" x14ac:dyDescent="0.2"/>
    <row r="11204" ht="12.75" hidden="1" customHeight="1" x14ac:dyDescent="0.2"/>
    <row r="11205" ht="12.75" hidden="1" customHeight="1" x14ac:dyDescent="0.2"/>
    <row r="11206" ht="12.75" hidden="1" customHeight="1" x14ac:dyDescent="0.2"/>
    <row r="11207" ht="12.75" hidden="1" customHeight="1" x14ac:dyDescent="0.2"/>
    <row r="11208" ht="12.75" hidden="1" customHeight="1" x14ac:dyDescent="0.2"/>
    <row r="11209" ht="12.75" hidden="1" customHeight="1" x14ac:dyDescent="0.2"/>
    <row r="11210" ht="12.75" hidden="1" customHeight="1" x14ac:dyDescent="0.2"/>
    <row r="11211" ht="12.75" hidden="1" customHeight="1" x14ac:dyDescent="0.2"/>
    <row r="11212" ht="12.75" hidden="1" customHeight="1" x14ac:dyDescent="0.2"/>
    <row r="11213" ht="12.75" hidden="1" customHeight="1" x14ac:dyDescent="0.2"/>
    <row r="11214" ht="12.75" hidden="1" customHeight="1" x14ac:dyDescent="0.2"/>
    <row r="11215" ht="12.75" hidden="1" customHeight="1" x14ac:dyDescent="0.2"/>
    <row r="11216" ht="12.75" hidden="1" customHeight="1" x14ac:dyDescent="0.2"/>
    <row r="11217" ht="12.75" hidden="1" customHeight="1" x14ac:dyDescent="0.2"/>
    <row r="11218" ht="12.75" hidden="1" customHeight="1" x14ac:dyDescent="0.2"/>
    <row r="11219" ht="12.75" hidden="1" customHeight="1" x14ac:dyDescent="0.2"/>
    <row r="11220" ht="12.75" hidden="1" customHeight="1" x14ac:dyDescent="0.2"/>
    <row r="11221" ht="12.75" hidden="1" customHeight="1" x14ac:dyDescent="0.2"/>
    <row r="11222" ht="12.75" hidden="1" customHeight="1" x14ac:dyDescent="0.2"/>
    <row r="11223" ht="12.75" hidden="1" customHeight="1" x14ac:dyDescent="0.2"/>
    <row r="11224" ht="12.75" hidden="1" customHeight="1" x14ac:dyDescent="0.2"/>
    <row r="11225" ht="12.75" hidden="1" customHeight="1" x14ac:dyDescent="0.2"/>
    <row r="11226" ht="12.75" hidden="1" customHeight="1" x14ac:dyDescent="0.2"/>
    <row r="11227" ht="12.75" hidden="1" customHeight="1" x14ac:dyDescent="0.2"/>
    <row r="11228" ht="12.75" hidden="1" customHeight="1" x14ac:dyDescent="0.2"/>
    <row r="11229" ht="12.75" hidden="1" customHeight="1" x14ac:dyDescent="0.2"/>
    <row r="11230" ht="12.75" hidden="1" customHeight="1" x14ac:dyDescent="0.2"/>
    <row r="11231" ht="12.75" hidden="1" customHeight="1" x14ac:dyDescent="0.2"/>
    <row r="11232" ht="12.75" hidden="1" customHeight="1" x14ac:dyDescent="0.2"/>
    <row r="11233" ht="12.75" hidden="1" customHeight="1" x14ac:dyDescent="0.2"/>
    <row r="11234" ht="12.75" hidden="1" customHeight="1" x14ac:dyDescent="0.2"/>
    <row r="11235" ht="12.75" hidden="1" customHeight="1" x14ac:dyDescent="0.2"/>
    <row r="11236" ht="12.75" hidden="1" customHeight="1" x14ac:dyDescent="0.2"/>
    <row r="11237" ht="12.75" hidden="1" customHeight="1" x14ac:dyDescent="0.2"/>
    <row r="11238" ht="12.75" hidden="1" customHeight="1" x14ac:dyDescent="0.2"/>
    <row r="11239" ht="12.75" hidden="1" customHeight="1" x14ac:dyDescent="0.2"/>
    <row r="11240" ht="12.75" hidden="1" customHeight="1" x14ac:dyDescent="0.2"/>
    <row r="11241" ht="12.75" hidden="1" customHeight="1" x14ac:dyDescent="0.2"/>
    <row r="11242" ht="12.75" hidden="1" customHeight="1" x14ac:dyDescent="0.2"/>
    <row r="11243" ht="12.75" hidden="1" customHeight="1" x14ac:dyDescent="0.2"/>
    <row r="11244" ht="12.75" hidden="1" customHeight="1" x14ac:dyDescent="0.2"/>
    <row r="11245" ht="12.75" hidden="1" customHeight="1" x14ac:dyDescent="0.2"/>
    <row r="11246" ht="12.75" hidden="1" customHeight="1" x14ac:dyDescent="0.2"/>
    <row r="11247" ht="12.75" hidden="1" customHeight="1" x14ac:dyDescent="0.2"/>
    <row r="11248" ht="12.75" hidden="1" customHeight="1" x14ac:dyDescent="0.2"/>
    <row r="11249" ht="12.75" hidden="1" customHeight="1" x14ac:dyDescent="0.2"/>
    <row r="11250" ht="12.75" hidden="1" customHeight="1" x14ac:dyDescent="0.2"/>
    <row r="11251" ht="12.75" hidden="1" customHeight="1" x14ac:dyDescent="0.2"/>
    <row r="11252" ht="12.75" hidden="1" customHeight="1" x14ac:dyDescent="0.2"/>
    <row r="11253" ht="12.75" hidden="1" customHeight="1" x14ac:dyDescent="0.2"/>
    <row r="11254" ht="12.75" hidden="1" customHeight="1" x14ac:dyDescent="0.2"/>
    <row r="11255" ht="12.75" hidden="1" customHeight="1" x14ac:dyDescent="0.2"/>
    <row r="11256" ht="12.75" hidden="1" customHeight="1" x14ac:dyDescent="0.2"/>
    <row r="11257" ht="12.75" hidden="1" customHeight="1" x14ac:dyDescent="0.2"/>
    <row r="11258" ht="12.75" hidden="1" customHeight="1" x14ac:dyDescent="0.2"/>
    <row r="11259" ht="12.75" hidden="1" customHeight="1" x14ac:dyDescent="0.2"/>
    <row r="11260" ht="12.75" hidden="1" customHeight="1" x14ac:dyDescent="0.2"/>
    <row r="11261" ht="12.75" hidden="1" customHeight="1" x14ac:dyDescent="0.2"/>
    <row r="11262" ht="12.75" hidden="1" customHeight="1" x14ac:dyDescent="0.2"/>
    <row r="11263" ht="12.75" hidden="1" customHeight="1" x14ac:dyDescent="0.2"/>
    <row r="11264" ht="12.75" hidden="1" customHeight="1" x14ac:dyDescent="0.2"/>
    <row r="11265" ht="12.75" hidden="1" customHeight="1" x14ac:dyDescent="0.2"/>
    <row r="11266" ht="12.75" hidden="1" customHeight="1" x14ac:dyDescent="0.2"/>
    <row r="11267" ht="12.75" hidden="1" customHeight="1" x14ac:dyDescent="0.2"/>
    <row r="11268" ht="12.75" hidden="1" customHeight="1" x14ac:dyDescent="0.2"/>
    <row r="11269" ht="12.75" hidden="1" customHeight="1" x14ac:dyDescent="0.2"/>
    <row r="11270" ht="12.75" hidden="1" customHeight="1" x14ac:dyDescent="0.2"/>
    <row r="11271" ht="12.75" hidden="1" customHeight="1" x14ac:dyDescent="0.2"/>
    <row r="11272" ht="12.75" hidden="1" customHeight="1" x14ac:dyDescent="0.2"/>
    <row r="11273" ht="12.75" hidden="1" customHeight="1" x14ac:dyDescent="0.2"/>
    <row r="11274" ht="12.75" hidden="1" customHeight="1" x14ac:dyDescent="0.2"/>
    <row r="11275" ht="12.75" hidden="1" customHeight="1" x14ac:dyDescent="0.2"/>
    <row r="11276" ht="12.75" hidden="1" customHeight="1" x14ac:dyDescent="0.2"/>
    <row r="11277" ht="12.75" hidden="1" customHeight="1" x14ac:dyDescent="0.2"/>
    <row r="11278" ht="12.75" hidden="1" customHeight="1" x14ac:dyDescent="0.2"/>
    <row r="11279" ht="12.75" hidden="1" customHeight="1" x14ac:dyDescent="0.2"/>
    <row r="11280" ht="12.75" hidden="1" customHeight="1" x14ac:dyDescent="0.2"/>
    <row r="11281" ht="12.75" hidden="1" customHeight="1" x14ac:dyDescent="0.2"/>
    <row r="11282" ht="12.75" hidden="1" customHeight="1" x14ac:dyDescent="0.2"/>
    <row r="11283" ht="12.75" hidden="1" customHeight="1" x14ac:dyDescent="0.2"/>
    <row r="11284" ht="12.75" hidden="1" customHeight="1" x14ac:dyDescent="0.2"/>
    <row r="11285" ht="12.75" hidden="1" customHeight="1" x14ac:dyDescent="0.2"/>
    <row r="11286" ht="12.75" hidden="1" customHeight="1" x14ac:dyDescent="0.2"/>
    <row r="11287" ht="12.75" hidden="1" customHeight="1" x14ac:dyDescent="0.2"/>
    <row r="11288" ht="12.75" hidden="1" customHeight="1" x14ac:dyDescent="0.2"/>
    <row r="11289" ht="12.75" hidden="1" customHeight="1" x14ac:dyDescent="0.2"/>
    <row r="11290" ht="12.75" hidden="1" customHeight="1" x14ac:dyDescent="0.2"/>
    <row r="11291" ht="12.75" hidden="1" customHeight="1" x14ac:dyDescent="0.2"/>
    <row r="11292" ht="12.75" hidden="1" customHeight="1" x14ac:dyDescent="0.2"/>
    <row r="11293" ht="12.75" hidden="1" customHeight="1" x14ac:dyDescent="0.2"/>
    <row r="11294" ht="12.75" hidden="1" customHeight="1" x14ac:dyDescent="0.2"/>
    <row r="11295" ht="12.75" hidden="1" customHeight="1" x14ac:dyDescent="0.2"/>
    <row r="11296" ht="12.75" hidden="1" customHeight="1" x14ac:dyDescent="0.2"/>
    <row r="11297" ht="12.75" hidden="1" customHeight="1" x14ac:dyDescent="0.2"/>
    <row r="11298" ht="12.75" hidden="1" customHeight="1" x14ac:dyDescent="0.2"/>
    <row r="11299" ht="12.75" hidden="1" customHeight="1" x14ac:dyDescent="0.2"/>
    <row r="11300" ht="12.75" hidden="1" customHeight="1" x14ac:dyDescent="0.2"/>
    <row r="11301" ht="12.75" hidden="1" customHeight="1" x14ac:dyDescent="0.2"/>
    <row r="11302" ht="12.75" hidden="1" customHeight="1" x14ac:dyDescent="0.2"/>
    <row r="11303" ht="12.75" hidden="1" customHeight="1" x14ac:dyDescent="0.2"/>
    <row r="11304" ht="12.75" hidden="1" customHeight="1" x14ac:dyDescent="0.2"/>
    <row r="11305" ht="12.75" hidden="1" customHeight="1" x14ac:dyDescent="0.2"/>
    <row r="11306" ht="12.75" hidden="1" customHeight="1" x14ac:dyDescent="0.2"/>
    <row r="11307" ht="12.75" hidden="1" customHeight="1" x14ac:dyDescent="0.2"/>
    <row r="11308" ht="12.75" hidden="1" customHeight="1" x14ac:dyDescent="0.2"/>
    <row r="11309" ht="12.75" hidden="1" customHeight="1" x14ac:dyDescent="0.2"/>
    <row r="11310" ht="12.75" hidden="1" customHeight="1" x14ac:dyDescent="0.2"/>
    <row r="11311" ht="12.75" hidden="1" customHeight="1" x14ac:dyDescent="0.2"/>
    <row r="11312" ht="12.75" hidden="1" customHeight="1" x14ac:dyDescent="0.2"/>
    <row r="11313" ht="12.75" hidden="1" customHeight="1" x14ac:dyDescent="0.2"/>
    <row r="11314" ht="12.75" hidden="1" customHeight="1" x14ac:dyDescent="0.2"/>
    <row r="11315" ht="12.75" hidden="1" customHeight="1" x14ac:dyDescent="0.2"/>
    <row r="11316" ht="12.75" hidden="1" customHeight="1" x14ac:dyDescent="0.2"/>
    <row r="11317" ht="12.75" hidden="1" customHeight="1" x14ac:dyDescent="0.2"/>
    <row r="11318" ht="12.75" hidden="1" customHeight="1" x14ac:dyDescent="0.2"/>
    <row r="11319" ht="12.75" hidden="1" customHeight="1" x14ac:dyDescent="0.2"/>
    <row r="11320" ht="12.75" hidden="1" customHeight="1" x14ac:dyDescent="0.2"/>
    <row r="11321" ht="12.75" hidden="1" customHeight="1" x14ac:dyDescent="0.2"/>
    <row r="11322" ht="12.75" hidden="1" customHeight="1" x14ac:dyDescent="0.2"/>
    <row r="11323" ht="12.75" hidden="1" customHeight="1" x14ac:dyDescent="0.2"/>
    <row r="11324" ht="12.75" hidden="1" customHeight="1" x14ac:dyDescent="0.2"/>
    <row r="11325" ht="12.75" hidden="1" customHeight="1" x14ac:dyDescent="0.2"/>
    <row r="11326" ht="12.75" hidden="1" customHeight="1" x14ac:dyDescent="0.2"/>
    <row r="11327" ht="12.75" hidden="1" customHeight="1" x14ac:dyDescent="0.2"/>
    <row r="11328" ht="12.75" hidden="1" customHeight="1" x14ac:dyDescent="0.2"/>
    <row r="11329" ht="12.75" hidden="1" customHeight="1" x14ac:dyDescent="0.2"/>
    <row r="11330" ht="12.75" hidden="1" customHeight="1" x14ac:dyDescent="0.2"/>
    <row r="11331" ht="12.75" hidden="1" customHeight="1" x14ac:dyDescent="0.2"/>
    <row r="11332" ht="12.75" hidden="1" customHeight="1" x14ac:dyDescent="0.2"/>
    <row r="11333" ht="12.75" hidden="1" customHeight="1" x14ac:dyDescent="0.2"/>
    <row r="11334" ht="12.75" hidden="1" customHeight="1" x14ac:dyDescent="0.2"/>
    <row r="11335" ht="12.75" hidden="1" customHeight="1" x14ac:dyDescent="0.2"/>
    <row r="11336" ht="12.75" hidden="1" customHeight="1" x14ac:dyDescent="0.2"/>
    <row r="11337" ht="12.75" hidden="1" customHeight="1" x14ac:dyDescent="0.2"/>
    <row r="11338" ht="12.75" hidden="1" customHeight="1" x14ac:dyDescent="0.2"/>
    <row r="11339" ht="12.75" hidden="1" customHeight="1" x14ac:dyDescent="0.2"/>
    <row r="11340" ht="12.75" hidden="1" customHeight="1" x14ac:dyDescent="0.2"/>
    <row r="11341" ht="12.75" hidden="1" customHeight="1" x14ac:dyDescent="0.2"/>
    <row r="11342" ht="12.75" hidden="1" customHeight="1" x14ac:dyDescent="0.2"/>
    <row r="11343" ht="12.75" hidden="1" customHeight="1" x14ac:dyDescent="0.2"/>
    <row r="11344" ht="12.75" hidden="1" customHeight="1" x14ac:dyDescent="0.2"/>
    <row r="11345" ht="12.75" hidden="1" customHeight="1" x14ac:dyDescent="0.2"/>
    <row r="11346" ht="12.75" hidden="1" customHeight="1" x14ac:dyDescent="0.2"/>
    <row r="11347" ht="12.75" hidden="1" customHeight="1" x14ac:dyDescent="0.2"/>
    <row r="11348" ht="12.75" hidden="1" customHeight="1" x14ac:dyDescent="0.2"/>
    <row r="11349" ht="12.75" hidden="1" customHeight="1" x14ac:dyDescent="0.2"/>
    <row r="11350" ht="12.75" hidden="1" customHeight="1" x14ac:dyDescent="0.2"/>
    <row r="11351" ht="12.75" hidden="1" customHeight="1" x14ac:dyDescent="0.2"/>
    <row r="11352" ht="12.75" hidden="1" customHeight="1" x14ac:dyDescent="0.2"/>
    <row r="11353" ht="12.75" hidden="1" customHeight="1" x14ac:dyDescent="0.2"/>
    <row r="11354" ht="12.75" hidden="1" customHeight="1" x14ac:dyDescent="0.2"/>
    <row r="11355" ht="12.75" hidden="1" customHeight="1" x14ac:dyDescent="0.2"/>
    <row r="11356" ht="12.75" hidden="1" customHeight="1" x14ac:dyDescent="0.2"/>
    <row r="11357" ht="12.75" hidden="1" customHeight="1" x14ac:dyDescent="0.2"/>
    <row r="11358" ht="12.75" hidden="1" customHeight="1" x14ac:dyDescent="0.2"/>
    <row r="11359" ht="12.75" hidden="1" customHeight="1" x14ac:dyDescent="0.2"/>
    <row r="11360" ht="12.75" hidden="1" customHeight="1" x14ac:dyDescent="0.2"/>
    <row r="11361" ht="12.75" hidden="1" customHeight="1" x14ac:dyDescent="0.2"/>
    <row r="11362" ht="12.75" hidden="1" customHeight="1" x14ac:dyDescent="0.2"/>
    <row r="11363" ht="12.75" hidden="1" customHeight="1" x14ac:dyDescent="0.2"/>
    <row r="11364" ht="12.75" hidden="1" customHeight="1" x14ac:dyDescent="0.2"/>
    <row r="11365" ht="12.75" hidden="1" customHeight="1" x14ac:dyDescent="0.2"/>
    <row r="11366" ht="12.75" hidden="1" customHeight="1" x14ac:dyDescent="0.2"/>
    <row r="11367" ht="12.75" hidden="1" customHeight="1" x14ac:dyDescent="0.2"/>
    <row r="11368" ht="12.75" hidden="1" customHeight="1" x14ac:dyDescent="0.2"/>
    <row r="11369" ht="12.75" hidden="1" customHeight="1" x14ac:dyDescent="0.2"/>
    <row r="11370" ht="12.75" hidden="1" customHeight="1" x14ac:dyDescent="0.2"/>
    <row r="11371" ht="12.75" hidden="1" customHeight="1" x14ac:dyDescent="0.2"/>
    <row r="11372" ht="12.75" hidden="1" customHeight="1" x14ac:dyDescent="0.2"/>
    <row r="11373" ht="12.75" hidden="1" customHeight="1" x14ac:dyDescent="0.2"/>
    <row r="11374" ht="12.75" hidden="1" customHeight="1" x14ac:dyDescent="0.2"/>
    <row r="11375" ht="12.75" hidden="1" customHeight="1" x14ac:dyDescent="0.2"/>
    <row r="11376" ht="12.75" hidden="1" customHeight="1" x14ac:dyDescent="0.2"/>
    <row r="11377" ht="12.75" hidden="1" customHeight="1" x14ac:dyDescent="0.2"/>
    <row r="11378" ht="12.75" hidden="1" customHeight="1" x14ac:dyDescent="0.2"/>
    <row r="11379" ht="12.75" hidden="1" customHeight="1" x14ac:dyDescent="0.2"/>
    <row r="11380" ht="12.75" hidden="1" customHeight="1" x14ac:dyDescent="0.2"/>
    <row r="11381" ht="12.75" hidden="1" customHeight="1" x14ac:dyDescent="0.2"/>
    <row r="11382" ht="12.75" hidden="1" customHeight="1" x14ac:dyDescent="0.2"/>
    <row r="11383" ht="12.75" hidden="1" customHeight="1" x14ac:dyDescent="0.2"/>
    <row r="11384" ht="12.75" hidden="1" customHeight="1" x14ac:dyDescent="0.2"/>
    <row r="11385" ht="12.75" hidden="1" customHeight="1" x14ac:dyDescent="0.2"/>
    <row r="11386" ht="12.75" hidden="1" customHeight="1" x14ac:dyDescent="0.2"/>
    <row r="11387" ht="12.75" hidden="1" customHeight="1" x14ac:dyDescent="0.2"/>
    <row r="11388" ht="12.75" hidden="1" customHeight="1" x14ac:dyDescent="0.2"/>
    <row r="11389" ht="12.75" hidden="1" customHeight="1" x14ac:dyDescent="0.2"/>
    <row r="11390" ht="12.75" hidden="1" customHeight="1" x14ac:dyDescent="0.2"/>
    <row r="11391" ht="12.75" hidden="1" customHeight="1" x14ac:dyDescent="0.2"/>
    <row r="11392" ht="12.75" hidden="1" customHeight="1" x14ac:dyDescent="0.2"/>
    <row r="11393" ht="12.75" hidden="1" customHeight="1" x14ac:dyDescent="0.2"/>
    <row r="11394" ht="12.75" hidden="1" customHeight="1" x14ac:dyDescent="0.2"/>
    <row r="11395" ht="12.75" hidden="1" customHeight="1" x14ac:dyDescent="0.2"/>
    <row r="11396" ht="12.75" hidden="1" customHeight="1" x14ac:dyDescent="0.2"/>
    <row r="11397" ht="12.75" hidden="1" customHeight="1" x14ac:dyDescent="0.2"/>
    <row r="11398" ht="12.75" hidden="1" customHeight="1" x14ac:dyDescent="0.2"/>
    <row r="11399" ht="12.75" hidden="1" customHeight="1" x14ac:dyDescent="0.2"/>
    <row r="11400" ht="12.75" hidden="1" customHeight="1" x14ac:dyDescent="0.2"/>
    <row r="11401" ht="12.75" hidden="1" customHeight="1" x14ac:dyDescent="0.2"/>
    <row r="11402" ht="12.75" hidden="1" customHeight="1" x14ac:dyDescent="0.2"/>
    <row r="11403" ht="12.75" hidden="1" customHeight="1" x14ac:dyDescent="0.2"/>
    <row r="11404" ht="12.75" hidden="1" customHeight="1" x14ac:dyDescent="0.2"/>
    <row r="11405" ht="12.75" hidden="1" customHeight="1" x14ac:dyDescent="0.2"/>
    <row r="11406" ht="12.75" hidden="1" customHeight="1" x14ac:dyDescent="0.2"/>
    <row r="11407" ht="12.75" hidden="1" customHeight="1" x14ac:dyDescent="0.2"/>
    <row r="11408" ht="12.75" hidden="1" customHeight="1" x14ac:dyDescent="0.2"/>
    <row r="11409" ht="12.75" hidden="1" customHeight="1" x14ac:dyDescent="0.2"/>
    <row r="11410" ht="12.75" hidden="1" customHeight="1" x14ac:dyDescent="0.2"/>
    <row r="11411" ht="12.75" hidden="1" customHeight="1" x14ac:dyDescent="0.2"/>
    <row r="11412" ht="12.75" hidden="1" customHeight="1" x14ac:dyDescent="0.2"/>
    <row r="11413" ht="12.75" hidden="1" customHeight="1" x14ac:dyDescent="0.2"/>
    <row r="11414" ht="12.75" hidden="1" customHeight="1" x14ac:dyDescent="0.2"/>
    <row r="11415" ht="12.75" hidden="1" customHeight="1" x14ac:dyDescent="0.2"/>
    <row r="11416" ht="12.75" hidden="1" customHeight="1" x14ac:dyDescent="0.2"/>
    <row r="11417" ht="12.75" hidden="1" customHeight="1" x14ac:dyDescent="0.2"/>
    <row r="11418" ht="12.75" hidden="1" customHeight="1" x14ac:dyDescent="0.2"/>
    <row r="11419" ht="12.75" hidden="1" customHeight="1" x14ac:dyDescent="0.2"/>
    <row r="11420" ht="12.75" hidden="1" customHeight="1" x14ac:dyDescent="0.2"/>
    <row r="11421" ht="12.75" hidden="1" customHeight="1" x14ac:dyDescent="0.2"/>
    <row r="11422" ht="12.75" hidden="1" customHeight="1" x14ac:dyDescent="0.2"/>
    <row r="11423" ht="12.75" hidden="1" customHeight="1" x14ac:dyDescent="0.2"/>
    <row r="11424" ht="12.75" hidden="1" customHeight="1" x14ac:dyDescent="0.2"/>
    <row r="11425" ht="12.75" hidden="1" customHeight="1" x14ac:dyDescent="0.2"/>
    <row r="11426" ht="12.75" hidden="1" customHeight="1" x14ac:dyDescent="0.2"/>
    <row r="11427" ht="12.75" hidden="1" customHeight="1" x14ac:dyDescent="0.2"/>
    <row r="11428" ht="12.75" hidden="1" customHeight="1" x14ac:dyDescent="0.2"/>
    <row r="11429" ht="12.75" hidden="1" customHeight="1" x14ac:dyDescent="0.2"/>
    <row r="11430" ht="12.75" hidden="1" customHeight="1" x14ac:dyDescent="0.2"/>
    <row r="11431" ht="12.75" hidden="1" customHeight="1" x14ac:dyDescent="0.2"/>
    <row r="11432" ht="12.75" hidden="1" customHeight="1" x14ac:dyDescent="0.2"/>
    <row r="11433" ht="12.75" hidden="1" customHeight="1" x14ac:dyDescent="0.2"/>
    <row r="11434" ht="12.75" hidden="1" customHeight="1" x14ac:dyDescent="0.2"/>
    <row r="11435" ht="12.75" hidden="1" customHeight="1" x14ac:dyDescent="0.2"/>
    <row r="11436" ht="12.75" hidden="1" customHeight="1" x14ac:dyDescent="0.2"/>
    <row r="11437" ht="12.75" hidden="1" customHeight="1" x14ac:dyDescent="0.2"/>
    <row r="11438" ht="12.75" hidden="1" customHeight="1" x14ac:dyDescent="0.2"/>
    <row r="11439" ht="12.75" hidden="1" customHeight="1" x14ac:dyDescent="0.2"/>
    <row r="11440" ht="12.75" hidden="1" customHeight="1" x14ac:dyDescent="0.2"/>
    <row r="11441" ht="12.75" hidden="1" customHeight="1" x14ac:dyDescent="0.2"/>
    <row r="11442" ht="12.75" hidden="1" customHeight="1" x14ac:dyDescent="0.2"/>
    <row r="11443" ht="12.75" hidden="1" customHeight="1" x14ac:dyDescent="0.2"/>
    <row r="11444" ht="12.75" hidden="1" customHeight="1" x14ac:dyDescent="0.2"/>
    <row r="11445" ht="12.75" hidden="1" customHeight="1" x14ac:dyDescent="0.2"/>
    <row r="11446" ht="12.75" hidden="1" customHeight="1" x14ac:dyDescent="0.2"/>
    <row r="11447" ht="12.75" hidden="1" customHeight="1" x14ac:dyDescent="0.2"/>
    <row r="11448" ht="12.75" hidden="1" customHeight="1" x14ac:dyDescent="0.2"/>
    <row r="11449" ht="12.75" hidden="1" customHeight="1" x14ac:dyDescent="0.2"/>
    <row r="11450" ht="12.75" hidden="1" customHeight="1" x14ac:dyDescent="0.2"/>
    <row r="11451" ht="12.75" hidden="1" customHeight="1" x14ac:dyDescent="0.2"/>
    <row r="11452" ht="12.75" hidden="1" customHeight="1" x14ac:dyDescent="0.2"/>
    <row r="11453" ht="12.75" hidden="1" customHeight="1" x14ac:dyDescent="0.2"/>
    <row r="11454" ht="12.75" hidden="1" customHeight="1" x14ac:dyDescent="0.2"/>
    <row r="11455" ht="12.75" hidden="1" customHeight="1" x14ac:dyDescent="0.2"/>
    <row r="11456" ht="12.75" hidden="1" customHeight="1" x14ac:dyDescent="0.2"/>
    <row r="11457" ht="12.75" hidden="1" customHeight="1" x14ac:dyDescent="0.2"/>
    <row r="11458" ht="12.75" hidden="1" customHeight="1" x14ac:dyDescent="0.2"/>
    <row r="11459" ht="12.75" hidden="1" customHeight="1" x14ac:dyDescent="0.2"/>
    <row r="11460" ht="12.75" hidden="1" customHeight="1" x14ac:dyDescent="0.2"/>
    <row r="11461" ht="12.75" hidden="1" customHeight="1" x14ac:dyDescent="0.2"/>
    <row r="11462" ht="12.75" hidden="1" customHeight="1" x14ac:dyDescent="0.2"/>
    <row r="11463" ht="12.75" hidden="1" customHeight="1" x14ac:dyDescent="0.2"/>
    <row r="11464" ht="12.75" hidden="1" customHeight="1" x14ac:dyDescent="0.2"/>
    <row r="11465" ht="12.75" hidden="1" customHeight="1" x14ac:dyDescent="0.2"/>
    <row r="11466" ht="12.75" hidden="1" customHeight="1" x14ac:dyDescent="0.2"/>
    <row r="11467" ht="12.75" hidden="1" customHeight="1" x14ac:dyDescent="0.2"/>
    <row r="11468" ht="12.75" hidden="1" customHeight="1" x14ac:dyDescent="0.2"/>
    <row r="11469" ht="12.75" hidden="1" customHeight="1" x14ac:dyDescent="0.2"/>
    <row r="11470" ht="12.75" hidden="1" customHeight="1" x14ac:dyDescent="0.2"/>
    <row r="11471" ht="12.75" hidden="1" customHeight="1" x14ac:dyDescent="0.2"/>
    <row r="11472" ht="12.75" hidden="1" customHeight="1" x14ac:dyDescent="0.2"/>
    <row r="11473" ht="12.75" hidden="1" customHeight="1" x14ac:dyDescent="0.2"/>
    <row r="11474" ht="12.75" hidden="1" customHeight="1" x14ac:dyDescent="0.2"/>
    <row r="11475" ht="12.75" hidden="1" customHeight="1" x14ac:dyDescent="0.2"/>
    <row r="11476" ht="12.75" hidden="1" customHeight="1" x14ac:dyDescent="0.2"/>
    <row r="11477" ht="12.75" hidden="1" customHeight="1" x14ac:dyDescent="0.2"/>
    <row r="11478" ht="12.75" hidden="1" customHeight="1" x14ac:dyDescent="0.2"/>
    <row r="11479" ht="12.75" hidden="1" customHeight="1" x14ac:dyDescent="0.2"/>
    <row r="11480" ht="12.75" hidden="1" customHeight="1" x14ac:dyDescent="0.2"/>
    <row r="11481" ht="12.75" hidden="1" customHeight="1" x14ac:dyDescent="0.2"/>
    <row r="11482" ht="12.75" hidden="1" customHeight="1" x14ac:dyDescent="0.2"/>
    <row r="11483" ht="12.75" hidden="1" customHeight="1" x14ac:dyDescent="0.2"/>
    <row r="11484" ht="12.75" hidden="1" customHeight="1" x14ac:dyDescent="0.2"/>
    <row r="11485" ht="12.75" hidden="1" customHeight="1" x14ac:dyDescent="0.2"/>
    <row r="11486" ht="12.75" hidden="1" customHeight="1" x14ac:dyDescent="0.2"/>
    <row r="11487" ht="12.75" hidden="1" customHeight="1" x14ac:dyDescent="0.2"/>
    <row r="11488" ht="12.75" hidden="1" customHeight="1" x14ac:dyDescent="0.2"/>
    <row r="11489" ht="12.75" hidden="1" customHeight="1" x14ac:dyDescent="0.2"/>
    <row r="11490" ht="12.75" hidden="1" customHeight="1" x14ac:dyDescent="0.2"/>
    <row r="11491" ht="12.75" hidden="1" customHeight="1" x14ac:dyDescent="0.2"/>
    <row r="11492" ht="12.75" hidden="1" customHeight="1" x14ac:dyDescent="0.2"/>
    <row r="11493" ht="12.75" hidden="1" customHeight="1" x14ac:dyDescent="0.2"/>
    <row r="11494" ht="12.75" hidden="1" customHeight="1" x14ac:dyDescent="0.2"/>
    <row r="11495" ht="12.75" hidden="1" customHeight="1" x14ac:dyDescent="0.2"/>
    <row r="11496" ht="12.75" hidden="1" customHeight="1" x14ac:dyDescent="0.2"/>
    <row r="11497" ht="12.75" hidden="1" customHeight="1" x14ac:dyDescent="0.2"/>
    <row r="11498" ht="12.75" hidden="1" customHeight="1" x14ac:dyDescent="0.2"/>
    <row r="11499" ht="12.75" hidden="1" customHeight="1" x14ac:dyDescent="0.2"/>
    <row r="11500" ht="12.75" hidden="1" customHeight="1" x14ac:dyDescent="0.2"/>
    <row r="11501" ht="12.75" hidden="1" customHeight="1" x14ac:dyDescent="0.2"/>
    <row r="11502" ht="12.75" hidden="1" customHeight="1" x14ac:dyDescent="0.2"/>
    <row r="11503" ht="12.75" hidden="1" customHeight="1" x14ac:dyDescent="0.2"/>
    <row r="11504" ht="12.75" hidden="1" customHeight="1" x14ac:dyDescent="0.2"/>
    <row r="11505" ht="12.75" hidden="1" customHeight="1" x14ac:dyDescent="0.2"/>
    <row r="11506" ht="12.75" hidden="1" customHeight="1" x14ac:dyDescent="0.2"/>
    <row r="11507" ht="12.75" hidden="1" customHeight="1" x14ac:dyDescent="0.2"/>
    <row r="11508" ht="12.75" hidden="1" customHeight="1" x14ac:dyDescent="0.2"/>
    <row r="11509" ht="12.75" hidden="1" customHeight="1" x14ac:dyDescent="0.2"/>
    <row r="11510" ht="12.75" hidden="1" customHeight="1" x14ac:dyDescent="0.2"/>
    <row r="11511" ht="12.75" hidden="1" customHeight="1" x14ac:dyDescent="0.2"/>
    <row r="11512" ht="12.75" hidden="1" customHeight="1" x14ac:dyDescent="0.2"/>
    <row r="11513" ht="12.75" hidden="1" customHeight="1" x14ac:dyDescent="0.2"/>
    <row r="11514" ht="12.75" hidden="1" customHeight="1" x14ac:dyDescent="0.2"/>
    <row r="11515" ht="12.75" hidden="1" customHeight="1" x14ac:dyDescent="0.2"/>
    <row r="11516" ht="12.75" hidden="1" customHeight="1" x14ac:dyDescent="0.2"/>
    <row r="11517" ht="12.75" hidden="1" customHeight="1" x14ac:dyDescent="0.2"/>
    <row r="11518" ht="12.75" hidden="1" customHeight="1" x14ac:dyDescent="0.2"/>
    <row r="11519" ht="12.75" hidden="1" customHeight="1" x14ac:dyDescent="0.2"/>
    <row r="11520" ht="12.75" hidden="1" customHeight="1" x14ac:dyDescent="0.2"/>
    <row r="11521" ht="12.75" hidden="1" customHeight="1" x14ac:dyDescent="0.2"/>
    <row r="11522" ht="12.75" hidden="1" customHeight="1" x14ac:dyDescent="0.2"/>
    <row r="11523" ht="12.75" hidden="1" customHeight="1" x14ac:dyDescent="0.2"/>
    <row r="11524" ht="12.75" hidden="1" customHeight="1" x14ac:dyDescent="0.2"/>
    <row r="11525" ht="12.75" hidden="1" customHeight="1" x14ac:dyDescent="0.2"/>
    <row r="11526" ht="12.75" hidden="1" customHeight="1" x14ac:dyDescent="0.2"/>
    <row r="11527" ht="12.75" hidden="1" customHeight="1" x14ac:dyDescent="0.2"/>
    <row r="11528" ht="12.75" hidden="1" customHeight="1" x14ac:dyDescent="0.2"/>
    <row r="11529" ht="12.75" hidden="1" customHeight="1" x14ac:dyDescent="0.2"/>
    <row r="11530" ht="12.75" hidden="1" customHeight="1" x14ac:dyDescent="0.2"/>
    <row r="11531" ht="12.75" hidden="1" customHeight="1" x14ac:dyDescent="0.2"/>
    <row r="11532" ht="12.75" hidden="1" customHeight="1" x14ac:dyDescent="0.2"/>
    <row r="11533" ht="12.75" hidden="1" customHeight="1" x14ac:dyDescent="0.2"/>
    <row r="11534" ht="12.75" hidden="1" customHeight="1" x14ac:dyDescent="0.2"/>
    <row r="11535" ht="12.75" hidden="1" customHeight="1" x14ac:dyDescent="0.2"/>
    <row r="11536" ht="12.75" hidden="1" customHeight="1" x14ac:dyDescent="0.2"/>
    <row r="11537" ht="12.75" hidden="1" customHeight="1" x14ac:dyDescent="0.2"/>
    <row r="11538" ht="12.75" hidden="1" customHeight="1" x14ac:dyDescent="0.2"/>
    <row r="11539" ht="12.75" hidden="1" customHeight="1" x14ac:dyDescent="0.2"/>
    <row r="11540" ht="12.75" hidden="1" customHeight="1" x14ac:dyDescent="0.2"/>
    <row r="11541" ht="12.75" hidden="1" customHeight="1" x14ac:dyDescent="0.2"/>
    <row r="11542" ht="12.75" hidden="1" customHeight="1" x14ac:dyDescent="0.2"/>
    <row r="11543" ht="12.75" hidden="1" customHeight="1" x14ac:dyDescent="0.2"/>
    <row r="11544" ht="12.75" hidden="1" customHeight="1" x14ac:dyDescent="0.2"/>
    <row r="11545" ht="12.75" hidden="1" customHeight="1" x14ac:dyDescent="0.2"/>
    <row r="11546" ht="12.75" hidden="1" customHeight="1" x14ac:dyDescent="0.2"/>
    <row r="11547" ht="12.75" hidden="1" customHeight="1" x14ac:dyDescent="0.2"/>
    <row r="11548" ht="12.75" hidden="1" customHeight="1" x14ac:dyDescent="0.2"/>
    <row r="11549" ht="12.75" hidden="1" customHeight="1" x14ac:dyDescent="0.2"/>
    <row r="11550" ht="12.75" hidden="1" customHeight="1" x14ac:dyDescent="0.2"/>
    <row r="11551" ht="12.75" hidden="1" customHeight="1" x14ac:dyDescent="0.2"/>
    <row r="11552" ht="12.75" hidden="1" customHeight="1" x14ac:dyDescent="0.2"/>
    <row r="11553" ht="12.75" hidden="1" customHeight="1" x14ac:dyDescent="0.2"/>
    <row r="11554" ht="12.75" hidden="1" customHeight="1" x14ac:dyDescent="0.2"/>
    <row r="11555" ht="12.75" hidden="1" customHeight="1" x14ac:dyDescent="0.2"/>
    <row r="11556" ht="12.75" hidden="1" customHeight="1" x14ac:dyDescent="0.2"/>
    <row r="11557" ht="12.75" hidden="1" customHeight="1" x14ac:dyDescent="0.2"/>
    <row r="11558" ht="12.75" hidden="1" customHeight="1" x14ac:dyDescent="0.2"/>
    <row r="11559" ht="12.75" hidden="1" customHeight="1" x14ac:dyDescent="0.2"/>
    <row r="11560" ht="12.75" hidden="1" customHeight="1" x14ac:dyDescent="0.2"/>
    <row r="11561" ht="12.75" hidden="1" customHeight="1" x14ac:dyDescent="0.2"/>
    <row r="11562" ht="12.75" hidden="1" customHeight="1" x14ac:dyDescent="0.2"/>
    <row r="11563" ht="12.75" hidden="1" customHeight="1" x14ac:dyDescent="0.2"/>
    <row r="11564" ht="12.75" hidden="1" customHeight="1" x14ac:dyDescent="0.2"/>
    <row r="11565" ht="12.75" hidden="1" customHeight="1" x14ac:dyDescent="0.2"/>
    <row r="11566" ht="12.75" hidden="1" customHeight="1" x14ac:dyDescent="0.2"/>
    <row r="11567" ht="12.75" hidden="1" customHeight="1" x14ac:dyDescent="0.2"/>
    <row r="11568" ht="12.75" hidden="1" customHeight="1" x14ac:dyDescent="0.2"/>
    <row r="11569" ht="12.75" hidden="1" customHeight="1" x14ac:dyDescent="0.2"/>
    <row r="11570" ht="12.75" hidden="1" customHeight="1" x14ac:dyDescent="0.2"/>
    <row r="11571" ht="12.75" hidden="1" customHeight="1" x14ac:dyDescent="0.2"/>
    <row r="11572" ht="12.75" hidden="1" customHeight="1" x14ac:dyDescent="0.2"/>
    <row r="11573" ht="12.75" hidden="1" customHeight="1" x14ac:dyDescent="0.2"/>
    <row r="11574" ht="12.75" hidden="1" customHeight="1" x14ac:dyDescent="0.2"/>
    <row r="11575" ht="12.75" hidden="1" customHeight="1" x14ac:dyDescent="0.2"/>
    <row r="11576" ht="12.75" hidden="1" customHeight="1" x14ac:dyDescent="0.2"/>
    <row r="11577" ht="12.75" hidden="1" customHeight="1" x14ac:dyDescent="0.2"/>
    <row r="11578" ht="12.75" hidden="1" customHeight="1" x14ac:dyDescent="0.2"/>
    <row r="11579" ht="12.75" hidden="1" customHeight="1" x14ac:dyDescent="0.2"/>
    <row r="11580" ht="12.75" hidden="1" customHeight="1" x14ac:dyDescent="0.2"/>
    <row r="11581" ht="12.75" hidden="1" customHeight="1" x14ac:dyDescent="0.2"/>
    <row r="11582" ht="12.75" hidden="1" customHeight="1" x14ac:dyDescent="0.2"/>
    <row r="11583" ht="12.75" hidden="1" customHeight="1" x14ac:dyDescent="0.2"/>
    <row r="11584" ht="12.75" hidden="1" customHeight="1" x14ac:dyDescent="0.2"/>
    <row r="11585" ht="12.75" hidden="1" customHeight="1" x14ac:dyDescent="0.2"/>
    <row r="11586" ht="12.75" hidden="1" customHeight="1" x14ac:dyDescent="0.2"/>
    <row r="11587" ht="12.75" hidden="1" customHeight="1" x14ac:dyDescent="0.2"/>
    <row r="11588" ht="12.75" hidden="1" customHeight="1" x14ac:dyDescent="0.2"/>
    <row r="11589" ht="12.75" hidden="1" customHeight="1" x14ac:dyDescent="0.2"/>
    <row r="11590" ht="12.75" hidden="1" customHeight="1" x14ac:dyDescent="0.2"/>
    <row r="11591" ht="12.75" hidden="1" customHeight="1" x14ac:dyDescent="0.2"/>
    <row r="11592" ht="12.75" hidden="1" customHeight="1" x14ac:dyDescent="0.2"/>
    <row r="11593" ht="12.75" hidden="1" customHeight="1" x14ac:dyDescent="0.2"/>
    <row r="11594" ht="12.75" hidden="1" customHeight="1" x14ac:dyDescent="0.2"/>
    <row r="11595" ht="12.75" hidden="1" customHeight="1" x14ac:dyDescent="0.2"/>
    <row r="11596" ht="12.75" hidden="1" customHeight="1" x14ac:dyDescent="0.2"/>
    <row r="11597" ht="12.75" hidden="1" customHeight="1" x14ac:dyDescent="0.2"/>
    <row r="11598" ht="12.75" hidden="1" customHeight="1" x14ac:dyDescent="0.2"/>
    <row r="11599" ht="12.75" hidden="1" customHeight="1" x14ac:dyDescent="0.2"/>
    <row r="11600" ht="12.75" hidden="1" customHeight="1" x14ac:dyDescent="0.2"/>
    <row r="11601" ht="12.75" hidden="1" customHeight="1" x14ac:dyDescent="0.2"/>
    <row r="11602" ht="12.75" hidden="1" customHeight="1" x14ac:dyDescent="0.2"/>
    <row r="11603" ht="12.75" hidden="1" customHeight="1" x14ac:dyDescent="0.2"/>
    <row r="11604" ht="12.75" hidden="1" customHeight="1" x14ac:dyDescent="0.2"/>
    <row r="11605" ht="12.75" hidden="1" customHeight="1" x14ac:dyDescent="0.2"/>
    <row r="11606" ht="12.75" hidden="1" customHeight="1" x14ac:dyDescent="0.2"/>
    <row r="11607" ht="12.75" hidden="1" customHeight="1" x14ac:dyDescent="0.2"/>
    <row r="11608" ht="12.75" hidden="1" customHeight="1" x14ac:dyDescent="0.2"/>
    <row r="11609" ht="12.75" hidden="1" customHeight="1" x14ac:dyDescent="0.2"/>
    <row r="11610" ht="12.75" hidden="1" customHeight="1" x14ac:dyDescent="0.2"/>
    <row r="11611" ht="12.75" hidden="1" customHeight="1" x14ac:dyDescent="0.2"/>
    <row r="11612" ht="12.75" hidden="1" customHeight="1" x14ac:dyDescent="0.2"/>
    <row r="11613" ht="12.75" hidden="1" customHeight="1" x14ac:dyDescent="0.2"/>
    <row r="11614" ht="12.75" hidden="1" customHeight="1" x14ac:dyDescent="0.2"/>
    <row r="11615" ht="12.75" hidden="1" customHeight="1" x14ac:dyDescent="0.2"/>
    <row r="11616" ht="12.75" hidden="1" customHeight="1" x14ac:dyDescent="0.2"/>
    <row r="11617" ht="12.75" hidden="1" customHeight="1" x14ac:dyDescent="0.2"/>
    <row r="11618" ht="12.75" hidden="1" customHeight="1" x14ac:dyDescent="0.2"/>
    <row r="11619" ht="12.75" hidden="1" customHeight="1" x14ac:dyDescent="0.2"/>
    <row r="11620" ht="12.75" hidden="1" customHeight="1" x14ac:dyDescent="0.2"/>
    <row r="11621" ht="12.75" hidden="1" customHeight="1" x14ac:dyDescent="0.2"/>
    <row r="11622" ht="12.75" hidden="1" customHeight="1" x14ac:dyDescent="0.2"/>
    <row r="11623" ht="12.75" hidden="1" customHeight="1" x14ac:dyDescent="0.2"/>
    <row r="11624" ht="12.75" hidden="1" customHeight="1" x14ac:dyDescent="0.2"/>
    <row r="11625" ht="12.75" hidden="1" customHeight="1" x14ac:dyDescent="0.2"/>
    <row r="11626" ht="12.75" hidden="1" customHeight="1" x14ac:dyDescent="0.2"/>
    <row r="11627" ht="12.75" hidden="1" customHeight="1" x14ac:dyDescent="0.2"/>
    <row r="11628" ht="12.75" hidden="1" customHeight="1" x14ac:dyDescent="0.2"/>
    <row r="11629" ht="12.75" hidden="1" customHeight="1" x14ac:dyDescent="0.2"/>
    <row r="11630" ht="12.75" hidden="1" customHeight="1" x14ac:dyDescent="0.2"/>
    <row r="11631" ht="12.75" hidden="1" customHeight="1" x14ac:dyDescent="0.2"/>
    <row r="11632" ht="12.75" hidden="1" customHeight="1" x14ac:dyDescent="0.2"/>
    <row r="11633" ht="12.75" hidden="1" customHeight="1" x14ac:dyDescent="0.2"/>
    <row r="11634" ht="12.75" hidden="1" customHeight="1" x14ac:dyDescent="0.2"/>
    <row r="11635" ht="12.75" hidden="1" customHeight="1" x14ac:dyDescent="0.2"/>
    <row r="11636" ht="12.75" hidden="1" customHeight="1" x14ac:dyDescent="0.2"/>
    <row r="11637" ht="12.75" hidden="1" customHeight="1" x14ac:dyDescent="0.2"/>
    <row r="11638" ht="12.75" hidden="1" customHeight="1" x14ac:dyDescent="0.2"/>
    <row r="11639" ht="12.75" hidden="1" customHeight="1" x14ac:dyDescent="0.2"/>
    <row r="11640" ht="12.75" hidden="1" customHeight="1" x14ac:dyDescent="0.2"/>
    <row r="11641" ht="12.75" hidden="1" customHeight="1" x14ac:dyDescent="0.2"/>
    <row r="11642" ht="12.75" hidden="1" customHeight="1" x14ac:dyDescent="0.2"/>
    <row r="11643" ht="12.75" hidden="1" customHeight="1" x14ac:dyDescent="0.2"/>
    <row r="11644" ht="12.75" hidden="1" customHeight="1" x14ac:dyDescent="0.2"/>
    <row r="11645" ht="12.75" hidden="1" customHeight="1" x14ac:dyDescent="0.2"/>
    <row r="11646" ht="12.75" hidden="1" customHeight="1" x14ac:dyDescent="0.2"/>
    <row r="11647" ht="12.75" hidden="1" customHeight="1" x14ac:dyDescent="0.2"/>
    <row r="11648" ht="12.75" hidden="1" customHeight="1" x14ac:dyDescent="0.2"/>
    <row r="11649" ht="12.75" hidden="1" customHeight="1" x14ac:dyDescent="0.2"/>
    <row r="11650" ht="12.75" hidden="1" customHeight="1" x14ac:dyDescent="0.2"/>
    <row r="11651" ht="12.75" hidden="1" customHeight="1" x14ac:dyDescent="0.2"/>
    <row r="11652" ht="12.75" hidden="1" customHeight="1" x14ac:dyDescent="0.2"/>
    <row r="11653" ht="12.75" hidden="1" customHeight="1" x14ac:dyDescent="0.2"/>
    <row r="11654" ht="12.75" hidden="1" customHeight="1" x14ac:dyDescent="0.2"/>
    <row r="11655" ht="12.75" hidden="1" customHeight="1" x14ac:dyDescent="0.2"/>
    <row r="11656" ht="12.75" hidden="1" customHeight="1" x14ac:dyDescent="0.2"/>
    <row r="11657" ht="12.75" hidden="1" customHeight="1" x14ac:dyDescent="0.2"/>
    <row r="11658" ht="12.75" hidden="1" customHeight="1" x14ac:dyDescent="0.2"/>
    <row r="11659" ht="12.75" hidden="1" customHeight="1" x14ac:dyDescent="0.2"/>
    <row r="11660" ht="12.75" hidden="1" customHeight="1" x14ac:dyDescent="0.2"/>
    <row r="11661" ht="12.75" hidden="1" customHeight="1" x14ac:dyDescent="0.2"/>
    <row r="11662" ht="12.75" hidden="1" customHeight="1" x14ac:dyDescent="0.2"/>
    <row r="11663" ht="12.75" hidden="1" customHeight="1" x14ac:dyDescent="0.2"/>
    <row r="11664" ht="12.75" hidden="1" customHeight="1" x14ac:dyDescent="0.2"/>
    <row r="11665" ht="12.75" hidden="1" customHeight="1" x14ac:dyDescent="0.2"/>
    <row r="11666" ht="12.75" hidden="1" customHeight="1" x14ac:dyDescent="0.2"/>
    <row r="11667" ht="12.75" hidden="1" customHeight="1" x14ac:dyDescent="0.2"/>
    <row r="11668" ht="12.75" hidden="1" customHeight="1" x14ac:dyDescent="0.2"/>
    <row r="11669" ht="12.75" hidden="1" customHeight="1" x14ac:dyDescent="0.2"/>
    <row r="11670" ht="12.75" hidden="1" customHeight="1" x14ac:dyDescent="0.2"/>
    <row r="11671" ht="12.75" hidden="1" customHeight="1" x14ac:dyDescent="0.2"/>
    <row r="11672" ht="12.75" hidden="1" customHeight="1" x14ac:dyDescent="0.2"/>
    <row r="11673" ht="12.75" hidden="1" customHeight="1" x14ac:dyDescent="0.2"/>
    <row r="11674" ht="12.75" hidden="1" customHeight="1" x14ac:dyDescent="0.2"/>
    <row r="11675" ht="12.75" hidden="1" customHeight="1" x14ac:dyDescent="0.2"/>
    <row r="11676" ht="12.75" hidden="1" customHeight="1" x14ac:dyDescent="0.2"/>
    <row r="11677" ht="12.75" hidden="1" customHeight="1" x14ac:dyDescent="0.2"/>
    <row r="11678" ht="12.75" hidden="1" customHeight="1" x14ac:dyDescent="0.2"/>
    <row r="11679" ht="12.75" hidden="1" customHeight="1" x14ac:dyDescent="0.2"/>
    <row r="11680" ht="12.75" hidden="1" customHeight="1" x14ac:dyDescent="0.2"/>
    <row r="11681" ht="12.75" hidden="1" customHeight="1" x14ac:dyDescent="0.2"/>
    <row r="11682" ht="12.75" hidden="1" customHeight="1" x14ac:dyDescent="0.2"/>
    <row r="11683" ht="12.75" hidden="1" customHeight="1" x14ac:dyDescent="0.2"/>
    <row r="11684" ht="12.75" hidden="1" customHeight="1" x14ac:dyDescent="0.2"/>
    <row r="11685" ht="12.75" hidden="1" customHeight="1" x14ac:dyDescent="0.2"/>
    <row r="11686" ht="12.75" hidden="1" customHeight="1" x14ac:dyDescent="0.2"/>
    <row r="11687" ht="12.75" hidden="1" customHeight="1" x14ac:dyDescent="0.2"/>
    <row r="11688" ht="12.75" hidden="1" customHeight="1" x14ac:dyDescent="0.2"/>
    <row r="11689" ht="12.75" hidden="1" customHeight="1" x14ac:dyDescent="0.2"/>
    <row r="11690" ht="12.75" hidden="1" customHeight="1" x14ac:dyDescent="0.2"/>
    <row r="11691" ht="12.75" hidden="1" customHeight="1" x14ac:dyDescent="0.2"/>
    <row r="11692" ht="12.75" hidden="1" customHeight="1" x14ac:dyDescent="0.2"/>
    <row r="11693" ht="12.75" hidden="1" customHeight="1" x14ac:dyDescent="0.2"/>
    <row r="11694" ht="12.75" hidden="1" customHeight="1" x14ac:dyDescent="0.2"/>
    <row r="11695" ht="12.75" hidden="1" customHeight="1" x14ac:dyDescent="0.2"/>
    <row r="11696" ht="12.75" hidden="1" customHeight="1" x14ac:dyDescent="0.2"/>
    <row r="11697" ht="12.75" hidden="1" customHeight="1" x14ac:dyDescent="0.2"/>
    <row r="11698" ht="12.75" hidden="1" customHeight="1" x14ac:dyDescent="0.2"/>
    <row r="11699" ht="12.75" hidden="1" customHeight="1" x14ac:dyDescent="0.2"/>
    <row r="11700" ht="12.75" hidden="1" customHeight="1" x14ac:dyDescent="0.2"/>
    <row r="11701" ht="12.75" hidden="1" customHeight="1" x14ac:dyDescent="0.2"/>
    <row r="11702" ht="12.75" hidden="1" customHeight="1" x14ac:dyDescent="0.2"/>
    <row r="11703" ht="12.75" hidden="1" customHeight="1" x14ac:dyDescent="0.2"/>
    <row r="11704" ht="12.75" hidden="1" customHeight="1" x14ac:dyDescent="0.2"/>
    <row r="11705" ht="12.75" hidden="1" customHeight="1" x14ac:dyDescent="0.2"/>
    <row r="11706" ht="12.75" hidden="1" customHeight="1" x14ac:dyDescent="0.2"/>
    <row r="11707" ht="12.75" hidden="1" customHeight="1" x14ac:dyDescent="0.2"/>
    <row r="11708" ht="12.75" hidden="1" customHeight="1" x14ac:dyDescent="0.2"/>
    <row r="11709" ht="12.75" hidden="1" customHeight="1" x14ac:dyDescent="0.2"/>
    <row r="11710" ht="12.75" hidden="1" customHeight="1" x14ac:dyDescent="0.2"/>
    <row r="11711" ht="12.75" hidden="1" customHeight="1" x14ac:dyDescent="0.2"/>
    <row r="11712" ht="12.75" hidden="1" customHeight="1" x14ac:dyDescent="0.2"/>
    <row r="11713" ht="12.75" hidden="1" customHeight="1" x14ac:dyDescent="0.2"/>
    <row r="11714" ht="12.75" hidden="1" customHeight="1" x14ac:dyDescent="0.2"/>
    <row r="11715" ht="12.75" hidden="1" customHeight="1" x14ac:dyDescent="0.2"/>
    <row r="11716" ht="12.75" hidden="1" customHeight="1" x14ac:dyDescent="0.2"/>
    <row r="11717" ht="12.75" hidden="1" customHeight="1" x14ac:dyDescent="0.2"/>
    <row r="11718" ht="12.75" hidden="1" customHeight="1" x14ac:dyDescent="0.2"/>
    <row r="11719" ht="12.75" hidden="1" customHeight="1" x14ac:dyDescent="0.2"/>
    <row r="11720" ht="12.75" hidden="1" customHeight="1" x14ac:dyDescent="0.2"/>
    <row r="11721" ht="12.75" hidden="1" customHeight="1" x14ac:dyDescent="0.2"/>
    <row r="11722" ht="12.75" hidden="1" customHeight="1" x14ac:dyDescent="0.2"/>
    <row r="11723" ht="12.75" hidden="1" customHeight="1" x14ac:dyDescent="0.2"/>
    <row r="11724" ht="12.75" hidden="1" customHeight="1" x14ac:dyDescent="0.2"/>
    <row r="11725" ht="12.75" hidden="1" customHeight="1" x14ac:dyDescent="0.2"/>
    <row r="11726" ht="12.75" hidden="1" customHeight="1" x14ac:dyDescent="0.2"/>
    <row r="11727" ht="12.75" hidden="1" customHeight="1" x14ac:dyDescent="0.2"/>
    <row r="11728" ht="12.75" hidden="1" customHeight="1" x14ac:dyDescent="0.2"/>
    <row r="11729" ht="12.75" hidden="1" customHeight="1" x14ac:dyDescent="0.2"/>
    <row r="11730" ht="12.75" hidden="1" customHeight="1" x14ac:dyDescent="0.2"/>
    <row r="11731" ht="12.75" hidden="1" customHeight="1" x14ac:dyDescent="0.2"/>
    <row r="11732" ht="12.75" hidden="1" customHeight="1" x14ac:dyDescent="0.2"/>
    <row r="11733" ht="12.75" hidden="1" customHeight="1" x14ac:dyDescent="0.2"/>
    <row r="11734" ht="12.75" hidden="1" customHeight="1" x14ac:dyDescent="0.2"/>
    <row r="11735" ht="12.75" hidden="1" customHeight="1" x14ac:dyDescent="0.2"/>
    <row r="11736" ht="12.75" hidden="1" customHeight="1" x14ac:dyDescent="0.2"/>
    <row r="11737" ht="12.75" hidden="1" customHeight="1" x14ac:dyDescent="0.2"/>
    <row r="11738" ht="12.75" hidden="1" customHeight="1" x14ac:dyDescent="0.2"/>
    <row r="11739" ht="12.75" hidden="1" customHeight="1" x14ac:dyDescent="0.2"/>
    <row r="11740" ht="12.75" hidden="1" customHeight="1" x14ac:dyDescent="0.2"/>
    <row r="11741" ht="12.75" hidden="1" customHeight="1" x14ac:dyDescent="0.2"/>
    <row r="11742" ht="12.75" hidden="1" customHeight="1" x14ac:dyDescent="0.2"/>
    <row r="11743" ht="12.75" hidden="1" customHeight="1" x14ac:dyDescent="0.2"/>
    <row r="11744" ht="12.75" hidden="1" customHeight="1" x14ac:dyDescent="0.2"/>
    <row r="11745" ht="12.75" hidden="1" customHeight="1" x14ac:dyDescent="0.2"/>
    <row r="11746" ht="12.75" hidden="1" customHeight="1" x14ac:dyDescent="0.2"/>
    <row r="11747" ht="12.75" hidden="1" customHeight="1" x14ac:dyDescent="0.2"/>
    <row r="11748" ht="12.75" hidden="1" customHeight="1" x14ac:dyDescent="0.2"/>
    <row r="11749" ht="12.75" hidden="1" customHeight="1" x14ac:dyDescent="0.2"/>
    <row r="11750" ht="12.75" hidden="1" customHeight="1" x14ac:dyDescent="0.2"/>
    <row r="11751" ht="12.75" hidden="1" customHeight="1" x14ac:dyDescent="0.2"/>
    <row r="11752" ht="12.75" hidden="1" customHeight="1" x14ac:dyDescent="0.2"/>
    <row r="11753" ht="12.75" hidden="1" customHeight="1" x14ac:dyDescent="0.2"/>
    <row r="11754" ht="12.75" hidden="1" customHeight="1" x14ac:dyDescent="0.2"/>
    <row r="11755" ht="12.75" hidden="1" customHeight="1" x14ac:dyDescent="0.2"/>
    <row r="11756" ht="12.75" hidden="1" customHeight="1" x14ac:dyDescent="0.2"/>
    <row r="11757" ht="12.75" hidden="1" customHeight="1" x14ac:dyDescent="0.2"/>
    <row r="11758" ht="12.75" hidden="1" customHeight="1" x14ac:dyDescent="0.2"/>
    <row r="11759" ht="12.75" hidden="1" customHeight="1" x14ac:dyDescent="0.2"/>
    <row r="11760" ht="12.75" hidden="1" customHeight="1" x14ac:dyDescent="0.2"/>
    <row r="11761" ht="12.75" hidden="1" customHeight="1" x14ac:dyDescent="0.2"/>
    <row r="11762" ht="12.75" hidden="1" customHeight="1" x14ac:dyDescent="0.2"/>
    <row r="11763" ht="12.75" hidden="1" customHeight="1" x14ac:dyDescent="0.2"/>
    <row r="11764" ht="12.75" hidden="1" customHeight="1" x14ac:dyDescent="0.2"/>
    <row r="11765" ht="12.75" hidden="1" customHeight="1" x14ac:dyDescent="0.2"/>
    <row r="11766" ht="12.75" hidden="1" customHeight="1" x14ac:dyDescent="0.2"/>
    <row r="11767" ht="12.75" hidden="1" customHeight="1" x14ac:dyDescent="0.2"/>
    <row r="11768" ht="12.75" hidden="1" customHeight="1" x14ac:dyDescent="0.2"/>
    <row r="11769" ht="12.75" hidden="1" customHeight="1" x14ac:dyDescent="0.2"/>
    <row r="11770" ht="12.75" hidden="1" customHeight="1" x14ac:dyDescent="0.2"/>
    <row r="11771" ht="12.75" hidden="1" customHeight="1" x14ac:dyDescent="0.2"/>
    <row r="11772" ht="12.75" hidden="1" customHeight="1" x14ac:dyDescent="0.2"/>
    <row r="11773" ht="12.75" hidden="1" customHeight="1" x14ac:dyDescent="0.2"/>
    <row r="11774" ht="12.75" hidden="1" customHeight="1" x14ac:dyDescent="0.2"/>
    <row r="11775" ht="12.75" hidden="1" customHeight="1" x14ac:dyDescent="0.2"/>
    <row r="11776" ht="12.75" hidden="1" customHeight="1" x14ac:dyDescent="0.2"/>
    <row r="11777" ht="12.75" hidden="1" customHeight="1" x14ac:dyDescent="0.2"/>
    <row r="11778" ht="12.75" hidden="1" customHeight="1" x14ac:dyDescent="0.2"/>
    <row r="11779" ht="12.75" hidden="1" customHeight="1" x14ac:dyDescent="0.2"/>
    <row r="11780" ht="12.75" hidden="1" customHeight="1" x14ac:dyDescent="0.2"/>
    <row r="11781" ht="12.75" hidden="1" customHeight="1" x14ac:dyDescent="0.2"/>
    <row r="11782" ht="12.75" hidden="1" customHeight="1" x14ac:dyDescent="0.2"/>
    <row r="11783" ht="12.75" hidden="1" customHeight="1" x14ac:dyDescent="0.2"/>
    <row r="11784" ht="12.75" hidden="1" customHeight="1" x14ac:dyDescent="0.2"/>
    <row r="11785" ht="12.75" hidden="1" customHeight="1" x14ac:dyDescent="0.2"/>
    <row r="11786" ht="12.75" hidden="1" customHeight="1" x14ac:dyDescent="0.2"/>
    <row r="11787" ht="12.75" hidden="1" customHeight="1" x14ac:dyDescent="0.2"/>
    <row r="11788" ht="12.75" hidden="1" customHeight="1" x14ac:dyDescent="0.2"/>
    <row r="11789" ht="12.75" hidden="1" customHeight="1" x14ac:dyDescent="0.2"/>
    <row r="11790" ht="12.75" hidden="1" customHeight="1" x14ac:dyDescent="0.2"/>
    <row r="11791" ht="12.75" hidden="1" customHeight="1" x14ac:dyDescent="0.2"/>
    <row r="11792" ht="12.75" hidden="1" customHeight="1" x14ac:dyDescent="0.2"/>
    <row r="11793" ht="12.75" hidden="1" customHeight="1" x14ac:dyDescent="0.2"/>
    <row r="11794" ht="12.75" hidden="1" customHeight="1" x14ac:dyDescent="0.2"/>
    <row r="11795" ht="12.75" hidden="1" customHeight="1" x14ac:dyDescent="0.2"/>
    <row r="11796" ht="12.75" hidden="1" customHeight="1" x14ac:dyDescent="0.2"/>
    <row r="11797" ht="12.75" hidden="1" customHeight="1" x14ac:dyDescent="0.2"/>
    <row r="11798" ht="12.75" hidden="1" customHeight="1" x14ac:dyDescent="0.2"/>
    <row r="11799" ht="12.75" hidden="1" customHeight="1" x14ac:dyDescent="0.2"/>
    <row r="11800" ht="12.75" hidden="1" customHeight="1" x14ac:dyDescent="0.2"/>
    <row r="11801" ht="12.75" hidden="1" customHeight="1" x14ac:dyDescent="0.2"/>
    <row r="11802" ht="12.75" hidden="1" customHeight="1" x14ac:dyDescent="0.2"/>
    <row r="11803" ht="12.75" hidden="1" customHeight="1" x14ac:dyDescent="0.2"/>
    <row r="11804" ht="12.75" hidden="1" customHeight="1" x14ac:dyDescent="0.2"/>
    <row r="11805" ht="12.75" hidden="1" customHeight="1" x14ac:dyDescent="0.2"/>
    <row r="11806" ht="12.75" hidden="1" customHeight="1" x14ac:dyDescent="0.2"/>
    <row r="11807" ht="12.75" hidden="1" customHeight="1" x14ac:dyDescent="0.2"/>
    <row r="11808" ht="12.75" hidden="1" customHeight="1" x14ac:dyDescent="0.2"/>
    <row r="11809" ht="12.75" hidden="1" customHeight="1" x14ac:dyDescent="0.2"/>
    <row r="11810" ht="12.75" hidden="1" customHeight="1" x14ac:dyDescent="0.2"/>
    <row r="11811" ht="12.75" hidden="1" customHeight="1" x14ac:dyDescent="0.2"/>
    <row r="11812" ht="12.75" hidden="1" customHeight="1" x14ac:dyDescent="0.2"/>
    <row r="11813" ht="12.75" hidden="1" customHeight="1" x14ac:dyDescent="0.2"/>
    <row r="11814" ht="12.75" hidden="1" customHeight="1" x14ac:dyDescent="0.2"/>
    <row r="11815" ht="12.75" hidden="1" customHeight="1" x14ac:dyDescent="0.2"/>
    <row r="11816" ht="12.75" hidden="1" customHeight="1" x14ac:dyDescent="0.2"/>
    <row r="11817" ht="12.75" hidden="1" customHeight="1" x14ac:dyDescent="0.2"/>
    <row r="11818" ht="12.75" hidden="1" customHeight="1" x14ac:dyDescent="0.2"/>
    <row r="11819" ht="12.75" hidden="1" customHeight="1" x14ac:dyDescent="0.2"/>
    <row r="11820" ht="12.75" hidden="1" customHeight="1" x14ac:dyDescent="0.2"/>
    <row r="11821" ht="12.75" hidden="1" customHeight="1" x14ac:dyDescent="0.2"/>
    <row r="11822" ht="12.75" hidden="1" customHeight="1" x14ac:dyDescent="0.2"/>
    <row r="11823" ht="12.75" hidden="1" customHeight="1" x14ac:dyDescent="0.2"/>
    <row r="11824" ht="12.75" hidden="1" customHeight="1" x14ac:dyDescent="0.2"/>
    <row r="11825" ht="12.75" hidden="1" customHeight="1" x14ac:dyDescent="0.2"/>
    <row r="11826" ht="12.75" hidden="1" customHeight="1" x14ac:dyDescent="0.2"/>
    <row r="11827" ht="12.75" hidden="1" customHeight="1" x14ac:dyDescent="0.2"/>
    <row r="11828" ht="12.75" hidden="1" customHeight="1" x14ac:dyDescent="0.2"/>
    <row r="11829" ht="12.75" hidden="1" customHeight="1" x14ac:dyDescent="0.2"/>
    <row r="11830" ht="12.75" hidden="1" customHeight="1" x14ac:dyDescent="0.2"/>
    <row r="11831" ht="12.75" hidden="1" customHeight="1" x14ac:dyDescent="0.2"/>
    <row r="11832" ht="12.75" hidden="1" customHeight="1" x14ac:dyDescent="0.2"/>
    <row r="11833" ht="12.75" hidden="1" customHeight="1" x14ac:dyDescent="0.2"/>
    <row r="11834" ht="12.75" hidden="1" customHeight="1" x14ac:dyDescent="0.2"/>
    <row r="11835" ht="12.75" hidden="1" customHeight="1" x14ac:dyDescent="0.2"/>
    <row r="11836" ht="12.75" hidden="1" customHeight="1" x14ac:dyDescent="0.2"/>
    <row r="11837" ht="12.75" hidden="1" customHeight="1" x14ac:dyDescent="0.2"/>
    <row r="11838" ht="12.75" hidden="1" customHeight="1" x14ac:dyDescent="0.2"/>
    <row r="11839" ht="12.75" hidden="1" customHeight="1" x14ac:dyDescent="0.2"/>
    <row r="11840" ht="12.75" hidden="1" customHeight="1" x14ac:dyDescent="0.2"/>
    <row r="11841" ht="12.75" hidden="1" customHeight="1" x14ac:dyDescent="0.2"/>
    <row r="11842" ht="12.75" hidden="1" customHeight="1" x14ac:dyDescent="0.2"/>
    <row r="11843" ht="12.75" hidden="1" customHeight="1" x14ac:dyDescent="0.2"/>
    <row r="11844" ht="12.75" hidden="1" customHeight="1" x14ac:dyDescent="0.2"/>
    <row r="11845" ht="12.75" hidden="1" customHeight="1" x14ac:dyDescent="0.2"/>
    <row r="11846" ht="12.75" hidden="1" customHeight="1" x14ac:dyDescent="0.2"/>
    <row r="11847" ht="12.75" hidden="1" customHeight="1" x14ac:dyDescent="0.2"/>
    <row r="11848" ht="12.75" hidden="1" customHeight="1" x14ac:dyDescent="0.2"/>
    <row r="11849" ht="12.75" hidden="1" customHeight="1" x14ac:dyDescent="0.2"/>
    <row r="11850" ht="12.75" hidden="1" customHeight="1" x14ac:dyDescent="0.2"/>
    <row r="11851" ht="12.75" hidden="1" customHeight="1" x14ac:dyDescent="0.2"/>
    <row r="11852" ht="12.75" hidden="1" customHeight="1" x14ac:dyDescent="0.2"/>
    <row r="11853" ht="12.75" hidden="1" customHeight="1" x14ac:dyDescent="0.2"/>
    <row r="11854" ht="12.75" hidden="1" customHeight="1" x14ac:dyDescent="0.2"/>
    <row r="11855" ht="12.75" hidden="1" customHeight="1" x14ac:dyDescent="0.2"/>
    <row r="11856" ht="12.75" hidden="1" customHeight="1" x14ac:dyDescent="0.2"/>
    <row r="11857" ht="12.75" hidden="1" customHeight="1" x14ac:dyDescent="0.2"/>
    <row r="11858" ht="12.75" hidden="1" customHeight="1" x14ac:dyDescent="0.2"/>
    <row r="11859" ht="12.75" hidden="1" customHeight="1" x14ac:dyDescent="0.2"/>
    <row r="11860" ht="12.75" hidden="1" customHeight="1" x14ac:dyDescent="0.2"/>
    <row r="11861" ht="12.75" hidden="1" customHeight="1" x14ac:dyDescent="0.2"/>
    <row r="11862" ht="12.75" hidden="1" customHeight="1" x14ac:dyDescent="0.2"/>
    <row r="11863" ht="12.75" hidden="1" customHeight="1" x14ac:dyDescent="0.2"/>
    <row r="11864" ht="12.75" hidden="1" customHeight="1" x14ac:dyDescent="0.2"/>
    <row r="11865" ht="12.75" hidden="1" customHeight="1" x14ac:dyDescent="0.2"/>
    <row r="11866" ht="12.75" hidden="1" customHeight="1" x14ac:dyDescent="0.2"/>
    <row r="11867" ht="12.75" hidden="1" customHeight="1" x14ac:dyDescent="0.2"/>
    <row r="11868" ht="12.75" hidden="1" customHeight="1" x14ac:dyDescent="0.2"/>
    <row r="11869" ht="12.75" hidden="1" customHeight="1" x14ac:dyDescent="0.2"/>
    <row r="11870" ht="12.75" hidden="1" customHeight="1" x14ac:dyDescent="0.2"/>
    <row r="11871" ht="12.75" hidden="1" customHeight="1" x14ac:dyDescent="0.2"/>
    <row r="11872" ht="12.75" hidden="1" customHeight="1" x14ac:dyDescent="0.2"/>
    <row r="11873" ht="12.75" hidden="1" customHeight="1" x14ac:dyDescent="0.2"/>
    <row r="11874" ht="12.75" hidden="1" customHeight="1" x14ac:dyDescent="0.2"/>
    <row r="11875" ht="12.75" hidden="1" customHeight="1" x14ac:dyDescent="0.2"/>
    <row r="11876" ht="12.75" hidden="1" customHeight="1" x14ac:dyDescent="0.2"/>
    <row r="11877" ht="12.75" hidden="1" customHeight="1" x14ac:dyDescent="0.2"/>
    <row r="11878" ht="12.75" hidden="1" customHeight="1" x14ac:dyDescent="0.2"/>
    <row r="11879" ht="12.75" hidden="1" customHeight="1" x14ac:dyDescent="0.2"/>
    <row r="11880" ht="12.75" hidden="1" customHeight="1" x14ac:dyDescent="0.2"/>
    <row r="11881" ht="12.75" hidden="1" customHeight="1" x14ac:dyDescent="0.2"/>
    <row r="11882" ht="12.75" hidden="1" customHeight="1" x14ac:dyDescent="0.2"/>
    <row r="11883" ht="12.75" hidden="1" customHeight="1" x14ac:dyDescent="0.2"/>
    <row r="11884" ht="12.75" hidden="1" customHeight="1" x14ac:dyDescent="0.2"/>
    <row r="11885" ht="12.75" hidden="1" customHeight="1" x14ac:dyDescent="0.2"/>
    <row r="11886" ht="12.75" hidden="1" customHeight="1" x14ac:dyDescent="0.2"/>
    <row r="11887" ht="12.75" hidden="1" customHeight="1" x14ac:dyDescent="0.2"/>
    <row r="11888" ht="12.75" hidden="1" customHeight="1" x14ac:dyDescent="0.2"/>
    <row r="11889" ht="12.75" hidden="1" customHeight="1" x14ac:dyDescent="0.2"/>
    <row r="11890" ht="12.75" hidden="1" customHeight="1" x14ac:dyDescent="0.2"/>
    <row r="11891" ht="12.75" hidden="1" customHeight="1" x14ac:dyDescent="0.2"/>
    <row r="11892" ht="12.75" hidden="1" customHeight="1" x14ac:dyDescent="0.2"/>
    <row r="11893" ht="12.75" hidden="1" customHeight="1" x14ac:dyDescent="0.2"/>
    <row r="11894" ht="12.75" hidden="1" customHeight="1" x14ac:dyDescent="0.2"/>
    <row r="11895" ht="12.75" hidden="1" customHeight="1" x14ac:dyDescent="0.2"/>
    <row r="11896" ht="12.75" hidden="1" customHeight="1" x14ac:dyDescent="0.2"/>
    <row r="11897" ht="12.75" hidden="1" customHeight="1" x14ac:dyDescent="0.2"/>
    <row r="11898" ht="12.75" hidden="1" customHeight="1" x14ac:dyDescent="0.2"/>
    <row r="11899" ht="12.75" hidden="1" customHeight="1" x14ac:dyDescent="0.2"/>
    <row r="11900" ht="12.75" hidden="1" customHeight="1" x14ac:dyDescent="0.2"/>
    <row r="11901" ht="12.75" hidden="1" customHeight="1" x14ac:dyDescent="0.2"/>
    <row r="11902" ht="12.75" hidden="1" customHeight="1" x14ac:dyDescent="0.2"/>
    <row r="11903" ht="12.75" hidden="1" customHeight="1" x14ac:dyDescent="0.2"/>
    <row r="11904" ht="12.75" hidden="1" customHeight="1" x14ac:dyDescent="0.2"/>
    <row r="11905" ht="12.75" hidden="1" customHeight="1" x14ac:dyDescent="0.2"/>
    <row r="11906" ht="12.75" hidden="1" customHeight="1" x14ac:dyDescent="0.2"/>
    <row r="11907" ht="12.75" hidden="1" customHeight="1" x14ac:dyDescent="0.2"/>
    <row r="11908" ht="12.75" hidden="1" customHeight="1" x14ac:dyDescent="0.2"/>
    <row r="11909" ht="12.75" hidden="1" customHeight="1" x14ac:dyDescent="0.2"/>
    <row r="11910" ht="12.75" hidden="1" customHeight="1" x14ac:dyDescent="0.2"/>
    <row r="11911" ht="12.75" hidden="1" customHeight="1" x14ac:dyDescent="0.2"/>
    <row r="11912" ht="12.75" hidden="1" customHeight="1" x14ac:dyDescent="0.2"/>
    <row r="11913" ht="12.75" hidden="1" customHeight="1" x14ac:dyDescent="0.2"/>
    <row r="11914" ht="12.75" hidden="1" customHeight="1" x14ac:dyDescent="0.2"/>
    <row r="11915" ht="12.75" hidden="1" customHeight="1" x14ac:dyDescent="0.2"/>
    <row r="11916" ht="12.75" hidden="1" customHeight="1" x14ac:dyDescent="0.2"/>
    <row r="11917" ht="12.75" hidden="1" customHeight="1" x14ac:dyDescent="0.2"/>
    <row r="11918" ht="12.75" hidden="1" customHeight="1" x14ac:dyDescent="0.2"/>
    <row r="11919" ht="12.75" hidden="1" customHeight="1" x14ac:dyDescent="0.2"/>
    <row r="11920" ht="12.75" hidden="1" customHeight="1" x14ac:dyDescent="0.2"/>
    <row r="11921" ht="12.75" hidden="1" customHeight="1" x14ac:dyDescent="0.2"/>
    <row r="11922" ht="12.75" hidden="1" customHeight="1" x14ac:dyDescent="0.2"/>
    <row r="11923" ht="12.75" hidden="1" customHeight="1" x14ac:dyDescent="0.2"/>
    <row r="11924" ht="12.75" hidden="1" customHeight="1" x14ac:dyDescent="0.2"/>
    <row r="11925" ht="12.75" hidden="1" customHeight="1" x14ac:dyDescent="0.2"/>
    <row r="11926" ht="12.75" hidden="1" customHeight="1" x14ac:dyDescent="0.2"/>
    <row r="11927" ht="12.75" hidden="1" customHeight="1" x14ac:dyDescent="0.2"/>
    <row r="11928" ht="12.75" hidden="1" customHeight="1" x14ac:dyDescent="0.2"/>
    <row r="11929" ht="12.75" hidden="1" customHeight="1" x14ac:dyDescent="0.2"/>
    <row r="11930" ht="12.75" hidden="1" customHeight="1" x14ac:dyDescent="0.2"/>
    <row r="11931" ht="12.75" hidden="1" customHeight="1" x14ac:dyDescent="0.2"/>
    <row r="11932" ht="12.75" hidden="1" customHeight="1" x14ac:dyDescent="0.2"/>
    <row r="11933" ht="12.75" hidden="1" customHeight="1" x14ac:dyDescent="0.2"/>
    <row r="11934" ht="12.75" hidden="1" customHeight="1" x14ac:dyDescent="0.2"/>
    <row r="11935" ht="12.75" hidden="1" customHeight="1" x14ac:dyDescent="0.2"/>
    <row r="11936" ht="12.75" hidden="1" customHeight="1" x14ac:dyDescent="0.2"/>
    <row r="11937" ht="12.75" hidden="1" customHeight="1" x14ac:dyDescent="0.2"/>
    <row r="11938" ht="12.75" hidden="1" customHeight="1" x14ac:dyDescent="0.2"/>
    <row r="11939" ht="12.75" hidden="1" customHeight="1" x14ac:dyDescent="0.2"/>
    <row r="11940" ht="12.75" hidden="1" customHeight="1" x14ac:dyDescent="0.2"/>
    <row r="11941" ht="12.75" hidden="1" customHeight="1" x14ac:dyDescent="0.2"/>
    <row r="11942" ht="12.75" hidden="1" customHeight="1" x14ac:dyDescent="0.2"/>
    <row r="11943" ht="12.75" hidden="1" customHeight="1" x14ac:dyDescent="0.2"/>
    <row r="11944" ht="12.75" hidden="1" customHeight="1" x14ac:dyDescent="0.2"/>
    <row r="11945" ht="12.75" hidden="1" customHeight="1" x14ac:dyDescent="0.2"/>
    <row r="11946" ht="12.75" hidden="1" customHeight="1" x14ac:dyDescent="0.2"/>
    <row r="11947" ht="12.75" hidden="1" customHeight="1" x14ac:dyDescent="0.2"/>
    <row r="11948" ht="12.75" hidden="1" customHeight="1" x14ac:dyDescent="0.2"/>
    <row r="11949" ht="12.75" hidden="1" customHeight="1" x14ac:dyDescent="0.2"/>
    <row r="11950" ht="12.75" hidden="1" customHeight="1" x14ac:dyDescent="0.2"/>
    <row r="11951" ht="12.75" hidden="1" customHeight="1" x14ac:dyDescent="0.2"/>
    <row r="11952" ht="12.75" hidden="1" customHeight="1" x14ac:dyDescent="0.2"/>
    <row r="11953" ht="12.75" hidden="1" customHeight="1" x14ac:dyDescent="0.2"/>
    <row r="11954" ht="12.75" hidden="1" customHeight="1" x14ac:dyDescent="0.2"/>
    <row r="11955" ht="12.75" hidden="1" customHeight="1" x14ac:dyDescent="0.2"/>
    <row r="11956" ht="12.75" hidden="1" customHeight="1" x14ac:dyDescent="0.2"/>
    <row r="11957" ht="12.75" hidden="1" customHeight="1" x14ac:dyDescent="0.2"/>
    <row r="11958" ht="12.75" hidden="1" customHeight="1" x14ac:dyDescent="0.2"/>
    <row r="11959" ht="12.75" hidden="1" customHeight="1" x14ac:dyDescent="0.2"/>
    <row r="11960" ht="12.75" hidden="1" customHeight="1" x14ac:dyDescent="0.2"/>
    <row r="11961" ht="12.75" hidden="1" customHeight="1" x14ac:dyDescent="0.2"/>
    <row r="11962" ht="12.75" hidden="1" customHeight="1" x14ac:dyDescent="0.2"/>
    <row r="11963" ht="12.75" hidden="1" customHeight="1" x14ac:dyDescent="0.2"/>
    <row r="11964" ht="12.75" hidden="1" customHeight="1" x14ac:dyDescent="0.2"/>
    <row r="11965" ht="12.75" hidden="1" customHeight="1" x14ac:dyDescent="0.2"/>
    <row r="11966" ht="12.75" hidden="1" customHeight="1" x14ac:dyDescent="0.2"/>
    <row r="11967" ht="12.75" hidden="1" customHeight="1" x14ac:dyDescent="0.2"/>
    <row r="11968" ht="12.75" hidden="1" customHeight="1" x14ac:dyDescent="0.2"/>
    <row r="11969" ht="12.75" hidden="1" customHeight="1" x14ac:dyDescent="0.2"/>
    <row r="11970" ht="12.75" hidden="1" customHeight="1" x14ac:dyDescent="0.2"/>
    <row r="11971" ht="12.75" hidden="1" customHeight="1" x14ac:dyDescent="0.2"/>
    <row r="11972" ht="12.75" hidden="1" customHeight="1" x14ac:dyDescent="0.2"/>
    <row r="11973" ht="12.75" hidden="1" customHeight="1" x14ac:dyDescent="0.2"/>
    <row r="11974" ht="12.75" hidden="1" customHeight="1" x14ac:dyDescent="0.2"/>
    <row r="11975" ht="12.75" hidden="1" customHeight="1" x14ac:dyDescent="0.2"/>
    <row r="11976" ht="12.75" hidden="1" customHeight="1" x14ac:dyDescent="0.2"/>
    <row r="11977" ht="12.75" hidden="1" customHeight="1" x14ac:dyDescent="0.2"/>
    <row r="11978" ht="12.75" hidden="1" customHeight="1" x14ac:dyDescent="0.2"/>
    <row r="11979" ht="12.75" hidden="1" customHeight="1" x14ac:dyDescent="0.2"/>
    <row r="11980" ht="12.75" hidden="1" customHeight="1" x14ac:dyDescent="0.2"/>
    <row r="11981" ht="12.75" hidden="1" customHeight="1" x14ac:dyDescent="0.2"/>
    <row r="11982" ht="12.75" hidden="1" customHeight="1" x14ac:dyDescent="0.2"/>
    <row r="11983" ht="12.75" hidden="1" customHeight="1" x14ac:dyDescent="0.2"/>
    <row r="11984" ht="12.75" hidden="1" customHeight="1" x14ac:dyDescent="0.2"/>
    <row r="11985" ht="12.75" hidden="1" customHeight="1" x14ac:dyDescent="0.2"/>
    <row r="11986" ht="12.75" hidden="1" customHeight="1" x14ac:dyDescent="0.2"/>
    <row r="11987" ht="12.75" hidden="1" customHeight="1" x14ac:dyDescent="0.2"/>
    <row r="11988" ht="12.75" hidden="1" customHeight="1" x14ac:dyDescent="0.2"/>
    <row r="11989" ht="12.75" hidden="1" customHeight="1" x14ac:dyDescent="0.2"/>
    <row r="11990" ht="12.75" hidden="1" customHeight="1" x14ac:dyDescent="0.2"/>
    <row r="11991" ht="12.75" hidden="1" customHeight="1" x14ac:dyDescent="0.2"/>
    <row r="11992" ht="12.75" hidden="1" customHeight="1" x14ac:dyDescent="0.2"/>
    <row r="11993" ht="12.75" hidden="1" customHeight="1" x14ac:dyDescent="0.2"/>
    <row r="11994" ht="12.75" hidden="1" customHeight="1" x14ac:dyDescent="0.2"/>
    <row r="11995" ht="12.75" hidden="1" customHeight="1" x14ac:dyDescent="0.2"/>
    <row r="11996" ht="12.75" hidden="1" customHeight="1" x14ac:dyDescent="0.2"/>
    <row r="11997" ht="12.75" hidden="1" customHeight="1" x14ac:dyDescent="0.2"/>
    <row r="11998" ht="12.75" hidden="1" customHeight="1" x14ac:dyDescent="0.2"/>
    <row r="11999" ht="12.75" hidden="1" customHeight="1" x14ac:dyDescent="0.2"/>
    <row r="12000" ht="12.75" hidden="1" customHeight="1" x14ac:dyDescent="0.2"/>
    <row r="12001" ht="12.75" hidden="1" customHeight="1" x14ac:dyDescent="0.2"/>
    <row r="12002" ht="12.75" hidden="1" customHeight="1" x14ac:dyDescent="0.2"/>
    <row r="12003" ht="12.75" hidden="1" customHeight="1" x14ac:dyDescent="0.2"/>
    <row r="12004" ht="12.75" hidden="1" customHeight="1" x14ac:dyDescent="0.2"/>
    <row r="12005" ht="12.75" hidden="1" customHeight="1" x14ac:dyDescent="0.2"/>
    <row r="12006" ht="12.75" hidden="1" customHeight="1" x14ac:dyDescent="0.2"/>
    <row r="12007" ht="12.75" hidden="1" customHeight="1" x14ac:dyDescent="0.2"/>
    <row r="12008" ht="12.75" hidden="1" customHeight="1" x14ac:dyDescent="0.2"/>
    <row r="12009" ht="12.75" hidden="1" customHeight="1" x14ac:dyDescent="0.2"/>
    <row r="12010" ht="12.75" hidden="1" customHeight="1" x14ac:dyDescent="0.2"/>
    <row r="12011" ht="12.75" hidden="1" customHeight="1" x14ac:dyDescent="0.2"/>
    <row r="12012" ht="12.75" hidden="1" customHeight="1" x14ac:dyDescent="0.2"/>
    <row r="12013" ht="12.75" hidden="1" customHeight="1" x14ac:dyDescent="0.2"/>
    <row r="12014" ht="12.75" hidden="1" customHeight="1" x14ac:dyDescent="0.2"/>
    <row r="12015" ht="12.75" hidden="1" customHeight="1" x14ac:dyDescent="0.2"/>
    <row r="12016" ht="12.75" hidden="1" customHeight="1" x14ac:dyDescent="0.2"/>
    <row r="12017" ht="12.75" hidden="1" customHeight="1" x14ac:dyDescent="0.2"/>
    <row r="12018" ht="12.75" hidden="1" customHeight="1" x14ac:dyDescent="0.2"/>
    <row r="12019" ht="12.75" hidden="1" customHeight="1" x14ac:dyDescent="0.2"/>
    <row r="12020" ht="12.75" hidden="1" customHeight="1" x14ac:dyDescent="0.2"/>
    <row r="12021" ht="12.75" hidden="1" customHeight="1" x14ac:dyDescent="0.2"/>
    <row r="12022" ht="12.75" hidden="1" customHeight="1" x14ac:dyDescent="0.2"/>
    <row r="12023" ht="12.75" hidden="1" customHeight="1" x14ac:dyDescent="0.2"/>
    <row r="12024" ht="12.75" hidden="1" customHeight="1" x14ac:dyDescent="0.2"/>
    <row r="12025" ht="12.75" hidden="1" customHeight="1" x14ac:dyDescent="0.2"/>
    <row r="12026" ht="12.75" hidden="1" customHeight="1" x14ac:dyDescent="0.2"/>
    <row r="12027" ht="12.75" hidden="1" customHeight="1" x14ac:dyDescent="0.2"/>
    <row r="12028" ht="12.75" hidden="1" customHeight="1" x14ac:dyDescent="0.2"/>
    <row r="12029" ht="12.75" hidden="1" customHeight="1" x14ac:dyDescent="0.2"/>
    <row r="12030" ht="12.75" hidden="1" customHeight="1" x14ac:dyDescent="0.2"/>
    <row r="12031" ht="12.75" hidden="1" customHeight="1" x14ac:dyDescent="0.2"/>
    <row r="12032" ht="12.75" hidden="1" customHeight="1" x14ac:dyDescent="0.2"/>
    <row r="12033" ht="12.75" hidden="1" customHeight="1" x14ac:dyDescent="0.2"/>
    <row r="12034" ht="12.75" hidden="1" customHeight="1" x14ac:dyDescent="0.2"/>
    <row r="12035" ht="12.75" hidden="1" customHeight="1" x14ac:dyDescent="0.2"/>
    <row r="12036" ht="12.75" hidden="1" customHeight="1" x14ac:dyDescent="0.2"/>
    <row r="12037" ht="12.75" hidden="1" customHeight="1" x14ac:dyDescent="0.2"/>
    <row r="12038" ht="12.75" hidden="1" customHeight="1" x14ac:dyDescent="0.2"/>
    <row r="12039" ht="12.75" hidden="1" customHeight="1" x14ac:dyDescent="0.2"/>
    <row r="12040" ht="12.75" hidden="1" customHeight="1" x14ac:dyDescent="0.2"/>
    <row r="12041" ht="12.75" hidden="1" customHeight="1" x14ac:dyDescent="0.2"/>
    <row r="12042" ht="12.75" hidden="1" customHeight="1" x14ac:dyDescent="0.2"/>
    <row r="12043" ht="12.75" hidden="1" customHeight="1" x14ac:dyDescent="0.2"/>
    <row r="12044" ht="12.75" hidden="1" customHeight="1" x14ac:dyDescent="0.2"/>
    <row r="12045" ht="12.75" hidden="1" customHeight="1" x14ac:dyDescent="0.2"/>
    <row r="12046" ht="12.75" hidden="1" customHeight="1" x14ac:dyDescent="0.2"/>
    <row r="12047" ht="12.75" hidden="1" customHeight="1" x14ac:dyDescent="0.2"/>
    <row r="12048" ht="12.75" hidden="1" customHeight="1" x14ac:dyDescent="0.2"/>
    <row r="12049" ht="12.75" hidden="1" customHeight="1" x14ac:dyDescent="0.2"/>
    <row r="12050" ht="12.75" hidden="1" customHeight="1" x14ac:dyDescent="0.2"/>
    <row r="12051" ht="12.75" hidden="1" customHeight="1" x14ac:dyDescent="0.2"/>
    <row r="12052" ht="12.75" hidden="1" customHeight="1" x14ac:dyDescent="0.2"/>
    <row r="12053" ht="12.75" hidden="1" customHeight="1" x14ac:dyDescent="0.2"/>
    <row r="12054" ht="12.75" hidden="1" customHeight="1" x14ac:dyDescent="0.2"/>
    <row r="12055" ht="12.75" hidden="1" customHeight="1" x14ac:dyDescent="0.2"/>
    <row r="12056" ht="12.75" hidden="1" customHeight="1" x14ac:dyDescent="0.2"/>
    <row r="12057" ht="12.75" hidden="1" customHeight="1" x14ac:dyDescent="0.2"/>
    <row r="12058" ht="12.75" hidden="1" customHeight="1" x14ac:dyDescent="0.2"/>
    <row r="12059" ht="12.75" hidden="1" customHeight="1" x14ac:dyDescent="0.2"/>
    <row r="12060" ht="12.75" hidden="1" customHeight="1" x14ac:dyDescent="0.2"/>
    <row r="12061" ht="12.75" hidden="1" customHeight="1" x14ac:dyDescent="0.2"/>
    <row r="12062" ht="12.75" hidden="1" customHeight="1" x14ac:dyDescent="0.2"/>
    <row r="12063" ht="12.75" hidden="1" customHeight="1" x14ac:dyDescent="0.2"/>
    <row r="12064" ht="12.75" hidden="1" customHeight="1" x14ac:dyDescent="0.2"/>
    <row r="12065" ht="12.75" hidden="1" customHeight="1" x14ac:dyDescent="0.2"/>
    <row r="12066" ht="12.75" hidden="1" customHeight="1" x14ac:dyDescent="0.2"/>
    <row r="12067" ht="12.75" hidden="1" customHeight="1" x14ac:dyDescent="0.2"/>
    <row r="12068" ht="12.75" hidden="1" customHeight="1" x14ac:dyDescent="0.2"/>
    <row r="12069" ht="12.75" hidden="1" customHeight="1" x14ac:dyDescent="0.2"/>
    <row r="12070" ht="12.75" hidden="1" customHeight="1" x14ac:dyDescent="0.2"/>
    <row r="12071" ht="12.75" hidden="1" customHeight="1" x14ac:dyDescent="0.2"/>
    <row r="12072" ht="12.75" hidden="1" customHeight="1" x14ac:dyDescent="0.2"/>
    <row r="12073" ht="12.75" hidden="1" customHeight="1" x14ac:dyDescent="0.2"/>
    <row r="12074" ht="12.75" hidden="1" customHeight="1" x14ac:dyDescent="0.2"/>
    <row r="12075" ht="12.75" hidden="1" customHeight="1" x14ac:dyDescent="0.2"/>
    <row r="12076" ht="12.75" hidden="1" customHeight="1" x14ac:dyDescent="0.2"/>
    <row r="12077" ht="12.75" hidden="1" customHeight="1" x14ac:dyDescent="0.2"/>
    <row r="12078" ht="12.75" hidden="1" customHeight="1" x14ac:dyDescent="0.2"/>
    <row r="12079" ht="12.75" hidden="1" customHeight="1" x14ac:dyDescent="0.2"/>
    <row r="12080" ht="12.75" hidden="1" customHeight="1" x14ac:dyDescent="0.2"/>
    <row r="12081" ht="12.75" hidden="1" customHeight="1" x14ac:dyDescent="0.2"/>
    <row r="12082" ht="12.75" hidden="1" customHeight="1" x14ac:dyDescent="0.2"/>
    <row r="12083" ht="12.75" hidden="1" customHeight="1" x14ac:dyDescent="0.2"/>
    <row r="12084" ht="12.75" hidden="1" customHeight="1" x14ac:dyDescent="0.2"/>
    <row r="12085" ht="12.75" hidden="1" customHeight="1" x14ac:dyDescent="0.2"/>
    <row r="12086" ht="12.75" hidden="1" customHeight="1" x14ac:dyDescent="0.2"/>
    <row r="12087" ht="12.75" hidden="1" customHeight="1" x14ac:dyDescent="0.2"/>
    <row r="12088" ht="12.75" hidden="1" customHeight="1" x14ac:dyDescent="0.2"/>
    <row r="12089" ht="12.75" hidden="1" customHeight="1" x14ac:dyDescent="0.2"/>
    <row r="12090" ht="12.75" hidden="1" customHeight="1" x14ac:dyDescent="0.2"/>
    <row r="12091" ht="12.75" hidden="1" customHeight="1" x14ac:dyDescent="0.2"/>
    <row r="12092" ht="12.75" hidden="1" customHeight="1" x14ac:dyDescent="0.2"/>
    <row r="12093" ht="12.75" hidden="1" customHeight="1" x14ac:dyDescent="0.2"/>
    <row r="12094" ht="12.75" hidden="1" customHeight="1" x14ac:dyDescent="0.2"/>
    <row r="12095" ht="12.75" hidden="1" customHeight="1" x14ac:dyDescent="0.2"/>
    <row r="12096" ht="12.75" hidden="1" customHeight="1" x14ac:dyDescent="0.2"/>
    <row r="12097" ht="12.75" hidden="1" customHeight="1" x14ac:dyDescent="0.2"/>
    <row r="12098" ht="12.75" hidden="1" customHeight="1" x14ac:dyDescent="0.2"/>
    <row r="12099" ht="12.75" hidden="1" customHeight="1" x14ac:dyDescent="0.2"/>
    <row r="12100" ht="12.75" hidden="1" customHeight="1" x14ac:dyDescent="0.2"/>
    <row r="12101" ht="12.75" hidden="1" customHeight="1" x14ac:dyDescent="0.2"/>
    <row r="12102" ht="12.75" hidden="1" customHeight="1" x14ac:dyDescent="0.2"/>
    <row r="12103" ht="12.75" hidden="1" customHeight="1" x14ac:dyDescent="0.2"/>
    <row r="12104" ht="12.75" hidden="1" customHeight="1" x14ac:dyDescent="0.2"/>
    <row r="12105" ht="12.75" hidden="1" customHeight="1" x14ac:dyDescent="0.2"/>
    <row r="12106" ht="12.75" hidden="1" customHeight="1" x14ac:dyDescent="0.2"/>
    <row r="12107" ht="12.75" hidden="1" customHeight="1" x14ac:dyDescent="0.2"/>
    <row r="12108" ht="12.75" hidden="1" customHeight="1" x14ac:dyDescent="0.2"/>
    <row r="12109" ht="12.75" hidden="1" customHeight="1" x14ac:dyDescent="0.2"/>
    <row r="12110" ht="12.75" hidden="1" customHeight="1" x14ac:dyDescent="0.2"/>
    <row r="12111" ht="12.75" hidden="1" customHeight="1" x14ac:dyDescent="0.2"/>
    <row r="12112" ht="12.75" hidden="1" customHeight="1" x14ac:dyDescent="0.2"/>
    <row r="12113" ht="12.75" hidden="1" customHeight="1" x14ac:dyDescent="0.2"/>
    <row r="12114" ht="12.75" hidden="1" customHeight="1" x14ac:dyDescent="0.2"/>
    <row r="12115" ht="12.75" hidden="1" customHeight="1" x14ac:dyDescent="0.2"/>
    <row r="12116" ht="12.75" hidden="1" customHeight="1" x14ac:dyDescent="0.2"/>
    <row r="12117" ht="12.75" hidden="1" customHeight="1" x14ac:dyDescent="0.2"/>
    <row r="12118" ht="12.75" hidden="1" customHeight="1" x14ac:dyDescent="0.2"/>
    <row r="12119" ht="12.75" hidden="1" customHeight="1" x14ac:dyDescent="0.2"/>
    <row r="12120" ht="12.75" hidden="1" customHeight="1" x14ac:dyDescent="0.2"/>
    <row r="12121" ht="12.75" hidden="1" customHeight="1" x14ac:dyDescent="0.2"/>
    <row r="12122" ht="12.75" hidden="1" customHeight="1" x14ac:dyDescent="0.2"/>
    <row r="12123" ht="12.75" hidden="1" customHeight="1" x14ac:dyDescent="0.2"/>
    <row r="12124" ht="12.75" hidden="1" customHeight="1" x14ac:dyDescent="0.2"/>
    <row r="12125" ht="12.75" hidden="1" customHeight="1" x14ac:dyDescent="0.2"/>
    <row r="12126" ht="12.75" hidden="1" customHeight="1" x14ac:dyDescent="0.2"/>
    <row r="12127" ht="12.75" hidden="1" customHeight="1" x14ac:dyDescent="0.2"/>
    <row r="12128" ht="12.75" hidden="1" customHeight="1" x14ac:dyDescent="0.2"/>
    <row r="12129" ht="12.75" hidden="1" customHeight="1" x14ac:dyDescent="0.2"/>
    <row r="12130" ht="12.75" hidden="1" customHeight="1" x14ac:dyDescent="0.2"/>
    <row r="12131" ht="12.75" hidden="1" customHeight="1" x14ac:dyDescent="0.2"/>
    <row r="12132" ht="12.75" hidden="1" customHeight="1" x14ac:dyDescent="0.2"/>
    <row r="12133" ht="12.75" hidden="1" customHeight="1" x14ac:dyDescent="0.2"/>
    <row r="12134" ht="12.75" hidden="1" customHeight="1" x14ac:dyDescent="0.2"/>
    <row r="12135" ht="12.75" hidden="1" customHeight="1" x14ac:dyDescent="0.2"/>
    <row r="12136" ht="12.75" hidden="1" customHeight="1" x14ac:dyDescent="0.2"/>
    <row r="12137" ht="12.75" hidden="1" customHeight="1" x14ac:dyDescent="0.2"/>
    <row r="12138" ht="12.75" hidden="1" customHeight="1" x14ac:dyDescent="0.2"/>
    <row r="12139" ht="12.75" hidden="1" customHeight="1" x14ac:dyDescent="0.2"/>
    <row r="12140" ht="12.75" hidden="1" customHeight="1" x14ac:dyDescent="0.2"/>
    <row r="12141" ht="12.75" hidden="1" customHeight="1" x14ac:dyDescent="0.2"/>
    <row r="12142" ht="12.75" hidden="1" customHeight="1" x14ac:dyDescent="0.2"/>
    <row r="12143" ht="12.75" hidden="1" customHeight="1" x14ac:dyDescent="0.2"/>
    <row r="12144" ht="12.75" hidden="1" customHeight="1" x14ac:dyDescent="0.2"/>
    <row r="12145" ht="12.75" hidden="1" customHeight="1" x14ac:dyDescent="0.2"/>
    <row r="12146" ht="12.75" hidden="1" customHeight="1" x14ac:dyDescent="0.2"/>
    <row r="12147" ht="12.75" hidden="1" customHeight="1" x14ac:dyDescent="0.2"/>
    <row r="12148" ht="12.75" hidden="1" customHeight="1" x14ac:dyDescent="0.2"/>
    <row r="12149" ht="12.75" hidden="1" customHeight="1" x14ac:dyDescent="0.2"/>
    <row r="12150" ht="12.75" hidden="1" customHeight="1" x14ac:dyDescent="0.2"/>
    <row r="12151" ht="12.75" hidden="1" customHeight="1" x14ac:dyDescent="0.2"/>
    <row r="12152" ht="12.75" hidden="1" customHeight="1" x14ac:dyDescent="0.2"/>
    <row r="12153" ht="12.75" hidden="1" customHeight="1" x14ac:dyDescent="0.2"/>
    <row r="12154" ht="12.75" hidden="1" customHeight="1" x14ac:dyDescent="0.2"/>
    <row r="12155" ht="12.75" hidden="1" customHeight="1" x14ac:dyDescent="0.2"/>
    <row r="12156" ht="12.75" hidden="1" customHeight="1" x14ac:dyDescent="0.2"/>
    <row r="12157" ht="12.75" hidden="1" customHeight="1" x14ac:dyDescent="0.2"/>
    <row r="12158" ht="12.75" hidden="1" customHeight="1" x14ac:dyDescent="0.2"/>
    <row r="12159" ht="12.75" hidden="1" customHeight="1" x14ac:dyDescent="0.2"/>
    <row r="12160" ht="12.75" hidden="1" customHeight="1" x14ac:dyDescent="0.2"/>
    <row r="12161" ht="12.75" hidden="1" customHeight="1" x14ac:dyDescent="0.2"/>
    <row r="12162" ht="12.75" hidden="1" customHeight="1" x14ac:dyDescent="0.2"/>
    <row r="12163" ht="12.75" hidden="1" customHeight="1" x14ac:dyDescent="0.2"/>
    <row r="12164" ht="12.75" hidden="1" customHeight="1" x14ac:dyDescent="0.2"/>
    <row r="12165" ht="12.75" hidden="1" customHeight="1" x14ac:dyDescent="0.2"/>
    <row r="12166" ht="12.75" hidden="1" customHeight="1" x14ac:dyDescent="0.2"/>
    <row r="12167" ht="12.75" hidden="1" customHeight="1" x14ac:dyDescent="0.2"/>
    <row r="12168" ht="12.75" hidden="1" customHeight="1" x14ac:dyDescent="0.2"/>
    <row r="12169" ht="12.75" hidden="1" customHeight="1" x14ac:dyDescent="0.2"/>
    <row r="12170" ht="12.75" hidden="1" customHeight="1" x14ac:dyDescent="0.2"/>
    <row r="12171" ht="12.75" hidden="1" customHeight="1" x14ac:dyDescent="0.2"/>
    <row r="12172" ht="12.75" hidden="1" customHeight="1" x14ac:dyDescent="0.2"/>
    <row r="12173" ht="12.75" hidden="1" customHeight="1" x14ac:dyDescent="0.2"/>
    <row r="12174" ht="12.75" hidden="1" customHeight="1" x14ac:dyDescent="0.2"/>
    <row r="12175" ht="12.75" hidden="1" customHeight="1" x14ac:dyDescent="0.2"/>
    <row r="12176" ht="12.75" hidden="1" customHeight="1" x14ac:dyDescent="0.2"/>
    <row r="12177" ht="12.75" hidden="1" customHeight="1" x14ac:dyDescent="0.2"/>
    <row r="12178" ht="12.75" hidden="1" customHeight="1" x14ac:dyDescent="0.2"/>
    <row r="12179" ht="12.75" hidden="1" customHeight="1" x14ac:dyDescent="0.2"/>
    <row r="12180" ht="12.75" hidden="1" customHeight="1" x14ac:dyDescent="0.2"/>
    <row r="12181" ht="12.75" hidden="1" customHeight="1" x14ac:dyDescent="0.2"/>
    <row r="12182" ht="12.75" hidden="1" customHeight="1" x14ac:dyDescent="0.2"/>
    <row r="12183" ht="12.75" hidden="1" customHeight="1" x14ac:dyDescent="0.2"/>
    <row r="12184" ht="12.75" hidden="1" customHeight="1" x14ac:dyDescent="0.2"/>
    <row r="12185" ht="12.75" hidden="1" customHeight="1" x14ac:dyDescent="0.2"/>
    <row r="12186" ht="12.75" hidden="1" customHeight="1" x14ac:dyDescent="0.2"/>
    <row r="12187" ht="12.75" hidden="1" customHeight="1" x14ac:dyDescent="0.2"/>
    <row r="12188" ht="12.75" hidden="1" customHeight="1" x14ac:dyDescent="0.2"/>
    <row r="12189" ht="12.75" hidden="1" customHeight="1" x14ac:dyDescent="0.2"/>
    <row r="12190" ht="12.75" hidden="1" customHeight="1" x14ac:dyDescent="0.2"/>
    <row r="12191" ht="12.75" hidden="1" customHeight="1" x14ac:dyDescent="0.2"/>
    <row r="12192" ht="12.75" hidden="1" customHeight="1" x14ac:dyDescent="0.2"/>
    <row r="12193" ht="12.75" hidden="1" customHeight="1" x14ac:dyDescent="0.2"/>
    <row r="12194" ht="12.75" hidden="1" customHeight="1" x14ac:dyDescent="0.2"/>
    <row r="12195" ht="12.75" hidden="1" customHeight="1" x14ac:dyDescent="0.2"/>
    <row r="12196" ht="12.75" hidden="1" customHeight="1" x14ac:dyDescent="0.2"/>
    <row r="12197" ht="12.75" hidden="1" customHeight="1" x14ac:dyDescent="0.2"/>
    <row r="12198" ht="12.75" hidden="1" customHeight="1" x14ac:dyDescent="0.2"/>
    <row r="12199" ht="12.75" hidden="1" customHeight="1" x14ac:dyDescent="0.2"/>
    <row r="12200" ht="12.75" hidden="1" customHeight="1" x14ac:dyDescent="0.2"/>
    <row r="12201" ht="12.75" hidden="1" customHeight="1" x14ac:dyDescent="0.2"/>
    <row r="12202" ht="12.75" hidden="1" customHeight="1" x14ac:dyDescent="0.2"/>
    <row r="12203" ht="12.75" hidden="1" customHeight="1" x14ac:dyDescent="0.2"/>
    <row r="12204" ht="12.75" hidden="1" customHeight="1" x14ac:dyDescent="0.2"/>
    <row r="12205" ht="12.75" hidden="1" customHeight="1" x14ac:dyDescent="0.2"/>
    <row r="12206" ht="12.75" hidden="1" customHeight="1" x14ac:dyDescent="0.2"/>
    <row r="12207" ht="12.75" hidden="1" customHeight="1" x14ac:dyDescent="0.2"/>
    <row r="12208" ht="12.75" hidden="1" customHeight="1" x14ac:dyDescent="0.2"/>
    <row r="12209" ht="12.75" hidden="1" customHeight="1" x14ac:dyDescent="0.2"/>
    <row r="12210" ht="12.75" hidden="1" customHeight="1" x14ac:dyDescent="0.2"/>
    <row r="12211" ht="12.75" hidden="1" customHeight="1" x14ac:dyDescent="0.2"/>
    <row r="12212" ht="12.75" hidden="1" customHeight="1" x14ac:dyDescent="0.2"/>
    <row r="12213" ht="12.75" hidden="1" customHeight="1" x14ac:dyDescent="0.2"/>
    <row r="12214" ht="12.75" hidden="1" customHeight="1" x14ac:dyDescent="0.2"/>
    <row r="12215" ht="12.75" hidden="1" customHeight="1" x14ac:dyDescent="0.2"/>
    <row r="12216" ht="12.75" hidden="1" customHeight="1" x14ac:dyDescent="0.2"/>
    <row r="12217" ht="12.75" hidden="1" customHeight="1" x14ac:dyDescent="0.2"/>
    <row r="12218" ht="12.75" hidden="1" customHeight="1" x14ac:dyDescent="0.2"/>
    <row r="12219" ht="12.75" hidden="1" customHeight="1" x14ac:dyDescent="0.2"/>
    <row r="12220" ht="12.75" hidden="1" customHeight="1" x14ac:dyDescent="0.2"/>
    <row r="12221" ht="12.75" hidden="1" customHeight="1" x14ac:dyDescent="0.2"/>
    <row r="12222" ht="12.75" hidden="1" customHeight="1" x14ac:dyDescent="0.2"/>
    <row r="12223" ht="12.75" hidden="1" customHeight="1" x14ac:dyDescent="0.2"/>
    <row r="12224" ht="12.75" hidden="1" customHeight="1" x14ac:dyDescent="0.2"/>
    <row r="12225" ht="12.75" hidden="1" customHeight="1" x14ac:dyDescent="0.2"/>
    <row r="12226" ht="12.75" hidden="1" customHeight="1" x14ac:dyDescent="0.2"/>
    <row r="12227" ht="12.75" hidden="1" customHeight="1" x14ac:dyDescent="0.2"/>
    <row r="12228" ht="12.75" hidden="1" customHeight="1" x14ac:dyDescent="0.2"/>
    <row r="12229" ht="12.75" hidden="1" customHeight="1" x14ac:dyDescent="0.2"/>
    <row r="12230" ht="12.75" hidden="1" customHeight="1" x14ac:dyDescent="0.2"/>
    <row r="12231" ht="12.75" hidden="1" customHeight="1" x14ac:dyDescent="0.2"/>
    <row r="12232" ht="12.75" hidden="1" customHeight="1" x14ac:dyDescent="0.2"/>
    <row r="12233" ht="12.75" hidden="1" customHeight="1" x14ac:dyDescent="0.2"/>
    <row r="12234" ht="12.75" hidden="1" customHeight="1" x14ac:dyDescent="0.2"/>
    <row r="12235" ht="12.75" hidden="1" customHeight="1" x14ac:dyDescent="0.2"/>
    <row r="12236" ht="12.75" hidden="1" customHeight="1" x14ac:dyDescent="0.2"/>
    <row r="12237" ht="12.75" hidden="1" customHeight="1" x14ac:dyDescent="0.2"/>
    <row r="12238" ht="12.75" hidden="1" customHeight="1" x14ac:dyDescent="0.2"/>
    <row r="12239" ht="12.75" hidden="1" customHeight="1" x14ac:dyDescent="0.2"/>
    <row r="12240" ht="12.75" hidden="1" customHeight="1" x14ac:dyDescent="0.2"/>
    <row r="12241" ht="12.75" hidden="1" customHeight="1" x14ac:dyDescent="0.2"/>
    <row r="12242" ht="12.75" hidden="1" customHeight="1" x14ac:dyDescent="0.2"/>
    <row r="12243" ht="12.75" hidden="1" customHeight="1" x14ac:dyDescent="0.2"/>
    <row r="12244" ht="12.75" hidden="1" customHeight="1" x14ac:dyDescent="0.2"/>
    <row r="12245" ht="12.75" hidden="1" customHeight="1" x14ac:dyDescent="0.2"/>
    <row r="12246" ht="12.75" hidden="1" customHeight="1" x14ac:dyDescent="0.2"/>
    <row r="12247" ht="12.75" hidden="1" customHeight="1" x14ac:dyDescent="0.2"/>
    <row r="12248" ht="12.75" hidden="1" customHeight="1" x14ac:dyDescent="0.2"/>
    <row r="12249" ht="12.75" hidden="1" customHeight="1" x14ac:dyDescent="0.2"/>
    <row r="12250" ht="12.75" hidden="1" customHeight="1" x14ac:dyDescent="0.2"/>
    <row r="12251" ht="12.75" hidden="1" customHeight="1" x14ac:dyDescent="0.2"/>
    <row r="12252" ht="12.75" hidden="1" customHeight="1" x14ac:dyDescent="0.2"/>
    <row r="12253" ht="12.75" hidden="1" customHeight="1" x14ac:dyDescent="0.2"/>
    <row r="12254" ht="12.75" hidden="1" customHeight="1" x14ac:dyDescent="0.2"/>
    <row r="12255" ht="12.75" hidden="1" customHeight="1" x14ac:dyDescent="0.2"/>
    <row r="12256" ht="12.75" hidden="1" customHeight="1" x14ac:dyDescent="0.2"/>
    <row r="12257" ht="12.75" hidden="1" customHeight="1" x14ac:dyDescent="0.2"/>
    <row r="12258" ht="12.75" hidden="1" customHeight="1" x14ac:dyDescent="0.2"/>
    <row r="12259" ht="12.75" hidden="1" customHeight="1" x14ac:dyDescent="0.2"/>
    <row r="12260" ht="12.75" hidden="1" customHeight="1" x14ac:dyDescent="0.2"/>
    <row r="12261" ht="12.75" hidden="1" customHeight="1" x14ac:dyDescent="0.2"/>
    <row r="12262" ht="12.75" hidden="1" customHeight="1" x14ac:dyDescent="0.2"/>
    <row r="12263" ht="12.75" hidden="1" customHeight="1" x14ac:dyDescent="0.2"/>
    <row r="12264" ht="12.75" hidden="1" customHeight="1" x14ac:dyDescent="0.2"/>
    <row r="12265" ht="12.75" hidden="1" customHeight="1" x14ac:dyDescent="0.2"/>
    <row r="12266" ht="12.75" hidden="1" customHeight="1" x14ac:dyDescent="0.2"/>
    <row r="12267" ht="12.75" hidden="1" customHeight="1" x14ac:dyDescent="0.2"/>
    <row r="12268" ht="12.75" hidden="1" customHeight="1" x14ac:dyDescent="0.2"/>
    <row r="12269" ht="12.75" hidden="1" customHeight="1" x14ac:dyDescent="0.2"/>
    <row r="12270" ht="12.75" hidden="1" customHeight="1" x14ac:dyDescent="0.2"/>
    <row r="12271" ht="12.75" hidden="1" customHeight="1" x14ac:dyDescent="0.2"/>
    <row r="12272" ht="12.75" hidden="1" customHeight="1" x14ac:dyDescent="0.2"/>
    <row r="12273" ht="12.75" hidden="1" customHeight="1" x14ac:dyDescent="0.2"/>
    <row r="12274" ht="12.75" hidden="1" customHeight="1" x14ac:dyDescent="0.2"/>
    <row r="12275" ht="12.75" hidden="1" customHeight="1" x14ac:dyDescent="0.2"/>
    <row r="12276" ht="12.75" hidden="1" customHeight="1" x14ac:dyDescent="0.2"/>
    <row r="12277" ht="12.75" hidden="1" customHeight="1" x14ac:dyDescent="0.2"/>
    <row r="12278" ht="12.75" hidden="1" customHeight="1" x14ac:dyDescent="0.2"/>
    <row r="12279" ht="12.75" hidden="1" customHeight="1" x14ac:dyDescent="0.2"/>
    <row r="12280" ht="12.75" hidden="1" customHeight="1" x14ac:dyDescent="0.2"/>
    <row r="12281" ht="12.75" hidden="1" customHeight="1" x14ac:dyDescent="0.2"/>
    <row r="12282" ht="12.75" hidden="1" customHeight="1" x14ac:dyDescent="0.2"/>
    <row r="12283" ht="12.75" hidden="1" customHeight="1" x14ac:dyDescent="0.2"/>
    <row r="12284" ht="12.75" hidden="1" customHeight="1" x14ac:dyDescent="0.2"/>
    <row r="12285" ht="12.75" hidden="1" customHeight="1" x14ac:dyDescent="0.2"/>
    <row r="12286" ht="12.75" hidden="1" customHeight="1" x14ac:dyDescent="0.2"/>
    <row r="12287" ht="12.75" hidden="1" customHeight="1" x14ac:dyDescent="0.2"/>
    <row r="12288" ht="12.75" hidden="1" customHeight="1" x14ac:dyDescent="0.2"/>
    <row r="12289" ht="12.75" hidden="1" customHeight="1" x14ac:dyDescent="0.2"/>
    <row r="12290" ht="12.75" hidden="1" customHeight="1" x14ac:dyDescent="0.2"/>
    <row r="12291" ht="12.75" hidden="1" customHeight="1" x14ac:dyDescent="0.2"/>
    <row r="12292" ht="12.75" hidden="1" customHeight="1" x14ac:dyDescent="0.2"/>
    <row r="12293" ht="12.75" hidden="1" customHeight="1" x14ac:dyDescent="0.2"/>
    <row r="12294" ht="12.75" hidden="1" customHeight="1" x14ac:dyDescent="0.2"/>
    <row r="12295" ht="12.75" hidden="1" customHeight="1" x14ac:dyDescent="0.2"/>
    <row r="12296" ht="12.75" hidden="1" customHeight="1" x14ac:dyDescent="0.2"/>
    <row r="12297" ht="12.75" hidden="1" customHeight="1" x14ac:dyDescent="0.2"/>
    <row r="12298" ht="12.75" hidden="1" customHeight="1" x14ac:dyDescent="0.2"/>
    <row r="12299" ht="12.75" hidden="1" customHeight="1" x14ac:dyDescent="0.2"/>
    <row r="12300" ht="12.75" hidden="1" customHeight="1" x14ac:dyDescent="0.2"/>
    <row r="12301" ht="12.75" hidden="1" customHeight="1" x14ac:dyDescent="0.2"/>
    <row r="12302" ht="12.75" hidden="1" customHeight="1" x14ac:dyDescent="0.2"/>
    <row r="12303" ht="12.75" hidden="1" customHeight="1" x14ac:dyDescent="0.2"/>
    <row r="12304" ht="12.75" hidden="1" customHeight="1" x14ac:dyDescent="0.2"/>
    <row r="12305" ht="12.75" hidden="1" customHeight="1" x14ac:dyDescent="0.2"/>
    <row r="12306" ht="12.75" hidden="1" customHeight="1" x14ac:dyDescent="0.2"/>
    <row r="12307" ht="12.75" hidden="1" customHeight="1" x14ac:dyDescent="0.2"/>
    <row r="12308" ht="12.75" hidden="1" customHeight="1" x14ac:dyDescent="0.2"/>
    <row r="12309" ht="12.75" hidden="1" customHeight="1" x14ac:dyDescent="0.2"/>
    <row r="12310" ht="12.75" hidden="1" customHeight="1" x14ac:dyDescent="0.2"/>
    <row r="12311" ht="12.75" hidden="1" customHeight="1" x14ac:dyDescent="0.2"/>
    <row r="12312" ht="12.75" hidden="1" customHeight="1" x14ac:dyDescent="0.2"/>
    <row r="12313" ht="12.75" hidden="1" customHeight="1" x14ac:dyDescent="0.2"/>
    <row r="12314" ht="12.75" hidden="1" customHeight="1" x14ac:dyDescent="0.2"/>
    <row r="12315" ht="12.75" hidden="1" customHeight="1" x14ac:dyDescent="0.2"/>
    <row r="12316" ht="12.75" hidden="1" customHeight="1" x14ac:dyDescent="0.2"/>
    <row r="12317" ht="12.75" hidden="1" customHeight="1" x14ac:dyDescent="0.2"/>
    <row r="12318" ht="12.75" hidden="1" customHeight="1" x14ac:dyDescent="0.2"/>
    <row r="12319" ht="12.75" hidden="1" customHeight="1" x14ac:dyDescent="0.2"/>
    <row r="12320" ht="12.75" hidden="1" customHeight="1" x14ac:dyDescent="0.2"/>
    <row r="12321" ht="12.75" hidden="1" customHeight="1" x14ac:dyDescent="0.2"/>
    <row r="12322" ht="12.75" hidden="1" customHeight="1" x14ac:dyDescent="0.2"/>
    <row r="12323" ht="12.75" hidden="1" customHeight="1" x14ac:dyDescent="0.2"/>
    <row r="12324" ht="12.75" hidden="1" customHeight="1" x14ac:dyDescent="0.2"/>
    <row r="12325" ht="12.75" hidden="1" customHeight="1" x14ac:dyDescent="0.2"/>
    <row r="12326" ht="12.75" hidden="1" customHeight="1" x14ac:dyDescent="0.2"/>
    <row r="12327" ht="12.75" hidden="1" customHeight="1" x14ac:dyDescent="0.2"/>
    <row r="12328" ht="12.75" hidden="1" customHeight="1" x14ac:dyDescent="0.2"/>
    <row r="12329" ht="12.75" hidden="1" customHeight="1" x14ac:dyDescent="0.2"/>
    <row r="12330" ht="12.75" hidden="1" customHeight="1" x14ac:dyDescent="0.2"/>
    <row r="12331" ht="12.75" hidden="1" customHeight="1" x14ac:dyDescent="0.2"/>
    <row r="12332" ht="12.75" hidden="1" customHeight="1" x14ac:dyDescent="0.2"/>
    <row r="12333" ht="12.75" hidden="1" customHeight="1" x14ac:dyDescent="0.2"/>
    <row r="12334" ht="12.75" hidden="1" customHeight="1" x14ac:dyDescent="0.2"/>
    <row r="12335" ht="12.75" hidden="1" customHeight="1" x14ac:dyDescent="0.2"/>
    <row r="12336" ht="12.75" hidden="1" customHeight="1" x14ac:dyDescent="0.2"/>
    <row r="12337" ht="12.75" hidden="1" customHeight="1" x14ac:dyDescent="0.2"/>
    <row r="12338" ht="12.75" hidden="1" customHeight="1" x14ac:dyDescent="0.2"/>
    <row r="12339" ht="12.75" hidden="1" customHeight="1" x14ac:dyDescent="0.2"/>
    <row r="12340" ht="12.75" hidden="1" customHeight="1" x14ac:dyDescent="0.2"/>
    <row r="12341" ht="12.75" hidden="1" customHeight="1" x14ac:dyDescent="0.2"/>
    <row r="12342" ht="12.75" hidden="1" customHeight="1" x14ac:dyDescent="0.2"/>
    <row r="12343" ht="12.75" hidden="1" customHeight="1" x14ac:dyDescent="0.2"/>
    <row r="12344" ht="12.75" hidden="1" customHeight="1" x14ac:dyDescent="0.2"/>
    <row r="12345" ht="12.75" hidden="1" customHeight="1" x14ac:dyDescent="0.2"/>
    <row r="12346" ht="12.75" hidden="1" customHeight="1" x14ac:dyDescent="0.2"/>
    <row r="12347" ht="12.75" hidden="1" customHeight="1" x14ac:dyDescent="0.2"/>
    <row r="12348" ht="12.75" hidden="1" customHeight="1" x14ac:dyDescent="0.2"/>
    <row r="12349" ht="12.75" hidden="1" customHeight="1" x14ac:dyDescent="0.2"/>
    <row r="12350" ht="12.75" hidden="1" customHeight="1" x14ac:dyDescent="0.2"/>
    <row r="12351" ht="12.75" hidden="1" customHeight="1" x14ac:dyDescent="0.2"/>
    <row r="12352" ht="12.75" hidden="1" customHeight="1" x14ac:dyDescent="0.2"/>
    <row r="12353" ht="12.75" hidden="1" customHeight="1" x14ac:dyDescent="0.2"/>
    <row r="12354" ht="12.75" hidden="1" customHeight="1" x14ac:dyDescent="0.2"/>
    <row r="12355" ht="12.75" hidden="1" customHeight="1" x14ac:dyDescent="0.2"/>
    <row r="12356" ht="12.75" hidden="1" customHeight="1" x14ac:dyDescent="0.2"/>
    <row r="12357" ht="12.75" hidden="1" customHeight="1" x14ac:dyDescent="0.2"/>
    <row r="12358" ht="12.75" hidden="1" customHeight="1" x14ac:dyDescent="0.2"/>
    <row r="12359" ht="12.75" hidden="1" customHeight="1" x14ac:dyDescent="0.2"/>
    <row r="12360" ht="12.75" hidden="1" customHeight="1" x14ac:dyDescent="0.2"/>
    <row r="12361" ht="12.75" hidden="1" customHeight="1" x14ac:dyDescent="0.2"/>
    <row r="12362" ht="12.75" hidden="1" customHeight="1" x14ac:dyDescent="0.2"/>
    <row r="12363" ht="12.75" hidden="1" customHeight="1" x14ac:dyDescent="0.2"/>
    <row r="12364" ht="12.75" hidden="1" customHeight="1" x14ac:dyDescent="0.2"/>
    <row r="12365" ht="12.75" hidden="1" customHeight="1" x14ac:dyDescent="0.2"/>
    <row r="12366" ht="12.75" hidden="1" customHeight="1" x14ac:dyDescent="0.2"/>
    <row r="12367" ht="12.75" hidden="1" customHeight="1" x14ac:dyDescent="0.2"/>
    <row r="12368" ht="12.75" hidden="1" customHeight="1" x14ac:dyDescent="0.2"/>
    <row r="12369" ht="12.75" hidden="1" customHeight="1" x14ac:dyDescent="0.2"/>
    <row r="12370" ht="12.75" hidden="1" customHeight="1" x14ac:dyDescent="0.2"/>
    <row r="12371" ht="12.75" hidden="1" customHeight="1" x14ac:dyDescent="0.2"/>
    <row r="12372" ht="12.75" hidden="1" customHeight="1" x14ac:dyDescent="0.2"/>
    <row r="12373" ht="12.75" hidden="1" customHeight="1" x14ac:dyDescent="0.2"/>
    <row r="12374" ht="12.75" hidden="1" customHeight="1" x14ac:dyDescent="0.2"/>
    <row r="12375" ht="12.75" hidden="1" customHeight="1" x14ac:dyDescent="0.2"/>
    <row r="12376" ht="12.75" hidden="1" customHeight="1" x14ac:dyDescent="0.2"/>
    <row r="12377" ht="12.75" hidden="1" customHeight="1" x14ac:dyDescent="0.2"/>
    <row r="12378" ht="12.75" hidden="1" customHeight="1" x14ac:dyDescent="0.2"/>
    <row r="12379" ht="12.75" hidden="1" customHeight="1" x14ac:dyDescent="0.2"/>
    <row r="12380" ht="12.75" hidden="1" customHeight="1" x14ac:dyDescent="0.2"/>
    <row r="12381" ht="12.75" hidden="1" customHeight="1" x14ac:dyDescent="0.2"/>
    <row r="12382" ht="12.75" hidden="1" customHeight="1" x14ac:dyDescent="0.2"/>
    <row r="12383" ht="12.75" hidden="1" customHeight="1" x14ac:dyDescent="0.2"/>
    <row r="12384" ht="12.75" hidden="1" customHeight="1" x14ac:dyDescent="0.2"/>
    <row r="12385" ht="12.75" hidden="1" customHeight="1" x14ac:dyDescent="0.2"/>
    <row r="12386" ht="12.75" hidden="1" customHeight="1" x14ac:dyDescent="0.2"/>
    <row r="12387" ht="12.75" hidden="1" customHeight="1" x14ac:dyDescent="0.2"/>
    <row r="12388" ht="12.75" hidden="1" customHeight="1" x14ac:dyDescent="0.2"/>
    <row r="12389" ht="12.75" hidden="1" customHeight="1" x14ac:dyDescent="0.2"/>
    <row r="12390" ht="12.75" hidden="1" customHeight="1" x14ac:dyDescent="0.2"/>
    <row r="12391" ht="12.75" hidden="1" customHeight="1" x14ac:dyDescent="0.2"/>
    <row r="12392" ht="12.75" hidden="1" customHeight="1" x14ac:dyDescent="0.2"/>
    <row r="12393" ht="12.75" hidden="1" customHeight="1" x14ac:dyDescent="0.2"/>
    <row r="12394" ht="12.75" hidden="1" customHeight="1" x14ac:dyDescent="0.2"/>
    <row r="12395" ht="12.75" hidden="1" customHeight="1" x14ac:dyDescent="0.2"/>
    <row r="12396" ht="12.75" hidden="1" customHeight="1" x14ac:dyDescent="0.2"/>
    <row r="12397" ht="12.75" hidden="1" customHeight="1" x14ac:dyDescent="0.2"/>
    <row r="12398" ht="12.75" hidden="1" customHeight="1" x14ac:dyDescent="0.2"/>
    <row r="12399" ht="12.75" hidden="1" customHeight="1" x14ac:dyDescent="0.2"/>
    <row r="12400" ht="12.75" hidden="1" customHeight="1" x14ac:dyDescent="0.2"/>
    <row r="12401" ht="12.75" hidden="1" customHeight="1" x14ac:dyDescent="0.2"/>
    <row r="12402" ht="12.75" hidden="1" customHeight="1" x14ac:dyDescent="0.2"/>
    <row r="12403" ht="12.75" hidden="1" customHeight="1" x14ac:dyDescent="0.2"/>
    <row r="12404" ht="12.75" hidden="1" customHeight="1" x14ac:dyDescent="0.2"/>
    <row r="12405" ht="12.75" hidden="1" customHeight="1" x14ac:dyDescent="0.2"/>
    <row r="12406" ht="12.75" hidden="1" customHeight="1" x14ac:dyDescent="0.2"/>
    <row r="12407" ht="12.75" hidden="1" customHeight="1" x14ac:dyDescent="0.2"/>
    <row r="12408" ht="12.75" hidden="1" customHeight="1" x14ac:dyDescent="0.2"/>
    <row r="12409" ht="12.75" hidden="1" customHeight="1" x14ac:dyDescent="0.2"/>
    <row r="12410" ht="12.75" hidden="1" customHeight="1" x14ac:dyDescent="0.2"/>
    <row r="12411" ht="12.75" hidden="1" customHeight="1" x14ac:dyDescent="0.2"/>
    <row r="12412" ht="12.75" hidden="1" customHeight="1" x14ac:dyDescent="0.2"/>
    <row r="12413" ht="12.75" hidden="1" customHeight="1" x14ac:dyDescent="0.2"/>
    <row r="12414" ht="12.75" hidden="1" customHeight="1" x14ac:dyDescent="0.2"/>
    <row r="12415" ht="12.75" hidden="1" customHeight="1" x14ac:dyDescent="0.2"/>
    <row r="12416" ht="12.75" hidden="1" customHeight="1" x14ac:dyDescent="0.2"/>
    <row r="12417" ht="12.75" hidden="1" customHeight="1" x14ac:dyDescent="0.2"/>
    <row r="12418" ht="12.75" hidden="1" customHeight="1" x14ac:dyDescent="0.2"/>
    <row r="12419" ht="12.75" hidden="1" customHeight="1" x14ac:dyDescent="0.2"/>
    <row r="12420" ht="12.75" hidden="1" customHeight="1" x14ac:dyDescent="0.2"/>
    <row r="12421" ht="12.75" hidden="1" customHeight="1" x14ac:dyDescent="0.2"/>
    <row r="12422" ht="12.75" hidden="1" customHeight="1" x14ac:dyDescent="0.2"/>
    <row r="12423" ht="12.75" hidden="1" customHeight="1" x14ac:dyDescent="0.2"/>
    <row r="12424" ht="12.75" hidden="1" customHeight="1" x14ac:dyDescent="0.2"/>
    <row r="12425" ht="12.75" hidden="1" customHeight="1" x14ac:dyDescent="0.2"/>
    <row r="12426" ht="12.75" hidden="1" customHeight="1" x14ac:dyDescent="0.2"/>
    <row r="12427" ht="12.75" hidden="1" customHeight="1" x14ac:dyDescent="0.2"/>
    <row r="12428" ht="12.75" hidden="1" customHeight="1" x14ac:dyDescent="0.2"/>
    <row r="12429" ht="12.75" hidden="1" customHeight="1" x14ac:dyDescent="0.2"/>
    <row r="12430" ht="12.75" hidden="1" customHeight="1" x14ac:dyDescent="0.2"/>
    <row r="12431" ht="12.75" hidden="1" customHeight="1" x14ac:dyDescent="0.2"/>
    <row r="12432" ht="12.75" hidden="1" customHeight="1" x14ac:dyDescent="0.2"/>
    <row r="12433" ht="12.75" hidden="1" customHeight="1" x14ac:dyDescent="0.2"/>
    <row r="12434" ht="12.75" hidden="1" customHeight="1" x14ac:dyDescent="0.2"/>
    <row r="12435" ht="12.75" hidden="1" customHeight="1" x14ac:dyDescent="0.2"/>
    <row r="12436" ht="12.75" hidden="1" customHeight="1" x14ac:dyDescent="0.2"/>
    <row r="12437" ht="12.75" hidden="1" customHeight="1" x14ac:dyDescent="0.2"/>
    <row r="12438" ht="12.75" hidden="1" customHeight="1" x14ac:dyDescent="0.2"/>
    <row r="12439" ht="12.75" hidden="1" customHeight="1" x14ac:dyDescent="0.2"/>
    <row r="12440" ht="12.75" hidden="1" customHeight="1" x14ac:dyDescent="0.2"/>
    <row r="12441" ht="12.75" hidden="1" customHeight="1" x14ac:dyDescent="0.2"/>
    <row r="12442" ht="12.75" hidden="1" customHeight="1" x14ac:dyDescent="0.2"/>
    <row r="12443" ht="12.75" hidden="1" customHeight="1" x14ac:dyDescent="0.2"/>
    <row r="12444" ht="12.75" hidden="1" customHeight="1" x14ac:dyDescent="0.2"/>
    <row r="12445" ht="12.75" hidden="1" customHeight="1" x14ac:dyDescent="0.2"/>
    <row r="12446" ht="12.75" hidden="1" customHeight="1" x14ac:dyDescent="0.2"/>
    <row r="12447" ht="12.75" hidden="1" customHeight="1" x14ac:dyDescent="0.2"/>
    <row r="12448" ht="12.75" hidden="1" customHeight="1" x14ac:dyDescent="0.2"/>
    <row r="12449" ht="12.75" hidden="1" customHeight="1" x14ac:dyDescent="0.2"/>
    <row r="12450" ht="12.75" hidden="1" customHeight="1" x14ac:dyDescent="0.2"/>
    <row r="12451" ht="12.75" hidden="1" customHeight="1" x14ac:dyDescent="0.2"/>
    <row r="12452" ht="12.75" hidden="1" customHeight="1" x14ac:dyDescent="0.2"/>
    <row r="12453" ht="12.75" hidden="1" customHeight="1" x14ac:dyDescent="0.2"/>
    <row r="12454" ht="12.75" hidden="1" customHeight="1" x14ac:dyDescent="0.2"/>
    <row r="12455" ht="12.75" hidden="1" customHeight="1" x14ac:dyDescent="0.2"/>
    <row r="12456" ht="12.75" hidden="1" customHeight="1" x14ac:dyDescent="0.2"/>
    <row r="12457" ht="12.75" hidden="1" customHeight="1" x14ac:dyDescent="0.2"/>
    <row r="12458" ht="12.75" hidden="1" customHeight="1" x14ac:dyDescent="0.2"/>
    <row r="12459" ht="12.75" hidden="1" customHeight="1" x14ac:dyDescent="0.2"/>
    <row r="12460" ht="12.75" hidden="1" customHeight="1" x14ac:dyDescent="0.2"/>
    <row r="12461" ht="12.75" hidden="1" customHeight="1" x14ac:dyDescent="0.2"/>
    <row r="12462" ht="12.75" hidden="1" customHeight="1" x14ac:dyDescent="0.2"/>
    <row r="12463" ht="12.75" hidden="1" customHeight="1" x14ac:dyDescent="0.2"/>
    <row r="12464" ht="12.75" hidden="1" customHeight="1" x14ac:dyDescent="0.2"/>
    <row r="12465" ht="12.75" hidden="1" customHeight="1" x14ac:dyDescent="0.2"/>
    <row r="12466" ht="12.75" hidden="1" customHeight="1" x14ac:dyDescent="0.2"/>
    <row r="12467" ht="12.75" hidden="1" customHeight="1" x14ac:dyDescent="0.2"/>
    <row r="12468" ht="12.75" hidden="1" customHeight="1" x14ac:dyDescent="0.2"/>
    <row r="12469" ht="12.75" hidden="1" customHeight="1" x14ac:dyDescent="0.2"/>
    <row r="12470" ht="12.75" hidden="1" customHeight="1" x14ac:dyDescent="0.2"/>
    <row r="12471" ht="12.75" hidden="1" customHeight="1" x14ac:dyDescent="0.2"/>
    <row r="12472" ht="12.75" hidden="1" customHeight="1" x14ac:dyDescent="0.2"/>
    <row r="12473" ht="12.75" hidden="1" customHeight="1" x14ac:dyDescent="0.2"/>
    <row r="12474" ht="12.75" hidden="1" customHeight="1" x14ac:dyDescent="0.2"/>
    <row r="12475" ht="12.75" hidden="1" customHeight="1" x14ac:dyDescent="0.2"/>
    <row r="12476" ht="12.75" hidden="1" customHeight="1" x14ac:dyDescent="0.2"/>
    <row r="12477" ht="12.75" hidden="1" customHeight="1" x14ac:dyDescent="0.2"/>
    <row r="12478" ht="12.75" hidden="1" customHeight="1" x14ac:dyDescent="0.2"/>
    <row r="12479" ht="12.75" hidden="1" customHeight="1" x14ac:dyDescent="0.2"/>
    <row r="12480" ht="12.75" hidden="1" customHeight="1" x14ac:dyDescent="0.2"/>
    <row r="12481" ht="12.75" hidden="1" customHeight="1" x14ac:dyDescent="0.2"/>
    <row r="12482" ht="12.75" hidden="1" customHeight="1" x14ac:dyDescent="0.2"/>
    <row r="12483" ht="12.75" hidden="1" customHeight="1" x14ac:dyDescent="0.2"/>
    <row r="12484" ht="12.75" hidden="1" customHeight="1" x14ac:dyDescent="0.2"/>
    <row r="12485" ht="12.75" hidden="1" customHeight="1" x14ac:dyDescent="0.2"/>
    <row r="12486" ht="12.75" hidden="1" customHeight="1" x14ac:dyDescent="0.2"/>
    <row r="12487" ht="12.75" hidden="1" customHeight="1" x14ac:dyDescent="0.2"/>
    <row r="12488" ht="12.75" hidden="1" customHeight="1" x14ac:dyDescent="0.2"/>
    <row r="12489" ht="12.75" hidden="1" customHeight="1" x14ac:dyDescent="0.2"/>
    <row r="12490" ht="12.75" hidden="1" customHeight="1" x14ac:dyDescent="0.2"/>
    <row r="12491" ht="12.75" hidden="1" customHeight="1" x14ac:dyDescent="0.2"/>
    <row r="12492" ht="12.75" hidden="1" customHeight="1" x14ac:dyDescent="0.2"/>
    <row r="12493" ht="12.75" hidden="1" customHeight="1" x14ac:dyDescent="0.2"/>
    <row r="12494" ht="12.75" hidden="1" customHeight="1" x14ac:dyDescent="0.2"/>
    <row r="12495" ht="12.75" hidden="1" customHeight="1" x14ac:dyDescent="0.2"/>
    <row r="12496" ht="12.75" hidden="1" customHeight="1" x14ac:dyDescent="0.2"/>
    <row r="12497" ht="12.75" hidden="1" customHeight="1" x14ac:dyDescent="0.2"/>
    <row r="12498" ht="12.75" hidden="1" customHeight="1" x14ac:dyDescent="0.2"/>
    <row r="12499" ht="12.75" hidden="1" customHeight="1" x14ac:dyDescent="0.2"/>
    <row r="12500" ht="12.75" hidden="1" customHeight="1" x14ac:dyDescent="0.2"/>
    <row r="12501" ht="12.75" hidden="1" customHeight="1" x14ac:dyDescent="0.2"/>
    <row r="12502" ht="12.75" hidden="1" customHeight="1" x14ac:dyDescent="0.2"/>
    <row r="12503" ht="12.75" hidden="1" customHeight="1" x14ac:dyDescent="0.2"/>
    <row r="12504" ht="12.75" hidden="1" customHeight="1" x14ac:dyDescent="0.2"/>
    <row r="12505" ht="12.75" hidden="1" customHeight="1" x14ac:dyDescent="0.2"/>
    <row r="12506" ht="12.75" hidden="1" customHeight="1" x14ac:dyDescent="0.2"/>
    <row r="12507" ht="12.75" hidden="1" customHeight="1" x14ac:dyDescent="0.2"/>
    <row r="12508" ht="12.75" hidden="1" customHeight="1" x14ac:dyDescent="0.2"/>
    <row r="12509" ht="12.75" hidden="1" customHeight="1" x14ac:dyDescent="0.2"/>
    <row r="12510" ht="12.75" hidden="1" customHeight="1" x14ac:dyDescent="0.2"/>
    <row r="12511" ht="12.75" hidden="1" customHeight="1" x14ac:dyDescent="0.2"/>
    <row r="12512" ht="12.75" hidden="1" customHeight="1" x14ac:dyDescent="0.2"/>
    <row r="12513" ht="12.75" hidden="1" customHeight="1" x14ac:dyDescent="0.2"/>
    <row r="12514" ht="12.75" hidden="1" customHeight="1" x14ac:dyDescent="0.2"/>
    <row r="12515" ht="12.75" hidden="1" customHeight="1" x14ac:dyDescent="0.2"/>
    <row r="12516" ht="12.75" hidden="1" customHeight="1" x14ac:dyDescent="0.2"/>
    <row r="12517" ht="12.75" hidden="1" customHeight="1" x14ac:dyDescent="0.2"/>
    <row r="12518" ht="12.75" hidden="1" customHeight="1" x14ac:dyDescent="0.2"/>
    <row r="12519" ht="12.75" hidden="1" customHeight="1" x14ac:dyDescent="0.2"/>
    <row r="12520" ht="12.75" hidden="1" customHeight="1" x14ac:dyDescent="0.2"/>
    <row r="12521" ht="12.75" hidden="1" customHeight="1" x14ac:dyDescent="0.2"/>
    <row r="12522" ht="12.75" hidden="1" customHeight="1" x14ac:dyDescent="0.2"/>
    <row r="12523" ht="12.75" hidden="1" customHeight="1" x14ac:dyDescent="0.2"/>
    <row r="12524" ht="12.75" hidden="1" customHeight="1" x14ac:dyDescent="0.2"/>
    <row r="12525" ht="12.75" hidden="1" customHeight="1" x14ac:dyDescent="0.2"/>
    <row r="12526" ht="12.75" hidden="1" customHeight="1" x14ac:dyDescent="0.2"/>
    <row r="12527" ht="12.75" hidden="1" customHeight="1" x14ac:dyDescent="0.2"/>
    <row r="12528" ht="12.75" hidden="1" customHeight="1" x14ac:dyDescent="0.2"/>
    <row r="12529" ht="12.75" hidden="1" customHeight="1" x14ac:dyDescent="0.2"/>
    <row r="12530" ht="12.75" hidden="1" customHeight="1" x14ac:dyDescent="0.2"/>
    <row r="12531" ht="12.75" hidden="1" customHeight="1" x14ac:dyDescent="0.2"/>
    <row r="12532" ht="12.75" hidden="1" customHeight="1" x14ac:dyDescent="0.2"/>
    <row r="12533" ht="12.75" hidden="1" customHeight="1" x14ac:dyDescent="0.2"/>
    <row r="12534" ht="12.75" hidden="1" customHeight="1" x14ac:dyDescent="0.2"/>
    <row r="12535" ht="12.75" hidden="1" customHeight="1" x14ac:dyDescent="0.2"/>
    <row r="12536" ht="12.75" hidden="1" customHeight="1" x14ac:dyDescent="0.2"/>
    <row r="12537" ht="12.75" hidden="1" customHeight="1" x14ac:dyDescent="0.2"/>
    <row r="12538" ht="12.75" hidden="1" customHeight="1" x14ac:dyDescent="0.2"/>
    <row r="12539" ht="12.75" hidden="1" customHeight="1" x14ac:dyDescent="0.2"/>
    <row r="12540" ht="12.75" hidden="1" customHeight="1" x14ac:dyDescent="0.2"/>
    <row r="12541" ht="12.75" hidden="1" customHeight="1" x14ac:dyDescent="0.2"/>
    <row r="12542" ht="12.75" hidden="1" customHeight="1" x14ac:dyDescent="0.2"/>
    <row r="12543" ht="12.75" hidden="1" customHeight="1" x14ac:dyDescent="0.2"/>
    <row r="12544" ht="12.75" hidden="1" customHeight="1" x14ac:dyDescent="0.2"/>
    <row r="12545" ht="12.75" hidden="1" customHeight="1" x14ac:dyDescent="0.2"/>
    <row r="12546" ht="12.75" hidden="1" customHeight="1" x14ac:dyDescent="0.2"/>
    <row r="12547" ht="12.75" hidden="1" customHeight="1" x14ac:dyDescent="0.2"/>
    <row r="12548" ht="12.75" hidden="1" customHeight="1" x14ac:dyDescent="0.2"/>
    <row r="12549" ht="12.75" hidden="1" customHeight="1" x14ac:dyDescent="0.2"/>
    <row r="12550" ht="12.75" hidden="1" customHeight="1" x14ac:dyDescent="0.2"/>
    <row r="12551" ht="12.75" hidden="1" customHeight="1" x14ac:dyDescent="0.2"/>
    <row r="12552" ht="12.75" hidden="1" customHeight="1" x14ac:dyDescent="0.2"/>
    <row r="12553" ht="12.75" hidden="1" customHeight="1" x14ac:dyDescent="0.2"/>
    <row r="12554" ht="12.75" hidden="1" customHeight="1" x14ac:dyDescent="0.2"/>
    <row r="12555" ht="12.75" hidden="1" customHeight="1" x14ac:dyDescent="0.2"/>
    <row r="12556" ht="12.75" hidden="1" customHeight="1" x14ac:dyDescent="0.2"/>
    <row r="12557" ht="12.75" hidden="1" customHeight="1" x14ac:dyDescent="0.2"/>
    <row r="12558" ht="12.75" hidden="1" customHeight="1" x14ac:dyDescent="0.2"/>
    <row r="12559" ht="12.75" hidden="1" customHeight="1" x14ac:dyDescent="0.2"/>
    <row r="12560" ht="12.75" hidden="1" customHeight="1" x14ac:dyDescent="0.2"/>
    <row r="12561" ht="12.75" hidden="1" customHeight="1" x14ac:dyDescent="0.2"/>
    <row r="12562" ht="12.75" hidden="1" customHeight="1" x14ac:dyDescent="0.2"/>
    <row r="12563" ht="12.75" hidden="1" customHeight="1" x14ac:dyDescent="0.2"/>
    <row r="12564" ht="12.75" hidden="1" customHeight="1" x14ac:dyDescent="0.2"/>
    <row r="12565" ht="12.75" hidden="1" customHeight="1" x14ac:dyDescent="0.2"/>
    <row r="12566" ht="12.75" hidden="1" customHeight="1" x14ac:dyDescent="0.2"/>
    <row r="12567" ht="12.75" hidden="1" customHeight="1" x14ac:dyDescent="0.2"/>
    <row r="12568" ht="12.75" hidden="1" customHeight="1" x14ac:dyDescent="0.2"/>
    <row r="12569" ht="12.75" hidden="1" customHeight="1" x14ac:dyDescent="0.2"/>
    <row r="12570" ht="12.75" hidden="1" customHeight="1" x14ac:dyDescent="0.2"/>
    <row r="12571" ht="12.75" hidden="1" customHeight="1" x14ac:dyDescent="0.2"/>
    <row r="12572" ht="12.75" hidden="1" customHeight="1" x14ac:dyDescent="0.2"/>
    <row r="12573" ht="12.75" hidden="1" customHeight="1" x14ac:dyDescent="0.2"/>
    <row r="12574" ht="12.75" hidden="1" customHeight="1" x14ac:dyDescent="0.2"/>
    <row r="12575" ht="12.75" hidden="1" customHeight="1" x14ac:dyDescent="0.2"/>
    <row r="12576" ht="12.75" hidden="1" customHeight="1" x14ac:dyDescent="0.2"/>
    <row r="12577" ht="12.75" hidden="1" customHeight="1" x14ac:dyDescent="0.2"/>
    <row r="12578" ht="12.75" hidden="1" customHeight="1" x14ac:dyDescent="0.2"/>
    <row r="12579" ht="12.75" hidden="1" customHeight="1" x14ac:dyDescent="0.2"/>
    <row r="12580" ht="12.75" hidden="1" customHeight="1" x14ac:dyDescent="0.2"/>
    <row r="12581" ht="12.75" hidden="1" customHeight="1" x14ac:dyDescent="0.2"/>
    <row r="12582" ht="12.75" hidden="1" customHeight="1" x14ac:dyDescent="0.2"/>
    <row r="12583" ht="12.75" hidden="1" customHeight="1" x14ac:dyDescent="0.2"/>
    <row r="12584" ht="12.75" hidden="1" customHeight="1" x14ac:dyDescent="0.2"/>
    <row r="12585" ht="12.75" hidden="1" customHeight="1" x14ac:dyDescent="0.2"/>
    <row r="12586" ht="12.75" hidden="1" customHeight="1" x14ac:dyDescent="0.2"/>
    <row r="12587" ht="12.75" hidden="1" customHeight="1" x14ac:dyDescent="0.2"/>
    <row r="12588" ht="12.75" hidden="1" customHeight="1" x14ac:dyDescent="0.2"/>
    <row r="12589" ht="12.75" hidden="1" customHeight="1" x14ac:dyDescent="0.2"/>
    <row r="12590" ht="12.75" hidden="1" customHeight="1" x14ac:dyDescent="0.2"/>
    <row r="12591" ht="12.75" hidden="1" customHeight="1" x14ac:dyDescent="0.2"/>
    <row r="12592" ht="12.75" hidden="1" customHeight="1" x14ac:dyDescent="0.2"/>
    <row r="12593" ht="12.75" hidden="1" customHeight="1" x14ac:dyDescent="0.2"/>
    <row r="12594" ht="12.75" hidden="1" customHeight="1" x14ac:dyDescent="0.2"/>
    <row r="12595" ht="12.75" hidden="1" customHeight="1" x14ac:dyDescent="0.2"/>
    <row r="12596" ht="12.75" hidden="1" customHeight="1" x14ac:dyDescent="0.2"/>
    <row r="12597" ht="12.75" hidden="1" customHeight="1" x14ac:dyDescent="0.2"/>
    <row r="12598" ht="12.75" hidden="1" customHeight="1" x14ac:dyDescent="0.2"/>
    <row r="12599" ht="12.75" hidden="1" customHeight="1" x14ac:dyDescent="0.2"/>
    <row r="12600" ht="12.75" hidden="1" customHeight="1" x14ac:dyDescent="0.2"/>
    <row r="12601" ht="12.75" hidden="1" customHeight="1" x14ac:dyDescent="0.2"/>
    <row r="12602" ht="12.75" hidden="1" customHeight="1" x14ac:dyDescent="0.2"/>
    <row r="12603" ht="12.75" hidden="1" customHeight="1" x14ac:dyDescent="0.2"/>
    <row r="12604" ht="12.75" hidden="1" customHeight="1" x14ac:dyDescent="0.2"/>
    <row r="12605" ht="12.75" hidden="1" customHeight="1" x14ac:dyDescent="0.2"/>
    <row r="12606" ht="12.75" hidden="1" customHeight="1" x14ac:dyDescent="0.2"/>
    <row r="12607" ht="12.75" hidden="1" customHeight="1" x14ac:dyDescent="0.2"/>
    <row r="12608" ht="12.75" hidden="1" customHeight="1" x14ac:dyDescent="0.2"/>
    <row r="12609" ht="12.75" hidden="1" customHeight="1" x14ac:dyDescent="0.2"/>
    <row r="12610" ht="12.75" hidden="1" customHeight="1" x14ac:dyDescent="0.2"/>
    <row r="12611" ht="12.75" hidden="1" customHeight="1" x14ac:dyDescent="0.2"/>
    <row r="12612" ht="12.75" hidden="1" customHeight="1" x14ac:dyDescent="0.2"/>
    <row r="12613" ht="12.75" hidden="1" customHeight="1" x14ac:dyDescent="0.2"/>
    <row r="12614" ht="12.75" hidden="1" customHeight="1" x14ac:dyDescent="0.2"/>
    <row r="12615" ht="12.75" hidden="1" customHeight="1" x14ac:dyDescent="0.2"/>
    <row r="12616" ht="12.75" hidden="1" customHeight="1" x14ac:dyDescent="0.2"/>
    <row r="12617" ht="12.75" hidden="1" customHeight="1" x14ac:dyDescent="0.2"/>
    <row r="12618" ht="12.75" hidden="1" customHeight="1" x14ac:dyDescent="0.2"/>
    <row r="12619" ht="12.75" hidden="1" customHeight="1" x14ac:dyDescent="0.2"/>
    <row r="12620" ht="12.75" hidden="1" customHeight="1" x14ac:dyDescent="0.2"/>
    <row r="12621" ht="12.75" hidden="1" customHeight="1" x14ac:dyDescent="0.2"/>
    <row r="12622" ht="12.75" hidden="1" customHeight="1" x14ac:dyDescent="0.2"/>
    <row r="12623" ht="12.75" hidden="1" customHeight="1" x14ac:dyDescent="0.2"/>
    <row r="12624" ht="12.75" hidden="1" customHeight="1" x14ac:dyDescent="0.2"/>
    <row r="12625" ht="12.75" hidden="1" customHeight="1" x14ac:dyDescent="0.2"/>
    <row r="12626" ht="12.75" hidden="1" customHeight="1" x14ac:dyDescent="0.2"/>
    <row r="12627" ht="12.75" hidden="1" customHeight="1" x14ac:dyDescent="0.2"/>
    <row r="12628" ht="12.75" hidden="1" customHeight="1" x14ac:dyDescent="0.2"/>
    <row r="12629" ht="12.75" hidden="1" customHeight="1" x14ac:dyDescent="0.2"/>
    <row r="12630" ht="12.75" hidden="1" customHeight="1" x14ac:dyDescent="0.2"/>
    <row r="12631" ht="12.75" hidden="1" customHeight="1" x14ac:dyDescent="0.2"/>
    <row r="12632" ht="12.75" hidden="1" customHeight="1" x14ac:dyDescent="0.2"/>
    <row r="12633" ht="12.75" hidden="1" customHeight="1" x14ac:dyDescent="0.2"/>
    <row r="12634" ht="12.75" hidden="1" customHeight="1" x14ac:dyDescent="0.2"/>
    <row r="12635" ht="12.75" hidden="1" customHeight="1" x14ac:dyDescent="0.2"/>
    <row r="12636" ht="12.75" hidden="1" customHeight="1" x14ac:dyDescent="0.2"/>
    <row r="12637" ht="12.75" hidden="1" customHeight="1" x14ac:dyDescent="0.2"/>
    <row r="12638" ht="12.75" hidden="1" customHeight="1" x14ac:dyDescent="0.2"/>
    <row r="12639" ht="12.75" hidden="1" customHeight="1" x14ac:dyDescent="0.2"/>
    <row r="12640" ht="12.75" hidden="1" customHeight="1" x14ac:dyDescent="0.2"/>
    <row r="12641" ht="12.75" hidden="1" customHeight="1" x14ac:dyDescent="0.2"/>
    <row r="12642" ht="12.75" hidden="1" customHeight="1" x14ac:dyDescent="0.2"/>
    <row r="12643" ht="12.75" hidden="1" customHeight="1" x14ac:dyDescent="0.2"/>
    <row r="12644" ht="12.75" hidden="1" customHeight="1" x14ac:dyDescent="0.2"/>
    <row r="12645" ht="12.75" hidden="1" customHeight="1" x14ac:dyDescent="0.2"/>
    <row r="12646" ht="12.75" hidden="1" customHeight="1" x14ac:dyDescent="0.2"/>
    <row r="12647" ht="12.75" hidden="1" customHeight="1" x14ac:dyDescent="0.2"/>
    <row r="12648" ht="12.75" hidden="1" customHeight="1" x14ac:dyDescent="0.2"/>
    <row r="12649" ht="12.75" hidden="1" customHeight="1" x14ac:dyDescent="0.2"/>
    <row r="12650" ht="12.75" hidden="1" customHeight="1" x14ac:dyDescent="0.2"/>
    <row r="12651" ht="12.75" hidden="1" customHeight="1" x14ac:dyDescent="0.2"/>
    <row r="12652" ht="12.75" hidden="1" customHeight="1" x14ac:dyDescent="0.2"/>
    <row r="12653" ht="12.75" hidden="1" customHeight="1" x14ac:dyDescent="0.2"/>
    <row r="12654" ht="12.75" hidden="1" customHeight="1" x14ac:dyDescent="0.2"/>
    <row r="12655" ht="12.75" hidden="1" customHeight="1" x14ac:dyDescent="0.2"/>
    <row r="12656" ht="12.75" hidden="1" customHeight="1" x14ac:dyDescent="0.2"/>
    <row r="12657" ht="12.75" hidden="1" customHeight="1" x14ac:dyDescent="0.2"/>
    <row r="12658" ht="12.75" hidden="1" customHeight="1" x14ac:dyDescent="0.2"/>
    <row r="12659" ht="12.75" hidden="1" customHeight="1" x14ac:dyDescent="0.2"/>
    <row r="12660" ht="12.75" hidden="1" customHeight="1" x14ac:dyDescent="0.2"/>
    <row r="12661" ht="12.75" hidden="1" customHeight="1" x14ac:dyDescent="0.2"/>
    <row r="12662" ht="12.75" hidden="1" customHeight="1" x14ac:dyDescent="0.2"/>
    <row r="12663" ht="12.75" hidden="1" customHeight="1" x14ac:dyDescent="0.2"/>
    <row r="12664" ht="12.75" hidden="1" customHeight="1" x14ac:dyDescent="0.2"/>
    <row r="12665" ht="12.75" hidden="1" customHeight="1" x14ac:dyDescent="0.2"/>
    <row r="12666" ht="12.75" hidden="1" customHeight="1" x14ac:dyDescent="0.2"/>
    <row r="12667" ht="12.75" hidden="1" customHeight="1" x14ac:dyDescent="0.2"/>
    <row r="12668" ht="12.75" hidden="1" customHeight="1" x14ac:dyDescent="0.2"/>
    <row r="12669" ht="12.75" hidden="1" customHeight="1" x14ac:dyDescent="0.2"/>
    <row r="12670" ht="12.75" hidden="1" customHeight="1" x14ac:dyDescent="0.2"/>
    <row r="12671" ht="12.75" hidden="1" customHeight="1" x14ac:dyDescent="0.2"/>
    <row r="12672" ht="12.75" hidden="1" customHeight="1" x14ac:dyDescent="0.2"/>
    <row r="12673" ht="12.75" hidden="1" customHeight="1" x14ac:dyDescent="0.2"/>
    <row r="12674" ht="12.75" hidden="1" customHeight="1" x14ac:dyDescent="0.2"/>
    <row r="12675" ht="12.75" hidden="1" customHeight="1" x14ac:dyDescent="0.2"/>
    <row r="12676" ht="12.75" hidden="1" customHeight="1" x14ac:dyDescent="0.2"/>
    <row r="12677" ht="12.75" hidden="1" customHeight="1" x14ac:dyDescent="0.2"/>
    <row r="12678" ht="12.75" hidden="1" customHeight="1" x14ac:dyDescent="0.2"/>
    <row r="12679" ht="12.75" hidden="1" customHeight="1" x14ac:dyDescent="0.2"/>
    <row r="12680" ht="12.75" hidden="1" customHeight="1" x14ac:dyDescent="0.2"/>
    <row r="12681" ht="12.75" hidden="1" customHeight="1" x14ac:dyDescent="0.2"/>
    <row r="12682" ht="12.75" hidden="1" customHeight="1" x14ac:dyDescent="0.2"/>
    <row r="12683" ht="12.75" hidden="1" customHeight="1" x14ac:dyDescent="0.2"/>
    <row r="12684" ht="12.75" hidden="1" customHeight="1" x14ac:dyDescent="0.2"/>
    <row r="12685" ht="12.75" hidden="1" customHeight="1" x14ac:dyDescent="0.2"/>
    <row r="12686" ht="12.75" hidden="1" customHeight="1" x14ac:dyDescent="0.2"/>
    <row r="12687" ht="12.75" hidden="1" customHeight="1" x14ac:dyDescent="0.2"/>
    <row r="12688" ht="12.75" hidden="1" customHeight="1" x14ac:dyDescent="0.2"/>
    <row r="12689" ht="12.75" hidden="1" customHeight="1" x14ac:dyDescent="0.2"/>
    <row r="12690" ht="12.75" hidden="1" customHeight="1" x14ac:dyDescent="0.2"/>
    <row r="12691" ht="12.75" hidden="1" customHeight="1" x14ac:dyDescent="0.2"/>
    <row r="12692" ht="12.75" hidden="1" customHeight="1" x14ac:dyDescent="0.2"/>
    <row r="12693" ht="12.75" hidden="1" customHeight="1" x14ac:dyDescent="0.2"/>
    <row r="12694" ht="12.75" hidden="1" customHeight="1" x14ac:dyDescent="0.2"/>
    <row r="12695" ht="12.75" hidden="1" customHeight="1" x14ac:dyDescent="0.2"/>
    <row r="12696" ht="12.75" hidden="1" customHeight="1" x14ac:dyDescent="0.2"/>
    <row r="12697" ht="12.75" hidden="1" customHeight="1" x14ac:dyDescent="0.2"/>
    <row r="12698" ht="12.75" hidden="1" customHeight="1" x14ac:dyDescent="0.2"/>
    <row r="12699" ht="12.75" hidden="1" customHeight="1" x14ac:dyDescent="0.2"/>
    <row r="12700" ht="12.75" hidden="1" customHeight="1" x14ac:dyDescent="0.2"/>
    <row r="12701" ht="12.75" hidden="1" customHeight="1" x14ac:dyDescent="0.2"/>
    <row r="12702" ht="12.75" hidden="1" customHeight="1" x14ac:dyDescent="0.2"/>
    <row r="12703" ht="12.75" hidden="1" customHeight="1" x14ac:dyDescent="0.2"/>
    <row r="12704" ht="12.75" hidden="1" customHeight="1" x14ac:dyDescent="0.2"/>
    <row r="12705" ht="12.75" hidden="1" customHeight="1" x14ac:dyDescent="0.2"/>
    <row r="12706" ht="12.75" hidden="1" customHeight="1" x14ac:dyDescent="0.2"/>
    <row r="12707" ht="12.75" hidden="1" customHeight="1" x14ac:dyDescent="0.2"/>
    <row r="12708" ht="12.75" hidden="1" customHeight="1" x14ac:dyDescent="0.2"/>
    <row r="12709" ht="12.75" hidden="1" customHeight="1" x14ac:dyDescent="0.2"/>
    <row r="12710" ht="12.75" hidden="1" customHeight="1" x14ac:dyDescent="0.2"/>
    <row r="12711" ht="12.75" hidden="1" customHeight="1" x14ac:dyDescent="0.2"/>
    <row r="12712" ht="12.75" hidden="1" customHeight="1" x14ac:dyDescent="0.2"/>
    <row r="12713" ht="12.75" hidden="1" customHeight="1" x14ac:dyDescent="0.2"/>
    <row r="12714" ht="12.75" hidden="1" customHeight="1" x14ac:dyDescent="0.2"/>
    <row r="12715" ht="12.75" hidden="1" customHeight="1" x14ac:dyDescent="0.2"/>
    <row r="12716" ht="12.75" hidden="1" customHeight="1" x14ac:dyDescent="0.2"/>
    <row r="12717" ht="12.75" hidden="1" customHeight="1" x14ac:dyDescent="0.2"/>
    <row r="12718" ht="12.75" hidden="1" customHeight="1" x14ac:dyDescent="0.2"/>
    <row r="12719" ht="12.75" hidden="1" customHeight="1" x14ac:dyDescent="0.2"/>
    <row r="12720" ht="12.75" hidden="1" customHeight="1" x14ac:dyDescent="0.2"/>
    <row r="12721" ht="12.75" hidden="1" customHeight="1" x14ac:dyDescent="0.2"/>
    <row r="12722" ht="12.75" hidden="1" customHeight="1" x14ac:dyDescent="0.2"/>
    <row r="12723" ht="12.75" hidden="1" customHeight="1" x14ac:dyDescent="0.2"/>
    <row r="12724" ht="12.75" hidden="1" customHeight="1" x14ac:dyDescent="0.2"/>
    <row r="12725" ht="12.75" hidden="1" customHeight="1" x14ac:dyDescent="0.2"/>
    <row r="12726" ht="12.75" hidden="1" customHeight="1" x14ac:dyDescent="0.2"/>
    <row r="12727" ht="12.75" hidden="1" customHeight="1" x14ac:dyDescent="0.2"/>
    <row r="12728" ht="12.75" hidden="1" customHeight="1" x14ac:dyDescent="0.2"/>
    <row r="12729" ht="12.75" hidden="1" customHeight="1" x14ac:dyDescent="0.2"/>
    <row r="12730" ht="12.75" hidden="1" customHeight="1" x14ac:dyDescent="0.2"/>
    <row r="12731" ht="12.75" hidden="1" customHeight="1" x14ac:dyDescent="0.2"/>
    <row r="12732" ht="12.75" hidden="1" customHeight="1" x14ac:dyDescent="0.2"/>
    <row r="12733" ht="12.75" hidden="1" customHeight="1" x14ac:dyDescent="0.2"/>
    <row r="12734" ht="12.75" hidden="1" customHeight="1" x14ac:dyDescent="0.2"/>
    <row r="12735" ht="12.75" hidden="1" customHeight="1" x14ac:dyDescent="0.2"/>
    <row r="12736" ht="12.75" hidden="1" customHeight="1" x14ac:dyDescent="0.2"/>
    <row r="12737" ht="12.75" hidden="1" customHeight="1" x14ac:dyDescent="0.2"/>
    <row r="12738" ht="12.75" hidden="1" customHeight="1" x14ac:dyDescent="0.2"/>
    <row r="12739" ht="12.75" hidden="1" customHeight="1" x14ac:dyDescent="0.2"/>
    <row r="12740" ht="12.75" hidden="1" customHeight="1" x14ac:dyDescent="0.2"/>
    <row r="12741" ht="12.75" hidden="1" customHeight="1" x14ac:dyDescent="0.2"/>
    <row r="12742" ht="12.75" hidden="1" customHeight="1" x14ac:dyDescent="0.2"/>
    <row r="12743" ht="12.75" hidden="1" customHeight="1" x14ac:dyDescent="0.2"/>
    <row r="12744" ht="12.75" hidden="1" customHeight="1" x14ac:dyDescent="0.2"/>
    <row r="12745" ht="12.75" hidden="1" customHeight="1" x14ac:dyDescent="0.2"/>
    <row r="12746" ht="12.75" hidden="1" customHeight="1" x14ac:dyDescent="0.2"/>
    <row r="12747" ht="12.75" hidden="1" customHeight="1" x14ac:dyDescent="0.2"/>
    <row r="12748" ht="12.75" hidden="1" customHeight="1" x14ac:dyDescent="0.2"/>
    <row r="12749" ht="12.75" hidden="1" customHeight="1" x14ac:dyDescent="0.2"/>
    <row r="12750" ht="12.75" hidden="1" customHeight="1" x14ac:dyDescent="0.2"/>
    <row r="12751" ht="12.75" hidden="1" customHeight="1" x14ac:dyDescent="0.2"/>
    <row r="12752" ht="12.75" hidden="1" customHeight="1" x14ac:dyDescent="0.2"/>
    <row r="12753" ht="12.75" hidden="1" customHeight="1" x14ac:dyDescent="0.2"/>
    <row r="12754" ht="12.75" hidden="1" customHeight="1" x14ac:dyDescent="0.2"/>
    <row r="12755" ht="12.75" hidden="1" customHeight="1" x14ac:dyDescent="0.2"/>
    <row r="12756" ht="12.75" hidden="1" customHeight="1" x14ac:dyDescent="0.2"/>
    <row r="12757" ht="12.75" hidden="1" customHeight="1" x14ac:dyDescent="0.2"/>
    <row r="12758" ht="12.75" hidden="1" customHeight="1" x14ac:dyDescent="0.2"/>
    <row r="12759" ht="12.75" hidden="1" customHeight="1" x14ac:dyDescent="0.2"/>
    <row r="12760" ht="12.75" hidden="1" customHeight="1" x14ac:dyDescent="0.2"/>
    <row r="12761" ht="12.75" hidden="1" customHeight="1" x14ac:dyDescent="0.2"/>
    <row r="12762" ht="12.75" hidden="1" customHeight="1" x14ac:dyDescent="0.2"/>
    <row r="12763" ht="12.75" hidden="1" customHeight="1" x14ac:dyDescent="0.2"/>
    <row r="12764" ht="12.75" hidden="1" customHeight="1" x14ac:dyDescent="0.2"/>
    <row r="12765" ht="12.75" hidden="1" customHeight="1" x14ac:dyDescent="0.2"/>
    <row r="12766" ht="12.75" hidden="1" customHeight="1" x14ac:dyDescent="0.2"/>
    <row r="12767" ht="12.75" hidden="1" customHeight="1" x14ac:dyDescent="0.2"/>
    <row r="12768" ht="12.75" hidden="1" customHeight="1" x14ac:dyDescent="0.2"/>
    <row r="12769" ht="12.75" hidden="1" customHeight="1" x14ac:dyDescent="0.2"/>
    <row r="12770" ht="12.75" hidden="1" customHeight="1" x14ac:dyDescent="0.2"/>
    <row r="12771" ht="12.75" hidden="1" customHeight="1" x14ac:dyDescent="0.2"/>
    <row r="12772" ht="12.75" hidden="1" customHeight="1" x14ac:dyDescent="0.2"/>
    <row r="12773" ht="12.75" hidden="1" customHeight="1" x14ac:dyDescent="0.2"/>
    <row r="12774" ht="12.75" hidden="1" customHeight="1" x14ac:dyDescent="0.2"/>
    <row r="12775" ht="12.75" hidden="1" customHeight="1" x14ac:dyDescent="0.2"/>
    <row r="12776" ht="12.75" hidden="1" customHeight="1" x14ac:dyDescent="0.2"/>
    <row r="12777" ht="12.75" hidden="1" customHeight="1" x14ac:dyDescent="0.2"/>
    <row r="12778" ht="12.75" hidden="1" customHeight="1" x14ac:dyDescent="0.2"/>
    <row r="12779" ht="12.75" hidden="1" customHeight="1" x14ac:dyDescent="0.2"/>
    <row r="12780" ht="12.75" hidden="1" customHeight="1" x14ac:dyDescent="0.2"/>
    <row r="12781" ht="12.75" hidden="1" customHeight="1" x14ac:dyDescent="0.2"/>
    <row r="12782" ht="12.75" hidden="1" customHeight="1" x14ac:dyDescent="0.2"/>
    <row r="12783" ht="12.75" hidden="1" customHeight="1" x14ac:dyDescent="0.2"/>
    <row r="12784" ht="12.75" hidden="1" customHeight="1" x14ac:dyDescent="0.2"/>
    <row r="12785" ht="12.75" hidden="1" customHeight="1" x14ac:dyDescent="0.2"/>
    <row r="12786" ht="12.75" hidden="1" customHeight="1" x14ac:dyDescent="0.2"/>
    <row r="12787" ht="12.75" hidden="1" customHeight="1" x14ac:dyDescent="0.2"/>
    <row r="12788" ht="12.75" hidden="1" customHeight="1" x14ac:dyDescent="0.2"/>
    <row r="12789" ht="12.75" hidden="1" customHeight="1" x14ac:dyDescent="0.2"/>
    <row r="12790" ht="12.75" hidden="1" customHeight="1" x14ac:dyDescent="0.2"/>
    <row r="12791" ht="12.75" hidden="1" customHeight="1" x14ac:dyDescent="0.2"/>
    <row r="12792" ht="12.75" hidden="1" customHeight="1" x14ac:dyDescent="0.2"/>
    <row r="12793" ht="12.75" hidden="1" customHeight="1" x14ac:dyDescent="0.2"/>
    <row r="12794" ht="12.75" hidden="1" customHeight="1" x14ac:dyDescent="0.2"/>
    <row r="12795" ht="12.75" hidden="1" customHeight="1" x14ac:dyDescent="0.2"/>
    <row r="12796" ht="12.75" hidden="1" customHeight="1" x14ac:dyDescent="0.2"/>
    <row r="12797" ht="12.75" hidden="1" customHeight="1" x14ac:dyDescent="0.2"/>
    <row r="12798" ht="12.75" hidden="1" customHeight="1" x14ac:dyDescent="0.2"/>
    <row r="12799" ht="12.75" hidden="1" customHeight="1" x14ac:dyDescent="0.2"/>
    <row r="12800" ht="12.75" hidden="1" customHeight="1" x14ac:dyDescent="0.2"/>
    <row r="12801" ht="12.75" hidden="1" customHeight="1" x14ac:dyDescent="0.2"/>
    <row r="12802" ht="12.75" hidden="1" customHeight="1" x14ac:dyDescent="0.2"/>
    <row r="12803" ht="12.75" hidden="1" customHeight="1" x14ac:dyDescent="0.2"/>
    <row r="12804" ht="12.75" hidden="1" customHeight="1" x14ac:dyDescent="0.2"/>
    <row r="12805" ht="12.75" hidden="1" customHeight="1" x14ac:dyDescent="0.2"/>
    <row r="12806" ht="12.75" hidden="1" customHeight="1" x14ac:dyDescent="0.2"/>
    <row r="12807" ht="12.75" hidden="1" customHeight="1" x14ac:dyDescent="0.2"/>
    <row r="12808" ht="12.75" hidden="1" customHeight="1" x14ac:dyDescent="0.2"/>
    <row r="12809" ht="12.75" hidden="1" customHeight="1" x14ac:dyDescent="0.2"/>
    <row r="12810" ht="12.75" hidden="1" customHeight="1" x14ac:dyDescent="0.2"/>
    <row r="12811" ht="12.75" hidden="1" customHeight="1" x14ac:dyDescent="0.2"/>
    <row r="12812" ht="12.75" hidden="1" customHeight="1" x14ac:dyDescent="0.2"/>
    <row r="12813" ht="12.75" hidden="1" customHeight="1" x14ac:dyDescent="0.2"/>
    <row r="12814" ht="12.75" hidden="1" customHeight="1" x14ac:dyDescent="0.2"/>
    <row r="12815" ht="12.75" hidden="1" customHeight="1" x14ac:dyDescent="0.2"/>
    <row r="12816" ht="12.75" hidden="1" customHeight="1" x14ac:dyDescent="0.2"/>
    <row r="12817" ht="12.75" hidden="1" customHeight="1" x14ac:dyDescent="0.2"/>
    <row r="12818" ht="12.75" hidden="1" customHeight="1" x14ac:dyDescent="0.2"/>
    <row r="12819" ht="12.75" hidden="1" customHeight="1" x14ac:dyDescent="0.2"/>
    <row r="12820" ht="12.75" hidden="1" customHeight="1" x14ac:dyDescent="0.2"/>
    <row r="12821" ht="12.75" hidden="1" customHeight="1" x14ac:dyDescent="0.2"/>
    <row r="12822" ht="12.75" hidden="1" customHeight="1" x14ac:dyDescent="0.2"/>
    <row r="12823" ht="12.75" hidden="1" customHeight="1" x14ac:dyDescent="0.2"/>
    <row r="12824" ht="12.75" hidden="1" customHeight="1" x14ac:dyDescent="0.2"/>
    <row r="12825" ht="12.75" hidden="1" customHeight="1" x14ac:dyDescent="0.2"/>
    <row r="12826" ht="12.75" hidden="1" customHeight="1" x14ac:dyDescent="0.2"/>
    <row r="12827" ht="12.75" hidden="1" customHeight="1" x14ac:dyDescent="0.2"/>
    <row r="12828" ht="12.75" hidden="1" customHeight="1" x14ac:dyDescent="0.2"/>
    <row r="12829" ht="12.75" hidden="1" customHeight="1" x14ac:dyDescent="0.2"/>
    <row r="12830" ht="12.75" hidden="1" customHeight="1" x14ac:dyDescent="0.2"/>
    <row r="12831" ht="12.75" hidden="1" customHeight="1" x14ac:dyDescent="0.2"/>
    <row r="12832" ht="12.75" hidden="1" customHeight="1" x14ac:dyDescent="0.2"/>
    <row r="12833" ht="12.75" hidden="1" customHeight="1" x14ac:dyDescent="0.2"/>
    <row r="12834" ht="12.75" hidden="1" customHeight="1" x14ac:dyDescent="0.2"/>
    <row r="12835" ht="12.75" hidden="1" customHeight="1" x14ac:dyDescent="0.2"/>
    <row r="12836" ht="12.75" hidden="1" customHeight="1" x14ac:dyDescent="0.2"/>
    <row r="12837" ht="12.75" hidden="1" customHeight="1" x14ac:dyDescent="0.2"/>
    <row r="12838" ht="12.75" hidden="1" customHeight="1" x14ac:dyDescent="0.2"/>
    <row r="12839" ht="12.75" hidden="1" customHeight="1" x14ac:dyDescent="0.2"/>
    <row r="12840" ht="12.75" hidden="1" customHeight="1" x14ac:dyDescent="0.2"/>
    <row r="12841" ht="12.75" hidden="1" customHeight="1" x14ac:dyDescent="0.2"/>
    <row r="12842" ht="12.75" hidden="1" customHeight="1" x14ac:dyDescent="0.2"/>
    <row r="12843" ht="12.75" hidden="1" customHeight="1" x14ac:dyDescent="0.2"/>
    <row r="12844" ht="12.75" hidden="1" customHeight="1" x14ac:dyDescent="0.2"/>
    <row r="12845" ht="12.75" hidden="1" customHeight="1" x14ac:dyDescent="0.2"/>
    <row r="12846" ht="12.75" hidden="1" customHeight="1" x14ac:dyDescent="0.2"/>
    <row r="12847" ht="12.75" hidden="1" customHeight="1" x14ac:dyDescent="0.2"/>
    <row r="12848" ht="12.75" hidden="1" customHeight="1" x14ac:dyDescent="0.2"/>
    <row r="12849" ht="12.75" hidden="1" customHeight="1" x14ac:dyDescent="0.2"/>
    <row r="12850" ht="12.75" hidden="1" customHeight="1" x14ac:dyDescent="0.2"/>
    <row r="12851" ht="12.75" hidden="1" customHeight="1" x14ac:dyDescent="0.2"/>
    <row r="12852" ht="12.75" hidden="1" customHeight="1" x14ac:dyDescent="0.2"/>
    <row r="12853" ht="12.75" hidden="1" customHeight="1" x14ac:dyDescent="0.2"/>
    <row r="12854" ht="12.75" hidden="1" customHeight="1" x14ac:dyDescent="0.2"/>
    <row r="12855" ht="12.75" hidden="1" customHeight="1" x14ac:dyDescent="0.2"/>
    <row r="12856" ht="12.75" hidden="1" customHeight="1" x14ac:dyDescent="0.2"/>
    <row r="12857" ht="12.75" hidden="1" customHeight="1" x14ac:dyDescent="0.2"/>
    <row r="12858" ht="12.75" hidden="1" customHeight="1" x14ac:dyDescent="0.2"/>
    <row r="12859" ht="12.75" hidden="1" customHeight="1" x14ac:dyDescent="0.2"/>
    <row r="12860" ht="12.75" hidden="1" customHeight="1" x14ac:dyDescent="0.2"/>
    <row r="12861" ht="12.75" hidden="1" customHeight="1" x14ac:dyDescent="0.2"/>
    <row r="12862" ht="12.75" hidden="1" customHeight="1" x14ac:dyDescent="0.2"/>
    <row r="12863" ht="12.75" hidden="1" customHeight="1" x14ac:dyDescent="0.2"/>
    <row r="12864" ht="12.75" hidden="1" customHeight="1" x14ac:dyDescent="0.2"/>
    <row r="12865" ht="12.75" hidden="1" customHeight="1" x14ac:dyDescent="0.2"/>
    <row r="12866" ht="12.75" hidden="1" customHeight="1" x14ac:dyDescent="0.2"/>
    <row r="12867" ht="12.75" hidden="1" customHeight="1" x14ac:dyDescent="0.2"/>
    <row r="12868" ht="12.75" hidden="1" customHeight="1" x14ac:dyDescent="0.2"/>
    <row r="12869" ht="12.75" hidden="1" customHeight="1" x14ac:dyDescent="0.2"/>
    <row r="12870" ht="12.75" hidden="1" customHeight="1" x14ac:dyDescent="0.2"/>
    <row r="12871" ht="12.75" hidden="1" customHeight="1" x14ac:dyDescent="0.2"/>
    <row r="12872" ht="12.75" hidden="1" customHeight="1" x14ac:dyDescent="0.2"/>
    <row r="12873" ht="12.75" hidden="1" customHeight="1" x14ac:dyDescent="0.2"/>
    <row r="12874" ht="12.75" hidden="1" customHeight="1" x14ac:dyDescent="0.2"/>
    <row r="12875" ht="12.75" hidden="1" customHeight="1" x14ac:dyDescent="0.2"/>
    <row r="12876" ht="12.75" hidden="1" customHeight="1" x14ac:dyDescent="0.2"/>
    <row r="12877" ht="12.75" hidden="1" customHeight="1" x14ac:dyDescent="0.2"/>
    <row r="12878" ht="12.75" hidden="1" customHeight="1" x14ac:dyDescent="0.2"/>
    <row r="12879" ht="12.75" hidden="1" customHeight="1" x14ac:dyDescent="0.2"/>
    <row r="12880" ht="12.75" hidden="1" customHeight="1" x14ac:dyDescent="0.2"/>
    <row r="12881" ht="12.75" hidden="1" customHeight="1" x14ac:dyDescent="0.2"/>
    <row r="12882" ht="12.75" hidden="1" customHeight="1" x14ac:dyDescent="0.2"/>
    <row r="12883" ht="12.75" hidden="1" customHeight="1" x14ac:dyDescent="0.2"/>
    <row r="12884" ht="12.75" hidden="1" customHeight="1" x14ac:dyDescent="0.2"/>
    <row r="12885" ht="12.75" hidden="1" customHeight="1" x14ac:dyDescent="0.2"/>
    <row r="12886" ht="12.75" hidden="1" customHeight="1" x14ac:dyDescent="0.2"/>
    <row r="12887" ht="12.75" hidden="1" customHeight="1" x14ac:dyDescent="0.2"/>
    <row r="12888" ht="12.75" hidden="1" customHeight="1" x14ac:dyDescent="0.2"/>
    <row r="12889" ht="12.75" hidden="1" customHeight="1" x14ac:dyDescent="0.2"/>
    <row r="12890" ht="12.75" hidden="1" customHeight="1" x14ac:dyDescent="0.2"/>
    <row r="12891" ht="12.75" hidden="1" customHeight="1" x14ac:dyDescent="0.2"/>
    <row r="12892" ht="12.75" hidden="1" customHeight="1" x14ac:dyDescent="0.2"/>
    <row r="12893" ht="12.75" hidden="1" customHeight="1" x14ac:dyDescent="0.2"/>
    <row r="12894" ht="12.75" hidden="1" customHeight="1" x14ac:dyDescent="0.2"/>
    <row r="12895" ht="12.75" hidden="1" customHeight="1" x14ac:dyDescent="0.2"/>
    <row r="12896" ht="12.75" hidden="1" customHeight="1" x14ac:dyDescent="0.2"/>
    <row r="12897" ht="12.75" hidden="1" customHeight="1" x14ac:dyDescent="0.2"/>
    <row r="12898" ht="12.75" hidden="1" customHeight="1" x14ac:dyDescent="0.2"/>
    <row r="12899" ht="12.75" hidden="1" customHeight="1" x14ac:dyDescent="0.2"/>
    <row r="12900" ht="12.75" hidden="1" customHeight="1" x14ac:dyDescent="0.2"/>
    <row r="12901" ht="12.75" hidden="1" customHeight="1" x14ac:dyDescent="0.2"/>
    <row r="12902" ht="12.75" hidden="1" customHeight="1" x14ac:dyDescent="0.2"/>
    <row r="12903" ht="12.75" hidden="1" customHeight="1" x14ac:dyDescent="0.2"/>
    <row r="12904" ht="12.75" hidden="1" customHeight="1" x14ac:dyDescent="0.2"/>
    <row r="12905" ht="12.75" hidden="1" customHeight="1" x14ac:dyDescent="0.2"/>
    <row r="12906" ht="12.75" hidden="1" customHeight="1" x14ac:dyDescent="0.2"/>
    <row r="12907" ht="12.75" hidden="1" customHeight="1" x14ac:dyDescent="0.2"/>
    <row r="12908" ht="12.75" hidden="1" customHeight="1" x14ac:dyDescent="0.2"/>
    <row r="12909" ht="12.75" hidden="1" customHeight="1" x14ac:dyDescent="0.2"/>
    <row r="12910" ht="12.75" hidden="1" customHeight="1" x14ac:dyDescent="0.2"/>
    <row r="12911" ht="12.75" hidden="1" customHeight="1" x14ac:dyDescent="0.2"/>
    <row r="12912" ht="12.75" hidden="1" customHeight="1" x14ac:dyDescent="0.2"/>
    <row r="12913" ht="12.75" hidden="1" customHeight="1" x14ac:dyDescent="0.2"/>
    <row r="12914" ht="12.75" hidden="1" customHeight="1" x14ac:dyDescent="0.2"/>
    <row r="12915" ht="12.75" hidden="1" customHeight="1" x14ac:dyDescent="0.2"/>
    <row r="12916" ht="12.75" hidden="1" customHeight="1" x14ac:dyDescent="0.2"/>
    <row r="12917" ht="12.75" hidden="1" customHeight="1" x14ac:dyDescent="0.2"/>
    <row r="12918" ht="12.75" hidden="1" customHeight="1" x14ac:dyDescent="0.2"/>
    <row r="12919" ht="12.75" hidden="1" customHeight="1" x14ac:dyDescent="0.2"/>
    <row r="12920" ht="12.75" hidden="1" customHeight="1" x14ac:dyDescent="0.2"/>
    <row r="12921" ht="12.75" hidden="1" customHeight="1" x14ac:dyDescent="0.2"/>
    <row r="12922" ht="12.75" hidden="1" customHeight="1" x14ac:dyDescent="0.2"/>
    <row r="12923" ht="12.75" hidden="1" customHeight="1" x14ac:dyDescent="0.2"/>
    <row r="12924" ht="12.75" hidden="1" customHeight="1" x14ac:dyDescent="0.2"/>
    <row r="12925" ht="12.75" hidden="1" customHeight="1" x14ac:dyDescent="0.2"/>
    <row r="12926" ht="12.75" hidden="1" customHeight="1" x14ac:dyDescent="0.2"/>
    <row r="12927" ht="12.75" hidden="1" customHeight="1" x14ac:dyDescent="0.2"/>
    <row r="12928" ht="12.75" hidden="1" customHeight="1" x14ac:dyDescent="0.2"/>
    <row r="12929" ht="12.75" hidden="1" customHeight="1" x14ac:dyDescent="0.2"/>
    <row r="12930" ht="12.75" hidden="1" customHeight="1" x14ac:dyDescent="0.2"/>
    <row r="12931" ht="12.75" hidden="1" customHeight="1" x14ac:dyDescent="0.2"/>
    <row r="12932" ht="12.75" hidden="1" customHeight="1" x14ac:dyDescent="0.2"/>
    <row r="12933" ht="12.75" hidden="1" customHeight="1" x14ac:dyDescent="0.2"/>
    <row r="12934" ht="12.75" hidden="1" customHeight="1" x14ac:dyDescent="0.2"/>
    <row r="12935" ht="12.75" hidden="1" customHeight="1" x14ac:dyDescent="0.2"/>
    <row r="12936" ht="12.75" hidden="1" customHeight="1" x14ac:dyDescent="0.2"/>
    <row r="12937" ht="12.75" hidden="1" customHeight="1" x14ac:dyDescent="0.2"/>
    <row r="12938" ht="12.75" hidden="1" customHeight="1" x14ac:dyDescent="0.2"/>
    <row r="12939" ht="12.75" hidden="1" customHeight="1" x14ac:dyDescent="0.2"/>
    <row r="12940" ht="12.75" hidden="1" customHeight="1" x14ac:dyDescent="0.2"/>
    <row r="12941" ht="12.75" hidden="1" customHeight="1" x14ac:dyDescent="0.2"/>
    <row r="12942" ht="12.75" hidden="1" customHeight="1" x14ac:dyDescent="0.2"/>
    <row r="12943" ht="12.75" hidden="1" customHeight="1" x14ac:dyDescent="0.2"/>
    <row r="12944" ht="12.75" hidden="1" customHeight="1" x14ac:dyDescent="0.2"/>
    <row r="12945" ht="12.75" hidden="1" customHeight="1" x14ac:dyDescent="0.2"/>
    <row r="12946" ht="12.75" hidden="1" customHeight="1" x14ac:dyDescent="0.2"/>
    <row r="12947" ht="12.75" hidden="1" customHeight="1" x14ac:dyDescent="0.2"/>
    <row r="12948" ht="12.75" hidden="1" customHeight="1" x14ac:dyDescent="0.2"/>
    <row r="12949" ht="12.75" hidden="1" customHeight="1" x14ac:dyDescent="0.2"/>
    <row r="12950" ht="12.75" hidden="1" customHeight="1" x14ac:dyDescent="0.2"/>
    <row r="12951" ht="12.75" hidden="1" customHeight="1" x14ac:dyDescent="0.2"/>
    <row r="12952" ht="12.75" hidden="1" customHeight="1" x14ac:dyDescent="0.2"/>
    <row r="12953" ht="12.75" hidden="1" customHeight="1" x14ac:dyDescent="0.2"/>
    <row r="12954" ht="12.75" hidden="1" customHeight="1" x14ac:dyDescent="0.2"/>
    <row r="12955" ht="12.75" hidden="1" customHeight="1" x14ac:dyDescent="0.2"/>
    <row r="12956" ht="12.75" hidden="1" customHeight="1" x14ac:dyDescent="0.2"/>
    <row r="12957" ht="12.75" hidden="1" customHeight="1" x14ac:dyDescent="0.2"/>
    <row r="12958" ht="12.75" hidden="1" customHeight="1" x14ac:dyDescent="0.2"/>
    <row r="12959" ht="12.75" hidden="1" customHeight="1" x14ac:dyDescent="0.2"/>
    <row r="12960" ht="12.75" hidden="1" customHeight="1" x14ac:dyDescent="0.2"/>
    <row r="12961" ht="12.75" hidden="1" customHeight="1" x14ac:dyDescent="0.2"/>
    <row r="12962" ht="12.75" hidden="1" customHeight="1" x14ac:dyDescent="0.2"/>
    <row r="12963" ht="12.75" hidden="1" customHeight="1" x14ac:dyDescent="0.2"/>
    <row r="12964" ht="12.75" hidden="1" customHeight="1" x14ac:dyDescent="0.2"/>
    <row r="12965" ht="12.75" hidden="1" customHeight="1" x14ac:dyDescent="0.2"/>
    <row r="12966" ht="12.75" hidden="1" customHeight="1" x14ac:dyDescent="0.2"/>
    <row r="12967" ht="12.75" hidden="1" customHeight="1" x14ac:dyDescent="0.2"/>
    <row r="12968" ht="12.75" hidden="1" customHeight="1" x14ac:dyDescent="0.2"/>
    <row r="12969" ht="12.75" hidden="1" customHeight="1" x14ac:dyDescent="0.2"/>
    <row r="12970" ht="12.75" hidden="1" customHeight="1" x14ac:dyDescent="0.2"/>
    <row r="12971" ht="12.75" hidden="1" customHeight="1" x14ac:dyDescent="0.2"/>
    <row r="12972" ht="12.75" hidden="1" customHeight="1" x14ac:dyDescent="0.2"/>
    <row r="12973" ht="12.75" hidden="1" customHeight="1" x14ac:dyDescent="0.2"/>
    <row r="12974" ht="12.75" hidden="1" customHeight="1" x14ac:dyDescent="0.2"/>
    <row r="12975" ht="12.75" hidden="1" customHeight="1" x14ac:dyDescent="0.2"/>
    <row r="12976" ht="12.75" hidden="1" customHeight="1" x14ac:dyDescent="0.2"/>
    <row r="12977" ht="12.75" hidden="1" customHeight="1" x14ac:dyDescent="0.2"/>
    <row r="12978" ht="12.75" hidden="1" customHeight="1" x14ac:dyDescent="0.2"/>
    <row r="12979" ht="12.75" hidden="1" customHeight="1" x14ac:dyDescent="0.2"/>
    <row r="12980" ht="12.75" hidden="1" customHeight="1" x14ac:dyDescent="0.2"/>
    <row r="12981" ht="12.75" hidden="1" customHeight="1" x14ac:dyDescent="0.2"/>
    <row r="12982" ht="12.75" hidden="1" customHeight="1" x14ac:dyDescent="0.2"/>
    <row r="12983" ht="12.75" hidden="1" customHeight="1" x14ac:dyDescent="0.2"/>
    <row r="12984" ht="12.75" hidden="1" customHeight="1" x14ac:dyDescent="0.2"/>
    <row r="12985" ht="12.75" hidden="1" customHeight="1" x14ac:dyDescent="0.2"/>
    <row r="12986" ht="12.75" hidden="1" customHeight="1" x14ac:dyDescent="0.2"/>
    <row r="12987" ht="12.75" hidden="1" customHeight="1" x14ac:dyDescent="0.2"/>
    <row r="12988" ht="12.75" hidden="1" customHeight="1" x14ac:dyDescent="0.2"/>
    <row r="12989" ht="12.75" hidden="1" customHeight="1" x14ac:dyDescent="0.2"/>
    <row r="12990" ht="12.75" hidden="1" customHeight="1" x14ac:dyDescent="0.2"/>
    <row r="12991" ht="12.75" hidden="1" customHeight="1" x14ac:dyDescent="0.2"/>
    <row r="12992" ht="12.75" hidden="1" customHeight="1" x14ac:dyDescent="0.2"/>
    <row r="12993" ht="12.75" hidden="1" customHeight="1" x14ac:dyDescent="0.2"/>
    <row r="12994" ht="12.75" hidden="1" customHeight="1" x14ac:dyDescent="0.2"/>
    <row r="12995" ht="12.75" hidden="1" customHeight="1" x14ac:dyDescent="0.2"/>
    <row r="12996" ht="12.75" hidden="1" customHeight="1" x14ac:dyDescent="0.2"/>
    <row r="12997" ht="12.75" hidden="1" customHeight="1" x14ac:dyDescent="0.2"/>
    <row r="12998" ht="12.75" hidden="1" customHeight="1" x14ac:dyDescent="0.2"/>
    <row r="12999" ht="12.75" hidden="1" customHeight="1" x14ac:dyDescent="0.2"/>
    <row r="13000" ht="12.75" hidden="1" customHeight="1" x14ac:dyDescent="0.2"/>
    <row r="13001" ht="12.75" hidden="1" customHeight="1" x14ac:dyDescent="0.2"/>
    <row r="13002" ht="12.75" hidden="1" customHeight="1" x14ac:dyDescent="0.2"/>
    <row r="13003" ht="12.75" hidden="1" customHeight="1" x14ac:dyDescent="0.2"/>
    <row r="13004" ht="12.75" hidden="1" customHeight="1" x14ac:dyDescent="0.2"/>
    <row r="13005" ht="12.75" hidden="1" customHeight="1" x14ac:dyDescent="0.2"/>
    <row r="13006" ht="12.75" hidden="1" customHeight="1" x14ac:dyDescent="0.2"/>
    <row r="13007" ht="12.75" hidden="1" customHeight="1" x14ac:dyDescent="0.2"/>
    <row r="13008" ht="12.75" hidden="1" customHeight="1" x14ac:dyDescent="0.2"/>
    <row r="13009" ht="12.75" hidden="1" customHeight="1" x14ac:dyDescent="0.2"/>
    <row r="13010" ht="12.75" hidden="1" customHeight="1" x14ac:dyDescent="0.2"/>
    <row r="13011" ht="12.75" hidden="1" customHeight="1" x14ac:dyDescent="0.2"/>
    <row r="13012" ht="12.75" hidden="1" customHeight="1" x14ac:dyDescent="0.2"/>
    <row r="13013" ht="12.75" hidden="1" customHeight="1" x14ac:dyDescent="0.2"/>
    <row r="13014" ht="12.75" hidden="1" customHeight="1" x14ac:dyDescent="0.2"/>
    <row r="13015" ht="12.75" hidden="1" customHeight="1" x14ac:dyDescent="0.2"/>
    <row r="13016" ht="12.75" hidden="1" customHeight="1" x14ac:dyDescent="0.2"/>
    <row r="13017" ht="12.75" hidden="1" customHeight="1" x14ac:dyDescent="0.2"/>
    <row r="13018" ht="12.75" hidden="1" customHeight="1" x14ac:dyDescent="0.2"/>
    <row r="13019" ht="12.75" hidden="1" customHeight="1" x14ac:dyDescent="0.2"/>
    <row r="13020" ht="12.75" hidden="1" customHeight="1" x14ac:dyDescent="0.2"/>
    <row r="13021" ht="12.75" hidden="1" customHeight="1" x14ac:dyDescent="0.2"/>
    <row r="13022" ht="12.75" hidden="1" customHeight="1" x14ac:dyDescent="0.2"/>
    <row r="13023" ht="12.75" hidden="1" customHeight="1" x14ac:dyDescent="0.2"/>
    <row r="13024" ht="12.75" hidden="1" customHeight="1" x14ac:dyDescent="0.2"/>
    <row r="13025" ht="12.75" hidden="1" customHeight="1" x14ac:dyDescent="0.2"/>
    <row r="13026" ht="12.75" hidden="1" customHeight="1" x14ac:dyDescent="0.2"/>
    <row r="13027" ht="12.75" hidden="1" customHeight="1" x14ac:dyDescent="0.2"/>
    <row r="13028" ht="12.75" hidden="1" customHeight="1" x14ac:dyDescent="0.2"/>
    <row r="13029" ht="12.75" hidden="1" customHeight="1" x14ac:dyDescent="0.2"/>
    <row r="13030" ht="12.75" hidden="1" customHeight="1" x14ac:dyDescent="0.2"/>
    <row r="13031" ht="12.75" hidden="1" customHeight="1" x14ac:dyDescent="0.2"/>
    <row r="13032" ht="12.75" hidden="1" customHeight="1" x14ac:dyDescent="0.2"/>
    <row r="13033" ht="12.75" hidden="1" customHeight="1" x14ac:dyDescent="0.2"/>
    <row r="13034" ht="12.75" hidden="1" customHeight="1" x14ac:dyDescent="0.2"/>
    <row r="13035" ht="12.75" hidden="1" customHeight="1" x14ac:dyDescent="0.2"/>
    <row r="13036" ht="12.75" hidden="1" customHeight="1" x14ac:dyDescent="0.2"/>
    <row r="13037" ht="12.75" hidden="1" customHeight="1" x14ac:dyDescent="0.2"/>
    <row r="13038" ht="12.75" hidden="1" customHeight="1" x14ac:dyDescent="0.2"/>
    <row r="13039" ht="12.75" hidden="1" customHeight="1" x14ac:dyDescent="0.2"/>
    <row r="13040" ht="12.75" hidden="1" customHeight="1" x14ac:dyDescent="0.2"/>
    <row r="13041" ht="12.75" hidden="1" customHeight="1" x14ac:dyDescent="0.2"/>
    <row r="13042" ht="12.75" hidden="1" customHeight="1" x14ac:dyDescent="0.2"/>
    <row r="13043" ht="12.75" hidden="1" customHeight="1" x14ac:dyDescent="0.2"/>
    <row r="13044" ht="12.75" hidden="1" customHeight="1" x14ac:dyDescent="0.2"/>
    <row r="13045" ht="12.75" hidden="1" customHeight="1" x14ac:dyDescent="0.2"/>
    <row r="13046" ht="12.75" hidden="1" customHeight="1" x14ac:dyDescent="0.2"/>
    <row r="13047" ht="12.75" hidden="1" customHeight="1" x14ac:dyDescent="0.2"/>
    <row r="13048" ht="12.75" hidden="1" customHeight="1" x14ac:dyDescent="0.2"/>
    <row r="13049" ht="12.75" hidden="1" customHeight="1" x14ac:dyDescent="0.2"/>
    <row r="13050" ht="12.75" hidden="1" customHeight="1" x14ac:dyDescent="0.2"/>
    <row r="13051" ht="12.75" hidden="1" customHeight="1" x14ac:dyDescent="0.2"/>
    <row r="13052" ht="12.75" hidden="1" customHeight="1" x14ac:dyDescent="0.2"/>
    <row r="13053" ht="12.75" hidden="1" customHeight="1" x14ac:dyDescent="0.2"/>
    <row r="13054" ht="12.75" hidden="1" customHeight="1" x14ac:dyDescent="0.2"/>
    <row r="13055" ht="12.75" hidden="1" customHeight="1" x14ac:dyDescent="0.2"/>
    <row r="13056" ht="12.75" hidden="1" customHeight="1" x14ac:dyDescent="0.2"/>
    <row r="13057" ht="12.75" hidden="1" customHeight="1" x14ac:dyDescent="0.2"/>
    <row r="13058" ht="12.75" hidden="1" customHeight="1" x14ac:dyDescent="0.2"/>
    <row r="13059" ht="12.75" hidden="1" customHeight="1" x14ac:dyDescent="0.2"/>
    <row r="13060" ht="12.75" hidden="1" customHeight="1" x14ac:dyDescent="0.2"/>
    <row r="13061" ht="12.75" hidden="1" customHeight="1" x14ac:dyDescent="0.2"/>
    <row r="13062" ht="12.75" hidden="1" customHeight="1" x14ac:dyDescent="0.2"/>
    <row r="13063" ht="12.75" hidden="1" customHeight="1" x14ac:dyDescent="0.2"/>
    <row r="13064" ht="12.75" hidden="1" customHeight="1" x14ac:dyDescent="0.2"/>
    <row r="13065" ht="12.75" hidden="1" customHeight="1" x14ac:dyDescent="0.2"/>
    <row r="13066" ht="12.75" hidden="1" customHeight="1" x14ac:dyDescent="0.2"/>
    <row r="13067" ht="12.75" hidden="1" customHeight="1" x14ac:dyDescent="0.2"/>
    <row r="13068" ht="12.75" hidden="1" customHeight="1" x14ac:dyDescent="0.2"/>
    <row r="13069" ht="12.75" hidden="1" customHeight="1" x14ac:dyDescent="0.2"/>
    <row r="13070" ht="12.75" hidden="1" customHeight="1" x14ac:dyDescent="0.2"/>
    <row r="13071" ht="12.75" hidden="1" customHeight="1" x14ac:dyDescent="0.2"/>
    <row r="13072" ht="12.75" hidden="1" customHeight="1" x14ac:dyDescent="0.2"/>
    <row r="13073" ht="12.75" hidden="1" customHeight="1" x14ac:dyDescent="0.2"/>
    <row r="13074" ht="12.75" hidden="1" customHeight="1" x14ac:dyDescent="0.2"/>
    <row r="13075" ht="12.75" hidden="1" customHeight="1" x14ac:dyDescent="0.2"/>
    <row r="13076" ht="12.75" hidden="1" customHeight="1" x14ac:dyDescent="0.2"/>
    <row r="13077" ht="12.75" hidden="1" customHeight="1" x14ac:dyDescent="0.2"/>
    <row r="13078" ht="12.75" hidden="1" customHeight="1" x14ac:dyDescent="0.2"/>
    <row r="13079" ht="12.75" hidden="1" customHeight="1" x14ac:dyDescent="0.2"/>
    <row r="13080" ht="12.75" hidden="1" customHeight="1" x14ac:dyDescent="0.2"/>
    <row r="13081" ht="12.75" hidden="1" customHeight="1" x14ac:dyDescent="0.2"/>
    <row r="13082" ht="12.75" hidden="1" customHeight="1" x14ac:dyDescent="0.2"/>
    <row r="13083" ht="12.75" hidden="1" customHeight="1" x14ac:dyDescent="0.2"/>
    <row r="13084" ht="12.75" hidden="1" customHeight="1" x14ac:dyDescent="0.2"/>
    <row r="13085" ht="12.75" hidden="1" customHeight="1" x14ac:dyDescent="0.2"/>
    <row r="13086" ht="12.75" hidden="1" customHeight="1" x14ac:dyDescent="0.2"/>
    <row r="13087" ht="12.75" hidden="1" customHeight="1" x14ac:dyDescent="0.2"/>
    <row r="13088" ht="12.75" hidden="1" customHeight="1" x14ac:dyDescent="0.2"/>
    <row r="13089" ht="12.75" hidden="1" customHeight="1" x14ac:dyDescent="0.2"/>
    <row r="13090" ht="12.75" hidden="1" customHeight="1" x14ac:dyDescent="0.2"/>
    <row r="13091" ht="12.75" hidden="1" customHeight="1" x14ac:dyDescent="0.2"/>
    <row r="13092" ht="12.75" hidden="1" customHeight="1" x14ac:dyDescent="0.2"/>
    <row r="13093" ht="12.75" hidden="1" customHeight="1" x14ac:dyDescent="0.2"/>
    <row r="13094" ht="12.75" hidden="1" customHeight="1" x14ac:dyDescent="0.2"/>
    <row r="13095" ht="12.75" hidden="1" customHeight="1" x14ac:dyDescent="0.2"/>
    <row r="13096" ht="12.75" hidden="1" customHeight="1" x14ac:dyDescent="0.2"/>
    <row r="13097" ht="12.75" hidden="1" customHeight="1" x14ac:dyDescent="0.2"/>
    <row r="13098" ht="12.75" hidden="1" customHeight="1" x14ac:dyDescent="0.2"/>
    <row r="13099" ht="12.75" hidden="1" customHeight="1" x14ac:dyDescent="0.2"/>
    <row r="13100" ht="12.75" hidden="1" customHeight="1" x14ac:dyDescent="0.2"/>
    <row r="13101" ht="12.75" hidden="1" customHeight="1" x14ac:dyDescent="0.2"/>
    <row r="13102" ht="12.75" hidden="1" customHeight="1" x14ac:dyDescent="0.2"/>
    <row r="13103" ht="12.75" hidden="1" customHeight="1" x14ac:dyDescent="0.2"/>
    <row r="13104" ht="12.75" hidden="1" customHeight="1" x14ac:dyDescent="0.2"/>
    <row r="13105" ht="12.75" hidden="1" customHeight="1" x14ac:dyDescent="0.2"/>
    <row r="13106" ht="12.75" hidden="1" customHeight="1" x14ac:dyDescent="0.2"/>
    <row r="13107" ht="12.75" hidden="1" customHeight="1" x14ac:dyDescent="0.2"/>
    <row r="13108" ht="12.75" hidden="1" customHeight="1" x14ac:dyDescent="0.2"/>
    <row r="13109" ht="12.75" hidden="1" customHeight="1" x14ac:dyDescent="0.2"/>
    <row r="13110" ht="12.75" hidden="1" customHeight="1" x14ac:dyDescent="0.2"/>
    <row r="13111" ht="12.75" hidden="1" customHeight="1" x14ac:dyDescent="0.2"/>
    <row r="13112" ht="12.75" hidden="1" customHeight="1" x14ac:dyDescent="0.2"/>
    <row r="13113" ht="12.75" hidden="1" customHeight="1" x14ac:dyDescent="0.2"/>
    <row r="13114" ht="12.75" hidden="1" customHeight="1" x14ac:dyDescent="0.2"/>
    <row r="13115" ht="12.75" hidden="1" customHeight="1" x14ac:dyDescent="0.2"/>
    <row r="13116" ht="12.75" hidden="1" customHeight="1" x14ac:dyDescent="0.2"/>
    <row r="13117" ht="12.75" hidden="1" customHeight="1" x14ac:dyDescent="0.2"/>
    <row r="13118" ht="12.75" hidden="1" customHeight="1" x14ac:dyDescent="0.2"/>
    <row r="13119" ht="12.75" hidden="1" customHeight="1" x14ac:dyDescent="0.2"/>
    <row r="13120" ht="12.75" hidden="1" customHeight="1" x14ac:dyDescent="0.2"/>
    <row r="13121" ht="12.75" hidden="1" customHeight="1" x14ac:dyDescent="0.2"/>
    <row r="13122" ht="12.75" hidden="1" customHeight="1" x14ac:dyDescent="0.2"/>
    <row r="13123" ht="12.75" hidden="1" customHeight="1" x14ac:dyDescent="0.2"/>
    <row r="13124" ht="12.75" hidden="1" customHeight="1" x14ac:dyDescent="0.2"/>
    <row r="13125" ht="12.75" hidden="1" customHeight="1" x14ac:dyDescent="0.2"/>
    <row r="13126" ht="12.75" hidden="1" customHeight="1" x14ac:dyDescent="0.2"/>
    <row r="13127" ht="12.75" hidden="1" customHeight="1" x14ac:dyDescent="0.2"/>
    <row r="13128" ht="12.75" hidden="1" customHeight="1" x14ac:dyDescent="0.2"/>
    <row r="13129" ht="12.75" hidden="1" customHeight="1" x14ac:dyDescent="0.2"/>
    <row r="13130" ht="12.75" hidden="1" customHeight="1" x14ac:dyDescent="0.2"/>
    <row r="13131" ht="12.75" hidden="1" customHeight="1" x14ac:dyDescent="0.2"/>
    <row r="13132" ht="12.75" hidden="1" customHeight="1" x14ac:dyDescent="0.2"/>
    <row r="13133" ht="12.75" hidden="1" customHeight="1" x14ac:dyDescent="0.2"/>
    <row r="13134" ht="12.75" hidden="1" customHeight="1" x14ac:dyDescent="0.2"/>
    <row r="13135" ht="12.75" hidden="1" customHeight="1" x14ac:dyDescent="0.2"/>
    <row r="13136" ht="12.75" hidden="1" customHeight="1" x14ac:dyDescent="0.2"/>
    <row r="13137" ht="12.75" hidden="1" customHeight="1" x14ac:dyDescent="0.2"/>
    <row r="13138" ht="12.75" hidden="1" customHeight="1" x14ac:dyDescent="0.2"/>
    <row r="13139" ht="12.75" hidden="1" customHeight="1" x14ac:dyDescent="0.2"/>
    <row r="13140" ht="12.75" hidden="1" customHeight="1" x14ac:dyDescent="0.2"/>
    <row r="13141" ht="12.75" hidden="1" customHeight="1" x14ac:dyDescent="0.2"/>
    <row r="13142" ht="12.75" hidden="1" customHeight="1" x14ac:dyDescent="0.2"/>
    <row r="13143" ht="12.75" hidden="1" customHeight="1" x14ac:dyDescent="0.2"/>
    <row r="13144" ht="12.75" hidden="1" customHeight="1" x14ac:dyDescent="0.2"/>
    <row r="13145" ht="12.75" hidden="1" customHeight="1" x14ac:dyDescent="0.2"/>
    <row r="13146" ht="12.75" hidden="1" customHeight="1" x14ac:dyDescent="0.2"/>
    <row r="13147" ht="12.75" hidden="1" customHeight="1" x14ac:dyDescent="0.2"/>
    <row r="13148" ht="12.75" hidden="1" customHeight="1" x14ac:dyDescent="0.2"/>
    <row r="13149" ht="12.75" hidden="1" customHeight="1" x14ac:dyDescent="0.2"/>
    <row r="13150" ht="12.75" hidden="1" customHeight="1" x14ac:dyDescent="0.2"/>
    <row r="13151" ht="12.75" hidden="1" customHeight="1" x14ac:dyDescent="0.2"/>
    <row r="13152" ht="12.75" hidden="1" customHeight="1" x14ac:dyDescent="0.2"/>
    <row r="13153" ht="12.75" hidden="1" customHeight="1" x14ac:dyDescent="0.2"/>
    <row r="13154" ht="12.75" hidden="1" customHeight="1" x14ac:dyDescent="0.2"/>
    <row r="13155" ht="12.75" hidden="1" customHeight="1" x14ac:dyDescent="0.2"/>
    <row r="13156" ht="12.75" hidden="1" customHeight="1" x14ac:dyDescent="0.2"/>
    <row r="13157" ht="12.75" hidden="1" customHeight="1" x14ac:dyDescent="0.2"/>
    <row r="13158" ht="12.75" hidden="1" customHeight="1" x14ac:dyDescent="0.2"/>
    <row r="13159" ht="12.75" hidden="1" customHeight="1" x14ac:dyDescent="0.2"/>
    <row r="13160" ht="12.75" hidden="1" customHeight="1" x14ac:dyDescent="0.2"/>
    <row r="13161" ht="12.75" hidden="1" customHeight="1" x14ac:dyDescent="0.2"/>
    <row r="13162" ht="12.75" hidden="1" customHeight="1" x14ac:dyDescent="0.2"/>
    <row r="13163" ht="12.75" hidden="1" customHeight="1" x14ac:dyDescent="0.2"/>
    <row r="13164" ht="12.75" hidden="1" customHeight="1" x14ac:dyDescent="0.2"/>
    <row r="13165" ht="12.75" hidden="1" customHeight="1" x14ac:dyDescent="0.2"/>
    <row r="13166" ht="12.75" hidden="1" customHeight="1" x14ac:dyDescent="0.2"/>
    <row r="13167" ht="12.75" hidden="1" customHeight="1" x14ac:dyDescent="0.2"/>
    <row r="13168" ht="12.75" hidden="1" customHeight="1" x14ac:dyDescent="0.2"/>
    <row r="13169" ht="12.75" hidden="1" customHeight="1" x14ac:dyDescent="0.2"/>
    <row r="13170" ht="12.75" hidden="1" customHeight="1" x14ac:dyDescent="0.2"/>
    <row r="13171" ht="12.75" hidden="1" customHeight="1" x14ac:dyDescent="0.2"/>
    <row r="13172" ht="12.75" hidden="1" customHeight="1" x14ac:dyDescent="0.2"/>
    <row r="13173" ht="12.75" hidden="1" customHeight="1" x14ac:dyDescent="0.2"/>
    <row r="13174" ht="12.75" hidden="1" customHeight="1" x14ac:dyDescent="0.2"/>
    <row r="13175" ht="12.75" hidden="1" customHeight="1" x14ac:dyDescent="0.2"/>
    <row r="13176" ht="12.75" hidden="1" customHeight="1" x14ac:dyDescent="0.2"/>
    <row r="13177" ht="12.75" hidden="1" customHeight="1" x14ac:dyDescent="0.2"/>
    <row r="13178" ht="12.75" hidden="1" customHeight="1" x14ac:dyDescent="0.2"/>
    <row r="13179" ht="12.75" hidden="1" customHeight="1" x14ac:dyDescent="0.2"/>
    <row r="13180" ht="12.75" hidden="1" customHeight="1" x14ac:dyDescent="0.2"/>
    <row r="13181" ht="12.75" hidden="1" customHeight="1" x14ac:dyDescent="0.2"/>
    <row r="13182" ht="12.75" hidden="1" customHeight="1" x14ac:dyDescent="0.2"/>
    <row r="13183" ht="12.75" hidden="1" customHeight="1" x14ac:dyDescent="0.2"/>
    <row r="13184" ht="12.75" hidden="1" customHeight="1" x14ac:dyDescent="0.2"/>
    <row r="13185" ht="12.75" hidden="1" customHeight="1" x14ac:dyDescent="0.2"/>
    <row r="13186" ht="12.75" hidden="1" customHeight="1" x14ac:dyDescent="0.2"/>
    <row r="13187" ht="12.75" hidden="1" customHeight="1" x14ac:dyDescent="0.2"/>
    <row r="13188" ht="12.75" hidden="1" customHeight="1" x14ac:dyDescent="0.2"/>
    <row r="13189" ht="12.75" hidden="1" customHeight="1" x14ac:dyDescent="0.2"/>
    <row r="13190" ht="12.75" hidden="1" customHeight="1" x14ac:dyDescent="0.2"/>
    <row r="13191" ht="12.75" hidden="1" customHeight="1" x14ac:dyDescent="0.2"/>
    <row r="13192" ht="12.75" hidden="1" customHeight="1" x14ac:dyDescent="0.2"/>
    <row r="13193" ht="12.75" hidden="1" customHeight="1" x14ac:dyDescent="0.2"/>
    <row r="13194" ht="12.75" hidden="1" customHeight="1" x14ac:dyDescent="0.2"/>
    <row r="13195" ht="12.75" hidden="1" customHeight="1" x14ac:dyDescent="0.2"/>
    <row r="13196" ht="12.75" hidden="1" customHeight="1" x14ac:dyDescent="0.2"/>
    <row r="13197" ht="12.75" hidden="1" customHeight="1" x14ac:dyDescent="0.2"/>
    <row r="13198" ht="12.75" hidden="1" customHeight="1" x14ac:dyDescent="0.2"/>
    <row r="13199" ht="12.75" hidden="1" customHeight="1" x14ac:dyDescent="0.2"/>
    <row r="13200" ht="12.75" hidden="1" customHeight="1" x14ac:dyDescent="0.2"/>
    <row r="13201" ht="12.75" hidden="1" customHeight="1" x14ac:dyDescent="0.2"/>
    <row r="13202" ht="12.75" hidden="1" customHeight="1" x14ac:dyDescent="0.2"/>
    <row r="13203" ht="12.75" hidden="1" customHeight="1" x14ac:dyDescent="0.2"/>
    <row r="13204" ht="12.75" hidden="1" customHeight="1" x14ac:dyDescent="0.2"/>
    <row r="13205" ht="12.75" hidden="1" customHeight="1" x14ac:dyDescent="0.2"/>
    <row r="13206" ht="12.75" hidden="1" customHeight="1" x14ac:dyDescent="0.2"/>
    <row r="13207" ht="12.75" hidden="1" customHeight="1" x14ac:dyDescent="0.2"/>
    <row r="13208" ht="12.75" hidden="1" customHeight="1" x14ac:dyDescent="0.2"/>
    <row r="13209" ht="12.75" hidden="1" customHeight="1" x14ac:dyDescent="0.2"/>
    <row r="13210" ht="12.75" hidden="1" customHeight="1" x14ac:dyDescent="0.2"/>
    <row r="13211" ht="12.75" hidden="1" customHeight="1" x14ac:dyDescent="0.2"/>
    <row r="13212" ht="12.75" hidden="1" customHeight="1" x14ac:dyDescent="0.2"/>
    <row r="13213" ht="12.75" hidden="1" customHeight="1" x14ac:dyDescent="0.2"/>
    <row r="13214" ht="12.75" hidden="1" customHeight="1" x14ac:dyDescent="0.2"/>
    <row r="13215" ht="12.75" hidden="1" customHeight="1" x14ac:dyDescent="0.2"/>
    <row r="13216" ht="12.75" hidden="1" customHeight="1" x14ac:dyDescent="0.2"/>
    <row r="13217" ht="12.75" hidden="1" customHeight="1" x14ac:dyDescent="0.2"/>
    <row r="13218" ht="12.75" hidden="1" customHeight="1" x14ac:dyDescent="0.2"/>
    <row r="13219" ht="12.75" hidden="1" customHeight="1" x14ac:dyDescent="0.2"/>
    <row r="13220" ht="12.75" hidden="1" customHeight="1" x14ac:dyDescent="0.2"/>
    <row r="13221" ht="12.75" hidden="1" customHeight="1" x14ac:dyDescent="0.2"/>
    <row r="13222" ht="12.75" hidden="1" customHeight="1" x14ac:dyDescent="0.2"/>
    <row r="13223" ht="12.75" hidden="1" customHeight="1" x14ac:dyDescent="0.2"/>
    <row r="13224" ht="12.75" hidden="1" customHeight="1" x14ac:dyDescent="0.2"/>
    <row r="13225" ht="12.75" hidden="1" customHeight="1" x14ac:dyDescent="0.2"/>
    <row r="13226" ht="12.75" hidden="1" customHeight="1" x14ac:dyDescent="0.2"/>
    <row r="13227" ht="12.75" hidden="1" customHeight="1" x14ac:dyDescent="0.2"/>
    <row r="13228" ht="12.75" hidden="1" customHeight="1" x14ac:dyDescent="0.2"/>
    <row r="13229" ht="12.75" hidden="1" customHeight="1" x14ac:dyDescent="0.2"/>
    <row r="13230" ht="12.75" hidden="1" customHeight="1" x14ac:dyDescent="0.2"/>
    <row r="13231" ht="12.75" hidden="1" customHeight="1" x14ac:dyDescent="0.2"/>
    <row r="13232" ht="12.75" hidden="1" customHeight="1" x14ac:dyDescent="0.2"/>
    <row r="13233" ht="12.75" hidden="1" customHeight="1" x14ac:dyDescent="0.2"/>
    <row r="13234" ht="12.75" hidden="1" customHeight="1" x14ac:dyDescent="0.2"/>
    <row r="13235" ht="12.75" hidden="1" customHeight="1" x14ac:dyDescent="0.2"/>
    <row r="13236" ht="12.75" hidden="1" customHeight="1" x14ac:dyDescent="0.2"/>
    <row r="13237" ht="12.75" hidden="1" customHeight="1" x14ac:dyDescent="0.2"/>
    <row r="13238" ht="12.75" hidden="1" customHeight="1" x14ac:dyDescent="0.2"/>
    <row r="13239" ht="12.75" hidden="1" customHeight="1" x14ac:dyDescent="0.2"/>
    <row r="13240" ht="12.75" hidden="1" customHeight="1" x14ac:dyDescent="0.2"/>
    <row r="13241" ht="12.75" hidden="1" customHeight="1" x14ac:dyDescent="0.2"/>
    <row r="13242" ht="12.75" hidden="1" customHeight="1" x14ac:dyDescent="0.2"/>
    <row r="13243" ht="12.75" hidden="1" customHeight="1" x14ac:dyDescent="0.2"/>
    <row r="13244" ht="12.75" hidden="1" customHeight="1" x14ac:dyDescent="0.2"/>
    <row r="13245" ht="12.75" hidden="1" customHeight="1" x14ac:dyDescent="0.2"/>
    <row r="13246" ht="12.75" hidden="1" customHeight="1" x14ac:dyDescent="0.2"/>
    <row r="13247" ht="12.75" hidden="1" customHeight="1" x14ac:dyDescent="0.2"/>
    <row r="13248" ht="12.75" hidden="1" customHeight="1" x14ac:dyDescent="0.2"/>
    <row r="13249" ht="12.75" hidden="1" customHeight="1" x14ac:dyDescent="0.2"/>
    <row r="13250" ht="12.75" hidden="1" customHeight="1" x14ac:dyDescent="0.2"/>
    <row r="13251" ht="12.75" hidden="1" customHeight="1" x14ac:dyDescent="0.2"/>
    <row r="13252" ht="12.75" hidden="1" customHeight="1" x14ac:dyDescent="0.2"/>
    <row r="13253" ht="12.75" hidden="1" customHeight="1" x14ac:dyDescent="0.2"/>
    <row r="13254" ht="12.75" hidden="1" customHeight="1" x14ac:dyDescent="0.2"/>
    <row r="13255" ht="12.75" hidden="1" customHeight="1" x14ac:dyDescent="0.2"/>
    <row r="13256" ht="12.75" hidden="1" customHeight="1" x14ac:dyDescent="0.2"/>
    <row r="13257" ht="12.75" hidden="1" customHeight="1" x14ac:dyDescent="0.2"/>
    <row r="13258" ht="12.75" hidden="1" customHeight="1" x14ac:dyDescent="0.2"/>
    <row r="13259" ht="12.75" hidden="1" customHeight="1" x14ac:dyDescent="0.2"/>
    <row r="13260" ht="12.75" hidden="1" customHeight="1" x14ac:dyDescent="0.2"/>
    <row r="13261" ht="12.75" hidden="1" customHeight="1" x14ac:dyDescent="0.2"/>
    <row r="13262" ht="12.75" hidden="1" customHeight="1" x14ac:dyDescent="0.2"/>
    <row r="13263" ht="12.75" hidden="1" customHeight="1" x14ac:dyDescent="0.2"/>
    <row r="13264" ht="12.75" hidden="1" customHeight="1" x14ac:dyDescent="0.2"/>
    <row r="13265" ht="12.75" hidden="1" customHeight="1" x14ac:dyDescent="0.2"/>
    <row r="13266" ht="12.75" hidden="1" customHeight="1" x14ac:dyDescent="0.2"/>
    <row r="13267" ht="12.75" hidden="1" customHeight="1" x14ac:dyDescent="0.2"/>
    <row r="13268" ht="12.75" hidden="1" customHeight="1" x14ac:dyDescent="0.2"/>
    <row r="13269" ht="12.75" hidden="1" customHeight="1" x14ac:dyDescent="0.2"/>
    <row r="13270" ht="12.75" hidden="1" customHeight="1" x14ac:dyDescent="0.2"/>
    <row r="13271" ht="12.75" hidden="1" customHeight="1" x14ac:dyDescent="0.2"/>
    <row r="13272" ht="12.75" hidden="1" customHeight="1" x14ac:dyDescent="0.2"/>
    <row r="13273" ht="12.75" hidden="1" customHeight="1" x14ac:dyDescent="0.2"/>
    <row r="13274" ht="12.75" hidden="1" customHeight="1" x14ac:dyDescent="0.2"/>
    <row r="13275" ht="12.75" hidden="1" customHeight="1" x14ac:dyDescent="0.2"/>
    <row r="13276" ht="12.75" hidden="1" customHeight="1" x14ac:dyDescent="0.2"/>
    <row r="13277" ht="12.75" hidden="1" customHeight="1" x14ac:dyDescent="0.2"/>
    <row r="13278" ht="12.75" hidden="1" customHeight="1" x14ac:dyDescent="0.2"/>
    <row r="13279" ht="12.75" hidden="1" customHeight="1" x14ac:dyDescent="0.2"/>
    <row r="13280" ht="12.75" hidden="1" customHeight="1" x14ac:dyDescent="0.2"/>
    <row r="13281" ht="12.75" hidden="1" customHeight="1" x14ac:dyDescent="0.2"/>
    <row r="13282" ht="12.75" hidden="1" customHeight="1" x14ac:dyDescent="0.2"/>
    <row r="13283" ht="12.75" hidden="1" customHeight="1" x14ac:dyDescent="0.2"/>
    <row r="13284" ht="12.75" hidden="1" customHeight="1" x14ac:dyDescent="0.2"/>
    <row r="13285" ht="12.75" hidden="1" customHeight="1" x14ac:dyDescent="0.2"/>
    <row r="13286" ht="12.75" hidden="1" customHeight="1" x14ac:dyDescent="0.2"/>
    <row r="13287" ht="12.75" hidden="1" customHeight="1" x14ac:dyDescent="0.2"/>
    <row r="13288" ht="12.75" hidden="1" customHeight="1" x14ac:dyDescent="0.2"/>
    <row r="13289" ht="12.75" hidden="1" customHeight="1" x14ac:dyDescent="0.2"/>
    <row r="13290" ht="12.75" hidden="1" customHeight="1" x14ac:dyDescent="0.2"/>
    <row r="13291" ht="12.75" hidden="1" customHeight="1" x14ac:dyDescent="0.2"/>
    <row r="13292" ht="12.75" hidden="1" customHeight="1" x14ac:dyDescent="0.2"/>
    <row r="13293" ht="12.75" hidden="1" customHeight="1" x14ac:dyDescent="0.2"/>
    <row r="13294" ht="12.75" hidden="1" customHeight="1" x14ac:dyDescent="0.2"/>
    <row r="13295" ht="12.75" hidden="1" customHeight="1" x14ac:dyDescent="0.2"/>
    <row r="13296" ht="12.75" hidden="1" customHeight="1" x14ac:dyDescent="0.2"/>
    <row r="13297" ht="12.75" hidden="1" customHeight="1" x14ac:dyDescent="0.2"/>
    <row r="13298" ht="12.75" hidden="1" customHeight="1" x14ac:dyDescent="0.2"/>
    <row r="13299" ht="12.75" hidden="1" customHeight="1" x14ac:dyDescent="0.2"/>
    <row r="13300" ht="12.75" hidden="1" customHeight="1" x14ac:dyDescent="0.2"/>
    <row r="13301" ht="12.75" hidden="1" customHeight="1" x14ac:dyDescent="0.2"/>
    <row r="13302" ht="12.75" hidden="1" customHeight="1" x14ac:dyDescent="0.2"/>
    <row r="13303" ht="12.75" hidden="1" customHeight="1" x14ac:dyDescent="0.2"/>
    <row r="13304" ht="12.75" hidden="1" customHeight="1" x14ac:dyDescent="0.2"/>
    <row r="13305" ht="12.75" hidden="1" customHeight="1" x14ac:dyDescent="0.2"/>
    <row r="13306" ht="12.75" hidden="1" customHeight="1" x14ac:dyDescent="0.2"/>
    <row r="13307" ht="12.75" hidden="1" customHeight="1" x14ac:dyDescent="0.2"/>
    <row r="13308" ht="12.75" hidden="1" customHeight="1" x14ac:dyDescent="0.2"/>
    <row r="13309" ht="12.75" hidden="1" customHeight="1" x14ac:dyDescent="0.2"/>
    <row r="13310" ht="12.75" hidden="1" customHeight="1" x14ac:dyDescent="0.2"/>
    <row r="13311" ht="12.75" hidden="1" customHeight="1" x14ac:dyDescent="0.2"/>
    <row r="13312" ht="12.75" hidden="1" customHeight="1" x14ac:dyDescent="0.2"/>
    <row r="13313" ht="12.75" hidden="1" customHeight="1" x14ac:dyDescent="0.2"/>
    <row r="13314" ht="12.75" hidden="1" customHeight="1" x14ac:dyDescent="0.2"/>
    <row r="13315" ht="12.75" hidden="1" customHeight="1" x14ac:dyDescent="0.2"/>
    <row r="13316" ht="12.75" hidden="1" customHeight="1" x14ac:dyDescent="0.2"/>
    <row r="13317" ht="12.75" hidden="1" customHeight="1" x14ac:dyDescent="0.2"/>
    <row r="13318" ht="12.75" hidden="1" customHeight="1" x14ac:dyDescent="0.2"/>
    <row r="13319" ht="12.75" hidden="1" customHeight="1" x14ac:dyDescent="0.2"/>
    <row r="13320" ht="12.75" hidden="1" customHeight="1" x14ac:dyDescent="0.2"/>
    <row r="13321" ht="12.75" hidden="1" customHeight="1" x14ac:dyDescent="0.2"/>
    <row r="13322" ht="12.75" hidden="1" customHeight="1" x14ac:dyDescent="0.2"/>
    <row r="13323" ht="12.75" hidden="1" customHeight="1" x14ac:dyDescent="0.2"/>
    <row r="13324" ht="12.75" hidden="1" customHeight="1" x14ac:dyDescent="0.2"/>
    <row r="13325" ht="12.75" hidden="1" customHeight="1" x14ac:dyDescent="0.2"/>
    <row r="13326" ht="12.75" hidden="1" customHeight="1" x14ac:dyDescent="0.2"/>
    <row r="13327" ht="12.75" hidden="1" customHeight="1" x14ac:dyDescent="0.2"/>
    <row r="13328" ht="12.75" hidden="1" customHeight="1" x14ac:dyDescent="0.2"/>
    <row r="13329" ht="12.75" hidden="1" customHeight="1" x14ac:dyDescent="0.2"/>
    <row r="13330" ht="12.75" hidden="1" customHeight="1" x14ac:dyDescent="0.2"/>
    <row r="13331" ht="12.75" hidden="1" customHeight="1" x14ac:dyDescent="0.2"/>
    <row r="13332" ht="12.75" hidden="1" customHeight="1" x14ac:dyDescent="0.2"/>
    <row r="13333" ht="12.75" hidden="1" customHeight="1" x14ac:dyDescent="0.2"/>
    <row r="13334" ht="12.75" hidden="1" customHeight="1" x14ac:dyDescent="0.2"/>
    <row r="13335" ht="12.75" hidden="1" customHeight="1" x14ac:dyDescent="0.2"/>
    <row r="13336" ht="12.75" hidden="1" customHeight="1" x14ac:dyDescent="0.2"/>
    <row r="13337" ht="12.75" hidden="1" customHeight="1" x14ac:dyDescent="0.2"/>
    <row r="13338" ht="12.75" hidden="1" customHeight="1" x14ac:dyDescent="0.2"/>
    <row r="13339" ht="12.75" hidden="1" customHeight="1" x14ac:dyDescent="0.2"/>
    <row r="13340" ht="12.75" hidden="1" customHeight="1" x14ac:dyDescent="0.2"/>
    <row r="13341" ht="12.75" hidden="1" customHeight="1" x14ac:dyDescent="0.2"/>
    <row r="13342" ht="12.75" hidden="1" customHeight="1" x14ac:dyDescent="0.2"/>
    <row r="13343" ht="12.75" hidden="1" customHeight="1" x14ac:dyDescent="0.2"/>
    <row r="13344" ht="12.75" hidden="1" customHeight="1" x14ac:dyDescent="0.2"/>
    <row r="13345" ht="12.75" hidden="1" customHeight="1" x14ac:dyDescent="0.2"/>
    <row r="13346" ht="12.75" hidden="1" customHeight="1" x14ac:dyDescent="0.2"/>
    <row r="13347" ht="12.75" hidden="1" customHeight="1" x14ac:dyDescent="0.2"/>
    <row r="13348" ht="12.75" hidden="1" customHeight="1" x14ac:dyDescent="0.2"/>
    <row r="13349" ht="12.75" hidden="1" customHeight="1" x14ac:dyDescent="0.2"/>
    <row r="13350" ht="12.75" hidden="1" customHeight="1" x14ac:dyDescent="0.2"/>
    <row r="13351" ht="12.75" hidden="1" customHeight="1" x14ac:dyDescent="0.2"/>
    <row r="13352" ht="12.75" hidden="1" customHeight="1" x14ac:dyDescent="0.2"/>
    <row r="13353" ht="12.75" hidden="1" customHeight="1" x14ac:dyDescent="0.2"/>
    <row r="13354" ht="12.75" hidden="1" customHeight="1" x14ac:dyDescent="0.2"/>
    <row r="13355" ht="12.75" hidden="1" customHeight="1" x14ac:dyDescent="0.2"/>
    <row r="13356" ht="12.75" hidden="1" customHeight="1" x14ac:dyDescent="0.2"/>
    <row r="13357" ht="12.75" hidden="1" customHeight="1" x14ac:dyDescent="0.2"/>
    <row r="13358" ht="12.75" hidden="1" customHeight="1" x14ac:dyDescent="0.2"/>
    <row r="13359" ht="12.75" hidden="1" customHeight="1" x14ac:dyDescent="0.2"/>
    <row r="13360" ht="12.75" hidden="1" customHeight="1" x14ac:dyDescent="0.2"/>
    <row r="13361" ht="12.75" hidden="1" customHeight="1" x14ac:dyDescent="0.2"/>
    <row r="13362" ht="12.75" hidden="1" customHeight="1" x14ac:dyDescent="0.2"/>
    <row r="13363" ht="12.75" hidden="1" customHeight="1" x14ac:dyDescent="0.2"/>
    <row r="13364" ht="12.75" hidden="1" customHeight="1" x14ac:dyDescent="0.2"/>
    <row r="13365" ht="12.75" hidden="1" customHeight="1" x14ac:dyDescent="0.2"/>
    <row r="13366" ht="12.75" hidden="1" customHeight="1" x14ac:dyDescent="0.2"/>
    <row r="13367" ht="12.75" hidden="1" customHeight="1" x14ac:dyDescent="0.2"/>
    <row r="13368" ht="12.75" hidden="1" customHeight="1" x14ac:dyDescent="0.2"/>
    <row r="13369" ht="12.75" hidden="1" customHeight="1" x14ac:dyDescent="0.2"/>
    <row r="13370" ht="12.75" hidden="1" customHeight="1" x14ac:dyDescent="0.2"/>
    <row r="13371" ht="12.75" hidden="1" customHeight="1" x14ac:dyDescent="0.2"/>
    <row r="13372" ht="12.75" hidden="1" customHeight="1" x14ac:dyDescent="0.2"/>
    <row r="13373" ht="12.75" hidden="1" customHeight="1" x14ac:dyDescent="0.2"/>
    <row r="13374" ht="12.75" hidden="1" customHeight="1" x14ac:dyDescent="0.2"/>
    <row r="13375" ht="12.75" hidden="1" customHeight="1" x14ac:dyDescent="0.2"/>
    <row r="13376" ht="12.75" hidden="1" customHeight="1" x14ac:dyDescent="0.2"/>
    <row r="13377" ht="12.75" hidden="1" customHeight="1" x14ac:dyDescent="0.2"/>
    <row r="13378" ht="12.75" hidden="1" customHeight="1" x14ac:dyDescent="0.2"/>
    <row r="13379" ht="12.75" hidden="1" customHeight="1" x14ac:dyDescent="0.2"/>
    <row r="13380" ht="12.75" hidden="1" customHeight="1" x14ac:dyDescent="0.2"/>
    <row r="13381" ht="12.75" hidden="1" customHeight="1" x14ac:dyDescent="0.2"/>
    <row r="13382" ht="12.75" hidden="1" customHeight="1" x14ac:dyDescent="0.2"/>
    <row r="13383" ht="12.75" hidden="1" customHeight="1" x14ac:dyDescent="0.2"/>
    <row r="13384" ht="12.75" hidden="1" customHeight="1" x14ac:dyDescent="0.2"/>
    <row r="13385" ht="12.75" hidden="1" customHeight="1" x14ac:dyDescent="0.2"/>
    <row r="13386" ht="12.75" hidden="1" customHeight="1" x14ac:dyDescent="0.2"/>
    <row r="13387" ht="12.75" hidden="1" customHeight="1" x14ac:dyDescent="0.2"/>
    <row r="13388" ht="12.75" hidden="1" customHeight="1" x14ac:dyDescent="0.2"/>
    <row r="13389" ht="12.75" hidden="1" customHeight="1" x14ac:dyDescent="0.2"/>
    <row r="13390" ht="12.75" hidden="1" customHeight="1" x14ac:dyDescent="0.2"/>
    <row r="13391" ht="12.75" hidden="1" customHeight="1" x14ac:dyDescent="0.2"/>
    <row r="13392" ht="12.75" hidden="1" customHeight="1" x14ac:dyDescent="0.2"/>
    <row r="13393" ht="12.75" hidden="1" customHeight="1" x14ac:dyDescent="0.2"/>
    <row r="13394" ht="12.75" hidden="1" customHeight="1" x14ac:dyDescent="0.2"/>
    <row r="13395" ht="12.75" hidden="1" customHeight="1" x14ac:dyDescent="0.2"/>
    <row r="13396" ht="12.75" hidden="1" customHeight="1" x14ac:dyDescent="0.2"/>
    <row r="13397" ht="12.75" hidden="1" customHeight="1" x14ac:dyDescent="0.2"/>
    <row r="13398" ht="12.75" hidden="1" customHeight="1" x14ac:dyDescent="0.2"/>
    <row r="13399" ht="12.75" hidden="1" customHeight="1" x14ac:dyDescent="0.2"/>
    <row r="13400" ht="12.75" hidden="1" customHeight="1" x14ac:dyDescent="0.2"/>
    <row r="13401" ht="12.75" hidden="1" customHeight="1" x14ac:dyDescent="0.2"/>
    <row r="13402" ht="12.75" hidden="1" customHeight="1" x14ac:dyDescent="0.2"/>
    <row r="13403" ht="12.75" hidden="1" customHeight="1" x14ac:dyDescent="0.2"/>
    <row r="13404" ht="12.75" hidden="1" customHeight="1" x14ac:dyDescent="0.2"/>
    <row r="13405" ht="12.75" hidden="1" customHeight="1" x14ac:dyDescent="0.2"/>
    <row r="13406" ht="12.75" hidden="1" customHeight="1" x14ac:dyDescent="0.2"/>
    <row r="13407" ht="12.75" hidden="1" customHeight="1" x14ac:dyDescent="0.2"/>
    <row r="13408" ht="12.75" hidden="1" customHeight="1" x14ac:dyDescent="0.2"/>
    <row r="13409" ht="12.75" hidden="1" customHeight="1" x14ac:dyDescent="0.2"/>
    <row r="13410" ht="12.75" hidden="1" customHeight="1" x14ac:dyDescent="0.2"/>
    <row r="13411" ht="12.75" hidden="1" customHeight="1" x14ac:dyDescent="0.2"/>
    <row r="13412" ht="12.75" hidden="1" customHeight="1" x14ac:dyDescent="0.2"/>
    <row r="13413" ht="12.75" hidden="1" customHeight="1" x14ac:dyDescent="0.2"/>
    <row r="13414" ht="12.75" hidden="1" customHeight="1" x14ac:dyDescent="0.2"/>
    <row r="13415" ht="12.75" hidden="1" customHeight="1" x14ac:dyDescent="0.2"/>
    <row r="13416" ht="12.75" hidden="1" customHeight="1" x14ac:dyDescent="0.2"/>
    <row r="13417" ht="12.75" hidden="1" customHeight="1" x14ac:dyDescent="0.2"/>
    <row r="13418" ht="12.75" hidden="1" customHeight="1" x14ac:dyDescent="0.2"/>
    <row r="13419" ht="12.75" hidden="1" customHeight="1" x14ac:dyDescent="0.2"/>
    <row r="13420" ht="12.75" hidden="1" customHeight="1" x14ac:dyDescent="0.2"/>
    <row r="13421" ht="12.75" hidden="1" customHeight="1" x14ac:dyDescent="0.2"/>
    <row r="13422" ht="12.75" hidden="1" customHeight="1" x14ac:dyDescent="0.2"/>
    <row r="13423" ht="12.75" hidden="1" customHeight="1" x14ac:dyDescent="0.2"/>
    <row r="13424" ht="12.75" hidden="1" customHeight="1" x14ac:dyDescent="0.2"/>
    <row r="13425" ht="12.75" hidden="1" customHeight="1" x14ac:dyDescent="0.2"/>
    <row r="13426" ht="12.75" hidden="1" customHeight="1" x14ac:dyDescent="0.2"/>
    <row r="13427" ht="12.75" hidden="1" customHeight="1" x14ac:dyDescent="0.2"/>
    <row r="13428" ht="12.75" hidden="1" customHeight="1" x14ac:dyDescent="0.2"/>
    <row r="13429" ht="12.75" hidden="1" customHeight="1" x14ac:dyDescent="0.2"/>
    <row r="13430" ht="12.75" hidden="1" customHeight="1" x14ac:dyDescent="0.2"/>
    <row r="13431" ht="12.75" hidden="1" customHeight="1" x14ac:dyDescent="0.2"/>
    <row r="13432" ht="12.75" hidden="1" customHeight="1" x14ac:dyDescent="0.2"/>
    <row r="13433" ht="12.75" hidden="1" customHeight="1" x14ac:dyDescent="0.2"/>
    <row r="13434" ht="12.75" hidden="1" customHeight="1" x14ac:dyDescent="0.2"/>
    <row r="13435" ht="12.75" hidden="1" customHeight="1" x14ac:dyDescent="0.2"/>
    <row r="13436" ht="12.75" hidden="1" customHeight="1" x14ac:dyDescent="0.2"/>
    <row r="13437" ht="12.75" hidden="1" customHeight="1" x14ac:dyDescent="0.2"/>
    <row r="13438" ht="12.75" hidden="1" customHeight="1" x14ac:dyDescent="0.2"/>
    <row r="13439" ht="12.75" hidden="1" customHeight="1" x14ac:dyDescent="0.2"/>
    <row r="13440" ht="12.75" hidden="1" customHeight="1" x14ac:dyDescent="0.2"/>
    <row r="13441" ht="12.75" hidden="1" customHeight="1" x14ac:dyDescent="0.2"/>
    <row r="13442" ht="12.75" hidden="1" customHeight="1" x14ac:dyDescent="0.2"/>
    <row r="13443" ht="12.75" hidden="1" customHeight="1" x14ac:dyDescent="0.2"/>
    <row r="13444" ht="12.75" hidden="1" customHeight="1" x14ac:dyDescent="0.2"/>
    <row r="13445" ht="12.75" hidden="1" customHeight="1" x14ac:dyDescent="0.2"/>
    <row r="13446" ht="12.75" hidden="1" customHeight="1" x14ac:dyDescent="0.2"/>
    <row r="13447" ht="12.75" hidden="1" customHeight="1" x14ac:dyDescent="0.2"/>
    <row r="13448" ht="12.75" hidden="1" customHeight="1" x14ac:dyDescent="0.2"/>
    <row r="13449" ht="12.75" hidden="1" customHeight="1" x14ac:dyDescent="0.2"/>
    <row r="13450" ht="12.75" hidden="1" customHeight="1" x14ac:dyDescent="0.2"/>
    <row r="13451" ht="12.75" hidden="1" customHeight="1" x14ac:dyDescent="0.2"/>
    <row r="13452" ht="12.75" hidden="1" customHeight="1" x14ac:dyDescent="0.2"/>
    <row r="13453" ht="12.75" hidden="1" customHeight="1" x14ac:dyDescent="0.2"/>
    <row r="13454" ht="12.75" hidden="1" customHeight="1" x14ac:dyDescent="0.2"/>
    <row r="13455" ht="12.75" hidden="1" customHeight="1" x14ac:dyDescent="0.2"/>
    <row r="13456" ht="12.75" hidden="1" customHeight="1" x14ac:dyDescent="0.2"/>
    <row r="13457" ht="12.75" hidden="1" customHeight="1" x14ac:dyDescent="0.2"/>
    <row r="13458" ht="12.75" hidden="1" customHeight="1" x14ac:dyDescent="0.2"/>
    <row r="13459" ht="12.75" hidden="1" customHeight="1" x14ac:dyDescent="0.2"/>
    <row r="13460" ht="12.75" hidden="1" customHeight="1" x14ac:dyDescent="0.2"/>
    <row r="13461" ht="12.75" hidden="1" customHeight="1" x14ac:dyDescent="0.2"/>
    <row r="13462" ht="12.75" hidden="1" customHeight="1" x14ac:dyDescent="0.2"/>
    <row r="13463" ht="12.75" hidden="1" customHeight="1" x14ac:dyDescent="0.2"/>
    <row r="13464" ht="12.75" hidden="1" customHeight="1" x14ac:dyDescent="0.2"/>
    <row r="13465" ht="12.75" hidden="1" customHeight="1" x14ac:dyDescent="0.2"/>
    <row r="13466" ht="12.75" hidden="1" customHeight="1" x14ac:dyDescent="0.2"/>
    <row r="13467" ht="12.75" hidden="1" customHeight="1" x14ac:dyDescent="0.2"/>
    <row r="13468" ht="12.75" hidden="1" customHeight="1" x14ac:dyDescent="0.2"/>
    <row r="13469" ht="12.75" hidden="1" customHeight="1" x14ac:dyDescent="0.2"/>
    <row r="13470" ht="12.75" hidden="1" customHeight="1" x14ac:dyDescent="0.2"/>
    <row r="13471" ht="12.75" hidden="1" customHeight="1" x14ac:dyDescent="0.2"/>
    <row r="13472" ht="12.75" hidden="1" customHeight="1" x14ac:dyDescent="0.2"/>
    <row r="13473" ht="12.75" hidden="1" customHeight="1" x14ac:dyDescent="0.2"/>
    <row r="13474" ht="12.75" hidden="1" customHeight="1" x14ac:dyDescent="0.2"/>
    <row r="13475" ht="12.75" hidden="1" customHeight="1" x14ac:dyDescent="0.2"/>
    <row r="13476" ht="12.75" hidden="1" customHeight="1" x14ac:dyDescent="0.2"/>
    <row r="13477" ht="12.75" hidden="1" customHeight="1" x14ac:dyDescent="0.2"/>
    <row r="13478" ht="12.75" hidden="1" customHeight="1" x14ac:dyDescent="0.2"/>
    <row r="13479" ht="12.75" hidden="1" customHeight="1" x14ac:dyDescent="0.2"/>
    <row r="13480" ht="12.75" hidden="1" customHeight="1" x14ac:dyDescent="0.2"/>
    <row r="13481" ht="12.75" hidden="1" customHeight="1" x14ac:dyDescent="0.2"/>
    <row r="13482" ht="12.75" hidden="1" customHeight="1" x14ac:dyDescent="0.2"/>
    <row r="13483" ht="12.75" hidden="1" customHeight="1" x14ac:dyDescent="0.2"/>
    <row r="13484" ht="12.75" hidden="1" customHeight="1" x14ac:dyDescent="0.2"/>
    <row r="13485" ht="12.75" hidden="1" customHeight="1" x14ac:dyDescent="0.2"/>
    <row r="13486" ht="12.75" hidden="1" customHeight="1" x14ac:dyDescent="0.2"/>
    <row r="13487" ht="12.75" hidden="1" customHeight="1" x14ac:dyDescent="0.2"/>
    <row r="13488" ht="12.75" hidden="1" customHeight="1" x14ac:dyDescent="0.2"/>
    <row r="13489" ht="12.75" hidden="1" customHeight="1" x14ac:dyDescent="0.2"/>
    <row r="13490" ht="12.75" hidden="1" customHeight="1" x14ac:dyDescent="0.2"/>
    <row r="13491" ht="12.75" hidden="1" customHeight="1" x14ac:dyDescent="0.2"/>
    <row r="13492" ht="12.75" hidden="1" customHeight="1" x14ac:dyDescent="0.2"/>
    <row r="13493" ht="12.75" hidden="1" customHeight="1" x14ac:dyDescent="0.2"/>
    <row r="13494" ht="12.75" hidden="1" customHeight="1" x14ac:dyDescent="0.2"/>
    <row r="13495" ht="12.75" hidden="1" customHeight="1" x14ac:dyDescent="0.2"/>
    <row r="13496" ht="12.75" hidden="1" customHeight="1" x14ac:dyDescent="0.2"/>
    <row r="13497" ht="12.75" hidden="1" customHeight="1" x14ac:dyDescent="0.2"/>
    <row r="13498" ht="12.75" hidden="1" customHeight="1" x14ac:dyDescent="0.2"/>
    <row r="13499" ht="12.75" hidden="1" customHeight="1" x14ac:dyDescent="0.2"/>
    <row r="13500" ht="12.75" hidden="1" customHeight="1" x14ac:dyDescent="0.2"/>
    <row r="13501" ht="12.75" hidden="1" customHeight="1" x14ac:dyDescent="0.2"/>
    <row r="13502" ht="12.75" hidden="1" customHeight="1" x14ac:dyDescent="0.2"/>
    <row r="13503" ht="12.75" hidden="1" customHeight="1" x14ac:dyDescent="0.2"/>
    <row r="13504" ht="12.75" hidden="1" customHeight="1" x14ac:dyDescent="0.2"/>
    <row r="13505" ht="12.75" hidden="1" customHeight="1" x14ac:dyDescent="0.2"/>
    <row r="13506" ht="12.75" hidden="1" customHeight="1" x14ac:dyDescent="0.2"/>
    <row r="13507" ht="12.75" hidden="1" customHeight="1" x14ac:dyDescent="0.2"/>
    <row r="13508" ht="12.75" hidden="1" customHeight="1" x14ac:dyDescent="0.2"/>
    <row r="13509" ht="12.75" hidden="1" customHeight="1" x14ac:dyDescent="0.2"/>
    <row r="13510" ht="12.75" hidden="1" customHeight="1" x14ac:dyDescent="0.2"/>
    <row r="13511" ht="12.75" hidden="1" customHeight="1" x14ac:dyDescent="0.2"/>
    <row r="13512" ht="12.75" hidden="1" customHeight="1" x14ac:dyDescent="0.2"/>
    <row r="13513" ht="12.75" hidden="1" customHeight="1" x14ac:dyDescent="0.2"/>
    <row r="13514" ht="12.75" hidden="1" customHeight="1" x14ac:dyDescent="0.2"/>
    <row r="13515" ht="12.75" hidden="1" customHeight="1" x14ac:dyDescent="0.2"/>
    <row r="13516" ht="12.75" hidden="1" customHeight="1" x14ac:dyDescent="0.2"/>
    <row r="13517" ht="12.75" hidden="1" customHeight="1" x14ac:dyDescent="0.2"/>
    <row r="13518" ht="12.75" hidden="1" customHeight="1" x14ac:dyDescent="0.2"/>
    <row r="13519" ht="12.75" hidden="1" customHeight="1" x14ac:dyDescent="0.2"/>
    <row r="13520" ht="12.75" hidden="1" customHeight="1" x14ac:dyDescent="0.2"/>
    <row r="13521" ht="12.75" hidden="1" customHeight="1" x14ac:dyDescent="0.2"/>
    <row r="13522" ht="12.75" hidden="1" customHeight="1" x14ac:dyDescent="0.2"/>
    <row r="13523" ht="12.75" hidden="1" customHeight="1" x14ac:dyDescent="0.2"/>
    <row r="13524" ht="12.75" hidden="1" customHeight="1" x14ac:dyDescent="0.2"/>
    <row r="13525" ht="12.75" hidden="1" customHeight="1" x14ac:dyDescent="0.2"/>
    <row r="13526" ht="12.75" hidden="1" customHeight="1" x14ac:dyDescent="0.2"/>
    <row r="13527" ht="12.75" hidden="1" customHeight="1" x14ac:dyDescent="0.2"/>
    <row r="13528" ht="12.75" hidden="1" customHeight="1" x14ac:dyDescent="0.2"/>
    <row r="13529" ht="12.75" hidden="1" customHeight="1" x14ac:dyDescent="0.2"/>
    <row r="13530" ht="12.75" hidden="1" customHeight="1" x14ac:dyDescent="0.2"/>
    <row r="13531" ht="12.75" hidden="1" customHeight="1" x14ac:dyDescent="0.2"/>
    <row r="13532" ht="12.75" hidden="1" customHeight="1" x14ac:dyDescent="0.2"/>
    <row r="13533" ht="12.75" hidden="1" customHeight="1" x14ac:dyDescent="0.2"/>
    <row r="13534" ht="12.75" hidden="1" customHeight="1" x14ac:dyDescent="0.2"/>
    <row r="13535" ht="12.75" hidden="1" customHeight="1" x14ac:dyDescent="0.2"/>
    <row r="13536" ht="12.75" hidden="1" customHeight="1" x14ac:dyDescent="0.2"/>
    <row r="13537" ht="12.75" hidden="1" customHeight="1" x14ac:dyDescent="0.2"/>
    <row r="13538" ht="12.75" hidden="1" customHeight="1" x14ac:dyDescent="0.2"/>
    <row r="13539" ht="12.75" hidden="1" customHeight="1" x14ac:dyDescent="0.2"/>
    <row r="13540" ht="12.75" hidden="1" customHeight="1" x14ac:dyDescent="0.2"/>
    <row r="13541" ht="12.75" hidden="1" customHeight="1" x14ac:dyDescent="0.2"/>
    <row r="13542" ht="12.75" hidden="1" customHeight="1" x14ac:dyDescent="0.2"/>
    <row r="13543" ht="12.75" hidden="1" customHeight="1" x14ac:dyDescent="0.2"/>
    <row r="13544" ht="12.75" hidden="1" customHeight="1" x14ac:dyDescent="0.2"/>
    <row r="13545" ht="12.75" hidden="1" customHeight="1" x14ac:dyDescent="0.2"/>
    <row r="13546" ht="12.75" hidden="1" customHeight="1" x14ac:dyDescent="0.2"/>
    <row r="13547" ht="12.75" hidden="1" customHeight="1" x14ac:dyDescent="0.2"/>
    <row r="13548" ht="12.75" hidden="1" customHeight="1" x14ac:dyDescent="0.2"/>
    <row r="13549" ht="12.75" hidden="1" customHeight="1" x14ac:dyDescent="0.2"/>
    <row r="13550" ht="12.75" hidden="1" customHeight="1" x14ac:dyDescent="0.2"/>
    <row r="13551" ht="12.75" hidden="1" customHeight="1" x14ac:dyDescent="0.2"/>
    <row r="13552" ht="12.75" hidden="1" customHeight="1" x14ac:dyDescent="0.2"/>
    <row r="13553" ht="12.75" hidden="1" customHeight="1" x14ac:dyDescent="0.2"/>
    <row r="13554" ht="12.75" hidden="1" customHeight="1" x14ac:dyDescent="0.2"/>
    <row r="13555" ht="12.75" hidden="1" customHeight="1" x14ac:dyDescent="0.2"/>
    <row r="13556" ht="12.75" hidden="1" customHeight="1" x14ac:dyDescent="0.2"/>
    <row r="13557" ht="12.75" hidden="1" customHeight="1" x14ac:dyDescent="0.2"/>
    <row r="13558" ht="12.75" hidden="1" customHeight="1" x14ac:dyDescent="0.2"/>
    <row r="13559" ht="12.75" hidden="1" customHeight="1" x14ac:dyDescent="0.2"/>
    <row r="13560" ht="12.75" hidden="1" customHeight="1" x14ac:dyDescent="0.2"/>
    <row r="13561" ht="12.75" hidden="1" customHeight="1" x14ac:dyDescent="0.2"/>
    <row r="13562" ht="12.75" hidden="1" customHeight="1" x14ac:dyDescent="0.2"/>
    <row r="13563" ht="12.75" hidden="1" customHeight="1" x14ac:dyDescent="0.2"/>
    <row r="13564" ht="12.75" hidden="1" customHeight="1" x14ac:dyDescent="0.2"/>
    <row r="13565" ht="12.75" hidden="1" customHeight="1" x14ac:dyDescent="0.2"/>
    <row r="13566" ht="12.75" hidden="1" customHeight="1" x14ac:dyDescent="0.2"/>
    <row r="13567" ht="12.75" hidden="1" customHeight="1" x14ac:dyDescent="0.2"/>
    <row r="13568" ht="12.75" hidden="1" customHeight="1" x14ac:dyDescent="0.2"/>
    <row r="13569" ht="12.75" hidden="1" customHeight="1" x14ac:dyDescent="0.2"/>
    <row r="13570" ht="12.75" hidden="1" customHeight="1" x14ac:dyDescent="0.2"/>
    <row r="13571" ht="12.75" hidden="1" customHeight="1" x14ac:dyDescent="0.2"/>
    <row r="13572" ht="12.75" hidden="1" customHeight="1" x14ac:dyDescent="0.2"/>
    <row r="13573" ht="12.75" hidden="1" customHeight="1" x14ac:dyDescent="0.2"/>
    <row r="13574" ht="12.75" hidden="1" customHeight="1" x14ac:dyDescent="0.2"/>
    <row r="13575" ht="12.75" hidden="1" customHeight="1" x14ac:dyDescent="0.2"/>
    <row r="13576" ht="12.75" hidden="1" customHeight="1" x14ac:dyDescent="0.2"/>
    <row r="13577" ht="12.75" hidden="1" customHeight="1" x14ac:dyDescent="0.2"/>
    <row r="13578" ht="12.75" hidden="1" customHeight="1" x14ac:dyDescent="0.2"/>
    <row r="13579" ht="12.75" hidden="1" customHeight="1" x14ac:dyDescent="0.2"/>
    <row r="13580" ht="12.75" hidden="1" customHeight="1" x14ac:dyDescent="0.2"/>
    <row r="13581" ht="12.75" hidden="1" customHeight="1" x14ac:dyDescent="0.2"/>
    <row r="13582" ht="12.75" hidden="1" customHeight="1" x14ac:dyDescent="0.2"/>
    <row r="13583" ht="12.75" hidden="1" customHeight="1" x14ac:dyDescent="0.2"/>
    <row r="13584" ht="12.75" hidden="1" customHeight="1" x14ac:dyDescent="0.2"/>
    <row r="13585" ht="12.75" hidden="1" customHeight="1" x14ac:dyDescent="0.2"/>
    <row r="13586" ht="12.75" hidden="1" customHeight="1" x14ac:dyDescent="0.2"/>
    <row r="13587" ht="12.75" hidden="1" customHeight="1" x14ac:dyDescent="0.2"/>
    <row r="13588" ht="12.75" hidden="1" customHeight="1" x14ac:dyDescent="0.2"/>
    <row r="13589" ht="12.75" hidden="1" customHeight="1" x14ac:dyDescent="0.2"/>
    <row r="13590" ht="12.75" hidden="1" customHeight="1" x14ac:dyDescent="0.2"/>
    <row r="13591" ht="12.75" hidden="1" customHeight="1" x14ac:dyDescent="0.2"/>
    <row r="13592" ht="12.75" hidden="1" customHeight="1" x14ac:dyDescent="0.2"/>
    <row r="13593" ht="12.75" hidden="1" customHeight="1" x14ac:dyDescent="0.2"/>
    <row r="13594" ht="12.75" hidden="1" customHeight="1" x14ac:dyDescent="0.2"/>
    <row r="13595" ht="12.75" hidden="1" customHeight="1" x14ac:dyDescent="0.2"/>
    <row r="13596" ht="12.75" hidden="1" customHeight="1" x14ac:dyDescent="0.2"/>
    <row r="13597" ht="12.75" hidden="1" customHeight="1" x14ac:dyDescent="0.2"/>
    <row r="13598" ht="12.75" hidden="1" customHeight="1" x14ac:dyDescent="0.2"/>
    <row r="13599" ht="12.75" hidden="1" customHeight="1" x14ac:dyDescent="0.2"/>
    <row r="13600" ht="12.75" hidden="1" customHeight="1" x14ac:dyDescent="0.2"/>
    <row r="13601" ht="12.75" hidden="1" customHeight="1" x14ac:dyDescent="0.2"/>
    <row r="13602" ht="12.75" hidden="1" customHeight="1" x14ac:dyDescent="0.2"/>
    <row r="13603" ht="12.75" hidden="1" customHeight="1" x14ac:dyDescent="0.2"/>
    <row r="13604" ht="12.75" hidden="1" customHeight="1" x14ac:dyDescent="0.2"/>
    <row r="13605" ht="12.75" hidden="1" customHeight="1" x14ac:dyDescent="0.2"/>
    <row r="13606" ht="12.75" hidden="1" customHeight="1" x14ac:dyDescent="0.2"/>
    <row r="13607" ht="12.75" hidden="1" customHeight="1" x14ac:dyDescent="0.2"/>
    <row r="13608" ht="12.75" hidden="1" customHeight="1" x14ac:dyDescent="0.2"/>
    <row r="13609" ht="12.75" hidden="1" customHeight="1" x14ac:dyDescent="0.2"/>
    <row r="13610" ht="12.75" hidden="1" customHeight="1" x14ac:dyDescent="0.2"/>
    <row r="13611" ht="12.75" hidden="1" customHeight="1" x14ac:dyDescent="0.2"/>
    <row r="13612" ht="12.75" hidden="1" customHeight="1" x14ac:dyDescent="0.2"/>
    <row r="13613" ht="12.75" hidden="1" customHeight="1" x14ac:dyDescent="0.2"/>
    <row r="13614" ht="12.75" hidden="1" customHeight="1" x14ac:dyDescent="0.2"/>
    <row r="13615" ht="12.75" hidden="1" customHeight="1" x14ac:dyDescent="0.2"/>
    <row r="13616" ht="12.75" hidden="1" customHeight="1" x14ac:dyDescent="0.2"/>
    <row r="13617" ht="12.75" hidden="1" customHeight="1" x14ac:dyDescent="0.2"/>
    <row r="13618" ht="12.75" hidden="1" customHeight="1" x14ac:dyDescent="0.2"/>
    <row r="13619" ht="12.75" hidden="1" customHeight="1" x14ac:dyDescent="0.2"/>
    <row r="13620" ht="12.75" hidden="1" customHeight="1" x14ac:dyDescent="0.2"/>
    <row r="13621" ht="12.75" hidden="1" customHeight="1" x14ac:dyDescent="0.2"/>
    <row r="13622" ht="12.75" hidden="1" customHeight="1" x14ac:dyDescent="0.2"/>
    <row r="13623" ht="12.75" hidden="1" customHeight="1" x14ac:dyDescent="0.2"/>
    <row r="13624" ht="12.75" hidden="1" customHeight="1" x14ac:dyDescent="0.2"/>
    <row r="13625" ht="12.75" hidden="1" customHeight="1" x14ac:dyDescent="0.2"/>
    <row r="13626" ht="12.75" hidden="1" customHeight="1" x14ac:dyDescent="0.2"/>
    <row r="13627" ht="12.75" hidden="1" customHeight="1" x14ac:dyDescent="0.2"/>
    <row r="13628" ht="12.75" hidden="1" customHeight="1" x14ac:dyDescent="0.2"/>
    <row r="13629" ht="12.75" hidden="1" customHeight="1" x14ac:dyDescent="0.2"/>
    <row r="13630" ht="12.75" hidden="1" customHeight="1" x14ac:dyDescent="0.2"/>
    <row r="13631" ht="12.75" hidden="1" customHeight="1" x14ac:dyDescent="0.2"/>
    <row r="13632" ht="12.75" hidden="1" customHeight="1" x14ac:dyDescent="0.2"/>
    <row r="13633" ht="12.75" hidden="1" customHeight="1" x14ac:dyDescent="0.2"/>
    <row r="13634" ht="12.75" hidden="1" customHeight="1" x14ac:dyDescent="0.2"/>
    <row r="13635" ht="12.75" hidden="1" customHeight="1" x14ac:dyDescent="0.2"/>
    <row r="13636" ht="12.75" hidden="1" customHeight="1" x14ac:dyDescent="0.2"/>
    <row r="13637" ht="12.75" hidden="1" customHeight="1" x14ac:dyDescent="0.2"/>
    <row r="13638" ht="12.75" hidden="1" customHeight="1" x14ac:dyDescent="0.2"/>
    <row r="13639" ht="12.75" hidden="1" customHeight="1" x14ac:dyDescent="0.2"/>
    <row r="13640" ht="12.75" hidden="1" customHeight="1" x14ac:dyDescent="0.2"/>
    <row r="13641" ht="12.75" hidden="1" customHeight="1" x14ac:dyDescent="0.2"/>
    <row r="13642" ht="12.75" hidden="1" customHeight="1" x14ac:dyDescent="0.2"/>
    <row r="13643" ht="12.75" hidden="1" customHeight="1" x14ac:dyDescent="0.2"/>
    <row r="13644" ht="12.75" hidden="1" customHeight="1" x14ac:dyDescent="0.2"/>
    <row r="13645" ht="12.75" hidden="1" customHeight="1" x14ac:dyDescent="0.2"/>
    <row r="13646" ht="12.75" hidden="1" customHeight="1" x14ac:dyDescent="0.2"/>
    <row r="13647" ht="12.75" hidden="1" customHeight="1" x14ac:dyDescent="0.2"/>
    <row r="13648" ht="12.75" hidden="1" customHeight="1" x14ac:dyDescent="0.2"/>
    <row r="13649" ht="12.75" hidden="1" customHeight="1" x14ac:dyDescent="0.2"/>
    <row r="13650" ht="12.75" hidden="1" customHeight="1" x14ac:dyDescent="0.2"/>
    <row r="13651" ht="12.75" hidden="1" customHeight="1" x14ac:dyDescent="0.2"/>
    <row r="13652" ht="12.75" hidden="1" customHeight="1" x14ac:dyDescent="0.2"/>
    <row r="13653" ht="12.75" hidden="1" customHeight="1" x14ac:dyDescent="0.2"/>
    <row r="13654" ht="12.75" hidden="1" customHeight="1" x14ac:dyDescent="0.2"/>
    <row r="13655" ht="12.75" hidden="1" customHeight="1" x14ac:dyDescent="0.2"/>
    <row r="13656" ht="12.75" hidden="1" customHeight="1" x14ac:dyDescent="0.2"/>
    <row r="13657" ht="12.75" hidden="1" customHeight="1" x14ac:dyDescent="0.2"/>
    <row r="13658" ht="12.75" hidden="1" customHeight="1" x14ac:dyDescent="0.2"/>
    <row r="13659" ht="12.75" hidden="1" customHeight="1" x14ac:dyDescent="0.2"/>
    <row r="13660" ht="12.75" hidden="1" customHeight="1" x14ac:dyDescent="0.2"/>
    <row r="13661" ht="12.75" hidden="1" customHeight="1" x14ac:dyDescent="0.2"/>
    <row r="13662" ht="12.75" hidden="1" customHeight="1" x14ac:dyDescent="0.2"/>
    <row r="13663" ht="12.75" hidden="1" customHeight="1" x14ac:dyDescent="0.2"/>
    <row r="13664" ht="12.75" hidden="1" customHeight="1" x14ac:dyDescent="0.2"/>
    <row r="13665" ht="12.75" hidden="1" customHeight="1" x14ac:dyDescent="0.2"/>
    <row r="13666" ht="12.75" hidden="1" customHeight="1" x14ac:dyDescent="0.2"/>
    <row r="13667" ht="12.75" hidden="1" customHeight="1" x14ac:dyDescent="0.2"/>
    <row r="13668" ht="12.75" hidden="1" customHeight="1" x14ac:dyDescent="0.2"/>
    <row r="13669" ht="12.75" hidden="1" customHeight="1" x14ac:dyDescent="0.2"/>
    <row r="13670" ht="12.75" hidden="1" customHeight="1" x14ac:dyDescent="0.2"/>
    <row r="13671" ht="12.75" hidden="1" customHeight="1" x14ac:dyDescent="0.2"/>
    <row r="13672" ht="12.75" hidden="1" customHeight="1" x14ac:dyDescent="0.2"/>
    <row r="13673" ht="12.75" hidden="1" customHeight="1" x14ac:dyDescent="0.2"/>
    <row r="13674" ht="12.75" hidden="1" customHeight="1" x14ac:dyDescent="0.2"/>
    <row r="13675" ht="12.75" hidden="1" customHeight="1" x14ac:dyDescent="0.2"/>
    <row r="13676" ht="12.75" hidden="1" customHeight="1" x14ac:dyDescent="0.2"/>
    <row r="13677" ht="12.75" hidden="1" customHeight="1" x14ac:dyDescent="0.2"/>
    <row r="13678" ht="12.75" hidden="1" customHeight="1" x14ac:dyDescent="0.2"/>
    <row r="13679" ht="12.75" hidden="1" customHeight="1" x14ac:dyDescent="0.2"/>
    <row r="13680" ht="12.75" hidden="1" customHeight="1" x14ac:dyDescent="0.2"/>
    <row r="13681" ht="12.75" hidden="1" customHeight="1" x14ac:dyDescent="0.2"/>
    <row r="13682" ht="12.75" hidden="1" customHeight="1" x14ac:dyDescent="0.2"/>
    <row r="13683" ht="12.75" hidden="1" customHeight="1" x14ac:dyDescent="0.2"/>
    <row r="13684" ht="12.75" hidden="1" customHeight="1" x14ac:dyDescent="0.2"/>
    <row r="13685" ht="12.75" hidden="1" customHeight="1" x14ac:dyDescent="0.2"/>
    <row r="13686" ht="12.75" hidden="1" customHeight="1" x14ac:dyDescent="0.2"/>
    <row r="13687" ht="12.75" hidden="1" customHeight="1" x14ac:dyDescent="0.2"/>
    <row r="13688" ht="12.75" hidden="1" customHeight="1" x14ac:dyDescent="0.2"/>
    <row r="13689" ht="12.75" hidden="1" customHeight="1" x14ac:dyDescent="0.2"/>
    <row r="13690" ht="12.75" hidden="1" customHeight="1" x14ac:dyDescent="0.2"/>
    <row r="13691" ht="12.75" hidden="1" customHeight="1" x14ac:dyDescent="0.2"/>
    <row r="13692" ht="12.75" hidden="1" customHeight="1" x14ac:dyDescent="0.2"/>
    <row r="13693" ht="12.75" hidden="1" customHeight="1" x14ac:dyDescent="0.2"/>
    <row r="13694" ht="12.75" hidden="1" customHeight="1" x14ac:dyDescent="0.2"/>
    <row r="13695" ht="12.75" hidden="1" customHeight="1" x14ac:dyDescent="0.2"/>
    <row r="13696" ht="12.75" hidden="1" customHeight="1" x14ac:dyDescent="0.2"/>
    <row r="13697" ht="12.75" hidden="1" customHeight="1" x14ac:dyDescent="0.2"/>
    <row r="13698" ht="12.75" hidden="1" customHeight="1" x14ac:dyDescent="0.2"/>
    <row r="13699" ht="12.75" hidden="1" customHeight="1" x14ac:dyDescent="0.2"/>
    <row r="13700" ht="12.75" hidden="1" customHeight="1" x14ac:dyDescent="0.2"/>
    <row r="13701" ht="12.75" hidden="1" customHeight="1" x14ac:dyDescent="0.2"/>
    <row r="13702" ht="12.75" hidden="1" customHeight="1" x14ac:dyDescent="0.2"/>
    <row r="13703" ht="12.75" hidden="1" customHeight="1" x14ac:dyDescent="0.2"/>
    <row r="13704" ht="12.75" hidden="1" customHeight="1" x14ac:dyDescent="0.2"/>
    <row r="13705" ht="12.75" hidden="1" customHeight="1" x14ac:dyDescent="0.2"/>
    <row r="13706" ht="12.75" hidden="1" customHeight="1" x14ac:dyDescent="0.2"/>
    <row r="13707" ht="12.75" hidden="1" customHeight="1" x14ac:dyDescent="0.2"/>
    <row r="13708" ht="12.75" hidden="1" customHeight="1" x14ac:dyDescent="0.2"/>
    <row r="13709" ht="12.75" hidden="1" customHeight="1" x14ac:dyDescent="0.2"/>
    <row r="13710" ht="12.75" hidden="1" customHeight="1" x14ac:dyDescent="0.2"/>
    <row r="13711" ht="12.75" hidden="1" customHeight="1" x14ac:dyDescent="0.2"/>
    <row r="13712" ht="12.75" hidden="1" customHeight="1" x14ac:dyDescent="0.2"/>
    <row r="13713" ht="12.75" hidden="1" customHeight="1" x14ac:dyDescent="0.2"/>
    <row r="13714" ht="12.75" hidden="1" customHeight="1" x14ac:dyDescent="0.2"/>
    <row r="13715" ht="12.75" hidden="1" customHeight="1" x14ac:dyDescent="0.2"/>
    <row r="13716" ht="12.75" hidden="1" customHeight="1" x14ac:dyDescent="0.2"/>
    <row r="13717" ht="12.75" hidden="1" customHeight="1" x14ac:dyDescent="0.2"/>
    <row r="13718" ht="12.75" hidden="1" customHeight="1" x14ac:dyDescent="0.2"/>
    <row r="13719" ht="12.75" hidden="1" customHeight="1" x14ac:dyDescent="0.2"/>
    <row r="13720" ht="12.75" hidden="1" customHeight="1" x14ac:dyDescent="0.2"/>
    <row r="13721" ht="12.75" hidden="1" customHeight="1" x14ac:dyDescent="0.2"/>
    <row r="13722" ht="12.75" hidden="1" customHeight="1" x14ac:dyDescent="0.2"/>
    <row r="13723" ht="12.75" hidden="1" customHeight="1" x14ac:dyDescent="0.2"/>
    <row r="13724" ht="12.75" hidden="1" customHeight="1" x14ac:dyDescent="0.2"/>
    <row r="13725" ht="12.75" hidden="1" customHeight="1" x14ac:dyDescent="0.2"/>
    <row r="13726" ht="12.75" hidden="1" customHeight="1" x14ac:dyDescent="0.2"/>
    <row r="13727" ht="12.75" hidden="1" customHeight="1" x14ac:dyDescent="0.2"/>
    <row r="13728" ht="12.75" hidden="1" customHeight="1" x14ac:dyDescent="0.2"/>
    <row r="13729" ht="12.75" hidden="1" customHeight="1" x14ac:dyDescent="0.2"/>
    <row r="13730" ht="12.75" hidden="1" customHeight="1" x14ac:dyDescent="0.2"/>
    <row r="13731" ht="12.75" hidden="1" customHeight="1" x14ac:dyDescent="0.2"/>
    <row r="13732" ht="12.75" hidden="1" customHeight="1" x14ac:dyDescent="0.2"/>
    <row r="13733" ht="12.75" hidden="1" customHeight="1" x14ac:dyDescent="0.2"/>
    <row r="13734" ht="12.75" hidden="1" customHeight="1" x14ac:dyDescent="0.2"/>
    <row r="13735" ht="12.75" hidden="1" customHeight="1" x14ac:dyDescent="0.2"/>
    <row r="13736" ht="12.75" hidden="1" customHeight="1" x14ac:dyDescent="0.2"/>
    <row r="13737" ht="12.75" hidden="1" customHeight="1" x14ac:dyDescent="0.2"/>
    <row r="13738" ht="12.75" hidden="1" customHeight="1" x14ac:dyDescent="0.2"/>
    <row r="13739" ht="12.75" hidden="1" customHeight="1" x14ac:dyDescent="0.2"/>
    <row r="13740" ht="12.75" hidden="1" customHeight="1" x14ac:dyDescent="0.2"/>
    <row r="13741" ht="12.75" hidden="1" customHeight="1" x14ac:dyDescent="0.2"/>
    <row r="13742" ht="12.75" hidden="1" customHeight="1" x14ac:dyDescent="0.2"/>
    <row r="13743" ht="12.75" hidden="1" customHeight="1" x14ac:dyDescent="0.2"/>
    <row r="13744" ht="12.75" hidden="1" customHeight="1" x14ac:dyDescent="0.2"/>
    <row r="13745" ht="12.75" hidden="1" customHeight="1" x14ac:dyDescent="0.2"/>
    <row r="13746" ht="12.75" hidden="1" customHeight="1" x14ac:dyDescent="0.2"/>
    <row r="13747" ht="12.75" hidden="1" customHeight="1" x14ac:dyDescent="0.2"/>
    <row r="13748" ht="12.75" hidden="1" customHeight="1" x14ac:dyDescent="0.2"/>
    <row r="13749" ht="12.75" hidden="1" customHeight="1" x14ac:dyDescent="0.2"/>
    <row r="13750" ht="12.75" hidden="1" customHeight="1" x14ac:dyDescent="0.2"/>
    <row r="13751" ht="12.75" hidden="1" customHeight="1" x14ac:dyDescent="0.2"/>
    <row r="13752" ht="12.75" hidden="1" customHeight="1" x14ac:dyDescent="0.2"/>
    <row r="13753" ht="12.75" hidden="1" customHeight="1" x14ac:dyDescent="0.2"/>
    <row r="13754" ht="12.75" hidden="1" customHeight="1" x14ac:dyDescent="0.2"/>
    <row r="13755" ht="12.75" hidden="1" customHeight="1" x14ac:dyDescent="0.2"/>
    <row r="13756" ht="12.75" hidden="1" customHeight="1" x14ac:dyDescent="0.2"/>
    <row r="13757" ht="12.75" hidden="1" customHeight="1" x14ac:dyDescent="0.2"/>
    <row r="13758" ht="12.75" hidden="1" customHeight="1" x14ac:dyDescent="0.2"/>
    <row r="13759" ht="12.75" hidden="1" customHeight="1" x14ac:dyDescent="0.2"/>
    <row r="13760" ht="12.75" hidden="1" customHeight="1" x14ac:dyDescent="0.2"/>
    <row r="13761" ht="12.75" hidden="1" customHeight="1" x14ac:dyDescent="0.2"/>
    <row r="13762" ht="12.75" hidden="1" customHeight="1" x14ac:dyDescent="0.2"/>
    <row r="13763" ht="12.75" hidden="1" customHeight="1" x14ac:dyDescent="0.2"/>
    <row r="13764" ht="12.75" hidden="1" customHeight="1" x14ac:dyDescent="0.2"/>
    <row r="13765" ht="12.75" hidden="1" customHeight="1" x14ac:dyDescent="0.2"/>
    <row r="13766" ht="12.75" hidden="1" customHeight="1" x14ac:dyDescent="0.2"/>
    <row r="13767" ht="12.75" hidden="1" customHeight="1" x14ac:dyDescent="0.2"/>
    <row r="13768" ht="12.75" hidden="1" customHeight="1" x14ac:dyDescent="0.2"/>
    <row r="13769" ht="12.75" hidden="1" customHeight="1" x14ac:dyDescent="0.2"/>
    <row r="13770" ht="12.75" hidden="1" customHeight="1" x14ac:dyDescent="0.2"/>
    <row r="13771" ht="12.75" hidden="1" customHeight="1" x14ac:dyDescent="0.2"/>
    <row r="13772" ht="12.75" hidden="1" customHeight="1" x14ac:dyDescent="0.2"/>
    <row r="13773" ht="12.75" hidden="1" customHeight="1" x14ac:dyDescent="0.2"/>
    <row r="13774" ht="12.75" hidden="1" customHeight="1" x14ac:dyDescent="0.2"/>
    <row r="13775" ht="12.75" hidden="1" customHeight="1" x14ac:dyDescent="0.2"/>
    <row r="13776" ht="12.75" hidden="1" customHeight="1" x14ac:dyDescent="0.2"/>
    <row r="13777" ht="12.75" hidden="1" customHeight="1" x14ac:dyDescent="0.2"/>
    <row r="13778" ht="12.75" hidden="1" customHeight="1" x14ac:dyDescent="0.2"/>
    <row r="13779" ht="12.75" hidden="1" customHeight="1" x14ac:dyDescent="0.2"/>
    <row r="13780" ht="12.75" hidden="1" customHeight="1" x14ac:dyDescent="0.2"/>
    <row r="13781" ht="12.75" hidden="1" customHeight="1" x14ac:dyDescent="0.2"/>
    <row r="13782" ht="12.75" hidden="1" customHeight="1" x14ac:dyDescent="0.2"/>
    <row r="13783" ht="12.75" hidden="1" customHeight="1" x14ac:dyDescent="0.2"/>
    <row r="13784" ht="12.75" hidden="1" customHeight="1" x14ac:dyDescent="0.2"/>
    <row r="13785" ht="12.75" hidden="1" customHeight="1" x14ac:dyDescent="0.2"/>
    <row r="13786" ht="12.75" hidden="1" customHeight="1" x14ac:dyDescent="0.2"/>
    <row r="13787" ht="12.75" hidden="1" customHeight="1" x14ac:dyDescent="0.2"/>
    <row r="13788" ht="12.75" hidden="1" customHeight="1" x14ac:dyDescent="0.2"/>
    <row r="13789" ht="12.75" hidden="1" customHeight="1" x14ac:dyDescent="0.2"/>
    <row r="13790" ht="12.75" hidden="1" customHeight="1" x14ac:dyDescent="0.2"/>
    <row r="13791" ht="12.75" hidden="1" customHeight="1" x14ac:dyDescent="0.2"/>
    <row r="13792" ht="12.75" hidden="1" customHeight="1" x14ac:dyDescent="0.2"/>
    <row r="13793" ht="12.75" hidden="1" customHeight="1" x14ac:dyDescent="0.2"/>
    <row r="13794" ht="12.75" hidden="1" customHeight="1" x14ac:dyDescent="0.2"/>
    <row r="13795" ht="12.75" hidden="1" customHeight="1" x14ac:dyDescent="0.2"/>
    <row r="13796" ht="12.75" hidden="1" customHeight="1" x14ac:dyDescent="0.2"/>
    <row r="13797" ht="12.75" hidden="1" customHeight="1" x14ac:dyDescent="0.2"/>
    <row r="13798" ht="12.75" hidden="1" customHeight="1" x14ac:dyDescent="0.2"/>
    <row r="13799" ht="12.75" hidden="1" customHeight="1" x14ac:dyDescent="0.2"/>
    <row r="13800" ht="12.75" hidden="1" customHeight="1" x14ac:dyDescent="0.2"/>
    <row r="13801" ht="12.75" hidden="1" customHeight="1" x14ac:dyDescent="0.2"/>
    <row r="13802" ht="12.75" hidden="1" customHeight="1" x14ac:dyDescent="0.2"/>
    <row r="13803" ht="12.75" hidden="1" customHeight="1" x14ac:dyDescent="0.2"/>
    <row r="13804" ht="12.75" hidden="1" customHeight="1" x14ac:dyDescent="0.2"/>
    <row r="13805" ht="12.75" hidden="1" customHeight="1" x14ac:dyDescent="0.2"/>
    <row r="13806" ht="12.75" hidden="1" customHeight="1" x14ac:dyDescent="0.2"/>
    <row r="13807" ht="12.75" hidden="1" customHeight="1" x14ac:dyDescent="0.2"/>
    <row r="13808" ht="12.75" hidden="1" customHeight="1" x14ac:dyDescent="0.2"/>
    <row r="13809" ht="12.75" hidden="1" customHeight="1" x14ac:dyDescent="0.2"/>
    <row r="13810" ht="12.75" hidden="1" customHeight="1" x14ac:dyDescent="0.2"/>
    <row r="13811" ht="12.75" hidden="1" customHeight="1" x14ac:dyDescent="0.2"/>
    <row r="13812" ht="12.75" hidden="1" customHeight="1" x14ac:dyDescent="0.2"/>
    <row r="13813" ht="12.75" hidden="1" customHeight="1" x14ac:dyDescent="0.2"/>
    <row r="13814" ht="12.75" hidden="1" customHeight="1" x14ac:dyDescent="0.2"/>
    <row r="13815" ht="12.75" hidden="1" customHeight="1" x14ac:dyDescent="0.2"/>
    <row r="13816" ht="12.75" hidden="1" customHeight="1" x14ac:dyDescent="0.2"/>
    <row r="13817" ht="12.75" hidden="1" customHeight="1" x14ac:dyDescent="0.2"/>
    <row r="13818" ht="12.75" hidden="1" customHeight="1" x14ac:dyDescent="0.2"/>
    <row r="13819" ht="12.75" hidden="1" customHeight="1" x14ac:dyDescent="0.2"/>
    <row r="13820" ht="12.75" hidden="1" customHeight="1" x14ac:dyDescent="0.2"/>
    <row r="13821" ht="12.75" hidden="1" customHeight="1" x14ac:dyDescent="0.2"/>
    <row r="13822" ht="12.75" hidden="1" customHeight="1" x14ac:dyDescent="0.2"/>
    <row r="13823" ht="12.75" hidden="1" customHeight="1" x14ac:dyDescent="0.2"/>
    <row r="13824" ht="12.75" hidden="1" customHeight="1" x14ac:dyDescent="0.2"/>
    <row r="13825" ht="12.75" hidden="1" customHeight="1" x14ac:dyDescent="0.2"/>
    <row r="13826" ht="12.75" hidden="1" customHeight="1" x14ac:dyDescent="0.2"/>
    <row r="13827" ht="12.75" hidden="1" customHeight="1" x14ac:dyDescent="0.2"/>
    <row r="13828" ht="12.75" hidden="1" customHeight="1" x14ac:dyDescent="0.2"/>
    <row r="13829" ht="12.75" hidden="1" customHeight="1" x14ac:dyDescent="0.2"/>
    <row r="13830" ht="12.75" hidden="1" customHeight="1" x14ac:dyDescent="0.2"/>
    <row r="13831" ht="12.75" hidden="1" customHeight="1" x14ac:dyDescent="0.2"/>
    <row r="13832" ht="12.75" hidden="1" customHeight="1" x14ac:dyDescent="0.2"/>
    <row r="13833" ht="12.75" hidden="1" customHeight="1" x14ac:dyDescent="0.2"/>
    <row r="13834" ht="12.75" hidden="1" customHeight="1" x14ac:dyDescent="0.2"/>
    <row r="13835" ht="12.75" hidden="1" customHeight="1" x14ac:dyDescent="0.2"/>
    <row r="13836" ht="12.75" hidden="1" customHeight="1" x14ac:dyDescent="0.2"/>
    <row r="13837" ht="12.75" hidden="1" customHeight="1" x14ac:dyDescent="0.2"/>
    <row r="13838" ht="12.75" hidden="1" customHeight="1" x14ac:dyDescent="0.2"/>
    <row r="13839" ht="12.75" hidden="1" customHeight="1" x14ac:dyDescent="0.2"/>
    <row r="13840" ht="12.75" hidden="1" customHeight="1" x14ac:dyDescent="0.2"/>
    <row r="13841" ht="12.75" hidden="1" customHeight="1" x14ac:dyDescent="0.2"/>
    <row r="13842" ht="12.75" hidden="1" customHeight="1" x14ac:dyDescent="0.2"/>
    <row r="13843" ht="12.75" hidden="1" customHeight="1" x14ac:dyDescent="0.2"/>
    <row r="13844" ht="12.75" hidden="1" customHeight="1" x14ac:dyDescent="0.2"/>
    <row r="13845" ht="12.75" hidden="1" customHeight="1" x14ac:dyDescent="0.2"/>
    <row r="13846" ht="12.75" hidden="1" customHeight="1" x14ac:dyDescent="0.2"/>
    <row r="13847" ht="12.75" hidden="1" customHeight="1" x14ac:dyDescent="0.2"/>
    <row r="13848" ht="12.75" hidden="1" customHeight="1" x14ac:dyDescent="0.2"/>
    <row r="13849" ht="12.75" hidden="1" customHeight="1" x14ac:dyDescent="0.2"/>
    <row r="13850" ht="12.75" hidden="1" customHeight="1" x14ac:dyDescent="0.2"/>
    <row r="13851" ht="12.75" hidden="1" customHeight="1" x14ac:dyDescent="0.2"/>
    <row r="13852" ht="12.75" hidden="1" customHeight="1" x14ac:dyDescent="0.2"/>
    <row r="13853" ht="12.75" hidden="1" customHeight="1" x14ac:dyDescent="0.2"/>
    <row r="13854" ht="12.75" hidden="1" customHeight="1" x14ac:dyDescent="0.2"/>
    <row r="13855" ht="12.75" hidden="1" customHeight="1" x14ac:dyDescent="0.2"/>
    <row r="13856" ht="12.75" hidden="1" customHeight="1" x14ac:dyDescent="0.2"/>
    <row r="13857" ht="12.75" hidden="1" customHeight="1" x14ac:dyDescent="0.2"/>
    <row r="13858" ht="12.75" hidden="1" customHeight="1" x14ac:dyDescent="0.2"/>
    <row r="13859" ht="12.75" hidden="1" customHeight="1" x14ac:dyDescent="0.2"/>
    <row r="13860" ht="12.75" hidden="1" customHeight="1" x14ac:dyDescent="0.2"/>
    <row r="13861" ht="12.75" hidden="1" customHeight="1" x14ac:dyDescent="0.2"/>
    <row r="13862" ht="12.75" hidden="1" customHeight="1" x14ac:dyDescent="0.2"/>
    <row r="13863" ht="12.75" hidden="1" customHeight="1" x14ac:dyDescent="0.2"/>
    <row r="13864" ht="12.75" hidden="1" customHeight="1" x14ac:dyDescent="0.2"/>
    <row r="13865" ht="12.75" hidden="1" customHeight="1" x14ac:dyDescent="0.2"/>
    <row r="13866" ht="12.75" hidden="1" customHeight="1" x14ac:dyDescent="0.2"/>
    <row r="13867" ht="12.75" hidden="1" customHeight="1" x14ac:dyDescent="0.2"/>
    <row r="13868" ht="12.75" hidden="1" customHeight="1" x14ac:dyDescent="0.2"/>
    <row r="13869" ht="12.75" hidden="1" customHeight="1" x14ac:dyDescent="0.2"/>
    <row r="13870" ht="12.75" hidden="1" customHeight="1" x14ac:dyDescent="0.2"/>
    <row r="13871" ht="12.75" hidden="1" customHeight="1" x14ac:dyDescent="0.2"/>
    <row r="13872" ht="12.75" hidden="1" customHeight="1" x14ac:dyDescent="0.2"/>
    <row r="13873" ht="12.75" hidden="1" customHeight="1" x14ac:dyDescent="0.2"/>
    <row r="13874" ht="12.75" hidden="1" customHeight="1" x14ac:dyDescent="0.2"/>
    <row r="13875" ht="12.75" hidden="1" customHeight="1" x14ac:dyDescent="0.2"/>
    <row r="13876" ht="12.75" hidden="1" customHeight="1" x14ac:dyDescent="0.2"/>
    <row r="13877" ht="12.75" hidden="1" customHeight="1" x14ac:dyDescent="0.2"/>
    <row r="13878" ht="12.75" hidden="1" customHeight="1" x14ac:dyDescent="0.2"/>
    <row r="13879" ht="12.75" hidden="1" customHeight="1" x14ac:dyDescent="0.2"/>
    <row r="13880" ht="12.75" hidden="1" customHeight="1" x14ac:dyDescent="0.2"/>
    <row r="13881" ht="12.75" hidden="1" customHeight="1" x14ac:dyDescent="0.2"/>
    <row r="13882" ht="12.75" hidden="1" customHeight="1" x14ac:dyDescent="0.2"/>
    <row r="13883" ht="12.75" hidden="1" customHeight="1" x14ac:dyDescent="0.2"/>
    <row r="13884" ht="12.75" hidden="1" customHeight="1" x14ac:dyDescent="0.2"/>
    <row r="13885" ht="12.75" hidden="1" customHeight="1" x14ac:dyDescent="0.2"/>
    <row r="13886" ht="12.75" hidden="1" customHeight="1" x14ac:dyDescent="0.2"/>
    <row r="13887" ht="12.75" hidden="1" customHeight="1" x14ac:dyDescent="0.2"/>
    <row r="13888" ht="12.75" hidden="1" customHeight="1" x14ac:dyDescent="0.2"/>
    <row r="13889" ht="12.75" hidden="1" customHeight="1" x14ac:dyDescent="0.2"/>
    <row r="13890" ht="12.75" hidden="1" customHeight="1" x14ac:dyDescent="0.2"/>
    <row r="13891" ht="12.75" hidden="1" customHeight="1" x14ac:dyDescent="0.2"/>
    <row r="13892" ht="12.75" hidden="1" customHeight="1" x14ac:dyDescent="0.2"/>
    <row r="13893" ht="12.75" hidden="1" customHeight="1" x14ac:dyDescent="0.2"/>
    <row r="13894" ht="12.75" hidden="1" customHeight="1" x14ac:dyDescent="0.2"/>
    <row r="13895" ht="12.75" hidden="1" customHeight="1" x14ac:dyDescent="0.2"/>
    <row r="13896" ht="12.75" hidden="1" customHeight="1" x14ac:dyDescent="0.2"/>
    <row r="13897" ht="12.75" hidden="1" customHeight="1" x14ac:dyDescent="0.2"/>
    <row r="13898" ht="12.75" hidden="1" customHeight="1" x14ac:dyDescent="0.2"/>
    <row r="13899" ht="12.75" hidden="1" customHeight="1" x14ac:dyDescent="0.2"/>
    <row r="13900" ht="12.75" hidden="1" customHeight="1" x14ac:dyDescent="0.2"/>
    <row r="13901" ht="12.75" hidden="1" customHeight="1" x14ac:dyDescent="0.2"/>
    <row r="13902" ht="12.75" hidden="1" customHeight="1" x14ac:dyDescent="0.2"/>
    <row r="13903" ht="12.75" hidden="1" customHeight="1" x14ac:dyDescent="0.2"/>
    <row r="13904" ht="12.75" hidden="1" customHeight="1" x14ac:dyDescent="0.2"/>
    <row r="13905" ht="12.75" hidden="1" customHeight="1" x14ac:dyDescent="0.2"/>
    <row r="13906" ht="12.75" hidden="1" customHeight="1" x14ac:dyDescent="0.2"/>
    <row r="13907" ht="12.75" hidden="1" customHeight="1" x14ac:dyDescent="0.2"/>
    <row r="13908" ht="12.75" hidden="1" customHeight="1" x14ac:dyDescent="0.2"/>
    <row r="13909" ht="12.75" hidden="1" customHeight="1" x14ac:dyDescent="0.2"/>
    <row r="13910" ht="12.75" hidden="1" customHeight="1" x14ac:dyDescent="0.2"/>
    <row r="13911" ht="12.75" hidden="1" customHeight="1" x14ac:dyDescent="0.2"/>
    <row r="13912" ht="12.75" hidden="1" customHeight="1" x14ac:dyDescent="0.2"/>
    <row r="13913" ht="12.75" hidden="1" customHeight="1" x14ac:dyDescent="0.2"/>
    <row r="13914" ht="12.75" hidden="1" customHeight="1" x14ac:dyDescent="0.2"/>
    <row r="13915" ht="12.75" hidden="1" customHeight="1" x14ac:dyDescent="0.2"/>
    <row r="13916" ht="12.75" hidden="1" customHeight="1" x14ac:dyDescent="0.2"/>
    <row r="13917" ht="12.75" hidden="1" customHeight="1" x14ac:dyDescent="0.2"/>
    <row r="13918" ht="12.75" hidden="1" customHeight="1" x14ac:dyDescent="0.2"/>
    <row r="13919" ht="12.75" hidden="1" customHeight="1" x14ac:dyDescent="0.2"/>
    <row r="13920" ht="12.75" hidden="1" customHeight="1" x14ac:dyDescent="0.2"/>
    <row r="13921" ht="12.75" hidden="1" customHeight="1" x14ac:dyDescent="0.2"/>
    <row r="13922" ht="12.75" hidden="1" customHeight="1" x14ac:dyDescent="0.2"/>
    <row r="13923" ht="12.75" hidden="1" customHeight="1" x14ac:dyDescent="0.2"/>
    <row r="13924" ht="12.75" hidden="1" customHeight="1" x14ac:dyDescent="0.2"/>
    <row r="13925" ht="12.75" hidden="1" customHeight="1" x14ac:dyDescent="0.2"/>
    <row r="13926" ht="12.75" hidden="1" customHeight="1" x14ac:dyDescent="0.2"/>
    <row r="13927" ht="12.75" hidden="1" customHeight="1" x14ac:dyDescent="0.2"/>
    <row r="13928" ht="12.75" hidden="1" customHeight="1" x14ac:dyDescent="0.2"/>
    <row r="13929" ht="12.75" hidden="1" customHeight="1" x14ac:dyDescent="0.2"/>
    <row r="13930" ht="12.75" hidden="1" customHeight="1" x14ac:dyDescent="0.2"/>
    <row r="13931" ht="12.75" hidden="1" customHeight="1" x14ac:dyDescent="0.2"/>
    <row r="13932" ht="12.75" hidden="1" customHeight="1" x14ac:dyDescent="0.2"/>
    <row r="13933" ht="12.75" hidden="1" customHeight="1" x14ac:dyDescent="0.2"/>
    <row r="13934" ht="12.75" hidden="1" customHeight="1" x14ac:dyDescent="0.2"/>
    <row r="13935" ht="12.75" hidden="1" customHeight="1" x14ac:dyDescent="0.2"/>
    <row r="13936" ht="12.75" hidden="1" customHeight="1" x14ac:dyDescent="0.2"/>
    <row r="13937" ht="12.75" hidden="1" customHeight="1" x14ac:dyDescent="0.2"/>
    <row r="13938" ht="12.75" hidden="1" customHeight="1" x14ac:dyDescent="0.2"/>
    <row r="13939" ht="12.75" hidden="1" customHeight="1" x14ac:dyDescent="0.2"/>
    <row r="13940" ht="12.75" hidden="1" customHeight="1" x14ac:dyDescent="0.2"/>
    <row r="13941" ht="12.75" hidden="1" customHeight="1" x14ac:dyDescent="0.2"/>
    <row r="13942" ht="12.75" hidden="1" customHeight="1" x14ac:dyDescent="0.2"/>
    <row r="13943" ht="12.75" hidden="1" customHeight="1" x14ac:dyDescent="0.2"/>
    <row r="13944" ht="12.75" hidden="1" customHeight="1" x14ac:dyDescent="0.2"/>
    <row r="13945" ht="12.75" hidden="1" customHeight="1" x14ac:dyDescent="0.2"/>
    <row r="13946" ht="12.75" hidden="1" customHeight="1" x14ac:dyDescent="0.2"/>
    <row r="13947" ht="12.75" hidden="1" customHeight="1" x14ac:dyDescent="0.2"/>
    <row r="13948" ht="12.75" hidden="1" customHeight="1" x14ac:dyDescent="0.2"/>
    <row r="13949" ht="12.75" hidden="1" customHeight="1" x14ac:dyDescent="0.2"/>
    <row r="13950" ht="12.75" hidden="1" customHeight="1" x14ac:dyDescent="0.2"/>
    <row r="13951" ht="12.75" hidden="1" customHeight="1" x14ac:dyDescent="0.2"/>
    <row r="13952" ht="12.75" hidden="1" customHeight="1" x14ac:dyDescent="0.2"/>
    <row r="13953" ht="12.75" hidden="1" customHeight="1" x14ac:dyDescent="0.2"/>
    <row r="13954" ht="12.75" hidden="1" customHeight="1" x14ac:dyDescent="0.2"/>
    <row r="13955" ht="12.75" hidden="1" customHeight="1" x14ac:dyDescent="0.2"/>
    <row r="13956" ht="12.75" hidden="1" customHeight="1" x14ac:dyDescent="0.2"/>
    <row r="13957" ht="12.75" hidden="1" customHeight="1" x14ac:dyDescent="0.2"/>
    <row r="13958" ht="12.75" hidden="1" customHeight="1" x14ac:dyDescent="0.2"/>
    <row r="13959" ht="12.75" hidden="1" customHeight="1" x14ac:dyDescent="0.2"/>
    <row r="13960" ht="12.75" hidden="1" customHeight="1" x14ac:dyDescent="0.2"/>
    <row r="13961" ht="12.75" hidden="1" customHeight="1" x14ac:dyDescent="0.2"/>
    <row r="13962" ht="12.75" hidden="1" customHeight="1" x14ac:dyDescent="0.2"/>
    <row r="13963" ht="12.75" hidden="1" customHeight="1" x14ac:dyDescent="0.2"/>
    <row r="13964" ht="12.75" hidden="1" customHeight="1" x14ac:dyDescent="0.2"/>
    <row r="13965" ht="12.75" hidden="1" customHeight="1" x14ac:dyDescent="0.2"/>
    <row r="13966" ht="12.75" hidden="1" customHeight="1" x14ac:dyDescent="0.2"/>
    <row r="13967" ht="12.75" hidden="1" customHeight="1" x14ac:dyDescent="0.2"/>
    <row r="13968" ht="12.75" hidden="1" customHeight="1" x14ac:dyDescent="0.2"/>
    <row r="13969" ht="12.75" hidden="1" customHeight="1" x14ac:dyDescent="0.2"/>
    <row r="13970" ht="12.75" hidden="1" customHeight="1" x14ac:dyDescent="0.2"/>
    <row r="13971" ht="12.75" hidden="1" customHeight="1" x14ac:dyDescent="0.2"/>
    <row r="13972" ht="12.75" hidden="1" customHeight="1" x14ac:dyDescent="0.2"/>
    <row r="13973" ht="12.75" hidden="1" customHeight="1" x14ac:dyDescent="0.2"/>
    <row r="13974" ht="12.75" hidden="1" customHeight="1" x14ac:dyDescent="0.2"/>
    <row r="13975" ht="12.75" hidden="1" customHeight="1" x14ac:dyDescent="0.2"/>
    <row r="13976" ht="12.75" hidden="1" customHeight="1" x14ac:dyDescent="0.2"/>
    <row r="13977" ht="12.75" hidden="1" customHeight="1" x14ac:dyDescent="0.2"/>
    <row r="13978" ht="12.75" hidden="1" customHeight="1" x14ac:dyDescent="0.2"/>
    <row r="13979" ht="12.75" hidden="1" customHeight="1" x14ac:dyDescent="0.2"/>
    <row r="13980" ht="12.75" hidden="1" customHeight="1" x14ac:dyDescent="0.2"/>
    <row r="13981" ht="12.75" hidden="1" customHeight="1" x14ac:dyDescent="0.2"/>
    <row r="13982" ht="12.75" hidden="1" customHeight="1" x14ac:dyDescent="0.2"/>
    <row r="13983" ht="12.75" hidden="1" customHeight="1" x14ac:dyDescent="0.2"/>
    <row r="13984" ht="12.75" hidden="1" customHeight="1" x14ac:dyDescent="0.2"/>
    <row r="13985" ht="12.75" hidden="1" customHeight="1" x14ac:dyDescent="0.2"/>
    <row r="13986" ht="12.75" hidden="1" customHeight="1" x14ac:dyDescent="0.2"/>
    <row r="13987" ht="12.75" hidden="1" customHeight="1" x14ac:dyDescent="0.2"/>
    <row r="13988" ht="12.75" hidden="1" customHeight="1" x14ac:dyDescent="0.2"/>
    <row r="13989" ht="12.75" hidden="1" customHeight="1" x14ac:dyDescent="0.2"/>
    <row r="13990" ht="12.75" hidden="1" customHeight="1" x14ac:dyDescent="0.2"/>
    <row r="13991" ht="12.75" hidden="1" customHeight="1" x14ac:dyDescent="0.2"/>
    <row r="13992" ht="12.75" hidden="1" customHeight="1" x14ac:dyDescent="0.2"/>
    <row r="13993" ht="12.75" hidden="1" customHeight="1" x14ac:dyDescent="0.2"/>
    <row r="13994" ht="12.75" hidden="1" customHeight="1" x14ac:dyDescent="0.2"/>
    <row r="13995" ht="12.75" hidden="1" customHeight="1" x14ac:dyDescent="0.2"/>
    <row r="13996" ht="12.75" hidden="1" customHeight="1" x14ac:dyDescent="0.2"/>
    <row r="13997" ht="12.75" hidden="1" customHeight="1" x14ac:dyDescent="0.2"/>
    <row r="13998" ht="12.75" hidden="1" customHeight="1" x14ac:dyDescent="0.2"/>
    <row r="13999" ht="12.75" hidden="1" customHeight="1" x14ac:dyDescent="0.2"/>
    <row r="14000" ht="12.75" hidden="1" customHeight="1" x14ac:dyDescent="0.2"/>
    <row r="14001" ht="12.75" hidden="1" customHeight="1" x14ac:dyDescent="0.2"/>
    <row r="14002" ht="12.75" hidden="1" customHeight="1" x14ac:dyDescent="0.2"/>
    <row r="14003" ht="12.75" hidden="1" customHeight="1" x14ac:dyDescent="0.2"/>
    <row r="14004" ht="12.75" hidden="1" customHeight="1" x14ac:dyDescent="0.2"/>
    <row r="14005" ht="12.75" hidden="1" customHeight="1" x14ac:dyDescent="0.2"/>
    <row r="14006" ht="12.75" hidden="1" customHeight="1" x14ac:dyDescent="0.2"/>
    <row r="14007" ht="12.75" hidden="1" customHeight="1" x14ac:dyDescent="0.2"/>
    <row r="14008" ht="12.75" hidden="1" customHeight="1" x14ac:dyDescent="0.2"/>
    <row r="14009" ht="12.75" hidden="1" customHeight="1" x14ac:dyDescent="0.2"/>
    <row r="14010" ht="12.75" hidden="1" customHeight="1" x14ac:dyDescent="0.2"/>
    <row r="14011" ht="12.75" hidden="1" customHeight="1" x14ac:dyDescent="0.2"/>
    <row r="14012" ht="12.75" hidden="1" customHeight="1" x14ac:dyDescent="0.2"/>
    <row r="14013" ht="12.75" hidden="1" customHeight="1" x14ac:dyDescent="0.2"/>
    <row r="14014" ht="12.75" hidden="1" customHeight="1" x14ac:dyDescent="0.2"/>
    <row r="14015" ht="12.75" hidden="1" customHeight="1" x14ac:dyDescent="0.2"/>
    <row r="14016" ht="12.75" hidden="1" customHeight="1" x14ac:dyDescent="0.2"/>
    <row r="14017" ht="12.75" hidden="1" customHeight="1" x14ac:dyDescent="0.2"/>
    <row r="14018" ht="12.75" hidden="1" customHeight="1" x14ac:dyDescent="0.2"/>
    <row r="14019" ht="12.75" hidden="1" customHeight="1" x14ac:dyDescent="0.2"/>
    <row r="14020" ht="12.75" hidden="1" customHeight="1" x14ac:dyDescent="0.2"/>
    <row r="14021" ht="12.75" hidden="1" customHeight="1" x14ac:dyDescent="0.2"/>
    <row r="14022" ht="12.75" hidden="1" customHeight="1" x14ac:dyDescent="0.2"/>
    <row r="14023" ht="12.75" hidden="1" customHeight="1" x14ac:dyDescent="0.2"/>
    <row r="14024" ht="12.75" hidden="1" customHeight="1" x14ac:dyDescent="0.2"/>
    <row r="14025" ht="12.75" hidden="1" customHeight="1" x14ac:dyDescent="0.2"/>
    <row r="14026" ht="12.75" hidden="1" customHeight="1" x14ac:dyDescent="0.2"/>
    <row r="14027" ht="12.75" hidden="1" customHeight="1" x14ac:dyDescent="0.2"/>
    <row r="14028" ht="12.75" hidden="1" customHeight="1" x14ac:dyDescent="0.2"/>
    <row r="14029" ht="12.75" hidden="1" customHeight="1" x14ac:dyDescent="0.2"/>
    <row r="14030" ht="12.75" hidden="1" customHeight="1" x14ac:dyDescent="0.2"/>
    <row r="14031" ht="12.75" hidden="1" customHeight="1" x14ac:dyDescent="0.2"/>
    <row r="14032" ht="12.75" hidden="1" customHeight="1" x14ac:dyDescent="0.2"/>
    <row r="14033" ht="12.75" hidden="1" customHeight="1" x14ac:dyDescent="0.2"/>
    <row r="14034" ht="12.75" hidden="1" customHeight="1" x14ac:dyDescent="0.2"/>
    <row r="14035" ht="12.75" hidden="1" customHeight="1" x14ac:dyDescent="0.2"/>
    <row r="14036" ht="12.75" hidden="1" customHeight="1" x14ac:dyDescent="0.2"/>
    <row r="14037" ht="12.75" hidden="1" customHeight="1" x14ac:dyDescent="0.2"/>
    <row r="14038" ht="12.75" hidden="1" customHeight="1" x14ac:dyDescent="0.2"/>
    <row r="14039" ht="12.75" hidden="1" customHeight="1" x14ac:dyDescent="0.2"/>
    <row r="14040" ht="12.75" hidden="1" customHeight="1" x14ac:dyDescent="0.2"/>
    <row r="14041" ht="12.75" hidden="1" customHeight="1" x14ac:dyDescent="0.2"/>
    <row r="14042" ht="12.75" hidden="1" customHeight="1" x14ac:dyDescent="0.2"/>
    <row r="14043" ht="12.75" hidden="1" customHeight="1" x14ac:dyDescent="0.2"/>
    <row r="14044" ht="12.75" hidden="1" customHeight="1" x14ac:dyDescent="0.2"/>
    <row r="14045" ht="12.75" hidden="1" customHeight="1" x14ac:dyDescent="0.2"/>
    <row r="14046" ht="12.75" hidden="1" customHeight="1" x14ac:dyDescent="0.2"/>
    <row r="14047" ht="12.75" hidden="1" customHeight="1" x14ac:dyDescent="0.2"/>
    <row r="14048" ht="12.75" hidden="1" customHeight="1" x14ac:dyDescent="0.2"/>
    <row r="14049" ht="12.75" hidden="1" customHeight="1" x14ac:dyDescent="0.2"/>
    <row r="14050" ht="12.75" hidden="1" customHeight="1" x14ac:dyDescent="0.2"/>
    <row r="14051" ht="12.75" hidden="1" customHeight="1" x14ac:dyDescent="0.2"/>
    <row r="14052" ht="12.75" hidden="1" customHeight="1" x14ac:dyDescent="0.2"/>
    <row r="14053" ht="12.75" hidden="1" customHeight="1" x14ac:dyDescent="0.2"/>
    <row r="14054" ht="12.75" hidden="1" customHeight="1" x14ac:dyDescent="0.2"/>
    <row r="14055" ht="12.75" hidden="1" customHeight="1" x14ac:dyDescent="0.2"/>
    <row r="14056" ht="12.75" hidden="1" customHeight="1" x14ac:dyDescent="0.2"/>
    <row r="14057" ht="12.75" hidden="1" customHeight="1" x14ac:dyDescent="0.2"/>
    <row r="14058" ht="12.75" hidden="1" customHeight="1" x14ac:dyDescent="0.2"/>
    <row r="14059" ht="12.75" hidden="1" customHeight="1" x14ac:dyDescent="0.2"/>
    <row r="14060" ht="12.75" hidden="1" customHeight="1" x14ac:dyDescent="0.2"/>
    <row r="14061" ht="12.75" hidden="1" customHeight="1" x14ac:dyDescent="0.2"/>
    <row r="14062" ht="12.75" hidden="1" customHeight="1" x14ac:dyDescent="0.2"/>
    <row r="14063" ht="12.75" hidden="1" customHeight="1" x14ac:dyDescent="0.2"/>
    <row r="14064" ht="12.75" hidden="1" customHeight="1" x14ac:dyDescent="0.2"/>
    <row r="14065" ht="12.75" hidden="1" customHeight="1" x14ac:dyDescent="0.2"/>
    <row r="14066" ht="12.75" hidden="1" customHeight="1" x14ac:dyDescent="0.2"/>
    <row r="14067" ht="12.75" hidden="1" customHeight="1" x14ac:dyDescent="0.2"/>
    <row r="14068" ht="12.75" hidden="1" customHeight="1" x14ac:dyDescent="0.2"/>
    <row r="14069" ht="12.75" hidden="1" customHeight="1" x14ac:dyDescent="0.2"/>
    <row r="14070" ht="12.75" hidden="1" customHeight="1" x14ac:dyDescent="0.2"/>
    <row r="14071" ht="12.75" hidden="1" customHeight="1" x14ac:dyDescent="0.2"/>
    <row r="14072" ht="12.75" hidden="1" customHeight="1" x14ac:dyDescent="0.2"/>
    <row r="14073" ht="12.75" hidden="1" customHeight="1" x14ac:dyDescent="0.2"/>
    <row r="14074" ht="12.75" hidden="1" customHeight="1" x14ac:dyDescent="0.2"/>
    <row r="14075" ht="12.75" hidden="1" customHeight="1" x14ac:dyDescent="0.2"/>
    <row r="14076" ht="12.75" hidden="1" customHeight="1" x14ac:dyDescent="0.2"/>
    <row r="14077" ht="12.75" hidden="1" customHeight="1" x14ac:dyDescent="0.2"/>
    <row r="14078" ht="12.75" hidden="1" customHeight="1" x14ac:dyDescent="0.2"/>
    <row r="14079" ht="12.75" hidden="1" customHeight="1" x14ac:dyDescent="0.2"/>
    <row r="14080" ht="12.75" hidden="1" customHeight="1" x14ac:dyDescent="0.2"/>
    <row r="14081" ht="12.75" hidden="1" customHeight="1" x14ac:dyDescent="0.2"/>
    <row r="14082" ht="12.75" hidden="1" customHeight="1" x14ac:dyDescent="0.2"/>
    <row r="14083" ht="12.75" hidden="1" customHeight="1" x14ac:dyDescent="0.2"/>
    <row r="14084" ht="12.75" hidden="1" customHeight="1" x14ac:dyDescent="0.2"/>
    <row r="14085" ht="12.75" hidden="1" customHeight="1" x14ac:dyDescent="0.2"/>
    <row r="14086" ht="12.75" hidden="1" customHeight="1" x14ac:dyDescent="0.2"/>
    <row r="14087" ht="12.75" hidden="1" customHeight="1" x14ac:dyDescent="0.2"/>
    <row r="14088" ht="12.75" hidden="1" customHeight="1" x14ac:dyDescent="0.2"/>
    <row r="14089" ht="12.75" hidden="1" customHeight="1" x14ac:dyDescent="0.2"/>
    <row r="14090" ht="12.75" hidden="1" customHeight="1" x14ac:dyDescent="0.2"/>
    <row r="14091" ht="12.75" hidden="1" customHeight="1" x14ac:dyDescent="0.2"/>
    <row r="14092" ht="12.75" hidden="1" customHeight="1" x14ac:dyDescent="0.2"/>
    <row r="14093" ht="12.75" hidden="1" customHeight="1" x14ac:dyDescent="0.2"/>
    <row r="14094" ht="12.75" hidden="1" customHeight="1" x14ac:dyDescent="0.2"/>
    <row r="14095" ht="12.75" hidden="1" customHeight="1" x14ac:dyDescent="0.2"/>
    <row r="14096" ht="12.75" hidden="1" customHeight="1" x14ac:dyDescent="0.2"/>
    <row r="14097" ht="12.75" hidden="1" customHeight="1" x14ac:dyDescent="0.2"/>
    <row r="14098" ht="12.75" hidden="1" customHeight="1" x14ac:dyDescent="0.2"/>
    <row r="14099" ht="12.75" hidden="1" customHeight="1" x14ac:dyDescent="0.2"/>
    <row r="14100" ht="12.75" hidden="1" customHeight="1" x14ac:dyDescent="0.2"/>
    <row r="14101" ht="12.75" hidden="1" customHeight="1" x14ac:dyDescent="0.2"/>
    <row r="14102" ht="12.75" hidden="1" customHeight="1" x14ac:dyDescent="0.2"/>
    <row r="14103" ht="12.75" hidden="1" customHeight="1" x14ac:dyDescent="0.2"/>
    <row r="14104" ht="12.75" hidden="1" customHeight="1" x14ac:dyDescent="0.2"/>
    <row r="14105" ht="12.75" hidden="1" customHeight="1" x14ac:dyDescent="0.2"/>
    <row r="14106" ht="12.75" hidden="1" customHeight="1" x14ac:dyDescent="0.2"/>
    <row r="14107" ht="12.75" hidden="1" customHeight="1" x14ac:dyDescent="0.2"/>
    <row r="14108" ht="12.75" hidden="1" customHeight="1" x14ac:dyDescent="0.2"/>
    <row r="14109" ht="12.75" hidden="1" customHeight="1" x14ac:dyDescent="0.2"/>
    <row r="14110" ht="12.75" hidden="1" customHeight="1" x14ac:dyDescent="0.2"/>
    <row r="14111" ht="12.75" hidden="1" customHeight="1" x14ac:dyDescent="0.2"/>
    <row r="14112" ht="12.75" hidden="1" customHeight="1" x14ac:dyDescent="0.2"/>
    <row r="14113" ht="12.75" hidden="1" customHeight="1" x14ac:dyDescent="0.2"/>
    <row r="14114" ht="12.75" hidden="1" customHeight="1" x14ac:dyDescent="0.2"/>
    <row r="14115" ht="12.75" hidden="1" customHeight="1" x14ac:dyDescent="0.2"/>
    <row r="14116" ht="12.75" hidden="1" customHeight="1" x14ac:dyDescent="0.2"/>
    <row r="14117" ht="12.75" hidden="1" customHeight="1" x14ac:dyDescent="0.2"/>
    <row r="14118" ht="12.75" hidden="1" customHeight="1" x14ac:dyDescent="0.2"/>
    <row r="14119" ht="12.75" hidden="1" customHeight="1" x14ac:dyDescent="0.2"/>
    <row r="14120" ht="12.75" hidden="1" customHeight="1" x14ac:dyDescent="0.2"/>
    <row r="14121" ht="12.75" hidden="1" customHeight="1" x14ac:dyDescent="0.2"/>
    <row r="14122" ht="12.75" hidden="1" customHeight="1" x14ac:dyDescent="0.2"/>
    <row r="14123" ht="12.75" hidden="1" customHeight="1" x14ac:dyDescent="0.2"/>
    <row r="14124" ht="12.75" hidden="1" customHeight="1" x14ac:dyDescent="0.2"/>
    <row r="14125" ht="12.75" hidden="1" customHeight="1" x14ac:dyDescent="0.2"/>
    <row r="14126" ht="12.75" hidden="1" customHeight="1" x14ac:dyDescent="0.2"/>
    <row r="14127" ht="12.75" hidden="1" customHeight="1" x14ac:dyDescent="0.2"/>
    <row r="14128" ht="12.75" hidden="1" customHeight="1" x14ac:dyDescent="0.2"/>
    <row r="14129" ht="12.75" hidden="1" customHeight="1" x14ac:dyDescent="0.2"/>
    <row r="14130" ht="12.75" hidden="1" customHeight="1" x14ac:dyDescent="0.2"/>
    <row r="14131" ht="12.75" hidden="1" customHeight="1" x14ac:dyDescent="0.2"/>
    <row r="14132" ht="12.75" hidden="1" customHeight="1" x14ac:dyDescent="0.2"/>
    <row r="14133" ht="12.75" hidden="1" customHeight="1" x14ac:dyDescent="0.2"/>
    <row r="14134" ht="12.75" hidden="1" customHeight="1" x14ac:dyDescent="0.2"/>
    <row r="14135" ht="12.75" hidden="1" customHeight="1" x14ac:dyDescent="0.2"/>
    <row r="14136" ht="12.75" hidden="1" customHeight="1" x14ac:dyDescent="0.2"/>
    <row r="14137" ht="12.75" hidden="1" customHeight="1" x14ac:dyDescent="0.2"/>
    <row r="14138" ht="12.75" hidden="1" customHeight="1" x14ac:dyDescent="0.2"/>
    <row r="14139" ht="12.75" hidden="1" customHeight="1" x14ac:dyDescent="0.2"/>
    <row r="14140" ht="12.75" hidden="1" customHeight="1" x14ac:dyDescent="0.2"/>
    <row r="14141" ht="12.75" hidden="1" customHeight="1" x14ac:dyDescent="0.2"/>
    <row r="14142" ht="12.75" hidden="1" customHeight="1" x14ac:dyDescent="0.2"/>
    <row r="14143" ht="12.75" hidden="1" customHeight="1" x14ac:dyDescent="0.2"/>
    <row r="14144" ht="12.75" hidden="1" customHeight="1" x14ac:dyDescent="0.2"/>
    <row r="14145" ht="12.75" hidden="1" customHeight="1" x14ac:dyDescent="0.2"/>
    <row r="14146" ht="12.75" hidden="1" customHeight="1" x14ac:dyDescent="0.2"/>
    <row r="14147" ht="12.75" hidden="1" customHeight="1" x14ac:dyDescent="0.2"/>
    <row r="14148" ht="12.75" hidden="1" customHeight="1" x14ac:dyDescent="0.2"/>
    <row r="14149" ht="12.75" hidden="1" customHeight="1" x14ac:dyDescent="0.2"/>
    <row r="14150" ht="12.75" hidden="1" customHeight="1" x14ac:dyDescent="0.2"/>
    <row r="14151" ht="12.75" hidden="1" customHeight="1" x14ac:dyDescent="0.2"/>
    <row r="14152" ht="12.75" hidden="1" customHeight="1" x14ac:dyDescent="0.2"/>
    <row r="14153" ht="12.75" hidden="1" customHeight="1" x14ac:dyDescent="0.2"/>
    <row r="14154" ht="12.75" hidden="1" customHeight="1" x14ac:dyDescent="0.2"/>
    <row r="14155" ht="12.75" hidden="1" customHeight="1" x14ac:dyDescent="0.2"/>
    <row r="14156" ht="12.75" hidden="1" customHeight="1" x14ac:dyDescent="0.2"/>
    <row r="14157" ht="12.75" hidden="1" customHeight="1" x14ac:dyDescent="0.2"/>
    <row r="14158" ht="12.75" hidden="1" customHeight="1" x14ac:dyDescent="0.2"/>
    <row r="14159" ht="12.75" hidden="1" customHeight="1" x14ac:dyDescent="0.2"/>
    <row r="14160" ht="12.75" hidden="1" customHeight="1" x14ac:dyDescent="0.2"/>
    <row r="14161" ht="12.75" hidden="1" customHeight="1" x14ac:dyDescent="0.2"/>
    <row r="14162" ht="12.75" hidden="1" customHeight="1" x14ac:dyDescent="0.2"/>
    <row r="14163" ht="12.75" hidden="1" customHeight="1" x14ac:dyDescent="0.2"/>
    <row r="14164" ht="12.75" hidden="1" customHeight="1" x14ac:dyDescent="0.2"/>
    <row r="14165" ht="12.75" hidden="1" customHeight="1" x14ac:dyDescent="0.2"/>
    <row r="14166" ht="12.75" hidden="1" customHeight="1" x14ac:dyDescent="0.2"/>
    <row r="14167" ht="12.75" hidden="1" customHeight="1" x14ac:dyDescent="0.2"/>
    <row r="14168" ht="12.75" hidden="1" customHeight="1" x14ac:dyDescent="0.2"/>
    <row r="14169" ht="12.75" hidden="1" customHeight="1" x14ac:dyDescent="0.2"/>
    <row r="14170" ht="12.75" hidden="1" customHeight="1" x14ac:dyDescent="0.2"/>
    <row r="14171" ht="12.75" hidden="1" customHeight="1" x14ac:dyDescent="0.2"/>
    <row r="14172" ht="12.75" hidden="1" customHeight="1" x14ac:dyDescent="0.2"/>
    <row r="14173" ht="12.75" hidden="1" customHeight="1" x14ac:dyDescent="0.2"/>
    <row r="14174" ht="12.75" hidden="1" customHeight="1" x14ac:dyDescent="0.2"/>
    <row r="14175" ht="12.75" hidden="1" customHeight="1" x14ac:dyDescent="0.2"/>
    <row r="14176" ht="12.75" hidden="1" customHeight="1" x14ac:dyDescent="0.2"/>
    <row r="14177" ht="12.75" hidden="1" customHeight="1" x14ac:dyDescent="0.2"/>
    <row r="14178" ht="12.75" hidden="1" customHeight="1" x14ac:dyDescent="0.2"/>
    <row r="14179" ht="12.75" hidden="1" customHeight="1" x14ac:dyDescent="0.2"/>
    <row r="14180" ht="12.75" hidden="1" customHeight="1" x14ac:dyDescent="0.2"/>
    <row r="14181" ht="12.75" hidden="1" customHeight="1" x14ac:dyDescent="0.2"/>
    <row r="14182" ht="12.75" hidden="1" customHeight="1" x14ac:dyDescent="0.2"/>
    <row r="14183" ht="12.75" hidden="1" customHeight="1" x14ac:dyDescent="0.2"/>
    <row r="14184" ht="12.75" hidden="1" customHeight="1" x14ac:dyDescent="0.2"/>
    <row r="14185" ht="12.75" hidden="1" customHeight="1" x14ac:dyDescent="0.2"/>
    <row r="14186" ht="12.75" hidden="1" customHeight="1" x14ac:dyDescent="0.2"/>
    <row r="14187" ht="12.75" hidden="1" customHeight="1" x14ac:dyDescent="0.2"/>
    <row r="14188" ht="12.75" hidden="1" customHeight="1" x14ac:dyDescent="0.2"/>
    <row r="14189" ht="12.75" hidden="1" customHeight="1" x14ac:dyDescent="0.2"/>
    <row r="14190" ht="12.75" hidden="1" customHeight="1" x14ac:dyDescent="0.2"/>
    <row r="14191" ht="12.75" hidden="1" customHeight="1" x14ac:dyDescent="0.2"/>
    <row r="14192" ht="12.75" hidden="1" customHeight="1" x14ac:dyDescent="0.2"/>
    <row r="14193" ht="12.75" hidden="1" customHeight="1" x14ac:dyDescent="0.2"/>
    <row r="14194" ht="12.75" hidden="1" customHeight="1" x14ac:dyDescent="0.2"/>
    <row r="14195" ht="12.75" hidden="1" customHeight="1" x14ac:dyDescent="0.2"/>
    <row r="14196" ht="12.75" hidden="1" customHeight="1" x14ac:dyDescent="0.2"/>
    <row r="14197" ht="12.75" hidden="1" customHeight="1" x14ac:dyDescent="0.2"/>
    <row r="14198" ht="12.75" hidden="1" customHeight="1" x14ac:dyDescent="0.2"/>
    <row r="14199" ht="12.75" hidden="1" customHeight="1" x14ac:dyDescent="0.2"/>
    <row r="14200" ht="12.75" hidden="1" customHeight="1" x14ac:dyDescent="0.2"/>
    <row r="14201" ht="12.75" hidden="1" customHeight="1" x14ac:dyDescent="0.2"/>
    <row r="14202" ht="12.75" hidden="1" customHeight="1" x14ac:dyDescent="0.2"/>
    <row r="14203" ht="12.75" hidden="1" customHeight="1" x14ac:dyDescent="0.2"/>
    <row r="14204" ht="12.75" hidden="1" customHeight="1" x14ac:dyDescent="0.2"/>
    <row r="14205" ht="12.75" hidden="1" customHeight="1" x14ac:dyDescent="0.2"/>
    <row r="14206" ht="12.75" hidden="1" customHeight="1" x14ac:dyDescent="0.2"/>
    <row r="14207" ht="12.75" hidden="1" customHeight="1" x14ac:dyDescent="0.2"/>
    <row r="14208" ht="12.75" hidden="1" customHeight="1" x14ac:dyDescent="0.2"/>
    <row r="14209" ht="12.75" hidden="1" customHeight="1" x14ac:dyDescent="0.2"/>
    <row r="14210" ht="12.75" hidden="1" customHeight="1" x14ac:dyDescent="0.2"/>
    <row r="14211" ht="12.75" hidden="1" customHeight="1" x14ac:dyDescent="0.2"/>
    <row r="14212" ht="12.75" hidden="1" customHeight="1" x14ac:dyDescent="0.2"/>
    <row r="14213" ht="12.75" hidden="1" customHeight="1" x14ac:dyDescent="0.2"/>
    <row r="14214" ht="12.75" hidden="1" customHeight="1" x14ac:dyDescent="0.2"/>
    <row r="14215" ht="12.75" hidden="1" customHeight="1" x14ac:dyDescent="0.2"/>
    <row r="14216" ht="12.75" hidden="1" customHeight="1" x14ac:dyDescent="0.2"/>
    <row r="14217" ht="12.75" hidden="1" customHeight="1" x14ac:dyDescent="0.2"/>
    <row r="14218" ht="12.75" hidden="1" customHeight="1" x14ac:dyDescent="0.2"/>
    <row r="14219" ht="12.75" hidden="1" customHeight="1" x14ac:dyDescent="0.2"/>
    <row r="14220" ht="12.75" hidden="1" customHeight="1" x14ac:dyDescent="0.2"/>
    <row r="14221" ht="12.75" hidden="1" customHeight="1" x14ac:dyDescent="0.2"/>
    <row r="14222" ht="12.75" hidden="1" customHeight="1" x14ac:dyDescent="0.2"/>
    <row r="14223" ht="12.75" hidden="1" customHeight="1" x14ac:dyDescent="0.2"/>
    <row r="14224" ht="12.75" hidden="1" customHeight="1" x14ac:dyDescent="0.2"/>
    <row r="14225" ht="12.75" hidden="1" customHeight="1" x14ac:dyDescent="0.2"/>
    <row r="14226" ht="12.75" hidden="1" customHeight="1" x14ac:dyDescent="0.2"/>
    <row r="14227" ht="12.75" hidden="1" customHeight="1" x14ac:dyDescent="0.2"/>
    <row r="14228" ht="12.75" hidden="1" customHeight="1" x14ac:dyDescent="0.2"/>
    <row r="14229" ht="12.75" hidden="1" customHeight="1" x14ac:dyDescent="0.2"/>
    <row r="14230" ht="12.75" hidden="1" customHeight="1" x14ac:dyDescent="0.2"/>
    <row r="14231" ht="12.75" hidden="1" customHeight="1" x14ac:dyDescent="0.2"/>
    <row r="14232" ht="12.75" hidden="1" customHeight="1" x14ac:dyDescent="0.2"/>
    <row r="14233" ht="12.75" hidden="1" customHeight="1" x14ac:dyDescent="0.2"/>
    <row r="14234" ht="12.75" hidden="1" customHeight="1" x14ac:dyDescent="0.2"/>
    <row r="14235" ht="12.75" hidden="1" customHeight="1" x14ac:dyDescent="0.2"/>
    <row r="14236" ht="12.75" hidden="1" customHeight="1" x14ac:dyDescent="0.2"/>
    <row r="14237" ht="12.75" hidden="1" customHeight="1" x14ac:dyDescent="0.2"/>
    <row r="14238" ht="12.75" hidden="1" customHeight="1" x14ac:dyDescent="0.2"/>
    <row r="14239" ht="12.75" hidden="1" customHeight="1" x14ac:dyDescent="0.2"/>
    <row r="14240" ht="12.75" hidden="1" customHeight="1" x14ac:dyDescent="0.2"/>
    <row r="14241" ht="12.75" hidden="1" customHeight="1" x14ac:dyDescent="0.2"/>
    <row r="14242" ht="12.75" hidden="1" customHeight="1" x14ac:dyDescent="0.2"/>
    <row r="14243" ht="12.75" hidden="1" customHeight="1" x14ac:dyDescent="0.2"/>
    <row r="14244" ht="12.75" hidden="1" customHeight="1" x14ac:dyDescent="0.2"/>
    <row r="14245" ht="12.75" hidden="1" customHeight="1" x14ac:dyDescent="0.2"/>
    <row r="14246" ht="12.75" hidden="1" customHeight="1" x14ac:dyDescent="0.2"/>
    <row r="14247" ht="12.75" hidden="1" customHeight="1" x14ac:dyDescent="0.2"/>
    <row r="14248" ht="12.75" hidden="1" customHeight="1" x14ac:dyDescent="0.2"/>
    <row r="14249" ht="12.75" hidden="1" customHeight="1" x14ac:dyDescent="0.2"/>
    <row r="14250" ht="12.75" hidden="1" customHeight="1" x14ac:dyDescent="0.2"/>
    <row r="14251" ht="12.75" hidden="1" customHeight="1" x14ac:dyDescent="0.2"/>
    <row r="14252" ht="12.75" hidden="1" customHeight="1" x14ac:dyDescent="0.2"/>
    <row r="14253" ht="12.75" hidden="1" customHeight="1" x14ac:dyDescent="0.2"/>
    <row r="14254" ht="12.75" hidden="1" customHeight="1" x14ac:dyDescent="0.2"/>
    <row r="14255" ht="12.75" hidden="1" customHeight="1" x14ac:dyDescent="0.2"/>
    <row r="14256" ht="12.75" hidden="1" customHeight="1" x14ac:dyDescent="0.2"/>
    <row r="14257" ht="12.75" hidden="1" customHeight="1" x14ac:dyDescent="0.2"/>
    <row r="14258" ht="12.75" hidden="1" customHeight="1" x14ac:dyDescent="0.2"/>
    <row r="14259" ht="12.75" hidden="1" customHeight="1" x14ac:dyDescent="0.2"/>
    <row r="14260" ht="12.75" hidden="1" customHeight="1" x14ac:dyDescent="0.2"/>
    <row r="14261" ht="12.75" hidden="1" customHeight="1" x14ac:dyDescent="0.2"/>
    <row r="14262" ht="12.75" hidden="1" customHeight="1" x14ac:dyDescent="0.2"/>
    <row r="14263" ht="12.75" hidden="1" customHeight="1" x14ac:dyDescent="0.2"/>
    <row r="14264" ht="12.75" hidden="1" customHeight="1" x14ac:dyDescent="0.2"/>
    <row r="14265" ht="12.75" hidden="1" customHeight="1" x14ac:dyDescent="0.2"/>
    <row r="14266" ht="12.75" hidden="1" customHeight="1" x14ac:dyDescent="0.2"/>
    <row r="14267" ht="12.75" hidden="1" customHeight="1" x14ac:dyDescent="0.2"/>
    <row r="14268" ht="12.75" hidden="1" customHeight="1" x14ac:dyDescent="0.2"/>
    <row r="14269" ht="12.75" hidden="1" customHeight="1" x14ac:dyDescent="0.2"/>
    <row r="14270" ht="12.75" hidden="1" customHeight="1" x14ac:dyDescent="0.2"/>
    <row r="14271" ht="12.75" hidden="1" customHeight="1" x14ac:dyDescent="0.2"/>
    <row r="14272" ht="12.75" hidden="1" customHeight="1" x14ac:dyDescent="0.2"/>
    <row r="14273" ht="12.75" hidden="1" customHeight="1" x14ac:dyDescent="0.2"/>
    <row r="14274" ht="12.75" hidden="1" customHeight="1" x14ac:dyDescent="0.2"/>
    <row r="14275" ht="12.75" hidden="1" customHeight="1" x14ac:dyDescent="0.2"/>
    <row r="14276" ht="12.75" hidden="1" customHeight="1" x14ac:dyDescent="0.2"/>
    <row r="14277" ht="12.75" hidden="1" customHeight="1" x14ac:dyDescent="0.2"/>
    <row r="14278" ht="12.75" hidden="1" customHeight="1" x14ac:dyDescent="0.2"/>
    <row r="14279" ht="12.75" hidden="1" customHeight="1" x14ac:dyDescent="0.2"/>
    <row r="14280" ht="12.75" hidden="1" customHeight="1" x14ac:dyDescent="0.2"/>
    <row r="14281" ht="12.75" hidden="1" customHeight="1" x14ac:dyDescent="0.2"/>
    <row r="14282" ht="12.75" hidden="1" customHeight="1" x14ac:dyDescent="0.2"/>
    <row r="14283" ht="12.75" hidden="1" customHeight="1" x14ac:dyDescent="0.2"/>
    <row r="14284" ht="12.75" hidden="1" customHeight="1" x14ac:dyDescent="0.2"/>
    <row r="14285" ht="12.75" hidden="1" customHeight="1" x14ac:dyDescent="0.2"/>
    <row r="14286" ht="12.75" hidden="1" customHeight="1" x14ac:dyDescent="0.2"/>
    <row r="14287" ht="12.75" hidden="1" customHeight="1" x14ac:dyDescent="0.2"/>
    <row r="14288" ht="12.75" hidden="1" customHeight="1" x14ac:dyDescent="0.2"/>
    <row r="14289" ht="12.75" hidden="1" customHeight="1" x14ac:dyDescent="0.2"/>
    <row r="14290" ht="12.75" hidden="1" customHeight="1" x14ac:dyDescent="0.2"/>
    <row r="14291" ht="12.75" hidden="1" customHeight="1" x14ac:dyDescent="0.2"/>
    <row r="14292" ht="12.75" hidden="1" customHeight="1" x14ac:dyDescent="0.2"/>
    <row r="14293" ht="12.75" hidden="1" customHeight="1" x14ac:dyDescent="0.2"/>
    <row r="14294" ht="12.75" hidden="1" customHeight="1" x14ac:dyDescent="0.2"/>
    <row r="14295" ht="12.75" hidden="1" customHeight="1" x14ac:dyDescent="0.2"/>
    <row r="14296" ht="12.75" hidden="1" customHeight="1" x14ac:dyDescent="0.2"/>
    <row r="14297" ht="12.75" hidden="1" customHeight="1" x14ac:dyDescent="0.2"/>
    <row r="14298" ht="12.75" hidden="1" customHeight="1" x14ac:dyDescent="0.2"/>
    <row r="14299" ht="12.75" hidden="1" customHeight="1" x14ac:dyDescent="0.2"/>
    <row r="14300" ht="12.75" hidden="1" customHeight="1" x14ac:dyDescent="0.2"/>
    <row r="14301" ht="12.75" hidden="1" customHeight="1" x14ac:dyDescent="0.2"/>
    <row r="14302" ht="12.75" hidden="1" customHeight="1" x14ac:dyDescent="0.2"/>
    <row r="14303" ht="12.75" hidden="1" customHeight="1" x14ac:dyDescent="0.2"/>
    <row r="14304" ht="12.75" hidden="1" customHeight="1" x14ac:dyDescent="0.2"/>
    <row r="14305" ht="12.75" hidden="1" customHeight="1" x14ac:dyDescent="0.2"/>
    <row r="14306" ht="12.75" hidden="1" customHeight="1" x14ac:dyDescent="0.2"/>
    <row r="14307" ht="12.75" hidden="1" customHeight="1" x14ac:dyDescent="0.2"/>
    <row r="14308" ht="12.75" hidden="1" customHeight="1" x14ac:dyDescent="0.2"/>
    <row r="14309" ht="12.75" hidden="1" customHeight="1" x14ac:dyDescent="0.2"/>
    <row r="14310" ht="12.75" hidden="1" customHeight="1" x14ac:dyDescent="0.2"/>
    <row r="14311" ht="12.75" hidden="1" customHeight="1" x14ac:dyDescent="0.2"/>
    <row r="14312" ht="12.75" hidden="1" customHeight="1" x14ac:dyDescent="0.2"/>
    <row r="14313" ht="12.75" hidden="1" customHeight="1" x14ac:dyDescent="0.2"/>
    <row r="14314" ht="12.75" hidden="1" customHeight="1" x14ac:dyDescent="0.2"/>
    <row r="14315" ht="12.75" hidden="1" customHeight="1" x14ac:dyDescent="0.2"/>
    <row r="14316" ht="12.75" hidden="1" customHeight="1" x14ac:dyDescent="0.2"/>
    <row r="14317" ht="12.75" hidden="1" customHeight="1" x14ac:dyDescent="0.2"/>
    <row r="14318" ht="12.75" hidden="1" customHeight="1" x14ac:dyDescent="0.2"/>
    <row r="14319" ht="12.75" hidden="1" customHeight="1" x14ac:dyDescent="0.2"/>
    <row r="14320" ht="12.75" hidden="1" customHeight="1" x14ac:dyDescent="0.2"/>
    <row r="14321" ht="12.75" hidden="1" customHeight="1" x14ac:dyDescent="0.2"/>
    <row r="14322" ht="12.75" hidden="1" customHeight="1" x14ac:dyDescent="0.2"/>
    <row r="14323" ht="12.75" hidden="1" customHeight="1" x14ac:dyDescent="0.2"/>
    <row r="14324" ht="12.75" hidden="1" customHeight="1" x14ac:dyDescent="0.2"/>
    <row r="14325" ht="12.75" hidden="1" customHeight="1" x14ac:dyDescent="0.2"/>
    <row r="14326" ht="12.75" hidden="1" customHeight="1" x14ac:dyDescent="0.2"/>
    <row r="14327" ht="12.75" hidden="1" customHeight="1" x14ac:dyDescent="0.2"/>
    <row r="14328" ht="12.75" hidden="1" customHeight="1" x14ac:dyDescent="0.2"/>
    <row r="14329" ht="12.75" hidden="1" customHeight="1" x14ac:dyDescent="0.2"/>
    <row r="14330" ht="12.75" hidden="1" customHeight="1" x14ac:dyDescent="0.2"/>
    <row r="14331" ht="12.75" hidden="1" customHeight="1" x14ac:dyDescent="0.2"/>
    <row r="14332" ht="12.75" hidden="1" customHeight="1" x14ac:dyDescent="0.2"/>
    <row r="14333" ht="12.75" hidden="1" customHeight="1" x14ac:dyDescent="0.2"/>
    <row r="14334" ht="12.75" hidden="1" customHeight="1" x14ac:dyDescent="0.2"/>
    <row r="14335" ht="12.75" hidden="1" customHeight="1" x14ac:dyDescent="0.2"/>
    <row r="14336" ht="12.75" hidden="1" customHeight="1" x14ac:dyDescent="0.2"/>
    <row r="14337" ht="12.75" hidden="1" customHeight="1" x14ac:dyDescent="0.2"/>
    <row r="14338" ht="12.75" hidden="1" customHeight="1" x14ac:dyDescent="0.2"/>
    <row r="14339" ht="12.75" hidden="1" customHeight="1" x14ac:dyDescent="0.2"/>
    <row r="14340" ht="12.75" hidden="1" customHeight="1" x14ac:dyDescent="0.2"/>
    <row r="14341" ht="12.75" hidden="1" customHeight="1" x14ac:dyDescent="0.2"/>
    <row r="14342" ht="12.75" hidden="1" customHeight="1" x14ac:dyDescent="0.2"/>
    <row r="14343" ht="12.75" hidden="1" customHeight="1" x14ac:dyDescent="0.2"/>
    <row r="14344" ht="12.75" hidden="1" customHeight="1" x14ac:dyDescent="0.2"/>
    <row r="14345" ht="12.75" hidden="1" customHeight="1" x14ac:dyDescent="0.2"/>
    <row r="14346" ht="12.75" hidden="1" customHeight="1" x14ac:dyDescent="0.2"/>
    <row r="14347" ht="12.75" hidden="1" customHeight="1" x14ac:dyDescent="0.2"/>
    <row r="14348" ht="12.75" hidden="1" customHeight="1" x14ac:dyDescent="0.2"/>
    <row r="14349" ht="12.75" hidden="1" customHeight="1" x14ac:dyDescent="0.2"/>
    <row r="14350" ht="12.75" hidden="1" customHeight="1" x14ac:dyDescent="0.2"/>
    <row r="14351" ht="12.75" hidden="1" customHeight="1" x14ac:dyDescent="0.2"/>
    <row r="14352" ht="12.75" hidden="1" customHeight="1" x14ac:dyDescent="0.2"/>
    <row r="14353" ht="12.75" hidden="1" customHeight="1" x14ac:dyDescent="0.2"/>
    <row r="14354" ht="12.75" hidden="1" customHeight="1" x14ac:dyDescent="0.2"/>
    <row r="14355" ht="12.75" hidden="1" customHeight="1" x14ac:dyDescent="0.2"/>
    <row r="14356" ht="12.75" hidden="1" customHeight="1" x14ac:dyDescent="0.2"/>
    <row r="14357" ht="12.75" hidden="1" customHeight="1" x14ac:dyDescent="0.2"/>
    <row r="14358" ht="12.75" hidden="1" customHeight="1" x14ac:dyDescent="0.2"/>
    <row r="14359" ht="12.75" hidden="1" customHeight="1" x14ac:dyDescent="0.2"/>
    <row r="14360" ht="12.75" hidden="1" customHeight="1" x14ac:dyDescent="0.2"/>
    <row r="14361" ht="12.75" hidden="1" customHeight="1" x14ac:dyDescent="0.2"/>
    <row r="14362" ht="12.75" hidden="1" customHeight="1" x14ac:dyDescent="0.2"/>
    <row r="14363" ht="12.75" hidden="1" customHeight="1" x14ac:dyDescent="0.2"/>
    <row r="14364" ht="12.75" hidden="1" customHeight="1" x14ac:dyDescent="0.2"/>
    <row r="14365" ht="12.75" hidden="1" customHeight="1" x14ac:dyDescent="0.2"/>
    <row r="14366" ht="12.75" hidden="1" customHeight="1" x14ac:dyDescent="0.2"/>
    <row r="14367" ht="12.75" hidden="1" customHeight="1" x14ac:dyDescent="0.2"/>
    <row r="14368" ht="12.75" hidden="1" customHeight="1" x14ac:dyDescent="0.2"/>
    <row r="14369" ht="12.75" hidden="1" customHeight="1" x14ac:dyDescent="0.2"/>
    <row r="14370" ht="12.75" hidden="1" customHeight="1" x14ac:dyDescent="0.2"/>
    <row r="14371" ht="12.75" hidden="1" customHeight="1" x14ac:dyDescent="0.2"/>
    <row r="14372" ht="12.75" hidden="1" customHeight="1" x14ac:dyDescent="0.2"/>
    <row r="14373" ht="12.75" hidden="1" customHeight="1" x14ac:dyDescent="0.2"/>
    <row r="14374" ht="12.75" hidden="1" customHeight="1" x14ac:dyDescent="0.2"/>
    <row r="14375" ht="12.75" hidden="1" customHeight="1" x14ac:dyDescent="0.2"/>
    <row r="14376" ht="12.75" hidden="1" customHeight="1" x14ac:dyDescent="0.2"/>
    <row r="14377" ht="12.75" hidden="1" customHeight="1" x14ac:dyDescent="0.2"/>
    <row r="14378" ht="12.75" hidden="1" customHeight="1" x14ac:dyDescent="0.2"/>
    <row r="14379" ht="12.75" hidden="1" customHeight="1" x14ac:dyDescent="0.2"/>
    <row r="14380" ht="12.75" hidden="1" customHeight="1" x14ac:dyDescent="0.2"/>
    <row r="14381" ht="12.75" hidden="1" customHeight="1" x14ac:dyDescent="0.2"/>
    <row r="14382" ht="12.75" hidden="1" customHeight="1" x14ac:dyDescent="0.2"/>
    <row r="14383" ht="12.75" hidden="1" customHeight="1" x14ac:dyDescent="0.2"/>
    <row r="14384" ht="12.75" hidden="1" customHeight="1" x14ac:dyDescent="0.2"/>
    <row r="14385" ht="12.75" hidden="1" customHeight="1" x14ac:dyDescent="0.2"/>
    <row r="14386" ht="12.75" hidden="1" customHeight="1" x14ac:dyDescent="0.2"/>
    <row r="14387" ht="12.75" hidden="1" customHeight="1" x14ac:dyDescent="0.2"/>
    <row r="14388" ht="12.75" hidden="1" customHeight="1" x14ac:dyDescent="0.2"/>
    <row r="14389" ht="12.75" hidden="1" customHeight="1" x14ac:dyDescent="0.2"/>
    <row r="14390" ht="12.75" hidden="1" customHeight="1" x14ac:dyDescent="0.2"/>
    <row r="14391" ht="12.75" hidden="1" customHeight="1" x14ac:dyDescent="0.2"/>
    <row r="14392" ht="12.75" hidden="1" customHeight="1" x14ac:dyDescent="0.2"/>
    <row r="14393" ht="12.75" hidden="1" customHeight="1" x14ac:dyDescent="0.2"/>
    <row r="14394" ht="12.75" hidden="1" customHeight="1" x14ac:dyDescent="0.2"/>
    <row r="14395" ht="12.75" hidden="1" customHeight="1" x14ac:dyDescent="0.2"/>
    <row r="14396" ht="12.75" hidden="1" customHeight="1" x14ac:dyDescent="0.2"/>
    <row r="14397" ht="12.75" hidden="1" customHeight="1" x14ac:dyDescent="0.2"/>
    <row r="14398" ht="12.75" hidden="1" customHeight="1" x14ac:dyDescent="0.2"/>
    <row r="14399" ht="12.75" hidden="1" customHeight="1" x14ac:dyDescent="0.2"/>
    <row r="14400" ht="12.75" hidden="1" customHeight="1" x14ac:dyDescent="0.2"/>
    <row r="14401" ht="12.75" hidden="1" customHeight="1" x14ac:dyDescent="0.2"/>
    <row r="14402" ht="12.75" hidden="1" customHeight="1" x14ac:dyDescent="0.2"/>
    <row r="14403" ht="12.75" hidden="1" customHeight="1" x14ac:dyDescent="0.2"/>
    <row r="14404" ht="12.75" hidden="1" customHeight="1" x14ac:dyDescent="0.2"/>
    <row r="14405" ht="12.75" hidden="1" customHeight="1" x14ac:dyDescent="0.2"/>
    <row r="14406" ht="12.75" hidden="1" customHeight="1" x14ac:dyDescent="0.2"/>
    <row r="14407" ht="12.75" hidden="1" customHeight="1" x14ac:dyDescent="0.2"/>
    <row r="14408" ht="12.75" hidden="1" customHeight="1" x14ac:dyDescent="0.2"/>
    <row r="14409" ht="12.75" hidden="1" customHeight="1" x14ac:dyDescent="0.2"/>
    <row r="14410" ht="12.75" hidden="1" customHeight="1" x14ac:dyDescent="0.2"/>
    <row r="14411" ht="12.75" hidden="1" customHeight="1" x14ac:dyDescent="0.2"/>
    <row r="14412" ht="12.75" hidden="1" customHeight="1" x14ac:dyDescent="0.2"/>
    <row r="14413" ht="12.75" hidden="1" customHeight="1" x14ac:dyDescent="0.2"/>
    <row r="14414" ht="12.75" hidden="1" customHeight="1" x14ac:dyDescent="0.2"/>
    <row r="14415" ht="12.75" hidden="1" customHeight="1" x14ac:dyDescent="0.2"/>
    <row r="14416" ht="12.75" hidden="1" customHeight="1" x14ac:dyDescent="0.2"/>
    <row r="14417" ht="12.75" hidden="1" customHeight="1" x14ac:dyDescent="0.2"/>
    <row r="14418" ht="12.75" hidden="1" customHeight="1" x14ac:dyDescent="0.2"/>
    <row r="14419" ht="12.75" hidden="1" customHeight="1" x14ac:dyDescent="0.2"/>
    <row r="14420" ht="12.75" hidden="1" customHeight="1" x14ac:dyDescent="0.2"/>
    <row r="14421" ht="12.75" hidden="1" customHeight="1" x14ac:dyDescent="0.2"/>
    <row r="14422" ht="12.75" hidden="1" customHeight="1" x14ac:dyDescent="0.2"/>
    <row r="14423" ht="12.75" hidden="1" customHeight="1" x14ac:dyDescent="0.2"/>
    <row r="14424" ht="12.75" hidden="1" customHeight="1" x14ac:dyDescent="0.2"/>
    <row r="14425" ht="12.75" hidden="1" customHeight="1" x14ac:dyDescent="0.2"/>
    <row r="14426" ht="12.75" hidden="1" customHeight="1" x14ac:dyDescent="0.2"/>
    <row r="14427" ht="12.75" hidden="1" customHeight="1" x14ac:dyDescent="0.2"/>
    <row r="14428" ht="12.75" hidden="1" customHeight="1" x14ac:dyDescent="0.2"/>
    <row r="14429" ht="12.75" hidden="1" customHeight="1" x14ac:dyDescent="0.2"/>
    <row r="14430" ht="12.75" hidden="1" customHeight="1" x14ac:dyDescent="0.2"/>
    <row r="14431" ht="12.75" hidden="1" customHeight="1" x14ac:dyDescent="0.2"/>
    <row r="14432" ht="12.75" hidden="1" customHeight="1" x14ac:dyDescent="0.2"/>
    <row r="14433" ht="12.75" hidden="1" customHeight="1" x14ac:dyDescent="0.2"/>
    <row r="14434" ht="12.75" hidden="1" customHeight="1" x14ac:dyDescent="0.2"/>
    <row r="14435" ht="12.75" hidden="1" customHeight="1" x14ac:dyDescent="0.2"/>
    <row r="14436" ht="12.75" hidden="1" customHeight="1" x14ac:dyDescent="0.2"/>
    <row r="14437" ht="12.75" hidden="1" customHeight="1" x14ac:dyDescent="0.2"/>
    <row r="14438" ht="12.75" hidden="1" customHeight="1" x14ac:dyDescent="0.2"/>
    <row r="14439" ht="12.75" hidden="1" customHeight="1" x14ac:dyDescent="0.2"/>
    <row r="14440" ht="12.75" hidden="1" customHeight="1" x14ac:dyDescent="0.2"/>
    <row r="14441" ht="12.75" hidden="1" customHeight="1" x14ac:dyDescent="0.2"/>
    <row r="14442" ht="12.75" hidden="1" customHeight="1" x14ac:dyDescent="0.2"/>
    <row r="14443" ht="12.75" hidden="1" customHeight="1" x14ac:dyDescent="0.2"/>
    <row r="14444" ht="12.75" hidden="1" customHeight="1" x14ac:dyDescent="0.2"/>
    <row r="14445" ht="12.75" hidden="1" customHeight="1" x14ac:dyDescent="0.2"/>
    <row r="14446" ht="12.75" hidden="1" customHeight="1" x14ac:dyDescent="0.2"/>
    <row r="14447" ht="12.75" hidden="1" customHeight="1" x14ac:dyDescent="0.2"/>
    <row r="14448" ht="12.75" hidden="1" customHeight="1" x14ac:dyDescent="0.2"/>
    <row r="14449" ht="12.75" hidden="1" customHeight="1" x14ac:dyDescent="0.2"/>
    <row r="14450" ht="12.75" hidden="1" customHeight="1" x14ac:dyDescent="0.2"/>
    <row r="14451" ht="12.75" hidden="1" customHeight="1" x14ac:dyDescent="0.2"/>
    <row r="14452" ht="12.75" hidden="1" customHeight="1" x14ac:dyDescent="0.2"/>
    <row r="14453" ht="12.75" hidden="1" customHeight="1" x14ac:dyDescent="0.2"/>
    <row r="14454" ht="12.75" hidden="1" customHeight="1" x14ac:dyDescent="0.2"/>
    <row r="14455" ht="12.75" hidden="1" customHeight="1" x14ac:dyDescent="0.2"/>
    <row r="14456" ht="12.75" hidden="1" customHeight="1" x14ac:dyDescent="0.2"/>
    <row r="14457" ht="12.75" hidden="1" customHeight="1" x14ac:dyDescent="0.2"/>
    <row r="14458" ht="12.75" hidden="1" customHeight="1" x14ac:dyDescent="0.2"/>
    <row r="14459" ht="12.75" hidden="1" customHeight="1" x14ac:dyDescent="0.2"/>
    <row r="14460" ht="12.75" hidden="1" customHeight="1" x14ac:dyDescent="0.2"/>
    <row r="14461" ht="12.75" hidden="1" customHeight="1" x14ac:dyDescent="0.2"/>
    <row r="14462" ht="12.75" hidden="1" customHeight="1" x14ac:dyDescent="0.2"/>
    <row r="14463" ht="12.75" hidden="1" customHeight="1" x14ac:dyDescent="0.2"/>
    <row r="14464" ht="12.75" hidden="1" customHeight="1" x14ac:dyDescent="0.2"/>
    <row r="14465" ht="12.75" hidden="1" customHeight="1" x14ac:dyDescent="0.2"/>
    <row r="14466" ht="12.75" hidden="1" customHeight="1" x14ac:dyDescent="0.2"/>
    <row r="14467" ht="12.75" hidden="1" customHeight="1" x14ac:dyDescent="0.2"/>
    <row r="14468" ht="12.75" hidden="1" customHeight="1" x14ac:dyDescent="0.2"/>
    <row r="14469" ht="12.75" hidden="1" customHeight="1" x14ac:dyDescent="0.2"/>
    <row r="14470" ht="12.75" hidden="1" customHeight="1" x14ac:dyDescent="0.2"/>
    <row r="14471" ht="12.75" hidden="1" customHeight="1" x14ac:dyDescent="0.2"/>
    <row r="14472" ht="12.75" hidden="1" customHeight="1" x14ac:dyDescent="0.2"/>
    <row r="14473" ht="12.75" hidden="1" customHeight="1" x14ac:dyDescent="0.2"/>
    <row r="14474" ht="12.75" hidden="1" customHeight="1" x14ac:dyDescent="0.2"/>
    <row r="14475" ht="12.75" hidden="1" customHeight="1" x14ac:dyDescent="0.2"/>
    <row r="14476" ht="12.75" hidden="1" customHeight="1" x14ac:dyDescent="0.2"/>
    <row r="14477" ht="12.75" hidden="1" customHeight="1" x14ac:dyDescent="0.2"/>
    <row r="14478" ht="12.75" hidden="1" customHeight="1" x14ac:dyDescent="0.2"/>
    <row r="14479" ht="12.75" hidden="1" customHeight="1" x14ac:dyDescent="0.2"/>
    <row r="14480" ht="12.75" hidden="1" customHeight="1" x14ac:dyDescent="0.2"/>
    <row r="14481" ht="12.75" hidden="1" customHeight="1" x14ac:dyDescent="0.2"/>
    <row r="14482" ht="12.75" hidden="1" customHeight="1" x14ac:dyDescent="0.2"/>
    <row r="14483" ht="12.75" hidden="1" customHeight="1" x14ac:dyDescent="0.2"/>
    <row r="14484" ht="12.75" hidden="1" customHeight="1" x14ac:dyDescent="0.2"/>
    <row r="14485" ht="12.75" hidden="1" customHeight="1" x14ac:dyDescent="0.2"/>
    <row r="14486" ht="12.75" hidden="1" customHeight="1" x14ac:dyDescent="0.2"/>
    <row r="14487" ht="12.75" hidden="1" customHeight="1" x14ac:dyDescent="0.2"/>
    <row r="14488" ht="12.75" hidden="1" customHeight="1" x14ac:dyDescent="0.2"/>
    <row r="14489" ht="12.75" hidden="1" customHeight="1" x14ac:dyDescent="0.2"/>
    <row r="14490" ht="12.75" hidden="1" customHeight="1" x14ac:dyDescent="0.2"/>
    <row r="14491" ht="12.75" hidden="1" customHeight="1" x14ac:dyDescent="0.2"/>
    <row r="14492" ht="12.75" hidden="1" customHeight="1" x14ac:dyDescent="0.2"/>
    <row r="14493" ht="12.75" hidden="1" customHeight="1" x14ac:dyDescent="0.2"/>
    <row r="14494" ht="12.75" hidden="1" customHeight="1" x14ac:dyDescent="0.2"/>
    <row r="14495" ht="12.75" hidden="1" customHeight="1" x14ac:dyDescent="0.2"/>
    <row r="14496" ht="12.75" hidden="1" customHeight="1" x14ac:dyDescent="0.2"/>
    <row r="14497" ht="12.75" hidden="1" customHeight="1" x14ac:dyDescent="0.2"/>
    <row r="14498" ht="12.75" hidden="1" customHeight="1" x14ac:dyDescent="0.2"/>
    <row r="14499" ht="12.75" hidden="1" customHeight="1" x14ac:dyDescent="0.2"/>
    <row r="14500" ht="12.75" hidden="1" customHeight="1" x14ac:dyDescent="0.2"/>
    <row r="14501" ht="12.75" hidden="1" customHeight="1" x14ac:dyDescent="0.2"/>
    <row r="14502" ht="12.75" hidden="1" customHeight="1" x14ac:dyDescent="0.2"/>
    <row r="14503" ht="12.75" hidden="1" customHeight="1" x14ac:dyDescent="0.2"/>
    <row r="14504" ht="12.75" hidden="1" customHeight="1" x14ac:dyDescent="0.2"/>
    <row r="14505" ht="12.75" hidden="1" customHeight="1" x14ac:dyDescent="0.2"/>
    <row r="14506" ht="12.75" hidden="1" customHeight="1" x14ac:dyDescent="0.2"/>
    <row r="14507" ht="12.75" hidden="1" customHeight="1" x14ac:dyDescent="0.2"/>
    <row r="14508" ht="12.75" hidden="1" customHeight="1" x14ac:dyDescent="0.2"/>
    <row r="14509" ht="12.75" hidden="1" customHeight="1" x14ac:dyDescent="0.2"/>
    <row r="14510" ht="12.75" hidden="1" customHeight="1" x14ac:dyDescent="0.2"/>
    <row r="14511" ht="12.75" hidden="1" customHeight="1" x14ac:dyDescent="0.2"/>
    <row r="14512" ht="12.75" hidden="1" customHeight="1" x14ac:dyDescent="0.2"/>
    <row r="14513" ht="12.75" hidden="1" customHeight="1" x14ac:dyDescent="0.2"/>
    <row r="14514" ht="12.75" hidden="1" customHeight="1" x14ac:dyDescent="0.2"/>
    <row r="14515" ht="12.75" hidden="1" customHeight="1" x14ac:dyDescent="0.2"/>
    <row r="14516" ht="12.75" hidden="1" customHeight="1" x14ac:dyDescent="0.2"/>
    <row r="14517" ht="12.75" hidden="1" customHeight="1" x14ac:dyDescent="0.2"/>
    <row r="14518" ht="12.75" hidden="1" customHeight="1" x14ac:dyDescent="0.2"/>
    <row r="14519" ht="12.75" hidden="1" customHeight="1" x14ac:dyDescent="0.2"/>
    <row r="14520" ht="12.75" hidden="1" customHeight="1" x14ac:dyDescent="0.2"/>
    <row r="14521" ht="12.75" hidden="1" customHeight="1" x14ac:dyDescent="0.2"/>
    <row r="14522" ht="12.75" hidden="1" customHeight="1" x14ac:dyDescent="0.2"/>
    <row r="14523" ht="12.75" hidden="1" customHeight="1" x14ac:dyDescent="0.2"/>
    <row r="14524" ht="12.75" hidden="1" customHeight="1" x14ac:dyDescent="0.2"/>
    <row r="14525" ht="12.75" hidden="1" customHeight="1" x14ac:dyDescent="0.2"/>
    <row r="14526" ht="12.75" hidden="1" customHeight="1" x14ac:dyDescent="0.2"/>
    <row r="14527" ht="12.75" hidden="1" customHeight="1" x14ac:dyDescent="0.2"/>
    <row r="14528" ht="12.75" hidden="1" customHeight="1" x14ac:dyDescent="0.2"/>
    <row r="14529" ht="12.75" hidden="1" customHeight="1" x14ac:dyDescent="0.2"/>
    <row r="14530" ht="12.75" hidden="1" customHeight="1" x14ac:dyDescent="0.2"/>
    <row r="14531" ht="12.75" hidden="1" customHeight="1" x14ac:dyDescent="0.2"/>
    <row r="14532" ht="12.75" hidden="1" customHeight="1" x14ac:dyDescent="0.2"/>
    <row r="14533" ht="12.75" hidden="1" customHeight="1" x14ac:dyDescent="0.2"/>
    <row r="14534" ht="12.75" hidden="1" customHeight="1" x14ac:dyDescent="0.2"/>
    <row r="14535" ht="12.75" hidden="1" customHeight="1" x14ac:dyDescent="0.2"/>
    <row r="14536" ht="12.75" hidden="1" customHeight="1" x14ac:dyDescent="0.2"/>
    <row r="14537" ht="12.75" hidden="1" customHeight="1" x14ac:dyDescent="0.2"/>
    <row r="14538" ht="12.75" hidden="1" customHeight="1" x14ac:dyDescent="0.2"/>
    <row r="14539" ht="12.75" hidden="1" customHeight="1" x14ac:dyDescent="0.2"/>
    <row r="14540" ht="12.75" hidden="1" customHeight="1" x14ac:dyDescent="0.2"/>
    <row r="14541" ht="12.75" hidden="1" customHeight="1" x14ac:dyDescent="0.2"/>
    <row r="14542" ht="12.75" hidden="1" customHeight="1" x14ac:dyDescent="0.2"/>
    <row r="14543" ht="12.75" hidden="1" customHeight="1" x14ac:dyDescent="0.2"/>
    <row r="14544" ht="12.75" hidden="1" customHeight="1" x14ac:dyDescent="0.2"/>
    <row r="14545" ht="12.75" hidden="1" customHeight="1" x14ac:dyDescent="0.2"/>
    <row r="14546" ht="12.75" hidden="1" customHeight="1" x14ac:dyDescent="0.2"/>
    <row r="14547" ht="12.75" hidden="1" customHeight="1" x14ac:dyDescent="0.2"/>
    <row r="14548" ht="12.75" hidden="1" customHeight="1" x14ac:dyDescent="0.2"/>
    <row r="14549" ht="12.75" hidden="1" customHeight="1" x14ac:dyDescent="0.2"/>
    <row r="14550" ht="12.75" hidden="1" customHeight="1" x14ac:dyDescent="0.2"/>
    <row r="14551" ht="12.75" hidden="1" customHeight="1" x14ac:dyDescent="0.2"/>
    <row r="14552" ht="12.75" hidden="1" customHeight="1" x14ac:dyDescent="0.2"/>
    <row r="14553" ht="12.75" hidden="1" customHeight="1" x14ac:dyDescent="0.2"/>
    <row r="14554" ht="12.75" hidden="1" customHeight="1" x14ac:dyDescent="0.2"/>
    <row r="14555" ht="12.75" hidden="1" customHeight="1" x14ac:dyDescent="0.2"/>
    <row r="14556" ht="12.75" hidden="1" customHeight="1" x14ac:dyDescent="0.2"/>
    <row r="14557" ht="12.75" hidden="1" customHeight="1" x14ac:dyDescent="0.2"/>
    <row r="14558" ht="12.75" hidden="1" customHeight="1" x14ac:dyDescent="0.2"/>
    <row r="14559" ht="12.75" hidden="1" customHeight="1" x14ac:dyDescent="0.2"/>
    <row r="14560" ht="12.75" hidden="1" customHeight="1" x14ac:dyDescent="0.2"/>
    <row r="14561" ht="12.75" hidden="1" customHeight="1" x14ac:dyDescent="0.2"/>
    <row r="14562" ht="12.75" hidden="1" customHeight="1" x14ac:dyDescent="0.2"/>
    <row r="14563" ht="12.75" hidden="1" customHeight="1" x14ac:dyDescent="0.2"/>
    <row r="14564" ht="12.75" hidden="1" customHeight="1" x14ac:dyDescent="0.2"/>
    <row r="14565" ht="12.75" hidden="1" customHeight="1" x14ac:dyDescent="0.2"/>
    <row r="14566" ht="12.75" hidden="1" customHeight="1" x14ac:dyDescent="0.2"/>
    <row r="14567" ht="12.75" hidden="1" customHeight="1" x14ac:dyDescent="0.2"/>
    <row r="14568" ht="12.75" hidden="1" customHeight="1" x14ac:dyDescent="0.2"/>
    <row r="14569" ht="12.75" hidden="1" customHeight="1" x14ac:dyDescent="0.2"/>
    <row r="14570" ht="12.75" hidden="1" customHeight="1" x14ac:dyDescent="0.2"/>
    <row r="14571" ht="12.75" hidden="1" customHeight="1" x14ac:dyDescent="0.2"/>
    <row r="14572" ht="12.75" hidden="1" customHeight="1" x14ac:dyDescent="0.2"/>
    <row r="14573" ht="12.75" hidden="1" customHeight="1" x14ac:dyDescent="0.2"/>
    <row r="14574" ht="12.75" hidden="1" customHeight="1" x14ac:dyDescent="0.2"/>
    <row r="14575" ht="12.75" hidden="1" customHeight="1" x14ac:dyDescent="0.2"/>
    <row r="14576" ht="12.75" hidden="1" customHeight="1" x14ac:dyDescent="0.2"/>
    <row r="14577" ht="12.75" hidden="1" customHeight="1" x14ac:dyDescent="0.2"/>
    <row r="14578" ht="12.75" hidden="1" customHeight="1" x14ac:dyDescent="0.2"/>
    <row r="14579" ht="12.75" hidden="1" customHeight="1" x14ac:dyDescent="0.2"/>
    <row r="14580" ht="12.75" hidden="1" customHeight="1" x14ac:dyDescent="0.2"/>
    <row r="14581" ht="12.75" hidden="1" customHeight="1" x14ac:dyDescent="0.2"/>
    <row r="14582" ht="12.75" hidden="1" customHeight="1" x14ac:dyDescent="0.2"/>
    <row r="14583" ht="12.75" hidden="1" customHeight="1" x14ac:dyDescent="0.2"/>
    <row r="14584" ht="12.75" hidden="1" customHeight="1" x14ac:dyDescent="0.2"/>
    <row r="14585" ht="12.75" hidden="1" customHeight="1" x14ac:dyDescent="0.2"/>
    <row r="14586" ht="12.75" hidden="1" customHeight="1" x14ac:dyDescent="0.2"/>
    <row r="14587" ht="12.75" hidden="1" customHeight="1" x14ac:dyDescent="0.2"/>
    <row r="14588" ht="12.75" hidden="1" customHeight="1" x14ac:dyDescent="0.2"/>
    <row r="14589" ht="12.75" hidden="1" customHeight="1" x14ac:dyDescent="0.2"/>
    <row r="14590" ht="12.75" hidden="1" customHeight="1" x14ac:dyDescent="0.2"/>
    <row r="14591" ht="12.75" hidden="1" customHeight="1" x14ac:dyDescent="0.2"/>
    <row r="14592" ht="12.75" hidden="1" customHeight="1" x14ac:dyDescent="0.2"/>
    <row r="14593" ht="12.75" hidden="1" customHeight="1" x14ac:dyDescent="0.2"/>
    <row r="14594" ht="12.75" hidden="1" customHeight="1" x14ac:dyDescent="0.2"/>
    <row r="14595" ht="12.75" hidden="1" customHeight="1" x14ac:dyDescent="0.2"/>
    <row r="14596" ht="12.75" hidden="1" customHeight="1" x14ac:dyDescent="0.2"/>
    <row r="14597" ht="12.75" hidden="1" customHeight="1" x14ac:dyDescent="0.2"/>
    <row r="14598" ht="12.75" hidden="1" customHeight="1" x14ac:dyDescent="0.2"/>
    <row r="14599" ht="12.75" hidden="1" customHeight="1" x14ac:dyDescent="0.2"/>
    <row r="14600" ht="12.75" hidden="1" customHeight="1" x14ac:dyDescent="0.2"/>
    <row r="14601" ht="12.75" hidden="1" customHeight="1" x14ac:dyDescent="0.2"/>
    <row r="14602" ht="12.75" hidden="1" customHeight="1" x14ac:dyDescent="0.2"/>
    <row r="14603" ht="12.75" hidden="1" customHeight="1" x14ac:dyDescent="0.2"/>
    <row r="14604" ht="12.75" hidden="1" customHeight="1" x14ac:dyDescent="0.2"/>
    <row r="14605" ht="12.75" hidden="1" customHeight="1" x14ac:dyDescent="0.2"/>
    <row r="14606" ht="12.75" hidden="1" customHeight="1" x14ac:dyDescent="0.2"/>
    <row r="14607" ht="12.75" hidden="1" customHeight="1" x14ac:dyDescent="0.2"/>
    <row r="14608" ht="12.75" hidden="1" customHeight="1" x14ac:dyDescent="0.2"/>
    <row r="14609" ht="12.75" hidden="1" customHeight="1" x14ac:dyDescent="0.2"/>
    <row r="14610" ht="12.75" hidden="1" customHeight="1" x14ac:dyDescent="0.2"/>
    <row r="14611" ht="12.75" hidden="1" customHeight="1" x14ac:dyDescent="0.2"/>
    <row r="14612" ht="12.75" hidden="1" customHeight="1" x14ac:dyDescent="0.2"/>
    <row r="14613" ht="12.75" hidden="1" customHeight="1" x14ac:dyDescent="0.2"/>
    <row r="14614" ht="12.75" hidden="1" customHeight="1" x14ac:dyDescent="0.2"/>
    <row r="14615" ht="12.75" hidden="1" customHeight="1" x14ac:dyDescent="0.2"/>
    <row r="14616" ht="12.75" hidden="1" customHeight="1" x14ac:dyDescent="0.2"/>
    <row r="14617" ht="12.75" hidden="1" customHeight="1" x14ac:dyDescent="0.2"/>
    <row r="14618" ht="12.75" hidden="1" customHeight="1" x14ac:dyDescent="0.2"/>
    <row r="14619" ht="12.75" hidden="1" customHeight="1" x14ac:dyDescent="0.2"/>
    <row r="14620" ht="12.75" hidden="1" customHeight="1" x14ac:dyDescent="0.2"/>
    <row r="14621" ht="12.75" hidden="1" customHeight="1" x14ac:dyDescent="0.2"/>
    <row r="14622" ht="12.75" hidden="1" customHeight="1" x14ac:dyDescent="0.2"/>
    <row r="14623" ht="12.75" hidden="1" customHeight="1" x14ac:dyDescent="0.2"/>
    <row r="14624" ht="12.75" hidden="1" customHeight="1" x14ac:dyDescent="0.2"/>
    <row r="14625" ht="12.75" hidden="1" customHeight="1" x14ac:dyDescent="0.2"/>
    <row r="14626" ht="12.75" hidden="1" customHeight="1" x14ac:dyDescent="0.2"/>
    <row r="14627" ht="12.75" hidden="1" customHeight="1" x14ac:dyDescent="0.2"/>
    <row r="14628" ht="12.75" hidden="1" customHeight="1" x14ac:dyDescent="0.2"/>
    <row r="14629" ht="12.75" hidden="1" customHeight="1" x14ac:dyDescent="0.2"/>
    <row r="14630" ht="12.75" hidden="1" customHeight="1" x14ac:dyDescent="0.2"/>
    <row r="14631" ht="12.75" hidden="1" customHeight="1" x14ac:dyDescent="0.2"/>
    <row r="14632" ht="12.75" hidden="1" customHeight="1" x14ac:dyDescent="0.2"/>
    <row r="14633" ht="12.75" hidden="1" customHeight="1" x14ac:dyDescent="0.2"/>
    <row r="14634" ht="12.75" hidden="1" customHeight="1" x14ac:dyDescent="0.2"/>
    <row r="14635" ht="12.75" hidden="1" customHeight="1" x14ac:dyDescent="0.2"/>
    <row r="14636" ht="12.75" hidden="1" customHeight="1" x14ac:dyDescent="0.2"/>
    <row r="14637" ht="12.75" hidden="1" customHeight="1" x14ac:dyDescent="0.2"/>
    <row r="14638" ht="12.75" hidden="1" customHeight="1" x14ac:dyDescent="0.2"/>
    <row r="14639" ht="12.75" hidden="1" customHeight="1" x14ac:dyDescent="0.2"/>
    <row r="14640" ht="12.75" hidden="1" customHeight="1" x14ac:dyDescent="0.2"/>
    <row r="14641" ht="12.75" hidden="1" customHeight="1" x14ac:dyDescent="0.2"/>
    <row r="14642" ht="12.75" hidden="1" customHeight="1" x14ac:dyDescent="0.2"/>
    <row r="14643" ht="12.75" hidden="1" customHeight="1" x14ac:dyDescent="0.2"/>
    <row r="14644" ht="12.75" hidden="1" customHeight="1" x14ac:dyDescent="0.2"/>
    <row r="14645" ht="12.75" hidden="1" customHeight="1" x14ac:dyDescent="0.2"/>
    <row r="14646" ht="12.75" hidden="1" customHeight="1" x14ac:dyDescent="0.2"/>
    <row r="14647" ht="12.75" hidden="1" customHeight="1" x14ac:dyDescent="0.2"/>
    <row r="14648" ht="12.75" hidden="1" customHeight="1" x14ac:dyDescent="0.2"/>
    <row r="14649" ht="12.75" hidden="1" customHeight="1" x14ac:dyDescent="0.2"/>
    <row r="14650" ht="12.75" hidden="1" customHeight="1" x14ac:dyDescent="0.2"/>
    <row r="14651" ht="12.75" hidden="1" customHeight="1" x14ac:dyDescent="0.2"/>
    <row r="14652" ht="12.75" hidden="1" customHeight="1" x14ac:dyDescent="0.2"/>
    <row r="14653" ht="12.75" hidden="1" customHeight="1" x14ac:dyDescent="0.2"/>
    <row r="14654" ht="12.75" hidden="1" customHeight="1" x14ac:dyDescent="0.2"/>
    <row r="14655" ht="12.75" hidden="1" customHeight="1" x14ac:dyDescent="0.2"/>
    <row r="14656" ht="12.75" hidden="1" customHeight="1" x14ac:dyDescent="0.2"/>
    <row r="14657" ht="12.75" hidden="1" customHeight="1" x14ac:dyDescent="0.2"/>
    <row r="14658" ht="12.75" hidden="1" customHeight="1" x14ac:dyDescent="0.2"/>
    <row r="14659" ht="12.75" hidden="1" customHeight="1" x14ac:dyDescent="0.2"/>
    <row r="14660" ht="12.75" hidden="1" customHeight="1" x14ac:dyDescent="0.2"/>
    <row r="14661" ht="12.75" hidden="1" customHeight="1" x14ac:dyDescent="0.2"/>
    <row r="14662" ht="12.75" hidden="1" customHeight="1" x14ac:dyDescent="0.2"/>
    <row r="14663" ht="12.75" hidden="1" customHeight="1" x14ac:dyDescent="0.2"/>
    <row r="14664" ht="12.75" hidden="1" customHeight="1" x14ac:dyDescent="0.2"/>
    <row r="14665" ht="12.75" hidden="1" customHeight="1" x14ac:dyDescent="0.2"/>
    <row r="14666" ht="12.75" hidden="1" customHeight="1" x14ac:dyDescent="0.2"/>
    <row r="14667" ht="12.75" hidden="1" customHeight="1" x14ac:dyDescent="0.2"/>
    <row r="14668" ht="12.75" hidden="1" customHeight="1" x14ac:dyDescent="0.2"/>
    <row r="14669" ht="12.75" hidden="1" customHeight="1" x14ac:dyDescent="0.2"/>
    <row r="14670" ht="12.75" hidden="1" customHeight="1" x14ac:dyDescent="0.2"/>
    <row r="14671" ht="12.75" hidden="1" customHeight="1" x14ac:dyDescent="0.2"/>
    <row r="14672" ht="12.75" hidden="1" customHeight="1" x14ac:dyDescent="0.2"/>
    <row r="14673" ht="12.75" hidden="1" customHeight="1" x14ac:dyDescent="0.2"/>
    <row r="14674" ht="12.75" hidden="1" customHeight="1" x14ac:dyDescent="0.2"/>
    <row r="14675" ht="12.75" hidden="1" customHeight="1" x14ac:dyDescent="0.2"/>
    <row r="14676" ht="12.75" hidden="1" customHeight="1" x14ac:dyDescent="0.2"/>
    <row r="14677" ht="12.75" hidden="1" customHeight="1" x14ac:dyDescent="0.2"/>
    <row r="14678" ht="12.75" hidden="1" customHeight="1" x14ac:dyDescent="0.2"/>
    <row r="14679" ht="12.75" hidden="1" customHeight="1" x14ac:dyDescent="0.2"/>
    <row r="14680" ht="12.75" hidden="1" customHeight="1" x14ac:dyDescent="0.2"/>
    <row r="14681" ht="12.75" hidden="1" customHeight="1" x14ac:dyDescent="0.2"/>
    <row r="14682" ht="12.75" hidden="1" customHeight="1" x14ac:dyDescent="0.2"/>
    <row r="14683" ht="12.75" hidden="1" customHeight="1" x14ac:dyDescent="0.2"/>
    <row r="14684" ht="12.75" hidden="1" customHeight="1" x14ac:dyDescent="0.2"/>
    <row r="14685" ht="12.75" hidden="1" customHeight="1" x14ac:dyDescent="0.2"/>
    <row r="14686" ht="12.75" hidden="1" customHeight="1" x14ac:dyDescent="0.2"/>
    <row r="14687" ht="12.75" hidden="1" customHeight="1" x14ac:dyDescent="0.2"/>
    <row r="14688" ht="12.75" hidden="1" customHeight="1" x14ac:dyDescent="0.2"/>
    <row r="14689" ht="12.75" hidden="1" customHeight="1" x14ac:dyDescent="0.2"/>
    <row r="14690" ht="12.75" hidden="1" customHeight="1" x14ac:dyDescent="0.2"/>
    <row r="14691" ht="12.75" hidden="1" customHeight="1" x14ac:dyDescent="0.2"/>
    <row r="14692" ht="12.75" hidden="1" customHeight="1" x14ac:dyDescent="0.2"/>
    <row r="14693" ht="12.75" hidden="1" customHeight="1" x14ac:dyDescent="0.2"/>
    <row r="14694" ht="12.75" hidden="1" customHeight="1" x14ac:dyDescent="0.2"/>
    <row r="14695" ht="12.75" hidden="1" customHeight="1" x14ac:dyDescent="0.2"/>
    <row r="14696" ht="12.75" hidden="1" customHeight="1" x14ac:dyDescent="0.2"/>
    <row r="14697" ht="12.75" hidden="1" customHeight="1" x14ac:dyDescent="0.2"/>
    <row r="14698" ht="12.75" hidden="1" customHeight="1" x14ac:dyDescent="0.2"/>
    <row r="14699" ht="12.75" hidden="1" customHeight="1" x14ac:dyDescent="0.2"/>
    <row r="14700" ht="12.75" hidden="1" customHeight="1" x14ac:dyDescent="0.2"/>
    <row r="14701" ht="12.75" hidden="1" customHeight="1" x14ac:dyDescent="0.2"/>
    <row r="14702" ht="12.75" hidden="1" customHeight="1" x14ac:dyDescent="0.2"/>
    <row r="14703" ht="12.75" hidden="1" customHeight="1" x14ac:dyDescent="0.2"/>
    <row r="14704" ht="12.75" hidden="1" customHeight="1" x14ac:dyDescent="0.2"/>
    <row r="14705" ht="12.75" hidden="1" customHeight="1" x14ac:dyDescent="0.2"/>
    <row r="14706" ht="12.75" hidden="1" customHeight="1" x14ac:dyDescent="0.2"/>
    <row r="14707" ht="12.75" hidden="1" customHeight="1" x14ac:dyDescent="0.2"/>
    <row r="14708" ht="12.75" hidden="1" customHeight="1" x14ac:dyDescent="0.2"/>
    <row r="14709" ht="12.75" hidden="1" customHeight="1" x14ac:dyDescent="0.2"/>
    <row r="14710" ht="12.75" hidden="1" customHeight="1" x14ac:dyDescent="0.2"/>
    <row r="14711" ht="12.75" hidden="1" customHeight="1" x14ac:dyDescent="0.2"/>
    <row r="14712" ht="12.75" hidden="1" customHeight="1" x14ac:dyDescent="0.2"/>
    <row r="14713" ht="12.75" hidden="1" customHeight="1" x14ac:dyDescent="0.2"/>
    <row r="14714" ht="12.75" hidden="1" customHeight="1" x14ac:dyDescent="0.2"/>
    <row r="14715" ht="12.75" hidden="1" customHeight="1" x14ac:dyDescent="0.2"/>
    <row r="14716" ht="12.75" hidden="1" customHeight="1" x14ac:dyDescent="0.2"/>
    <row r="14717" ht="12.75" hidden="1" customHeight="1" x14ac:dyDescent="0.2"/>
    <row r="14718" ht="12.75" hidden="1" customHeight="1" x14ac:dyDescent="0.2"/>
    <row r="14719" ht="12.75" hidden="1" customHeight="1" x14ac:dyDescent="0.2"/>
    <row r="14720" ht="12.75" hidden="1" customHeight="1" x14ac:dyDescent="0.2"/>
    <row r="14721" ht="12.75" hidden="1" customHeight="1" x14ac:dyDescent="0.2"/>
    <row r="14722" ht="12.75" hidden="1" customHeight="1" x14ac:dyDescent="0.2"/>
    <row r="14723" ht="12.75" hidden="1" customHeight="1" x14ac:dyDescent="0.2"/>
    <row r="14724" ht="12.75" hidden="1" customHeight="1" x14ac:dyDescent="0.2"/>
    <row r="14725" ht="12.75" hidden="1" customHeight="1" x14ac:dyDescent="0.2"/>
    <row r="14726" ht="12.75" hidden="1" customHeight="1" x14ac:dyDescent="0.2"/>
    <row r="14727" ht="12.75" hidden="1" customHeight="1" x14ac:dyDescent="0.2"/>
    <row r="14728" ht="12.75" hidden="1" customHeight="1" x14ac:dyDescent="0.2"/>
    <row r="14729" ht="12.75" hidden="1" customHeight="1" x14ac:dyDescent="0.2"/>
    <row r="14730" ht="12.75" hidden="1" customHeight="1" x14ac:dyDescent="0.2"/>
    <row r="14731" ht="12.75" hidden="1" customHeight="1" x14ac:dyDescent="0.2"/>
    <row r="14732" ht="12.75" hidden="1" customHeight="1" x14ac:dyDescent="0.2"/>
    <row r="14733" ht="12.75" hidden="1" customHeight="1" x14ac:dyDescent="0.2"/>
    <row r="14734" ht="12.75" hidden="1" customHeight="1" x14ac:dyDescent="0.2"/>
    <row r="14735" ht="12.75" hidden="1" customHeight="1" x14ac:dyDescent="0.2"/>
    <row r="14736" ht="12.75" hidden="1" customHeight="1" x14ac:dyDescent="0.2"/>
    <row r="14737" ht="12.75" hidden="1" customHeight="1" x14ac:dyDescent="0.2"/>
    <row r="14738" ht="12.75" hidden="1" customHeight="1" x14ac:dyDescent="0.2"/>
    <row r="14739" ht="12.75" hidden="1" customHeight="1" x14ac:dyDescent="0.2"/>
    <row r="14740" ht="12.75" hidden="1" customHeight="1" x14ac:dyDescent="0.2"/>
    <row r="14741" ht="12.75" hidden="1" customHeight="1" x14ac:dyDescent="0.2"/>
    <row r="14742" ht="12.75" hidden="1" customHeight="1" x14ac:dyDescent="0.2"/>
    <row r="14743" ht="12.75" hidden="1" customHeight="1" x14ac:dyDescent="0.2"/>
    <row r="14744" ht="12.75" hidden="1" customHeight="1" x14ac:dyDescent="0.2"/>
    <row r="14745" ht="12.75" hidden="1" customHeight="1" x14ac:dyDescent="0.2"/>
    <row r="14746" ht="12.75" hidden="1" customHeight="1" x14ac:dyDescent="0.2"/>
    <row r="14747" ht="12.75" hidden="1" customHeight="1" x14ac:dyDescent="0.2"/>
    <row r="14748" ht="12.75" hidden="1" customHeight="1" x14ac:dyDescent="0.2"/>
    <row r="14749" ht="12.75" hidden="1" customHeight="1" x14ac:dyDescent="0.2"/>
    <row r="14750" ht="12.75" hidden="1" customHeight="1" x14ac:dyDescent="0.2"/>
    <row r="14751" ht="12.75" hidden="1" customHeight="1" x14ac:dyDescent="0.2"/>
    <row r="14752" ht="12.75" hidden="1" customHeight="1" x14ac:dyDescent="0.2"/>
    <row r="14753" ht="12.75" hidden="1" customHeight="1" x14ac:dyDescent="0.2"/>
    <row r="14754" ht="12.75" hidden="1" customHeight="1" x14ac:dyDescent="0.2"/>
    <row r="14755" ht="12.75" hidden="1" customHeight="1" x14ac:dyDescent="0.2"/>
    <row r="14756" ht="12.75" hidden="1" customHeight="1" x14ac:dyDescent="0.2"/>
    <row r="14757" ht="12.75" hidden="1" customHeight="1" x14ac:dyDescent="0.2"/>
    <row r="14758" ht="12.75" hidden="1" customHeight="1" x14ac:dyDescent="0.2"/>
    <row r="14759" ht="12.75" hidden="1" customHeight="1" x14ac:dyDescent="0.2"/>
    <row r="14760" ht="12.75" hidden="1" customHeight="1" x14ac:dyDescent="0.2"/>
    <row r="14761" ht="12.75" hidden="1" customHeight="1" x14ac:dyDescent="0.2"/>
    <row r="14762" ht="12.75" hidden="1" customHeight="1" x14ac:dyDescent="0.2"/>
    <row r="14763" ht="12.75" hidden="1" customHeight="1" x14ac:dyDescent="0.2"/>
    <row r="14764" ht="12.75" hidden="1" customHeight="1" x14ac:dyDescent="0.2"/>
    <row r="14765" ht="12.75" hidden="1" customHeight="1" x14ac:dyDescent="0.2"/>
    <row r="14766" ht="12.75" hidden="1" customHeight="1" x14ac:dyDescent="0.2"/>
    <row r="14767" ht="12.75" hidden="1" customHeight="1" x14ac:dyDescent="0.2"/>
    <row r="14768" ht="12.75" hidden="1" customHeight="1" x14ac:dyDescent="0.2"/>
    <row r="14769" ht="12.75" hidden="1" customHeight="1" x14ac:dyDescent="0.2"/>
    <row r="14770" ht="12.75" hidden="1" customHeight="1" x14ac:dyDescent="0.2"/>
    <row r="14771" ht="12.75" hidden="1" customHeight="1" x14ac:dyDescent="0.2"/>
    <row r="14772" ht="12.75" hidden="1" customHeight="1" x14ac:dyDescent="0.2"/>
    <row r="14773" ht="12.75" hidden="1" customHeight="1" x14ac:dyDescent="0.2"/>
    <row r="14774" ht="12.75" hidden="1" customHeight="1" x14ac:dyDescent="0.2"/>
    <row r="14775" ht="12.75" hidden="1" customHeight="1" x14ac:dyDescent="0.2"/>
    <row r="14776" ht="12.75" hidden="1" customHeight="1" x14ac:dyDescent="0.2"/>
    <row r="14777" ht="12.75" hidden="1" customHeight="1" x14ac:dyDescent="0.2"/>
    <row r="14778" ht="12.75" hidden="1" customHeight="1" x14ac:dyDescent="0.2"/>
    <row r="14779" ht="12.75" hidden="1" customHeight="1" x14ac:dyDescent="0.2"/>
    <row r="14780" ht="12.75" hidden="1" customHeight="1" x14ac:dyDescent="0.2"/>
    <row r="14781" ht="12.75" hidden="1" customHeight="1" x14ac:dyDescent="0.2"/>
    <row r="14782" ht="12.75" hidden="1" customHeight="1" x14ac:dyDescent="0.2"/>
    <row r="14783" ht="12.75" hidden="1" customHeight="1" x14ac:dyDescent="0.2"/>
    <row r="14784" ht="12.75" hidden="1" customHeight="1" x14ac:dyDescent="0.2"/>
    <row r="14785" ht="12.75" hidden="1" customHeight="1" x14ac:dyDescent="0.2"/>
    <row r="14786" ht="12.75" hidden="1" customHeight="1" x14ac:dyDescent="0.2"/>
    <row r="14787" ht="12.75" hidden="1" customHeight="1" x14ac:dyDescent="0.2"/>
    <row r="14788" ht="12.75" hidden="1" customHeight="1" x14ac:dyDescent="0.2"/>
    <row r="14789" ht="12.75" hidden="1" customHeight="1" x14ac:dyDescent="0.2"/>
    <row r="14790" ht="12.75" hidden="1" customHeight="1" x14ac:dyDescent="0.2"/>
    <row r="14791" ht="12.75" hidden="1" customHeight="1" x14ac:dyDescent="0.2"/>
    <row r="14792" ht="12.75" hidden="1" customHeight="1" x14ac:dyDescent="0.2"/>
    <row r="14793" ht="12.75" hidden="1" customHeight="1" x14ac:dyDescent="0.2"/>
    <row r="14794" ht="12.75" hidden="1" customHeight="1" x14ac:dyDescent="0.2"/>
    <row r="14795" ht="12.75" hidden="1" customHeight="1" x14ac:dyDescent="0.2"/>
    <row r="14796" ht="12.75" hidden="1" customHeight="1" x14ac:dyDescent="0.2"/>
    <row r="14797" ht="12.75" hidden="1" customHeight="1" x14ac:dyDescent="0.2"/>
    <row r="14798" ht="12.75" hidden="1" customHeight="1" x14ac:dyDescent="0.2"/>
    <row r="14799" ht="12.75" hidden="1" customHeight="1" x14ac:dyDescent="0.2"/>
    <row r="14800" ht="12.75" hidden="1" customHeight="1" x14ac:dyDescent="0.2"/>
    <row r="14801" ht="12.75" hidden="1" customHeight="1" x14ac:dyDescent="0.2"/>
    <row r="14802" ht="12.75" hidden="1" customHeight="1" x14ac:dyDescent="0.2"/>
    <row r="14803" ht="12.75" hidden="1" customHeight="1" x14ac:dyDescent="0.2"/>
    <row r="14804" ht="12.75" hidden="1" customHeight="1" x14ac:dyDescent="0.2"/>
    <row r="14805" ht="12.75" hidden="1" customHeight="1" x14ac:dyDescent="0.2"/>
    <row r="14806" ht="12.75" hidden="1" customHeight="1" x14ac:dyDescent="0.2"/>
    <row r="14807" ht="12.75" hidden="1" customHeight="1" x14ac:dyDescent="0.2"/>
    <row r="14808" ht="12.75" hidden="1" customHeight="1" x14ac:dyDescent="0.2"/>
    <row r="14809" ht="12.75" hidden="1" customHeight="1" x14ac:dyDescent="0.2"/>
    <row r="14810" ht="12.75" hidden="1" customHeight="1" x14ac:dyDescent="0.2"/>
    <row r="14811" ht="12.75" hidden="1" customHeight="1" x14ac:dyDescent="0.2"/>
    <row r="14812" ht="12.75" hidden="1" customHeight="1" x14ac:dyDescent="0.2"/>
    <row r="14813" ht="12.75" hidden="1" customHeight="1" x14ac:dyDescent="0.2"/>
    <row r="14814" ht="12.75" hidden="1" customHeight="1" x14ac:dyDescent="0.2"/>
    <row r="14815" ht="12.75" hidden="1" customHeight="1" x14ac:dyDescent="0.2"/>
    <row r="14816" ht="12.75" hidden="1" customHeight="1" x14ac:dyDescent="0.2"/>
    <row r="14817" ht="12.75" hidden="1" customHeight="1" x14ac:dyDescent="0.2"/>
    <row r="14818" ht="12.75" hidden="1" customHeight="1" x14ac:dyDescent="0.2"/>
    <row r="14819" ht="12.75" hidden="1" customHeight="1" x14ac:dyDescent="0.2"/>
    <row r="14820" ht="12.75" hidden="1" customHeight="1" x14ac:dyDescent="0.2"/>
    <row r="14821" ht="12.75" hidden="1" customHeight="1" x14ac:dyDescent="0.2"/>
    <row r="14822" ht="12.75" hidden="1" customHeight="1" x14ac:dyDescent="0.2"/>
    <row r="14823" ht="12.75" hidden="1" customHeight="1" x14ac:dyDescent="0.2"/>
    <row r="14824" ht="12.75" hidden="1" customHeight="1" x14ac:dyDescent="0.2"/>
    <row r="14825" ht="12.75" hidden="1" customHeight="1" x14ac:dyDescent="0.2"/>
    <row r="14826" ht="12.75" hidden="1" customHeight="1" x14ac:dyDescent="0.2"/>
    <row r="14827" ht="12.75" hidden="1" customHeight="1" x14ac:dyDescent="0.2"/>
    <row r="14828" ht="12.75" hidden="1" customHeight="1" x14ac:dyDescent="0.2"/>
    <row r="14829" ht="12.75" hidden="1" customHeight="1" x14ac:dyDescent="0.2"/>
    <row r="14830" ht="12.75" hidden="1" customHeight="1" x14ac:dyDescent="0.2"/>
    <row r="14831" ht="12.75" hidden="1" customHeight="1" x14ac:dyDescent="0.2"/>
    <row r="14832" ht="12.75" hidden="1" customHeight="1" x14ac:dyDescent="0.2"/>
    <row r="14833" ht="12.75" hidden="1" customHeight="1" x14ac:dyDescent="0.2"/>
    <row r="14834" ht="12.75" hidden="1" customHeight="1" x14ac:dyDescent="0.2"/>
    <row r="14835" ht="12.75" hidden="1" customHeight="1" x14ac:dyDescent="0.2"/>
    <row r="14836" ht="12.75" hidden="1" customHeight="1" x14ac:dyDescent="0.2"/>
    <row r="14837" ht="12.75" hidden="1" customHeight="1" x14ac:dyDescent="0.2"/>
    <row r="14838" ht="12.75" hidden="1" customHeight="1" x14ac:dyDescent="0.2"/>
    <row r="14839" ht="12.75" hidden="1" customHeight="1" x14ac:dyDescent="0.2"/>
    <row r="14840" ht="12.75" hidden="1" customHeight="1" x14ac:dyDescent="0.2"/>
    <row r="14841" ht="12.75" hidden="1" customHeight="1" x14ac:dyDescent="0.2"/>
    <row r="14842" ht="12.75" hidden="1" customHeight="1" x14ac:dyDescent="0.2"/>
    <row r="14843" ht="12.75" hidden="1" customHeight="1" x14ac:dyDescent="0.2"/>
    <row r="14844" ht="12.75" hidden="1" customHeight="1" x14ac:dyDescent="0.2"/>
    <row r="14845" ht="12.75" hidden="1" customHeight="1" x14ac:dyDescent="0.2"/>
    <row r="14846" ht="12.75" hidden="1" customHeight="1" x14ac:dyDescent="0.2"/>
    <row r="14847" ht="12.75" hidden="1" customHeight="1" x14ac:dyDescent="0.2"/>
    <row r="14848" ht="12.75" hidden="1" customHeight="1" x14ac:dyDescent="0.2"/>
    <row r="14849" ht="12.75" hidden="1" customHeight="1" x14ac:dyDescent="0.2"/>
    <row r="14850" ht="12.75" hidden="1" customHeight="1" x14ac:dyDescent="0.2"/>
    <row r="14851" ht="12.75" hidden="1" customHeight="1" x14ac:dyDescent="0.2"/>
    <row r="14852" ht="12.75" hidden="1" customHeight="1" x14ac:dyDescent="0.2"/>
    <row r="14853" ht="12.75" hidden="1" customHeight="1" x14ac:dyDescent="0.2"/>
    <row r="14854" ht="12.75" hidden="1" customHeight="1" x14ac:dyDescent="0.2"/>
    <row r="14855" ht="12.75" hidden="1" customHeight="1" x14ac:dyDescent="0.2"/>
    <row r="14856" ht="12.75" hidden="1" customHeight="1" x14ac:dyDescent="0.2"/>
    <row r="14857" ht="12.75" hidden="1" customHeight="1" x14ac:dyDescent="0.2"/>
    <row r="14858" ht="12.75" hidden="1" customHeight="1" x14ac:dyDescent="0.2"/>
    <row r="14859" ht="12.75" hidden="1" customHeight="1" x14ac:dyDescent="0.2"/>
    <row r="14860" ht="12.75" hidden="1" customHeight="1" x14ac:dyDescent="0.2"/>
    <row r="14861" ht="12.75" hidden="1" customHeight="1" x14ac:dyDescent="0.2"/>
    <row r="14862" ht="12.75" hidden="1" customHeight="1" x14ac:dyDescent="0.2"/>
    <row r="14863" ht="12.75" hidden="1" customHeight="1" x14ac:dyDescent="0.2"/>
    <row r="14864" ht="12.75" hidden="1" customHeight="1" x14ac:dyDescent="0.2"/>
    <row r="14865" ht="12.75" hidden="1" customHeight="1" x14ac:dyDescent="0.2"/>
    <row r="14866" ht="12.75" hidden="1" customHeight="1" x14ac:dyDescent="0.2"/>
    <row r="14867" ht="12.75" hidden="1" customHeight="1" x14ac:dyDescent="0.2"/>
    <row r="14868" ht="12.75" hidden="1" customHeight="1" x14ac:dyDescent="0.2"/>
    <row r="14869" ht="12.75" hidden="1" customHeight="1" x14ac:dyDescent="0.2"/>
    <row r="14870" ht="12.75" hidden="1" customHeight="1" x14ac:dyDescent="0.2"/>
    <row r="14871" ht="12.75" hidden="1" customHeight="1" x14ac:dyDescent="0.2"/>
    <row r="14872" ht="12.75" hidden="1" customHeight="1" x14ac:dyDescent="0.2"/>
    <row r="14873" ht="12.75" hidden="1" customHeight="1" x14ac:dyDescent="0.2"/>
    <row r="14874" ht="12.75" hidden="1" customHeight="1" x14ac:dyDescent="0.2"/>
    <row r="14875" ht="12.75" hidden="1" customHeight="1" x14ac:dyDescent="0.2"/>
    <row r="14876" ht="12.75" hidden="1" customHeight="1" x14ac:dyDescent="0.2"/>
    <row r="14877" ht="12.75" hidden="1" customHeight="1" x14ac:dyDescent="0.2"/>
    <row r="14878" ht="12.75" hidden="1" customHeight="1" x14ac:dyDescent="0.2"/>
    <row r="14879" ht="12.75" hidden="1" customHeight="1" x14ac:dyDescent="0.2"/>
    <row r="14880" ht="12.75" hidden="1" customHeight="1" x14ac:dyDescent="0.2"/>
    <row r="14881" ht="12.75" hidden="1" customHeight="1" x14ac:dyDescent="0.2"/>
    <row r="14882" ht="12.75" hidden="1" customHeight="1" x14ac:dyDescent="0.2"/>
    <row r="14883" ht="12.75" hidden="1" customHeight="1" x14ac:dyDescent="0.2"/>
    <row r="14884" ht="12.75" hidden="1" customHeight="1" x14ac:dyDescent="0.2"/>
    <row r="14885" ht="12.75" hidden="1" customHeight="1" x14ac:dyDescent="0.2"/>
    <row r="14886" ht="12.75" hidden="1" customHeight="1" x14ac:dyDescent="0.2"/>
    <row r="14887" ht="12.75" hidden="1" customHeight="1" x14ac:dyDescent="0.2"/>
    <row r="14888" ht="12.75" hidden="1" customHeight="1" x14ac:dyDescent="0.2"/>
    <row r="14889" ht="12.75" hidden="1" customHeight="1" x14ac:dyDescent="0.2"/>
    <row r="14890" ht="12.75" hidden="1" customHeight="1" x14ac:dyDescent="0.2"/>
    <row r="14891" ht="12.75" hidden="1" customHeight="1" x14ac:dyDescent="0.2"/>
    <row r="14892" ht="12.75" hidden="1" customHeight="1" x14ac:dyDescent="0.2"/>
    <row r="14893" ht="12.75" hidden="1" customHeight="1" x14ac:dyDescent="0.2"/>
    <row r="14894" ht="12.75" hidden="1" customHeight="1" x14ac:dyDescent="0.2"/>
    <row r="14895" ht="12.75" hidden="1" customHeight="1" x14ac:dyDescent="0.2"/>
    <row r="14896" ht="12.75" hidden="1" customHeight="1" x14ac:dyDescent="0.2"/>
    <row r="14897" ht="12.75" hidden="1" customHeight="1" x14ac:dyDescent="0.2"/>
    <row r="14898" ht="12.75" hidden="1" customHeight="1" x14ac:dyDescent="0.2"/>
    <row r="14899" ht="12.75" hidden="1" customHeight="1" x14ac:dyDescent="0.2"/>
    <row r="14900" ht="12.75" hidden="1" customHeight="1" x14ac:dyDescent="0.2"/>
    <row r="14901" ht="12.75" hidden="1" customHeight="1" x14ac:dyDescent="0.2"/>
    <row r="14902" ht="12.75" hidden="1" customHeight="1" x14ac:dyDescent="0.2"/>
    <row r="14903" ht="12.75" hidden="1" customHeight="1" x14ac:dyDescent="0.2"/>
    <row r="14904" ht="12.75" hidden="1" customHeight="1" x14ac:dyDescent="0.2"/>
    <row r="14905" ht="12.75" hidden="1" customHeight="1" x14ac:dyDescent="0.2"/>
    <row r="14906" ht="12.75" hidden="1" customHeight="1" x14ac:dyDescent="0.2"/>
    <row r="14907" ht="12.75" hidden="1" customHeight="1" x14ac:dyDescent="0.2"/>
    <row r="14908" ht="12.75" hidden="1" customHeight="1" x14ac:dyDescent="0.2"/>
    <row r="14909" ht="12.75" hidden="1" customHeight="1" x14ac:dyDescent="0.2"/>
    <row r="14910" ht="12.75" hidden="1" customHeight="1" x14ac:dyDescent="0.2"/>
    <row r="14911" ht="12.75" hidden="1" customHeight="1" x14ac:dyDescent="0.2"/>
    <row r="14912" ht="12.75" hidden="1" customHeight="1" x14ac:dyDescent="0.2"/>
    <row r="14913" ht="12.75" hidden="1" customHeight="1" x14ac:dyDescent="0.2"/>
    <row r="14914" ht="12.75" hidden="1" customHeight="1" x14ac:dyDescent="0.2"/>
    <row r="14915" ht="12.75" hidden="1" customHeight="1" x14ac:dyDescent="0.2"/>
    <row r="14916" ht="12.75" hidden="1" customHeight="1" x14ac:dyDescent="0.2"/>
    <row r="14917" ht="12.75" hidden="1" customHeight="1" x14ac:dyDescent="0.2"/>
    <row r="14918" ht="12.75" hidden="1" customHeight="1" x14ac:dyDescent="0.2"/>
    <row r="14919" ht="12.75" hidden="1" customHeight="1" x14ac:dyDescent="0.2"/>
    <row r="14920" ht="12.75" hidden="1" customHeight="1" x14ac:dyDescent="0.2"/>
    <row r="14921" ht="12.75" hidden="1" customHeight="1" x14ac:dyDescent="0.2"/>
    <row r="14922" ht="12.75" hidden="1" customHeight="1" x14ac:dyDescent="0.2"/>
    <row r="14923" ht="12.75" hidden="1" customHeight="1" x14ac:dyDescent="0.2"/>
    <row r="14924" ht="12.75" hidden="1" customHeight="1" x14ac:dyDescent="0.2"/>
    <row r="14925" ht="12.75" hidden="1" customHeight="1" x14ac:dyDescent="0.2"/>
    <row r="14926" ht="12.75" hidden="1" customHeight="1" x14ac:dyDescent="0.2"/>
    <row r="14927" ht="12.75" hidden="1" customHeight="1" x14ac:dyDescent="0.2"/>
    <row r="14928" ht="12.75" hidden="1" customHeight="1" x14ac:dyDescent="0.2"/>
    <row r="14929" ht="12.75" hidden="1" customHeight="1" x14ac:dyDescent="0.2"/>
    <row r="14930" ht="12.75" hidden="1" customHeight="1" x14ac:dyDescent="0.2"/>
    <row r="14931" ht="12.75" hidden="1" customHeight="1" x14ac:dyDescent="0.2"/>
    <row r="14932" ht="12.75" hidden="1" customHeight="1" x14ac:dyDescent="0.2"/>
    <row r="14933" ht="12.75" hidden="1" customHeight="1" x14ac:dyDescent="0.2"/>
    <row r="14934" ht="12.75" hidden="1" customHeight="1" x14ac:dyDescent="0.2"/>
    <row r="14935" ht="12.75" hidden="1" customHeight="1" x14ac:dyDescent="0.2"/>
    <row r="14936" ht="12.75" hidden="1" customHeight="1" x14ac:dyDescent="0.2"/>
    <row r="14937" ht="12.75" hidden="1" customHeight="1" x14ac:dyDescent="0.2"/>
    <row r="14938" ht="12.75" hidden="1" customHeight="1" x14ac:dyDescent="0.2"/>
    <row r="14939" ht="12.75" hidden="1" customHeight="1" x14ac:dyDescent="0.2"/>
    <row r="14940" ht="12.75" hidden="1" customHeight="1" x14ac:dyDescent="0.2"/>
    <row r="14941" ht="12.75" hidden="1" customHeight="1" x14ac:dyDescent="0.2"/>
    <row r="14942" ht="12.75" hidden="1" customHeight="1" x14ac:dyDescent="0.2"/>
    <row r="14943" ht="12.75" hidden="1" customHeight="1" x14ac:dyDescent="0.2"/>
    <row r="14944" ht="12.75" hidden="1" customHeight="1" x14ac:dyDescent="0.2"/>
    <row r="14945" ht="12.75" hidden="1" customHeight="1" x14ac:dyDescent="0.2"/>
    <row r="14946" ht="12.75" hidden="1" customHeight="1" x14ac:dyDescent="0.2"/>
    <row r="14947" ht="12.75" hidden="1" customHeight="1" x14ac:dyDescent="0.2"/>
    <row r="14948" ht="12.75" hidden="1" customHeight="1" x14ac:dyDescent="0.2"/>
    <row r="14949" ht="12.75" hidden="1" customHeight="1" x14ac:dyDescent="0.2"/>
    <row r="14950" ht="12.75" hidden="1" customHeight="1" x14ac:dyDescent="0.2"/>
    <row r="14951" ht="12.75" hidden="1" customHeight="1" x14ac:dyDescent="0.2"/>
    <row r="14952" ht="12.75" hidden="1" customHeight="1" x14ac:dyDescent="0.2"/>
    <row r="14953" ht="12.75" hidden="1" customHeight="1" x14ac:dyDescent="0.2"/>
    <row r="14954" ht="12.75" hidden="1" customHeight="1" x14ac:dyDescent="0.2"/>
    <row r="14955" ht="12.75" hidden="1" customHeight="1" x14ac:dyDescent="0.2"/>
    <row r="14956" ht="12.75" hidden="1" customHeight="1" x14ac:dyDescent="0.2"/>
    <row r="14957" ht="12.75" hidden="1" customHeight="1" x14ac:dyDescent="0.2"/>
    <row r="14958" ht="12.75" hidden="1" customHeight="1" x14ac:dyDescent="0.2"/>
    <row r="14959" ht="12.75" hidden="1" customHeight="1" x14ac:dyDescent="0.2"/>
    <row r="14960" ht="12.75" hidden="1" customHeight="1" x14ac:dyDescent="0.2"/>
    <row r="14961" ht="12.75" hidden="1" customHeight="1" x14ac:dyDescent="0.2"/>
    <row r="14962" ht="12.75" hidden="1" customHeight="1" x14ac:dyDescent="0.2"/>
    <row r="14963" ht="12.75" hidden="1" customHeight="1" x14ac:dyDescent="0.2"/>
    <row r="14964" ht="12.75" hidden="1" customHeight="1" x14ac:dyDescent="0.2"/>
    <row r="14965" ht="12.75" hidden="1" customHeight="1" x14ac:dyDescent="0.2"/>
    <row r="14966" ht="12.75" hidden="1" customHeight="1" x14ac:dyDescent="0.2"/>
    <row r="14967" ht="12.75" hidden="1" customHeight="1" x14ac:dyDescent="0.2"/>
    <row r="14968" ht="12.75" hidden="1" customHeight="1" x14ac:dyDescent="0.2"/>
    <row r="14969" ht="12.75" hidden="1" customHeight="1" x14ac:dyDescent="0.2"/>
    <row r="14970" ht="12.75" hidden="1" customHeight="1" x14ac:dyDescent="0.2"/>
    <row r="14971" ht="12.75" hidden="1" customHeight="1" x14ac:dyDescent="0.2"/>
    <row r="14972" ht="12.75" hidden="1" customHeight="1" x14ac:dyDescent="0.2"/>
    <row r="14973" ht="12.75" hidden="1" customHeight="1" x14ac:dyDescent="0.2"/>
    <row r="14974" ht="12.75" hidden="1" customHeight="1" x14ac:dyDescent="0.2"/>
    <row r="14975" ht="12.75" hidden="1" customHeight="1" x14ac:dyDescent="0.2"/>
    <row r="14976" ht="12.75" hidden="1" customHeight="1" x14ac:dyDescent="0.2"/>
    <row r="14977" ht="12.75" hidden="1" customHeight="1" x14ac:dyDescent="0.2"/>
    <row r="14978" ht="12.75" hidden="1" customHeight="1" x14ac:dyDescent="0.2"/>
    <row r="14979" ht="12.75" hidden="1" customHeight="1" x14ac:dyDescent="0.2"/>
    <row r="14980" ht="12.75" hidden="1" customHeight="1" x14ac:dyDescent="0.2"/>
    <row r="14981" ht="12.75" hidden="1" customHeight="1" x14ac:dyDescent="0.2"/>
    <row r="14982" ht="12.75" hidden="1" customHeight="1" x14ac:dyDescent="0.2"/>
    <row r="14983" ht="12.75" hidden="1" customHeight="1" x14ac:dyDescent="0.2"/>
    <row r="14984" ht="12.75" hidden="1" customHeight="1" x14ac:dyDescent="0.2"/>
    <row r="14985" ht="12.75" hidden="1" customHeight="1" x14ac:dyDescent="0.2"/>
    <row r="14986" ht="12.75" hidden="1" customHeight="1" x14ac:dyDescent="0.2"/>
    <row r="14987" ht="12.75" hidden="1" customHeight="1" x14ac:dyDescent="0.2"/>
    <row r="14988" ht="12.75" hidden="1" customHeight="1" x14ac:dyDescent="0.2"/>
    <row r="14989" ht="12.75" hidden="1" customHeight="1" x14ac:dyDescent="0.2"/>
    <row r="14990" ht="12.75" hidden="1" customHeight="1" x14ac:dyDescent="0.2"/>
    <row r="14991" ht="12.75" hidden="1" customHeight="1" x14ac:dyDescent="0.2"/>
    <row r="14992" ht="12.75" hidden="1" customHeight="1" x14ac:dyDescent="0.2"/>
    <row r="14993" ht="12.75" hidden="1" customHeight="1" x14ac:dyDescent="0.2"/>
    <row r="14994" ht="12.75" hidden="1" customHeight="1" x14ac:dyDescent="0.2"/>
    <row r="14995" ht="12.75" hidden="1" customHeight="1" x14ac:dyDescent="0.2"/>
    <row r="14996" ht="12.75" hidden="1" customHeight="1" x14ac:dyDescent="0.2"/>
    <row r="14997" ht="12.75" hidden="1" customHeight="1" x14ac:dyDescent="0.2"/>
    <row r="14998" ht="12.75" hidden="1" customHeight="1" x14ac:dyDescent="0.2"/>
    <row r="14999" ht="12.75" hidden="1" customHeight="1" x14ac:dyDescent="0.2"/>
    <row r="15000" ht="12.75" hidden="1" customHeight="1" x14ac:dyDescent="0.2"/>
    <row r="15001" ht="12.75" hidden="1" customHeight="1" x14ac:dyDescent="0.2"/>
    <row r="15002" ht="12.75" hidden="1" customHeight="1" x14ac:dyDescent="0.2"/>
    <row r="15003" ht="12.75" hidden="1" customHeight="1" x14ac:dyDescent="0.2"/>
    <row r="15004" ht="12.75" hidden="1" customHeight="1" x14ac:dyDescent="0.2"/>
    <row r="15005" ht="12.75" hidden="1" customHeight="1" x14ac:dyDescent="0.2"/>
    <row r="15006" ht="12.75" hidden="1" customHeight="1" x14ac:dyDescent="0.2"/>
    <row r="15007" ht="12.75" hidden="1" customHeight="1" x14ac:dyDescent="0.2"/>
    <row r="15008" ht="12.75" hidden="1" customHeight="1" x14ac:dyDescent="0.2"/>
    <row r="15009" ht="12.75" hidden="1" customHeight="1" x14ac:dyDescent="0.2"/>
    <row r="15010" ht="12.75" hidden="1" customHeight="1" x14ac:dyDescent="0.2"/>
    <row r="15011" ht="12.75" hidden="1" customHeight="1" x14ac:dyDescent="0.2"/>
    <row r="15012" ht="12.75" hidden="1" customHeight="1" x14ac:dyDescent="0.2"/>
    <row r="15013" ht="12.75" hidden="1" customHeight="1" x14ac:dyDescent="0.2"/>
    <row r="15014" ht="12.75" hidden="1" customHeight="1" x14ac:dyDescent="0.2"/>
    <row r="15015" ht="12.75" hidden="1" customHeight="1" x14ac:dyDescent="0.2"/>
    <row r="15016" ht="12.75" hidden="1" customHeight="1" x14ac:dyDescent="0.2"/>
    <row r="15017" ht="12.75" hidden="1" customHeight="1" x14ac:dyDescent="0.2"/>
    <row r="15018" ht="12.75" hidden="1" customHeight="1" x14ac:dyDescent="0.2"/>
    <row r="15019" ht="12.75" hidden="1" customHeight="1" x14ac:dyDescent="0.2"/>
    <row r="15020" ht="12.75" hidden="1" customHeight="1" x14ac:dyDescent="0.2"/>
    <row r="15021" ht="12.75" hidden="1" customHeight="1" x14ac:dyDescent="0.2"/>
    <row r="15022" ht="12.75" hidden="1" customHeight="1" x14ac:dyDescent="0.2"/>
    <row r="15023" ht="12.75" hidden="1" customHeight="1" x14ac:dyDescent="0.2"/>
    <row r="15024" ht="12.75" hidden="1" customHeight="1" x14ac:dyDescent="0.2"/>
    <row r="15025" ht="12.75" hidden="1" customHeight="1" x14ac:dyDescent="0.2"/>
    <row r="15026" ht="12.75" hidden="1" customHeight="1" x14ac:dyDescent="0.2"/>
    <row r="15027" ht="12.75" hidden="1" customHeight="1" x14ac:dyDescent="0.2"/>
    <row r="15028" ht="12.75" hidden="1" customHeight="1" x14ac:dyDescent="0.2"/>
    <row r="15029" ht="12.75" hidden="1" customHeight="1" x14ac:dyDescent="0.2"/>
    <row r="15030" ht="12.75" hidden="1" customHeight="1" x14ac:dyDescent="0.2"/>
    <row r="15031" ht="12.75" hidden="1" customHeight="1" x14ac:dyDescent="0.2"/>
    <row r="15032" ht="12.75" hidden="1" customHeight="1" x14ac:dyDescent="0.2"/>
    <row r="15033" ht="12.75" hidden="1" customHeight="1" x14ac:dyDescent="0.2"/>
    <row r="15034" ht="12.75" hidden="1" customHeight="1" x14ac:dyDescent="0.2"/>
    <row r="15035" ht="12.75" hidden="1" customHeight="1" x14ac:dyDescent="0.2"/>
    <row r="15036" ht="12.75" hidden="1" customHeight="1" x14ac:dyDescent="0.2"/>
    <row r="15037" ht="12.75" hidden="1" customHeight="1" x14ac:dyDescent="0.2"/>
    <row r="15038" ht="12.75" hidden="1" customHeight="1" x14ac:dyDescent="0.2"/>
    <row r="15039" ht="12.75" hidden="1" customHeight="1" x14ac:dyDescent="0.2"/>
    <row r="15040" ht="12.75" hidden="1" customHeight="1" x14ac:dyDescent="0.2"/>
    <row r="15041" ht="12.75" hidden="1" customHeight="1" x14ac:dyDescent="0.2"/>
    <row r="15042" ht="12.75" hidden="1" customHeight="1" x14ac:dyDescent="0.2"/>
    <row r="15043" ht="12.75" hidden="1" customHeight="1" x14ac:dyDescent="0.2"/>
    <row r="15044" ht="12.75" hidden="1" customHeight="1" x14ac:dyDescent="0.2"/>
    <row r="15045" ht="12.75" hidden="1" customHeight="1" x14ac:dyDescent="0.2"/>
    <row r="15046" ht="12.75" hidden="1" customHeight="1" x14ac:dyDescent="0.2"/>
    <row r="15047" ht="12.75" hidden="1" customHeight="1" x14ac:dyDescent="0.2"/>
    <row r="15048" ht="12.75" hidden="1" customHeight="1" x14ac:dyDescent="0.2"/>
    <row r="15049" ht="12.75" hidden="1" customHeight="1" x14ac:dyDescent="0.2"/>
    <row r="15050" ht="12.75" hidden="1" customHeight="1" x14ac:dyDescent="0.2"/>
    <row r="15051" ht="12.75" hidden="1" customHeight="1" x14ac:dyDescent="0.2"/>
    <row r="15052" ht="12.75" hidden="1" customHeight="1" x14ac:dyDescent="0.2"/>
    <row r="15053" ht="12.75" hidden="1" customHeight="1" x14ac:dyDescent="0.2"/>
    <row r="15054" ht="12.75" hidden="1" customHeight="1" x14ac:dyDescent="0.2"/>
    <row r="15055" ht="12.75" hidden="1" customHeight="1" x14ac:dyDescent="0.2"/>
    <row r="15056" ht="12.75" hidden="1" customHeight="1" x14ac:dyDescent="0.2"/>
    <row r="15057" ht="12.75" hidden="1" customHeight="1" x14ac:dyDescent="0.2"/>
    <row r="15058" ht="12.75" hidden="1" customHeight="1" x14ac:dyDescent="0.2"/>
    <row r="15059" ht="12.75" hidden="1" customHeight="1" x14ac:dyDescent="0.2"/>
    <row r="15060" ht="12.75" hidden="1" customHeight="1" x14ac:dyDescent="0.2"/>
    <row r="15061" ht="12.75" hidden="1" customHeight="1" x14ac:dyDescent="0.2"/>
    <row r="15062" ht="12.75" hidden="1" customHeight="1" x14ac:dyDescent="0.2"/>
    <row r="15063" ht="12.75" hidden="1" customHeight="1" x14ac:dyDescent="0.2"/>
    <row r="15064" ht="12.75" hidden="1" customHeight="1" x14ac:dyDescent="0.2"/>
    <row r="15065" ht="12.75" hidden="1" customHeight="1" x14ac:dyDescent="0.2"/>
    <row r="15066" ht="12.75" hidden="1" customHeight="1" x14ac:dyDescent="0.2"/>
    <row r="15067" ht="12.75" hidden="1" customHeight="1" x14ac:dyDescent="0.2"/>
    <row r="15068" ht="12.75" hidden="1" customHeight="1" x14ac:dyDescent="0.2"/>
    <row r="15069" ht="12.75" hidden="1" customHeight="1" x14ac:dyDescent="0.2"/>
    <row r="15070" ht="12.75" hidden="1" customHeight="1" x14ac:dyDescent="0.2"/>
    <row r="15071" ht="12.75" hidden="1" customHeight="1" x14ac:dyDescent="0.2"/>
    <row r="15072" ht="12.75" hidden="1" customHeight="1" x14ac:dyDescent="0.2"/>
    <row r="15073" ht="12.75" hidden="1" customHeight="1" x14ac:dyDescent="0.2"/>
    <row r="15074" ht="12.75" hidden="1" customHeight="1" x14ac:dyDescent="0.2"/>
    <row r="15075" ht="12.75" hidden="1" customHeight="1" x14ac:dyDescent="0.2"/>
    <row r="15076" ht="12.75" hidden="1" customHeight="1" x14ac:dyDescent="0.2"/>
    <row r="15077" ht="12.75" hidden="1" customHeight="1" x14ac:dyDescent="0.2"/>
    <row r="15078" ht="12.75" hidden="1" customHeight="1" x14ac:dyDescent="0.2"/>
    <row r="15079" ht="12.75" hidden="1" customHeight="1" x14ac:dyDescent="0.2"/>
    <row r="15080" ht="12.75" hidden="1" customHeight="1" x14ac:dyDescent="0.2"/>
    <row r="15081" ht="12.75" hidden="1" customHeight="1" x14ac:dyDescent="0.2"/>
    <row r="15082" ht="12.75" hidden="1" customHeight="1" x14ac:dyDescent="0.2"/>
    <row r="15083" ht="12.75" hidden="1" customHeight="1" x14ac:dyDescent="0.2"/>
    <row r="15084" ht="12.75" hidden="1" customHeight="1" x14ac:dyDescent="0.2"/>
    <row r="15085" ht="12.75" hidden="1" customHeight="1" x14ac:dyDescent="0.2"/>
    <row r="15086" ht="12.75" hidden="1" customHeight="1" x14ac:dyDescent="0.2"/>
    <row r="15087" ht="12.75" hidden="1" customHeight="1" x14ac:dyDescent="0.2"/>
    <row r="15088" ht="12.75" hidden="1" customHeight="1" x14ac:dyDescent="0.2"/>
    <row r="15089" ht="12.75" hidden="1" customHeight="1" x14ac:dyDescent="0.2"/>
    <row r="15090" ht="12.75" hidden="1" customHeight="1" x14ac:dyDescent="0.2"/>
    <row r="15091" ht="12.75" hidden="1" customHeight="1" x14ac:dyDescent="0.2"/>
    <row r="15092" ht="12.75" hidden="1" customHeight="1" x14ac:dyDescent="0.2"/>
    <row r="15093" ht="12.75" hidden="1" customHeight="1" x14ac:dyDescent="0.2"/>
    <row r="15094" ht="12.75" hidden="1" customHeight="1" x14ac:dyDescent="0.2"/>
    <row r="15095" ht="12.75" hidden="1" customHeight="1" x14ac:dyDescent="0.2"/>
    <row r="15096" ht="12.75" hidden="1" customHeight="1" x14ac:dyDescent="0.2"/>
    <row r="15097" ht="12.75" hidden="1" customHeight="1" x14ac:dyDescent="0.2"/>
    <row r="15098" ht="12.75" hidden="1" customHeight="1" x14ac:dyDescent="0.2"/>
    <row r="15099" ht="12.75" hidden="1" customHeight="1" x14ac:dyDescent="0.2"/>
    <row r="15100" ht="12.75" hidden="1" customHeight="1" x14ac:dyDescent="0.2"/>
    <row r="15101" ht="12.75" hidden="1" customHeight="1" x14ac:dyDescent="0.2"/>
    <row r="15102" ht="12.75" hidden="1" customHeight="1" x14ac:dyDescent="0.2"/>
    <row r="15103" ht="12.75" hidden="1" customHeight="1" x14ac:dyDescent="0.2"/>
    <row r="15104" ht="12.75" hidden="1" customHeight="1" x14ac:dyDescent="0.2"/>
    <row r="15105" ht="12.75" hidden="1" customHeight="1" x14ac:dyDescent="0.2"/>
    <row r="15106" ht="12.75" hidden="1" customHeight="1" x14ac:dyDescent="0.2"/>
    <row r="15107" ht="12.75" hidden="1" customHeight="1" x14ac:dyDescent="0.2"/>
    <row r="15108" ht="12.75" hidden="1" customHeight="1" x14ac:dyDescent="0.2"/>
    <row r="15109" ht="12.75" hidden="1" customHeight="1" x14ac:dyDescent="0.2"/>
    <row r="15110" ht="12.75" hidden="1" customHeight="1" x14ac:dyDescent="0.2"/>
    <row r="15111" ht="12.75" hidden="1" customHeight="1" x14ac:dyDescent="0.2"/>
    <row r="15112" ht="12.75" hidden="1" customHeight="1" x14ac:dyDescent="0.2"/>
    <row r="15113" ht="12.75" hidden="1" customHeight="1" x14ac:dyDescent="0.2"/>
    <row r="15114" ht="12.75" hidden="1" customHeight="1" x14ac:dyDescent="0.2"/>
    <row r="15115" ht="12.75" hidden="1" customHeight="1" x14ac:dyDescent="0.2"/>
    <row r="15116" ht="12.75" hidden="1" customHeight="1" x14ac:dyDescent="0.2"/>
    <row r="15117" ht="12.75" hidden="1" customHeight="1" x14ac:dyDescent="0.2"/>
    <row r="15118" ht="12.75" hidden="1" customHeight="1" x14ac:dyDescent="0.2"/>
    <row r="15119" ht="12.75" hidden="1" customHeight="1" x14ac:dyDescent="0.2"/>
    <row r="15120" ht="12.75" hidden="1" customHeight="1" x14ac:dyDescent="0.2"/>
    <row r="15121" ht="12.75" hidden="1" customHeight="1" x14ac:dyDescent="0.2"/>
    <row r="15122" ht="12.75" hidden="1" customHeight="1" x14ac:dyDescent="0.2"/>
    <row r="15123" ht="12.75" hidden="1" customHeight="1" x14ac:dyDescent="0.2"/>
    <row r="15124" ht="12.75" hidden="1" customHeight="1" x14ac:dyDescent="0.2"/>
    <row r="15125" ht="12.75" hidden="1" customHeight="1" x14ac:dyDescent="0.2"/>
    <row r="15126" ht="12.75" hidden="1" customHeight="1" x14ac:dyDescent="0.2"/>
    <row r="15127" ht="12.75" hidden="1" customHeight="1" x14ac:dyDescent="0.2"/>
    <row r="15128" ht="12.75" hidden="1" customHeight="1" x14ac:dyDescent="0.2"/>
    <row r="15129" ht="12.75" hidden="1" customHeight="1" x14ac:dyDescent="0.2"/>
    <row r="15130" ht="12.75" hidden="1" customHeight="1" x14ac:dyDescent="0.2"/>
    <row r="15131" ht="12.75" hidden="1" customHeight="1" x14ac:dyDescent="0.2"/>
    <row r="15132" ht="12.75" hidden="1" customHeight="1" x14ac:dyDescent="0.2"/>
    <row r="15133" ht="12.75" hidden="1" customHeight="1" x14ac:dyDescent="0.2"/>
    <row r="15134" ht="12.75" hidden="1" customHeight="1" x14ac:dyDescent="0.2"/>
    <row r="15135" ht="12.75" hidden="1" customHeight="1" x14ac:dyDescent="0.2"/>
    <row r="15136" ht="12.75" hidden="1" customHeight="1" x14ac:dyDescent="0.2"/>
    <row r="15137" ht="12.75" hidden="1" customHeight="1" x14ac:dyDescent="0.2"/>
    <row r="15138" ht="12.75" hidden="1" customHeight="1" x14ac:dyDescent="0.2"/>
    <row r="15139" ht="12.75" hidden="1" customHeight="1" x14ac:dyDescent="0.2"/>
    <row r="15140" ht="12.75" hidden="1" customHeight="1" x14ac:dyDescent="0.2"/>
    <row r="15141" ht="12.75" hidden="1" customHeight="1" x14ac:dyDescent="0.2"/>
    <row r="15142" ht="12.75" hidden="1" customHeight="1" x14ac:dyDescent="0.2"/>
    <row r="15143" ht="12.75" hidden="1" customHeight="1" x14ac:dyDescent="0.2"/>
    <row r="15144" ht="12.75" hidden="1" customHeight="1" x14ac:dyDescent="0.2"/>
    <row r="15145" ht="12.75" hidden="1" customHeight="1" x14ac:dyDescent="0.2"/>
    <row r="15146" ht="12.75" hidden="1" customHeight="1" x14ac:dyDescent="0.2"/>
    <row r="15147" ht="12.75" hidden="1" customHeight="1" x14ac:dyDescent="0.2"/>
    <row r="15148" ht="12.75" hidden="1" customHeight="1" x14ac:dyDescent="0.2"/>
    <row r="15149" ht="12.75" hidden="1" customHeight="1" x14ac:dyDescent="0.2"/>
    <row r="15150" ht="12.75" hidden="1" customHeight="1" x14ac:dyDescent="0.2"/>
    <row r="15151" ht="12.75" hidden="1" customHeight="1" x14ac:dyDescent="0.2"/>
    <row r="15152" ht="12.75" hidden="1" customHeight="1" x14ac:dyDescent="0.2"/>
    <row r="15153" ht="12.75" hidden="1" customHeight="1" x14ac:dyDescent="0.2"/>
    <row r="15154" ht="12.75" hidden="1" customHeight="1" x14ac:dyDescent="0.2"/>
    <row r="15155" ht="12.75" hidden="1" customHeight="1" x14ac:dyDescent="0.2"/>
    <row r="15156" ht="12.75" hidden="1" customHeight="1" x14ac:dyDescent="0.2"/>
    <row r="15157" ht="12.75" hidden="1" customHeight="1" x14ac:dyDescent="0.2"/>
    <row r="15158" ht="12.75" hidden="1" customHeight="1" x14ac:dyDescent="0.2"/>
    <row r="15159" ht="12.75" hidden="1" customHeight="1" x14ac:dyDescent="0.2"/>
    <row r="15160" ht="12.75" hidden="1" customHeight="1" x14ac:dyDescent="0.2"/>
    <row r="15161" ht="12.75" hidden="1" customHeight="1" x14ac:dyDescent="0.2"/>
    <row r="15162" ht="12.75" hidden="1" customHeight="1" x14ac:dyDescent="0.2"/>
    <row r="15163" ht="12.75" hidden="1" customHeight="1" x14ac:dyDescent="0.2"/>
    <row r="15164" ht="12.75" hidden="1" customHeight="1" x14ac:dyDescent="0.2"/>
    <row r="15165" ht="12.75" hidden="1" customHeight="1" x14ac:dyDescent="0.2"/>
    <row r="15166" ht="12.75" hidden="1" customHeight="1" x14ac:dyDescent="0.2"/>
    <row r="15167" ht="12.75" hidden="1" customHeight="1" x14ac:dyDescent="0.2"/>
    <row r="15168" ht="12.75" hidden="1" customHeight="1" x14ac:dyDescent="0.2"/>
    <row r="15169" ht="12.75" hidden="1" customHeight="1" x14ac:dyDescent="0.2"/>
    <row r="15170" ht="12.75" hidden="1" customHeight="1" x14ac:dyDescent="0.2"/>
    <row r="15171" ht="12.75" hidden="1" customHeight="1" x14ac:dyDescent="0.2"/>
    <row r="15172" ht="12.75" hidden="1" customHeight="1" x14ac:dyDescent="0.2"/>
    <row r="15173" ht="12.75" hidden="1" customHeight="1" x14ac:dyDescent="0.2"/>
    <row r="15174" ht="12.75" hidden="1" customHeight="1" x14ac:dyDescent="0.2"/>
    <row r="15175" ht="12.75" hidden="1" customHeight="1" x14ac:dyDescent="0.2"/>
    <row r="15176" ht="12.75" hidden="1" customHeight="1" x14ac:dyDescent="0.2"/>
    <row r="15177" ht="12.75" hidden="1" customHeight="1" x14ac:dyDescent="0.2"/>
    <row r="15178" ht="12.75" hidden="1" customHeight="1" x14ac:dyDescent="0.2"/>
    <row r="15179" ht="12.75" hidden="1" customHeight="1" x14ac:dyDescent="0.2"/>
    <row r="15180" ht="12.75" hidden="1" customHeight="1" x14ac:dyDescent="0.2"/>
    <row r="15181" ht="12.75" hidden="1" customHeight="1" x14ac:dyDescent="0.2"/>
    <row r="15182" ht="12.75" hidden="1" customHeight="1" x14ac:dyDescent="0.2"/>
    <row r="15183" ht="12.75" hidden="1" customHeight="1" x14ac:dyDescent="0.2"/>
    <row r="15184" ht="12.75" hidden="1" customHeight="1" x14ac:dyDescent="0.2"/>
    <row r="15185" ht="12.75" hidden="1" customHeight="1" x14ac:dyDescent="0.2"/>
    <row r="15186" ht="12.75" hidden="1" customHeight="1" x14ac:dyDescent="0.2"/>
    <row r="15187" ht="12.75" hidden="1" customHeight="1" x14ac:dyDescent="0.2"/>
    <row r="15188" ht="12.75" hidden="1" customHeight="1" x14ac:dyDescent="0.2"/>
    <row r="15189" ht="12.75" hidden="1" customHeight="1" x14ac:dyDescent="0.2"/>
    <row r="15190" ht="12.75" hidden="1" customHeight="1" x14ac:dyDescent="0.2"/>
    <row r="15191" ht="12.75" hidden="1" customHeight="1" x14ac:dyDescent="0.2"/>
    <row r="15192" ht="12.75" hidden="1" customHeight="1" x14ac:dyDescent="0.2"/>
    <row r="15193" ht="12.75" hidden="1" customHeight="1" x14ac:dyDescent="0.2"/>
    <row r="15194" ht="12.75" hidden="1" customHeight="1" x14ac:dyDescent="0.2"/>
    <row r="15195" ht="12.75" hidden="1" customHeight="1" x14ac:dyDescent="0.2"/>
    <row r="15196" ht="12.75" hidden="1" customHeight="1" x14ac:dyDescent="0.2"/>
    <row r="15197" ht="12.75" hidden="1" customHeight="1" x14ac:dyDescent="0.2"/>
    <row r="15198" ht="12.75" hidden="1" customHeight="1" x14ac:dyDescent="0.2"/>
    <row r="15199" ht="12.75" hidden="1" customHeight="1" x14ac:dyDescent="0.2"/>
    <row r="15200" ht="12.75" hidden="1" customHeight="1" x14ac:dyDescent="0.2"/>
    <row r="15201" ht="12.75" hidden="1" customHeight="1" x14ac:dyDescent="0.2"/>
    <row r="15202" ht="12.75" hidden="1" customHeight="1" x14ac:dyDescent="0.2"/>
    <row r="15203" ht="12.75" hidden="1" customHeight="1" x14ac:dyDescent="0.2"/>
    <row r="15204" ht="12.75" hidden="1" customHeight="1" x14ac:dyDescent="0.2"/>
    <row r="15205" ht="12.75" hidden="1" customHeight="1" x14ac:dyDescent="0.2"/>
    <row r="15206" ht="12.75" hidden="1" customHeight="1" x14ac:dyDescent="0.2"/>
    <row r="15207" ht="12.75" hidden="1" customHeight="1" x14ac:dyDescent="0.2"/>
    <row r="15208" ht="12.75" hidden="1" customHeight="1" x14ac:dyDescent="0.2"/>
    <row r="15209" ht="12.75" hidden="1" customHeight="1" x14ac:dyDescent="0.2"/>
    <row r="15210" ht="12.75" hidden="1" customHeight="1" x14ac:dyDescent="0.2"/>
    <row r="15211" ht="12.75" hidden="1" customHeight="1" x14ac:dyDescent="0.2"/>
    <row r="15212" ht="12.75" hidden="1" customHeight="1" x14ac:dyDescent="0.2"/>
    <row r="15213" ht="12.75" hidden="1" customHeight="1" x14ac:dyDescent="0.2"/>
    <row r="15214" ht="12.75" hidden="1" customHeight="1" x14ac:dyDescent="0.2"/>
    <row r="15215" ht="12.75" hidden="1" customHeight="1" x14ac:dyDescent="0.2"/>
    <row r="15216" ht="12.75" hidden="1" customHeight="1" x14ac:dyDescent="0.2"/>
    <row r="15217" ht="12.75" hidden="1" customHeight="1" x14ac:dyDescent="0.2"/>
    <row r="15218" ht="12.75" hidden="1" customHeight="1" x14ac:dyDescent="0.2"/>
    <row r="15219" ht="12.75" hidden="1" customHeight="1" x14ac:dyDescent="0.2"/>
    <row r="15220" ht="12.75" hidden="1" customHeight="1" x14ac:dyDescent="0.2"/>
    <row r="15221" ht="12.75" hidden="1" customHeight="1" x14ac:dyDescent="0.2"/>
    <row r="15222" ht="12.75" hidden="1" customHeight="1" x14ac:dyDescent="0.2"/>
    <row r="15223" ht="12.75" hidden="1" customHeight="1" x14ac:dyDescent="0.2"/>
    <row r="15224" ht="12.75" hidden="1" customHeight="1" x14ac:dyDescent="0.2"/>
    <row r="15225" ht="12.75" hidden="1" customHeight="1" x14ac:dyDescent="0.2"/>
    <row r="15226" ht="12.75" hidden="1" customHeight="1" x14ac:dyDescent="0.2"/>
    <row r="15227" ht="12.75" hidden="1" customHeight="1" x14ac:dyDescent="0.2"/>
    <row r="15228" ht="12.75" hidden="1" customHeight="1" x14ac:dyDescent="0.2"/>
    <row r="15229" ht="12.75" hidden="1" customHeight="1" x14ac:dyDescent="0.2"/>
    <row r="15230" ht="12.75" hidden="1" customHeight="1" x14ac:dyDescent="0.2"/>
    <row r="15231" ht="12.75" hidden="1" customHeight="1" x14ac:dyDescent="0.2"/>
    <row r="15232" ht="12.75" hidden="1" customHeight="1" x14ac:dyDescent="0.2"/>
    <row r="15233" ht="12.75" hidden="1" customHeight="1" x14ac:dyDescent="0.2"/>
    <row r="15234" ht="12.75" hidden="1" customHeight="1" x14ac:dyDescent="0.2"/>
    <row r="15235" ht="12.75" hidden="1" customHeight="1" x14ac:dyDescent="0.2"/>
    <row r="15236" ht="12.75" hidden="1" customHeight="1" x14ac:dyDescent="0.2"/>
    <row r="15237" ht="12.75" hidden="1" customHeight="1" x14ac:dyDescent="0.2"/>
    <row r="15238" ht="12.75" hidden="1" customHeight="1" x14ac:dyDescent="0.2"/>
    <row r="15239" ht="12.75" hidden="1" customHeight="1" x14ac:dyDescent="0.2"/>
    <row r="15240" ht="12.75" hidden="1" customHeight="1" x14ac:dyDescent="0.2"/>
    <row r="15241" ht="12.75" hidden="1" customHeight="1" x14ac:dyDescent="0.2"/>
    <row r="15242" ht="12.75" hidden="1" customHeight="1" x14ac:dyDescent="0.2"/>
    <row r="15243" ht="12.75" hidden="1" customHeight="1" x14ac:dyDescent="0.2"/>
    <row r="15244" ht="12.75" hidden="1" customHeight="1" x14ac:dyDescent="0.2"/>
    <row r="15245" ht="12.75" hidden="1" customHeight="1" x14ac:dyDescent="0.2"/>
    <row r="15246" ht="12.75" hidden="1" customHeight="1" x14ac:dyDescent="0.2"/>
    <row r="15247" ht="12.75" hidden="1" customHeight="1" x14ac:dyDescent="0.2"/>
    <row r="15248" ht="12.75" hidden="1" customHeight="1" x14ac:dyDescent="0.2"/>
    <row r="15249" ht="12.75" hidden="1" customHeight="1" x14ac:dyDescent="0.2"/>
    <row r="15250" ht="12.75" hidden="1" customHeight="1" x14ac:dyDescent="0.2"/>
    <row r="15251" ht="12.75" hidden="1" customHeight="1" x14ac:dyDescent="0.2"/>
    <row r="15252" ht="12.75" hidden="1" customHeight="1" x14ac:dyDescent="0.2"/>
    <row r="15253" ht="12.75" hidden="1" customHeight="1" x14ac:dyDescent="0.2"/>
    <row r="15254" ht="12.75" hidden="1" customHeight="1" x14ac:dyDescent="0.2"/>
    <row r="15255" ht="12.75" hidden="1" customHeight="1" x14ac:dyDescent="0.2"/>
    <row r="15256" ht="12.75" hidden="1" customHeight="1" x14ac:dyDescent="0.2"/>
    <row r="15257" ht="12.75" hidden="1" customHeight="1" x14ac:dyDescent="0.2"/>
    <row r="15258" ht="12.75" hidden="1" customHeight="1" x14ac:dyDescent="0.2"/>
    <row r="15259" ht="12.75" hidden="1" customHeight="1" x14ac:dyDescent="0.2"/>
    <row r="15260" ht="12.75" hidden="1" customHeight="1" x14ac:dyDescent="0.2"/>
    <row r="15261" ht="12.75" hidden="1" customHeight="1" x14ac:dyDescent="0.2"/>
    <row r="15262" ht="12.75" hidden="1" customHeight="1" x14ac:dyDescent="0.2"/>
    <row r="15263" ht="12.75" hidden="1" customHeight="1" x14ac:dyDescent="0.2"/>
    <row r="15264" ht="12.75" hidden="1" customHeight="1" x14ac:dyDescent="0.2"/>
    <row r="15265" ht="12.75" hidden="1" customHeight="1" x14ac:dyDescent="0.2"/>
    <row r="15266" ht="12.75" hidden="1" customHeight="1" x14ac:dyDescent="0.2"/>
    <row r="15267" ht="12.75" hidden="1" customHeight="1" x14ac:dyDescent="0.2"/>
    <row r="15268" ht="12.75" hidden="1" customHeight="1" x14ac:dyDescent="0.2"/>
    <row r="15269" ht="12.75" hidden="1" customHeight="1" x14ac:dyDescent="0.2"/>
    <row r="15270" ht="12.75" hidden="1" customHeight="1" x14ac:dyDescent="0.2"/>
    <row r="15271" ht="12.75" hidden="1" customHeight="1" x14ac:dyDescent="0.2"/>
    <row r="15272" ht="12.75" hidden="1" customHeight="1" x14ac:dyDescent="0.2"/>
    <row r="15273" ht="12.75" hidden="1" customHeight="1" x14ac:dyDescent="0.2"/>
    <row r="15274" ht="12.75" hidden="1" customHeight="1" x14ac:dyDescent="0.2"/>
    <row r="15275" ht="12.75" hidden="1" customHeight="1" x14ac:dyDescent="0.2"/>
    <row r="15276" ht="12.75" hidden="1" customHeight="1" x14ac:dyDescent="0.2"/>
    <row r="15277" ht="12.75" hidden="1" customHeight="1" x14ac:dyDescent="0.2"/>
    <row r="15278" ht="12.75" hidden="1" customHeight="1" x14ac:dyDescent="0.2"/>
    <row r="15279" ht="12.75" hidden="1" customHeight="1" x14ac:dyDescent="0.2"/>
    <row r="15280" ht="12.75" hidden="1" customHeight="1" x14ac:dyDescent="0.2"/>
    <row r="15281" ht="12.75" hidden="1" customHeight="1" x14ac:dyDescent="0.2"/>
    <row r="15282" ht="12.75" hidden="1" customHeight="1" x14ac:dyDescent="0.2"/>
    <row r="15283" ht="12.75" hidden="1" customHeight="1" x14ac:dyDescent="0.2"/>
    <row r="15284" ht="12.75" hidden="1" customHeight="1" x14ac:dyDescent="0.2"/>
    <row r="15285" ht="12.75" hidden="1" customHeight="1" x14ac:dyDescent="0.2"/>
    <row r="15286" ht="12.75" hidden="1" customHeight="1" x14ac:dyDescent="0.2"/>
    <row r="15287" ht="12.75" hidden="1" customHeight="1" x14ac:dyDescent="0.2"/>
    <row r="15288" ht="12.75" hidden="1" customHeight="1" x14ac:dyDescent="0.2"/>
    <row r="15289" ht="12.75" hidden="1" customHeight="1" x14ac:dyDescent="0.2"/>
    <row r="15290" ht="12.75" hidden="1" customHeight="1" x14ac:dyDescent="0.2"/>
    <row r="15291" ht="12.75" hidden="1" customHeight="1" x14ac:dyDescent="0.2"/>
    <row r="15292" ht="12.75" hidden="1" customHeight="1" x14ac:dyDescent="0.2"/>
    <row r="15293" ht="12.75" hidden="1" customHeight="1" x14ac:dyDescent="0.2"/>
    <row r="15294" ht="12.75" hidden="1" customHeight="1" x14ac:dyDescent="0.2"/>
    <row r="15295" ht="12.75" hidden="1" customHeight="1" x14ac:dyDescent="0.2"/>
    <row r="15296" ht="12.75" hidden="1" customHeight="1" x14ac:dyDescent="0.2"/>
    <row r="15297" ht="12.75" hidden="1" customHeight="1" x14ac:dyDescent="0.2"/>
    <row r="15298" ht="12.75" hidden="1" customHeight="1" x14ac:dyDescent="0.2"/>
    <row r="15299" ht="12.75" hidden="1" customHeight="1" x14ac:dyDescent="0.2"/>
    <row r="15300" ht="12.75" hidden="1" customHeight="1" x14ac:dyDescent="0.2"/>
    <row r="15301" ht="12.75" hidden="1" customHeight="1" x14ac:dyDescent="0.2"/>
    <row r="15302" ht="12.75" hidden="1" customHeight="1" x14ac:dyDescent="0.2"/>
    <row r="15303" ht="12.75" hidden="1" customHeight="1" x14ac:dyDescent="0.2"/>
    <row r="15304" ht="12.75" hidden="1" customHeight="1" x14ac:dyDescent="0.2"/>
    <row r="15305" ht="12.75" hidden="1" customHeight="1" x14ac:dyDescent="0.2"/>
    <row r="15306" ht="12.75" hidden="1" customHeight="1" x14ac:dyDescent="0.2"/>
    <row r="15307" ht="12.75" hidden="1" customHeight="1" x14ac:dyDescent="0.2"/>
    <row r="15308" ht="12.75" hidden="1" customHeight="1" x14ac:dyDescent="0.2"/>
    <row r="15309" ht="12.75" hidden="1" customHeight="1" x14ac:dyDescent="0.2"/>
    <row r="15310" ht="12.75" hidden="1" customHeight="1" x14ac:dyDescent="0.2"/>
    <row r="15311" ht="12.75" hidden="1" customHeight="1" x14ac:dyDescent="0.2"/>
    <row r="15312" ht="12.75" hidden="1" customHeight="1" x14ac:dyDescent="0.2"/>
    <row r="15313" ht="12.75" hidden="1" customHeight="1" x14ac:dyDescent="0.2"/>
    <row r="15314" ht="12.75" hidden="1" customHeight="1" x14ac:dyDescent="0.2"/>
    <row r="15315" ht="12.75" hidden="1" customHeight="1" x14ac:dyDescent="0.2"/>
    <row r="15316" ht="12.75" hidden="1" customHeight="1" x14ac:dyDescent="0.2"/>
    <row r="15317" ht="12.75" hidden="1" customHeight="1" x14ac:dyDescent="0.2"/>
    <row r="15318" ht="12.75" hidden="1" customHeight="1" x14ac:dyDescent="0.2"/>
    <row r="15319" ht="12.75" hidden="1" customHeight="1" x14ac:dyDescent="0.2"/>
    <row r="15320" ht="12.75" hidden="1" customHeight="1" x14ac:dyDescent="0.2"/>
    <row r="15321" ht="12.75" hidden="1" customHeight="1" x14ac:dyDescent="0.2"/>
    <row r="15322" ht="12.75" hidden="1" customHeight="1" x14ac:dyDescent="0.2"/>
    <row r="15323" ht="12.75" hidden="1" customHeight="1" x14ac:dyDescent="0.2"/>
    <row r="15324" ht="12.75" hidden="1" customHeight="1" x14ac:dyDescent="0.2"/>
    <row r="15325" ht="12.75" hidden="1" customHeight="1" x14ac:dyDescent="0.2"/>
    <row r="15326" ht="12.75" hidden="1" customHeight="1" x14ac:dyDescent="0.2"/>
    <row r="15327" ht="12.75" hidden="1" customHeight="1" x14ac:dyDescent="0.2"/>
    <row r="15328" ht="12.75" hidden="1" customHeight="1" x14ac:dyDescent="0.2"/>
    <row r="15329" ht="12.75" hidden="1" customHeight="1" x14ac:dyDescent="0.2"/>
    <row r="15330" ht="12.75" hidden="1" customHeight="1" x14ac:dyDescent="0.2"/>
    <row r="15331" ht="12.75" hidden="1" customHeight="1" x14ac:dyDescent="0.2"/>
    <row r="15332" ht="12.75" hidden="1" customHeight="1" x14ac:dyDescent="0.2"/>
    <row r="15333" ht="12.75" hidden="1" customHeight="1" x14ac:dyDescent="0.2"/>
    <row r="15334" ht="12.75" hidden="1" customHeight="1" x14ac:dyDescent="0.2"/>
    <row r="15335" ht="12.75" hidden="1" customHeight="1" x14ac:dyDescent="0.2"/>
    <row r="15336" ht="12.75" hidden="1" customHeight="1" x14ac:dyDescent="0.2"/>
    <row r="15337" ht="12.75" hidden="1" customHeight="1" x14ac:dyDescent="0.2"/>
    <row r="15338" ht="12.75" hidden="1" customHeight="1" x14ac:dyDescent="0.2"/>
    <row r="15339" ht="12.75" hidden="1" customHeight="1" x14ac:dyDescent="0.2"/>
    <row r="15340" ht="12.75" hidden="1" customHeight="1" x14ac:dyDescent="0.2"/>
    <row r="15341" ht="12.75" hidden="1" customHeight="1" x14ac:dyDescent="0.2"/>
    <row r="15342" ht="12.75" hidden="1" customHeight="1" x14ac:dyDescent="0.2"/>
    <row r="15343" ht="12.75" hidden="1" customHeight="1" x14ac:dyDescent="0.2"/>
    <row r="15344" ht="12.75" hidden="1" customHeight="1" x14ac:dyDescent="0.2"/>
    <row r="15345" ht="12.75" hidden="1" customHeight="1" x14ac:dyDescent="0.2"/>
    <row r="15346" ht="12.75" hidden="1" customHeight="1" x14ac:dyDescent="0.2"/>
    <row r="15347" ht="12.75" hidden="1" customHeight="1" x14ac:dyDescent="0.2"/>
    <row r="15348" ht="12.75" hidden="1" customHeight="1" x14ac:dyDescent="0.2"/>
    <row r="15349" ht="12.75" hidden="1" customHeight="1" x14ac:dyDescent="0.2"/>
    <row r="15350" ht="12.75" hidden="1" customHeight="1" x14ac:dyDescent="0.2"/>
    <row r="15351" ht="12.75" hidden="1" customHeight="1" x14ac:dyDescent="0.2"/>
    <row r="15352" ht="12.75" hidden="1" customHeight="1" x14ac:dyDescent="0.2"/>
    <row r="15353" ht="12.75" hidden="1" customHeight="1" x14ac:dyDescent="0.2"/>
    <row r="15354" ht="12.75" hidden="1" customHeight="1" x14ac:dyDescent="0.2"/>
    <row r="15355" ht="12.75" hidden="1" customHeight="1" x14ac:dyDescent="0.2"/>
    <row r="15356" ht="12.75" hidden="1" customHeight="1" x14ac:dyDescent="0.2"/>
    <row r="15357" ht="12.75" hidden="1" customHeight="1" x14ac:dyDescent="0.2"/>
    <row r="15358" ht="12.75" hidden="1" customHeight="1" x14ac:dyDescent="0.2"/>
    <row r="15359" ht="12.75" hidden="1" customHeight="1" x14ac:dyDescent="0.2"/>
    <row r="15360" ht="12.75" hidden="1" customHeight="1" x14ac:dyDescent="0.2"/>
    <row r="15361" ht="12.75" hidden="1" customHeight="1" x14ac:dyDescent="0.2"/>
    <row r="15362" ht="12.75" hidden="1" customHeight="1" x14ac:dyDescent="0.2"/>
    <row r="15363" ht="12.75" hidden="1" customHeight="1" x14ac:dyDescent="0.2"/>
    <row r="15364" ht="12.75" hidden="1" customHeight="1" x14ac:dyDescent="0.2"/>
    <row r="15365" ht="12.75" hidden="1" customHeight="1" x14ac:dyDescent="0.2"/>
    <row r="15366" ht="12.75" hidden="1" customHeight="1" x14ac:dyDescent="0.2"/>
    <row r="15367" ht="12.75" hidden="1" customHeight="1" x14ac:dyDescent="0.2"/>
    <row r="15368" ht="12.75" hidden="1" customHeight="1" x14ac:dyDescent="0.2"/>
    <row r="15369" ht="12.75" hidden="1" customHeight="1" x14ac:dyDescent="0.2"/>
    <row r="15370" ht="12.75" hidden="1" customHeight="1" x14ac:dyDescent="0.2"/>
    <row r="15371" ht="12.75" hidden="1" customHeight="1" x14ac:dyDescent="0.2"/>
    <row r="15372" ht="12.75" hidden="1" customHeight="1" x14ac:dyDescent="0.2"/>
    <row r="15373" ht="12.75" hidden="1" customHeight="1" x14ac:dyDescent="0.2"/>
    <row r="15374" ht="12.75" hidden="1" customHeight="1" x14ac:dyDescent="0.2"/>
    <row r="15375" ht="12.75" hidden="1" customHeight="1" x14ac:dyDescent="0.2"/>
    <row r="15376" ht="12.75" hidden="1" customHeight="1" x14ac:dyDescent="0.2"/>
    <row r="15377" ht="12.75" hidden="1" customHeight="1" x14ac:dyDescent="0.2"/>
    <row r="15378" ht="12.75" hidden="1" customHeight="1" x14ac:dyDescent="0.2"/>
    <row r="15379" ht="12.75" hidden="1" customHeight="1" x14ac:dyDescent="0.2"/>
    <row r="15380" ht="12.75" hidden="1" customHeight="1" x14ac:dyDescent="0.2"/>
    <row r="15381" ht="12.75" hidden="1" customHeight="1" x14ac:dyDescent="0.2"/>
    <row r="15382" ht="12.75" hidden="1" customHeight="1" x14ac:dyDescent="0.2"/>
    <row r="15383" ht="12.75" hidden="1" customHeight="1" x14ac:dyDescent="0.2"/>
    <row r="15384" ht="12.75" hidden="1" customHeight="1" x14ac:dyDescent="0.2"/>
    <row r="15385" ht="12.75" hidden="1" customHeight="1" x14ac:dyDescent="0.2"/>
    <row r="15386" ht="12.75" hidden="1" customHeight="1" x14ac:dyDescent="0.2"/>
    <row r="15387" ht="12.75" hidden="1" customHeight="1" x14ac:dyDescent="0.2"/>
    <row r="15388" ht="12.75" hidden="1" customHeight="1" x14ac:dyDescent="0.2"/>
    <row r="15389" ht="12.75" hidden="1" customHeight="1" x14ac:dyDescent="0.2"/>
    <row r="15390" ht="12.75" hidden="1" customHeight="1" x14ac:dyDescent="0.2"/>
    <row r="15391" ht="12.75" hidden="1" customHeight="1" x14ac:dyDescent="0.2"/>
    <row r="15392" ht="12.75" hidden="1" customHeight="1" x14ac:dyDescent="0.2"/>
    <row r="15393" ht="12.75" hidden="1" customHeight="1" x14ac:dyDescent="0.2"/>
    <row r="15394" ht="12.75" hidden="1" customHeight="1" x14ac:dyDescent="0.2"/>
    <row r="15395" ht="12.75" hidden="1" customHeight="1" x14ac:dyDescent="0.2"/>
    <row r="15396" ht="12.75" hidden="1" customHeight="1" x14ac:dyDescent="0.2"/>
    <row r="15397" ht="12.75" hidden="1" customHeight="1" x14ac:dyDescent="0.2"/>
    <row r="15398" ht="12.75" hidden="1" customHeight="1" x14ac:dyDescent="0.2"/>
    <row r="15399" ht="12.75" hidden="1" customHeight="1" x14ac:dyDescent="0.2"/>
    <row r="15400" ht="12.75" hidden="1" customHeight="1" x14ac:dyDescent="0.2"/>
    <row r="15401" ht="12.75" hidden="1" customHeight="1" x14ac:dyDescent="0.2"/>
    <row r="15402" ht="12.75" hidden="1" customHeight="1" x14ac:dyDescent="0.2"/>
    <row r="15403" ht="12.75" hidden="1" customHeight="1" x14ac:dyDescent="0.2"/>
    <row r="15404" ht="12.75" hidden="1" customHeight="1" x14ac:dyDescent="0.2"/>
    <row r="15405" ht="12.75" hidden="1" customHeight="1" x14ac:dyDescent="0.2"/>
    <row r="15406" ht="12.75" hidden="1" customHeight="1" x14ac:dyDescent="0.2"/>
    <row r="15407" ht="12.75" hidden="1" customHeight="1" x14ac:dyDescent="0.2"/>
    <row r="15408" ht="12.75" hidden="1" customHeight="1" x14ac:dyDescent="0.2"/>
    <row r="15409" ht="12.75" hidden="1" customHeight="1" x14ac:dyDescent="0.2"/>
    <row r="15410" ht="12.75" hidden="1" customHeight="1" x14ac:dyDescent="0.2"/>
    <row r="15411" ht="12.75" hidden="1" customHeight="1" x14ac:dyDescent="0.2"/>
    <row r="15412" ht="12.75" hidden="1" customHeight="1" x14ac:dyDescent="0.2"/>
    <row r="15413" ht="12.75" hidden="1" customHeight="1" x14ac:dyDescent="0.2"/>
    <row r="15414" ht="12.75" hidden="1" customHeight="1" x14ac:dyDescent="0.2"/>
    <row r="15415" ht="12.75" hidden="1" customHeight="1" x14ac:dyDescent="0.2"/>
    <row r="15416" ht="12.75" hidden="1" customHeight="1" x14ac:dyDescent="0.2"/>
    <row r="15417" ht="12.75" hidden="1" customHeight="1" x14ac:dyDescent="0.2"/>
    <row r="15418" ht="12.75" hidden="1" customHeight="1" x14ac:dyDescent="0.2"/>
    <row r="15419" ht="12.75" hidden="1" customHeight="1" x14ac:dyDescent="0.2"/>
    <row r="15420" ht="12.75" hidden="1" customHeight="1" x14ac:dyDescent="0.2"/>
    <row r="15421" ht="12.75" hidden="1" customHeight="1" x14ac:dyDescent="0.2"/>
    <row r="15422" ht="12.75" hidden="1" customHeight="1" x14ac:dyDescent="0.2"/>
    <row r="15423" ht="12.75" hidden="1" customHeight="1" x14ac:dyDescent="0.2"/>
    <row r="15424" ht="12.75" hidden="1" customHeight="1" x14ac:dyDescent="0.2"/>
    <row r="15425" ht="12.75" hidden="1" customHeight="1" x14ac:dyDescent="0.2"/>
    <row r="15426" ht="12.75" hidden="1" customHeight="1" x14ac:dyDescent="0.2"/>
    <row r="15427" ht="12.75" hidden="1" customHeight="1" x14ac:dyDescent="0.2"/>
    <row r="15428" ht="12.75" hidden="1" customHeight="1" x14ac:dyDescent="0.2"/>
    <row r="15429" ht="12.75" hidden="1" customHeight="1" x14ac:dyDescent="0.2"/>
    <row r="15430" ht="12.75" hidden="1" customHeight="1" x14ac:dyDescent="0.2"/>
    <row r="15431" ht="12.75" hidden="1" customHeight="1" x14ac:dyDescent="0.2"/>
    <row r="15432" ht="12.75" hidden="1" customHeight="1" x14ac:dyDescent="0.2"/>
    <row r="15433" ht="12.75" hidden="1" customHeight="1" x14ac:dyDescent="0.2"/>
    <row r="15434" ht="12.75" hidden="1" customHeight="1" x14ac:dyDescent="0.2"/>
    <row r="15435" ht="12.75" hidden="1" customHeight="1" x14ac:dyDescent="0.2"/>
    <row r="15436" ht="12.75" hidden="1" customHeight="1" x14ac:dyDescent="0.2"/>
    <row r="15437" ht="12.75" hidden="1" customHeight="1" x14ac:dyDescent="0.2"/>
    <row r="15438" ht="12.75" hidden="1" customHeight="1" x14ac:dyDescent="0.2"/>
    <row r="15439" ht="12.75" hidden="1" customHeight="1" x14ac:dyDescent="0.2"/>
    <row r="15440" ht="12.75" hidden="1" customHeight="1" x14ac:dyDescent="0.2"/>
    <row r="15441" ht="12.75" hidden="1" customHeight="1" x14ac:dyDescent="0.2"/>
    <row r="15442" ht="12.75" hidden="1" customHeight="1" x14ac:dyDescent="0.2"/>
    <row r="15443" ht="12.75" hidden="1" customHeight="1" x14ac:dyDescent="0.2"/>
    <row r="15444" ht="12.75" hidden="1" customHeight="1" x14ac:dyDescent="0.2"/>
    <row r="15445" ht="12.75" hidden="1" customHeight="1" x14ac:dyDescent="0.2"/>
    <row r="15446" ht="12.75" hidden="1" customHeight="1" x14ac:dyDescent="0.2"/>
    <row r="15447" ht="12.75" hidden="1" customHeight="1" x14ac:dyDescent="0.2"/>
    <row r="15448" ht="12.75" hidden="1" customHeight="1" x14ac:dyDescent="0.2"/>
    <row r="15449" ht="12.75" hidden="1" customHeight="1" x14ac:dyDescent="0.2"/>
    <row r="15450" ht="12.75" hidden="1" customHeight="1" x14ac:dyDescent="0.2"/>
    <row r="15451" ht="12.75" hidden="1" customHeight="1" x14ac:dyDescent="0.2"/>
    <row r="15452" ht="12.75" hidden="1" customHeight="1" x14ac:dyDescent="0.2"/>
    <row r="15453" ht="12.75" hidden="1" customHeight="1" x14ac:dyDescent="0.2"/>
    <row r="15454" ht="12.75" hidden="1" customHeight="1" x14ac:dyDescent="0.2"/>
    <row r="15455" ht="12.75" hidden="1" customHeight="1" x14ac:dyDescent="0.2"/>
    <row r="15456" ht="12.75" hidden="1" customHeight="1" x14ac:dyDescent="0.2"/>
    <row r="15457" ht="12.75" hidden="1" customHeight="1" x14ac:dyDescent="0.2"/>
    <row r="15458" ht="12.75" hidden="1" customHeight="1" x14ac:dyDescent="0.2"/>
    <row r="15459" ht="12.75" hidden="1" customHeight="1" x14ac:dyDescent="0.2"/>
    <row r="15460" ht="12.75" hidden="1" customHeight="1" x14ac:dyDescent="0.2"/>
    <row r="15461" ht="12.75" hidden="1" customHeight="1" x14ac:dyDescent="0.2"/>
    <row r="15462" ht="12.75" hidden="1" customHeight="1" x14ac:dyDescent="0.2"/>
    <row r="15463" ht="12.75" hidden="1" customHeight="1" x14ac:dyDescent="0.2"/>
    <row r="15464" ht="12.75" hidden="1" customHeight="1" x14ac:dyDescent="0.2"/>
    <row r="15465" ht="12.75" hidden="1" customHeight="1" x14ac:dyDescent="0.2"/>
    <row r="15466" ht="12.75" hidden="1" customHeight="1" x14ac:dyDescent="0.2"/>
    <row r="15467" ht="12.75" hidden="1" customHeight="1" x14ac:dyDescent="0.2"/>
    <row r="15468" ht="12.75" hidden="1" customHeight="1" x14ac:dyDescent="0.2"/>
    <row r="15469" ht="12.75" hidden="1" customHeight="1" x14ac:dyDescent="0.2"/>
    <row r="15470" ht="12.75" hidden="1" customHeight="1" x14ac:dyDescent="0.2"/>
    <row r="15471" ht="12.75" hidden="1" customHeight="1" x14ac:dyDescent="0.2"/>
    <row r="15472" ht="12.75" hidden="1" customHeight="1" x14ac:dyDescent="0.2"/>
    <row r="15473" ht="12.75" hidden="1" customHeight="1" x14ac:dyDescent="0.2"/>
    <row r="15474" ht="12.75" hidden="1" customHeight="1" x14ac:dyDescent="0.2"/>
    <row r="15475" ht="12.75" hidden="1" customHeight="1" x14ac:dyDescent="0.2"/>
    <row r="15476" ht="12.75" hidden="1" customHeight="1" x14ac:dyDescent="0.2"/>
    <row r="15477" ht="12.75" hidden="1" customHeight="1" x14ac:dyDescent="0.2"/>
    <row r="15478" ht="12.75" hidden="1" customHeight="1" x14ac:dyDescent="0.2"/>
    <row r="15479" ht="12.75" hidden="1" customHeight="1" x14ac:dyDescent="0.2"/>
    <row r="15480" ht="12.75" hidden="1" customHeight="1" x14ac:dyDescent="0.2"/>
    <row r="15481" ht="12.75" hidden="1" customHeight="1" x14ac:dyDescent="0.2"/>
    <row r="15482" ht="12.75" hidden="1" customHeight="1" x14ac:dyDescent="0.2"/>
    <row r="15483" ht="12.75" hidden="1" customHeight="1" x14ac:dyDescent="0.2"/>
    <row r="15484" ht="12.75" hidden="1" customHeight="1" x14ac:dyDescent="0.2"/>
    <row r="15485" ht="12.75" hidden="1" customHeight="1" x14ac:dyDescent="0.2"/>
    <row r="15486" ht="12.75" hidden="1" customHeight="1" x14ac:dyDescent="0.2"/>
    <row r="15487" ht="12.75" hidden="1" customHeight="1" x14ac:dyDescent="0.2"/>
    <row r="15488" ht="12.75" hidden="1" customHeight="1" x14ac:dyDescent="0.2"/>
    <row r="15489" ht="12.75" hidden="1" customHeight="1" x14ac:dyDescent="0.2"/>
    <row r="15490" ht="12.75" hidden="1" customHeight="1" x14ac:dyDescent="0.2"/>
    <row r="15491" ht="12.75" hidden="1" customHeight="1" x14ac:dyDescent="0.2"/>
    <row r="15492" ht="12.75" hidden="1" customHeight="1" x14ac:dyDescent="0.2"/>
    <row r="15493" ht="12.75" hidden="1" customHeight="1" x14ac:dyDescent="0.2"/>
    <row r="15494" ht="12.75" hidden="1" customHeight="1" x14ac:dyDescent="0.2"/>
    <row r="15495" ht="12.75" hidden="1" customHeight="1" x14ac:dyDescent="0.2"/>
    <row r="15496" ht="12.75" hidden="1" customHeight="1" x14ac:dyDescent="0.2"/>
    <row r="15497" ht="12.75" hidden="1" customHeight="1" x14ac:dyDescent="0.2"/>
    <row r="15498" ht="12.75" hidden="1" customHeight="1" x14ac:dyDescent="0.2"/>
    <row r="15499" ht="12.75" hidden="1" customHeight="1" x14ac:dyDescent="0.2"/>
    <row r="15500" ht="12.75" hidden="1" customHeight="1" x14ac:dyDescent="0.2"/>
    <row r="15501" ht="12.75" hidden="1" customHeight="1" x14ac:dyDescent="0.2"/>
    <row r="15502" ht="12.75" hidden="1" customHeight="1" x14ac:dyDescent="0.2"/>
    <row r="15503" ht="12.75" hidden="1" customHeight="1" x14ac:dyDescent="0.2"/>
    <row r="15504" ht="12.75" hidden="1" customHeight="1" x14ac:dyDescent="0.2"/>
    <row r="15505" ht="12.75" hidden="1" customHeight="1" x14ac:dyDescent="0.2"/>
    <row r="15506" ht="12.75" hidden="1" customHeight="1" x14ac:dyDescent="0.2"/>
    <row r="15507" ht="12.75" hidden="1" customHeight="1" x14ac:dyDescent="0.2"/>
    <row r="15508" ht="12.75" hidden="1" customHeight="1" x14ac:dyDescent="0.2"/>
    <row r="15509" ht="12.75" hidden="1" customHeight="1" x14ac:dyDescent="0.2"/>
    <row r="15510" ht="12.75" hidden="1" customHeight="1" x14ac:dyDescent="0.2"/>
    <row r="15511" ht="12.75" hidden="1" customHeight="1" x14ac:dyDescent="0.2"/>
    <row r="15512" ht="12.75" hidden="1" customHeight="1" x14ac:dyDescent="0.2"/>
    <row r="15513" ht="12.75" hidden="1" customHeight="1" x14ac:dyDescent="0.2"/>
    <row r="15514" ht="12.75" hidden="1" customHeight="1" x14ac:dyDescent="0.2"/>
    <row r="15515" ht="12.75" hidden="1" customHeight="1" x14ac:dyDescent="0.2"/>
    <row r="15516" ht="12.75" hidden="1" customHeight="1" x14ac:dyDescent="0.2"/>
    <row r="15517" ht="12.75" hidden="1" customHeight="1" x14ac:dyDescent="0.2"/>
    <row r="15518" ht="12.75" hidden="1" customHeight="1" x14ac:dyDescent="0.2"/>
    <row r="15519" ht="12.75" hidden="1" customHeight="1" x14ac:dyDescent="0.2"/>
    <row r="15520" ht="12.75" hidden="1" customHeight="1" x14ac:dyDescent="0.2"/>
    <row r="15521" ht="12.75" hidden="1" customHeight="1" x14ac:dyDescent="0.2"/>
    <row r="15522" ht="12.75" hidden="1" customHeight="1" x14ac:dyDescent="0.2"/>
    <row r="15523" ht="12.75" hidden="1" customHeight="1" x14ac:dyDescent="0.2"/>
    <row r="15524" ht="12.75" hidden="1" customHeight="1" x14ac:dyDescent="0.2"/>
    <row r="15525" ht="12.75" hidden="1" customHeight="1" x14ac:dyDescent="0.2"/>
    <row r="15526" ht="12.75" hidden="1" customHeight="1" x14ac:dyDescent="0.2"/>
    <row r="15527" ht="12.75" hidden="1" customHeight="1" x14ac:dyDescent="0.2"/>
    <row r="15528" ht="12.75" hidden="1" customHeight="1" x14ac:dyDescent="0.2"/>
    <row r="15529" ht="12.75" hidden="1" customHeight="1" x14ac:dyDescent="0.2"/>
    <row r="15530" ht="12.75" hidden="1" customHeight="1" x14ac:dyDescent="0.2"/>
    <row r="15531" ht="12.75" hidden="1" customHeight="1" x14ac:dyDescent="0.2"/>
    <row r="15532" ht="12.75" hidden="1" customHeight="1" x14ac:dyDescent="0.2"/>
    <row r="15533" ht="12.75" hidden="1" customHeight="1" x14ac:dyDescent="0.2"/>
    <row r="15534" ht="12.75" hidden="1" customHeight="1" x14ac:dyDescent="0.2"/>
    <row r="15535" ht="12.75" hidden="1" customHeight="1" x14ac:dyDescent="0.2"/>
    <row r="15536" ht="12.75" hidden="1" customHeight="1" x14ac:dyDescent="0.2"/>
    <row r="15537" ht="12.75" hidden="1" customHeight="1" x14ac:dyDescent="0.2"/>
    <row r="15538" ht="12.75" hidden="1" customHeight="1" x14ac:dyDescent="0.2"/>
    <row r="15539" ht="12.75" hidden="1" customHeight="1" x14ac:dyDescent="0.2"/>
    <row r="15540" ht="12.75" hidden="1" customHeight="1" x14ac:dyDescent="0.2"/>
    <row r="15541" ht="12.75" hidden="1" customHeight="1" x14ac:dyDescent="0.2"/>
    <row r="15542" ht="12.75" hidden="1" customHeight="1" x14ac:dyDescent="0.2"/>
    <row r="15543" ht="12.75" hidden="1" customHeight="1" x14ac:dyDescent="0.2"/>
    <row r="15544" ht="12.75" hidden="1" customHeight="1" x14ac:dyDescent="0.2"/>
    <row r="15545" ht="12.75" hidden="1" customHeight="1" x14ac:dyDescent="0.2"/>
    <row r="15546" ht="12.75" hidden="1" customHeight="1" x14ac:dyDescent="0.2"/>
    <row r="15547" ht="12.75" hidden="1" customHeight="1" x14ac:dyDescent="0.2"/>
    <row r="15548" ht="12.75" hidden="1" customHeight="1" x14ac:dyDescent="0.2"/>
    <row r="15549" ht="12.75" hidden="1" customHeight="1" x14ac:dyDescent="0.2"/>
    <row r="15550" ht="12.75" hidden="1" customHeight="1" x14ac:dyDescent="0.2"/>
    <row r="15551" ht="12.75" hidden="1" customHeight="1" x14ac:dyDescent="0.2"/>
    <row r="15552" ht="12.75" hidden="1" customHeight="1" x14ac:dyDescent="0.2"/>
    <row r="15553" ht="12.75" hidden="1" customHeight="1" x14ac:dyDescent="0.2"/>
    <row r="15554" ht="12.75" hidden="1" customHeight="1" x14ac:dyDescent="0.2"/>
    <row r="15555" ht="12.75" hidden="1" customHeight="1" x14ac:dyDescent="0.2"/>
    <row r="15556" ht="12.75" hidden="1" customHeight="1" x14ac:dyDescent="0.2"/>
    <row r="15557" ht="12.75" hidden="1" customHeight="1" x14ac:dyDescent="0.2"/>
    <row r="15558" ht="12.75" hidden="1" customHeight="1" x14ac:dyDescent="0.2"/>
    <row r="15559" ht="12.75" hidden="1" customHeight="1" x14ac:dyDescent="0.2"/>
    <row r="15560" ht="12.75" hidden="1" customHeight="1" x14ac:dyDescent="0.2"/>
    <row r="15561" ht="12.75" hidden="1" customHeight="1" x14ac:dyDescent="0.2"/>
    <row r="15562" ht="12.75" hidden="1" customHeight="1" x14ac:dyDescent="0.2"/>
    <row r="15563" ht="12.75" hidden="1" customHeight="1" x14ac:dyDescent="0.2"/>
    <row r="15564" ht="12.75" hidden="1" customHeight="1" x14ac:dyDescent="0.2"/>
    <row r="15565" ht="12.75" hidden="1" customHeight="1" x14ac:dyDescent="0.2"/>
    <row r="15566" ht="12.75" hidden="1" customHeight="1" x14ac:dyDescent="0.2"/>
    <row r="15567" ht="12.75" hidden="1" customHeight="1" x14ac:dyDescent="0.2"/>
    <row r="15568" ht="12.75" hidden="1" customHeight="1" x14ac:dyDescent="0.2"/>
    <row r="15569" ht="12.75" hidden="1" customHeight="1" x14ac:dyDescent="0.2"/>
    <row r="15570" ht="12.75" hidden="1" customHeight="1" x14ac:dyDescent="0.2"/>
    <row r="15571" ht="12.75" hidden="1" customHeight="1" x14ac:dyDescent="0.2"/>
    <row r="15572" ht="12.75" hidden="1" customHeight="1" x14ac:dyDescent="0.2"/>
    <row r="15573" ht="12.75" hidden="1" customHeight="1" x14ac:dyDescent="0.2"/>
    <row r="15574" ht="12.75" hidden="1" customHeight="1" x14ac:dyDescent="0.2"/>
    <row r="15575" ht="12.75" hidden="1" customHeight="1" x14ac:dyDescent="0.2"/>
    <row r="15576" ht="12.75" hidden="1" customHeight="1" x14ac:dyDescent="0.2"/>
    <row r="15577" ht="12.75" hidden="1" customHeight="1" x14ac:dyDescent="0.2"/>
    <row r="15578" ht="12.75" hidden="1" customHeight="1" x14ac:dyDescent="0.2"/>
    <row r="15579" ht="12.75" hidden="1" customHeight="1" x14ac:dyDescent="0.2"/>
    <row r="15580" ht="12.75" hidden="1" customHeight="1" x14ac:dyDescent="0.2"/>
    <row r="15581" ht="12.75" hidden="1" customHeight="1" x14ac:dyDescent="0.2"/>
    <row r="15582" ht="12.75" hidden="1" customHeight="1" x14ac:dyDescent="0.2"/>
    <row r="15583" ht="12.75" hidden="1" customHeight="1" x14ac:dyDescent="0.2"/>
    <row r="15584" ht="12.75" hidden="1" customHeight="1" x14ac:dyDescent="0.2"/>
    <row r="15585" ht="12.75" hidden="1" customHeight="1" x14ac:dyDescent="0.2"/>
    <row r="15586" ht="12.75" hidden="1" customHeight="1" x14ac:dyDescent="0.2"/>
    <row r="15587" ht="12.75" hidden="1" customHeight="1" x14ac:dyDescent="0.2"/>
    <row r="15588" ht="12.75" hidden="1" customHeight="1" x14ac:dyDescent="0.2"/>
    <row r="15589" ht="12.75" hidden="1" customHeight="1" x14ac:dyDescent="0.2"/>
    <row r="15590" ht="12.75" hidden="1" customHeight="1" x14ac:dyDescent="0.2"/>
    <row r="15591" ht="12.75" hidden="1" customHeight="1" x14ac:dyDescent="0.2"/>
    <row r="15592" ht="12.75" hidden="1" customHeight="1" x14ac:dyDescent="0.2"/>
    <row r="15593" ht="12.75" hidden="1" customHeight="1" x14ac:dyDescent="0.2"/>
    <row r="15594" ht="12.75" hidden="1" customHeight="1" x14ac:dyDescent="0.2"/>
    <row r="15595" ht="12.75" hidden="1" customHeight="1" x14ac:dyDescent="0.2"/>
    <row r="15596" ht="12.75" hidden="1" customHeight="1" x14ac:dyDescent="0.2"/>
    <row r="15597" ht="12.75" hidden="1" customHeight="1" x14ac:dyDescent="0.2"/>
    <row r="15598" ht="12.75" hidden="1" customHeight="1" x14ac:dyDescent="0.2"/>
    <row r="15599" ht="12.75" hidden="1" customHeight="1" x14ac:dyDescent="0.2"/>
    <row r="15600" ht="12.75" hidden="1" customHeight="1" x14ac:dyDescent="0.2"/>
    <row r="15601" ht="12.75" hidden="1" customHeight="1" x14ac:dyDescent="0.2"/>
    <row r="15602" ht="12.75" hidden="1" customHeight="1" x14ac:dyDescent="0.2"/>
    <row r="15603" ht="12.75" hidden="1" customHeight="1" x14ac:dyDescent="0.2"/>
    <row r="15604" ht="12.75" hidden="1" customHeight="1" x14ac:dyDescent="0.2"/>
    <row r="15605" ht="12.75" hidden="1" customHeight="1" x14ac:dyDescent="0.2"/>
    <row r="15606" ht="12.75" hidden="1" customHeight="1" x14ac:dyDescent="0.2"/>
    <row r="15607" ht="12.75" hidden="1" customHeight="1" x14ac:dyDescent="0.2"/>
    <row r="15608" ht="12.75" hidden="1" customHeight="1" x14ac:dyDescent="0.2"/>
    <row r="15609" ht="12.75" hidden="1" customHeight="1" x14ac:dyDescent="0.2"/>
    <row r="15610" ht="12.75" hidden="1" customHeight="1" x14ac:dyDescent="0.2"/>
    <row r="15611" ht="12.75" hidden="1" customHeight="1" x14ac:dyDescent="0.2"/>
    <row r="15612" ht="12.75" hidden="1" customHeight="1" x14ac:dyDescent="0.2"/>
    <row r="15613" ht="12.75" hidden="1" customHeight="1" x14ac:dyDescent="0.2"/>
    <row r="15614" ht="12.75" hidden="1" customHeight="1" x14ac:dyDescent="0.2"/>
    <row r="15615" ht="12.75" hidden="1" customHeight="1" x14ac:dyDescent="0.2"/>
    <row r="15616" ht="12.75" hidden="1" customHeight="1" x14ac:dyDescent="0.2"/>
    <row r="15617" ht="12.75" hidden="1" customHeight="1" x14ac:dyDescent="0.2"/>
    <row r="15618" ht="12.75" hidden="1" customHeight="1" x14ac:dyDescent="0.2"/>
    <row r="15619" ht="12.75" hidden="1" customHeight="1" x14ac:dyDescent="0.2"/>
    <row r="15620" ht="12.75" hidden="1" customHeight="1" x14ac:dyDescent="0.2"/>
    <row r="15621" ht="12.75" hidden="1" customHeight="1" x14ac:dyDescent="0.2"/>
    <row r="15622" ht="12.75" hidden="1" customHeight="1" x14ac:dyDescent="0.2"/>
    <row r="15623" ht="12.75" hidden="1" customHeight="1" x14ac:dyDescent="0.2"/>
    <row r="15624" ht="12.75" hidden="1" customHeight="1" x14ac:dyDescent="0.2"/>
    <row r="15625" ht="12.75" hidden="1" customHeight="1" x14ac:dyDescent="0.2"/>
    <row r="15626" ht="12.75" hidden="1" customHeight="1" x14ac:dyDescent="0.2"/>
    <row r="15627" ht="12.75" hidden="1" customHeight="1" x14ac:dyDescent="0.2"/>
    <row r="15628" ht="12.75" hidden="1" customHeight="1" x14ac:dyDescent="0.2"/>
    <row r="15629" ht="12.75" hidden="1" customHeight="1" x14ac:dyDescent="0.2"/>
    <row r="15630" ht="12.75" hidden="1" customHeight="1" x14ac:dyDescent="0.2"/>
    <row r="15631" ht="12.75" hidden="1" customHeight="1" x14ac:dyDescent="0.2"/>
    <row r="15632" ht="12.75" hidden="1" customHeight="1" x14ac:dyDescent="0.2"/>
    <row r="15633" ht="12.75" hidden="1" customHeight="1" x14ac:dyDescent="0.2"/>
    <row r="15634" ht="12.75" hidden="1" customHeight="1" x14ac:dyDescent="0.2"/>
    <row r="15635" ht="12.75" hidden="1" customHeight="1" x14ac:dyDescent="0.2"/>
    <row r="15636" ht="12.75" hidden="1" customHeight="1" x14ac:dyDescent="0.2"/>
    <row r="15637" ht="12.75" hidden="1" customHeight="1" x14ac:dyDescent="0.2"/>
    <row r="15638" ht="12.75" hidden="1" customHeight="1" x14ac:dyDescent="0.2"/>
    <row r="15639" ht="12.75" hidden="1" customHeight="1" x14ac:dyDescent="0.2"/>
    <row r="15640" ht="12.75" hidden="1" customHeight="1" x14ac:dyDescent="0.2"/>
    <row r="15641" ht="12.75" hidden="1" customHeight="1" x14ac:dyDescent="0.2"/>
    <row r="15642" ht="12.75" hidden="1" customHeight="1" x14ac:dyDescent="0.2"/>
    <row r="15643" ht="12.75" hidden="1" customHeight="1" x14ac:dyDescent="0.2"/>
    <row r="15644" ht="12.75" hidden="1" customHeight="1" x14ac:dyDescent="0.2"/>
    <row r="15645" ht="12.75" hidden="1" customHeight="1" x14ac:dyDescent="0.2"/>
    <row r="15646" ht="12.75" hidden="1" customHeight="1" x14ac:dyDescent="0.2"/>
    <row r="15647" ht="12.75" hidden="1" customHeight="1" x14ac:dyDescent="0.2"/>
    <row r="15648" ht="12.75" hidden="1" customHeight="1" x14ac:dyDescent="0.2"/>
    <row r="15649" ht="12.75" hidden="1" customHeight="1" x14ac:dyDescent="0.2"/>
    <row r="15650" ht="12.75" hidden="1" customHeight="1" x14ac:dyDescent="0.2"/>
    <row r="15651" ht="12.75" hidden="1" customHeight="1" x14ac:dyDescent="0.2"/>
    <row r="15652" ht="12.75" hidden="1" customHeight="1" x14ac:dyDescent="0.2"/>
    <row r="15653" ht="12.75" hidden="1" customHeight="1" x14ac:dyDescent="0.2"/>
    <row r="15654" ht="12.75" hidden="1" customHeight="1" x14ac:dyDescent="0.2"/>
    <row r="15655" ht="12.75" hidden="1" customHeight="1" x14ac:dyDescent="0.2"/>
    <row r="15656" ht="12.75" hidden="1" customHeight="1" x14ac:dyDescent="0.2"/>
    <row r="15657" ht="12.75" hidden="1" customHeight="1" x14ac:dyDescent="0.2"/>
    <row r="15658" ht="12.75" hidden="1" customHeight="1" x14ac:dyDescent="0.2"/>
    <row r="15659" ht="12.75" hidden="1" customHeight="1" x14ac:dyDescent="0.2"/>
    <row r="15660" ht="12.75" hidden="1" customHeight="1" x14ac:dyDescent="0.2"/>
    <row r="15661" ht="12.75" hidden="1" customHeight="1" x14ac:dyDescent="0.2"/>
    <row r="15662" ht="12.75" hidden="1" customHeight="1" x14ac:dyDescent="0.2"/>
    <row r="15663" ht="12.75" hidden="1" customHeight="1" x14ac:dyDescent="0.2"/>
    <row r="15664" ht="12.75" hidden="1" customHeight="1" x14ac:dyDescent="0.2"/>
    <row r="15665" ht="12.75" hidden="1" customHeight="1" x14ac:dyDescent="0.2"/>
    <row r="15666" ht="12.75" hidden="1" customHeight="1" x14ac:dyDescent="0.2"/>
    <row r="15667" ht="12.75" hidden="1" customHeight="1" x14ac:dyDescent="0.2"/>
    <row r="15668" ht="12.75" hidden="1" customHeight="1" x14ac:dyDescent="0.2"/>
    <row r="15669" ht="12.75" hidden="1" customHeight="1" x14ac:dyDescent="0.2"/>
    <row r="15670" ht="12.75" hidden="1" customHeight="1" x14ac:dyDescent="0.2"/>
    <row r="15671" ht="12.75" hidden="1" customHeight="1" x14ac:dyDescent="0.2"/>
    <row r="15672" ht="12.75" hidden="1" customHeight="1" x14ac:dyDescent="0.2"/>
    <row r="15673" ht="12.75" hidden="1" customHeight="1" x14ac:dyDescent="0.2"/>
    <row r="15674" ht="12.75" hidden="1" customHeight="1" x14ac:dyDescent="0.2"/>
    <row r="15675" ht="12.75" hidden="1" customHeight="1" x14ac:dyDescent="0.2"/>
    <row r="15676" ht="12.75" hidden="1" customHeight="1" x14ac:dyDescent="0.2"/>
    <row r="15677" ht="12.75" hidden="1" customHeight="1" x14ac:dyDescent="0.2"/>
    <row r="15678" ht="12.75" hidden="1" customHeight="1" x14ac:dyDescent="0.2"/>
    <row r="15679" ht="12.75" hidden="1" customHeight="1" x14ac:dyDescent="0.2"/>
    <row r="15680" ht="12.75" hidden="1" customHeight="1" x14ac:dyDescent="0.2"/>
    <row r="15681" ht="12.75" hidden="1" customHeight="1" x14ac:dyDescent="0.2"/>
    <row r="15682" ht="12.75" hidden="1" customHeight="1" x14ac:dyDescent="0.2"/>
    <row r="15683" ht="12.75" hidden="1" customHeight="1" x14ac:dyDescent="0.2"/>
    <row r="15684" ht="12.75" hidden="1" customHeight="1" x14ac:dyDescent="0.2"/>
    <row r="15685" ht="12.75" hidden="1" customHeight="1" x14ac:dyDescent="0.2"/>
    <row r="15686" ht="12.75" hidden="1" customHeight="1" x14ac:dyDescent="0.2"/>
    <row r="15687" ht="12.75" hidden="1" customHeight="1" x14ac:dyDescent="0.2"/>
    <row r="15688" ht="12.75" hidden="1" customHeight="1" x14ac:dyDescent="0.2"/>
    <row r="15689" ht="12.75" hidden="1" customHeight="1" x14ac:dyDescent="0.2"/>
    <row r="15690" ht="12.75" hidden="1" customHeight="1" x14ac:dyDescent="0.2"/>
    <row r="15691" ht="12.75" hidden="1" customHeight="1" x14ac:dyDescent="0.2"/>
    <row r="15692" ht="12.75" hidden="1" customHeight="1" x14ac:dyDescent="0.2"/>
    <row r="15693" ht="12.75" hidden="1" customHeight="1" x14ac:dyDescent="0.2"/>
    <row r="15694" ht="12.75" hidden="1" customHeight="1" x14ac:dyDescent="0.2"/>
    <row r="15695" ht="12.75" hidden="1" customHeight="1" x14ac:dyDescent="0.2"/>
    <row r="15696" ht="12.75" hidden="1" customHeight="1" x14ac:dyDescent="0.2"/>
    <row r="15697" ht="12.75" hidden="1" customHeight="1" x14ac:dyDescent="0.2"/>
    <row r="15698" ht="12.75" hidden="1" customHeight="1" x14ac:dyDescent="0.2"/>
    <row r="15699" ht="12.75" hidden="1" customHeight="1" x14ac:dyDescent="0.2"/>
    <row r="15700" ht="12.75" hidden="1" customHeight="1" x14ac:dyDescent="0.2"/>
    <row r="15701" ht="12.75" hidden="1" customHeight="1" x14ac:dyDescent="0.2"/>
    <row r="15702" ht="12.75" hidden="1" customHeight="1" x14ac:dyDescent="0.2"/>
    <row r="15703" ht="12.75" hidden="1" customHeight="1" x14ac:dyDescent="0.2"/>
    <row r="15704" ht="12.75" hidden="1" customHeight="1" x14ac:dyDescent="0.2"/>
    <row r="15705" ht="12.75" hidden="1" customHeight="1" x14ac:dyDescent="0.2"/>
    <row r="15706" ht="12.75" hidden="1" customHeight="1" x14ac:dyDescent="0.2"/>
    <row r="15707" ht="12.75" hidden="1" customHeight="1" x14ac:dyDescent="0.2"/>
    <row r="15708" ht="12.75" hidden="1" customHeight="1" x14ac:dyDescent="0.2"/>
    <row r="15709" ht="12.75" hidden="1" customHeight="1" x14ac:dyDescent="0.2"/>
    <row r="15710" ht="12.75" hidden="1" customHeight="1" x14ac:dyDescent="0.2"/>
    <row r="15711" ht="12.75" hidden="1" customHeight="1" x14ac:dyDescent="0.2"/>
    <row r="15712" ht="12.75" hidden="1" customHeight="1" x14ac:dyDescent="0.2"/>
    <row r="15713" ht="12.75" hidden="1" customHeight="1" x14ac:dyDescent="0.2"/>
    <row r="15714" ht="12.75" hidden="1" customHeight="1" x14ac:dyDescent="0.2"/>
    <row r="15715" ht="12.75" hidden="1" customHeight="1" x14ac:dyDescent="0.2"/>
    <row r="15716" ht="12.75" hidden="1" customHeight="1" x14ac:dyDescent="0.2"/>
    <row r="15717" ht="12.75" hidden="1" customHeight="1" x14ac:dyDescent="0.2"/>
    <row r="15718" ht="12.75" hidden="1" customHeight="1" x14ac:dyDescent="0.2"/>
    <row r="15719" ht="12.75" hidden="1" customHeight="1" x14ac:dyDescent="0.2"/>
    <row r="15720" ht="12.75" hidden="1" customHeight="1" x14ac:dyDescent="0.2"/>
    <row r="15721" ht="12.75" hidden="1" customHeight="1" x14ac:dyDescent="0.2"/>
    <row r="15722" ht="12.75" hidden="1" customHeight="1" x14ac:dyDescent="0.2"/>
    <row r="15723" ht="12.75" hidden="1" customHeight="1" x14ac:dyDescent="0.2"/>
    <row r="15724" ht="12.75" hidden="1" customHeight="1" x14ac:dyDescent="0.2"/>
    <row r="15725" ht="12.75" hidden="1" customHeight="1" x14ac:dyDescent="0.2"/>
    <row r="15726" ht="12.75" hidden="1" customHeight="1" x14ac:dyDescent="0.2"/>
    <row r="15727" ht="12.75" hidden="1" customHeight="1" x14ac:dyDescent="0.2"/>
    <row r="15728" ht="12.75" hidden="1" customHeight="1" x14ac:dyDescent="0.2"/>
    <row r="15729" ht="12.75" hidden="1" customHeight="1" x14ac:dyDescent="0.2"/>
    <row r="15730" ht="12.75" hidden="1" customHeight="1" x14ac:dyDescent="0.2"/>
    <row r="15731" ht="12.75" hidden="1" customHeight="1" x14ac:dyDescent="0.2"/>
    <row r="15732" ht="12.75" hidden="1" customHeight="1" x14ac:dyDescent="0.2"/>
    <row r="15733" ht="12.75" hidden="1" customHeight="1" x14ac:dyDescent="0.2"/>
    <row r="15734" ht="12.75" hidden="1" customHeight="1" x14ac:dyDescent="0.2"/>
    <row r="15735" ht="12.75" hidden="1" customHeight="1" x14ac:dyDescent="0.2"/>
    <row r="15736" ht="12.75" hidden="1" customHeight="1" x14ac:dyDescent="0.2"/>
    <row r="15737" ht="12.75" hidden="1" customHeight="1" x14ac:dyDescent="0.2"/>
    <row r="15738" ht="12.75" hidden="1" customHeight="1" x14ac:dyDescent="0.2"/>
    <row r="15739" ht="12.75" hidden="1" customHeight="1" x14ac:dyDescent="0.2"/>
    <row r="15740" ht="12.75" hidden="1" customHeight="1" x14ac:dyDescent="0.2"/>
    <row r="15741" ht="12.75" hidden="1" customHeight="1" x14ac:dyDescent="0.2"/>
    <row r="15742" ht="12.75" hidden="1" customHeight="1" x14ac:dyDescent="0.2"/>
    <row r="15743" ht="12.75" hidden="1" customHeight="1" x14ac:dyDescent="0.2"/>
    <row r="15744" ht="12.75" hidden="1" customHeight="1" x14ac:dyDescent="0.2"/>
    <row r="15745" ht="12.75" hidden="1" customHeight="1" x14ac:dyDescent="0.2"/>
    <row r="15746" ht="12.75" hidden="1" customHeight="1" x14ac:dyDescent="0.2"/>
    <row r="15747" ht="12.75" hidden="1" customHeight="1" x14ac:dyDescent="0.2"/>
    <row r="15748" ht="12.75" hidden="1" customHeight="1" x14ac:dyDescent="0.2"/>
    <row r="15749" ht="12.75" hidden="1" customHeight="1" x14ac:dyDescent="0.2"/>
    <row r="15750" ht="12.75" hidden="1" customHeight="1" x14ac:dyDescent="0.2"/>
    <row r="15751" ht="12.75" hidden="1" customHeight="1" x14ac:dyDescent="0.2"/>
    <row r="15752" ht="12.75" hidden="1" customHeight="1" x14ac:dyDescent="0.2"/>
    <row r="15753" ht="12.75" hidden="1" customHeight="1" x14ac:dyDescent="0.2"/>
    <row r="15754" ht="12.75" hidden="1" customHeight="1" x14ac:dyDescent="0.2"/>
    <row r="15755" ht="12.75" hidden="1" customHeight="1" x14ac:dyDescent="0.2"/>
    <row r="15756" ht="12.75" hidden="1" customHeight="1" x14ac:dyDescent="0.2"/>
    <row r="15757" ht="12.75" hidden="1" customHeight="1" x14ac:dyDescent="0.2"/>
    <row r="15758" ht="12.75" hidden="1" customHeight="1" x14ac:dyDescent="0.2"/>
    <row r="15759" ht="12.75" hidden="1" customHeight="1" x14ac:dyDescent="0.2"/>
    <row r="15760" ht="12.75" hidden="1" customHeight="1" x14ac:dyDescent="0.2"/>
    <row r="15761" ht="12.75" hidden="1" customHeight="1" x14ac:dyDescent="0.2"/>
    <row r="15762" ht="12.75" hidden="1" customHeight="1" x14ac:dyDescent="0.2"/>
    <row r="15763" ht="12.75" hidden="1" customHeight="1" x14ac:dyDescent="0.2"/>
    <row r="15764" ht="12.75" hidden="1" customHeight="1" x14ac:dyDescent="0.2"/>
    <row r="15765" ht="12.75" hidden="1" customHeight="1" x14ac:dyDescent="0.2"/>
    <row r="15766" ht="12.75" hidden="1" customHeight="1" x14ac:dyDescent="0.2"/>
    <row r="15767" ht="12.75" hidden="1" customHeight="1" x14ac:dyDescent="0.2"/>
    <row r="15768" ht="12.75" hidden="1" customHeight="1" x14ac:dyDescent="0.2"/>
    <row r="15769" ht="12.75" hidden="1" customHeight="1" x14ac:dyDescent="0.2"/>
    <row r="15770" ht="12.75" hidden="1" customHeight="1" x14ac:dyDescent="0.2"/>
    <row r="15771" ht="12.75" hidden="1" customHeight="1" x14ac:dyDescent="0.2"/>
    <row r="15772" ht="12.75" hidden="1" customHeight="1" x14ac:dyDescent="0.2"/>
    <row r="15773" ht="12.75" hidden="1" customHeight="1" x14ac:dyDescent="0.2"/>
    <row r="15774" ht="12.75" hidden="1" customHeight="1" x14ac:dyDescent="0.2"/>
    <row r="15775" ht="12.75" hidden="1" customHeight="1" x14ac:dyDescent="0.2"/>
    <row r="15776" ht="12.75" hidden="1" customHeight="1" x14ac:dyDescent="0.2"/>
    <row r="15777" ht="12.75" hidden="1" customHeight="1" x14ac:dyDescent="0.2"/>
    <row r="15778" ht="12.75" hidden="1" customHeight="1" x14ac:dyDescent="0.2"/>
    <row r="15779" ht="12.75" hidden="1" customHeight="1" x14ac:dyDescent="0.2"/>
    <row r="15780" ht="12.75" hidden="1" customHeight="1" x14ac:dyDescent="0.2"/>
    <row r="15781" ht="12.75" hidden="1" customHeight="1" x14ac:dyDescent="0.2"/>
    <row r="15782" ht="12.75" hidden="1" customHeight="1" x14ac:dyDescent="0.2"/>
    <row r="15783" ht="12.75" hidden="1" customHeight="1" x14ac:dyDescent="0.2"/>
    <row r="15784" ht="12.75" hidden="1" customHeight="1" x14ac:dyDescent="0.2"/>
    <row r="15785" ht="12.75" hidden="1" customHeight="1" x14ac:dyDescent="0.2"/>
    <row r="15786" ht="12.75" hidden="1" customHeight="1" x14ac:dyDescent="0.2"/>
    <row r="15787" ht="12.75" hidden="1" customHeight="1" x14ac:dyDescent="0.2"/>
    <row r="15788" ht="12.75" hidden="1" customHeight="1" x14ac:dyDescent="0.2"/>
    <row r="15789" ht="12.75" hidden="1" customHeight="1" x14ac:dyDescent="0.2"/>
    <row r="15790" ht="12.75" hidden="1" customHeight="1" x14ac:dyDescent="0.2"/>
    <row r="15791" ht="12.75" hidden="1" customHeight="1" x14ac:dyDescent="0.2"/>
    <row r="15792" ht="12.75" hidden="1" customHeight="1" x14ac:dyDescent="0.2"/>
    <row r="15793" ht="12.75" hidden="1" customHeight="1" x14ac:dyDescent="0.2"/>
    <row r="15794" ht="12.75" hidden="1" customHeight="1" x14ac:dyDescent="0.2"/>
    <row r="15795" ht="12.75" hidden="1" customHeight="1" x14ac:dyDescent="0.2"/>
    <row r="15796" ht="12.75" hidden="1" customHeight="1" x14ac:dyDescent="0.2"/>
    <row r="15797" ht="12.75" hidden="1" customHeight="1" x14ac:dyDescent="0.2"/>
    <row r="15798" ht="12.75" hidden="1" customHeight="1" x14ac:dyDescent="0.2"/>
    <row r="15799" ht="12.75" hidden="1" customHeight="1" x14ac:dyDescent="0.2"/>
    <row r="15800" ht="12.75" hidden="1" customHeight="1" x14ac:dyDescent="0.2"/>
    <row r="15801" ht="12.75" hidden="1" customHeight="1" x14ac:dyDescent="0.2"/>
    <row r="15802" ht="12.75" hidden="1" customHeight="1" x14ac:dyDescent="0.2"/>
    <row r="15803" ht="12.75" hidden="1" customHeight="1" x14ac:dyDescent="0.2"/>
    <row r="15804" ht="12.75" hidden="1" customHeight="1" x14ac:dyDescent="0.2"/>
    <row r="15805" ht="12.75" hidden="1" customHeight="1" x14ac:dyDescent="0.2"/>
    <row r="15806" ht="12.75" hidden="1" customHeight="1" x14ac:dyDescent="0.2"/>
    <row r="15807" ht="12.75" hidden="1" customHeight="1" x14ac:dyDescent="0.2"/>
    <row r="15808" ht="12.75" hidden="1" customHeight="1" x14ac:dyDescent="0.2"/>
    <row r="15809" ht="12.75" hidden="1" customHeight="1" x14ac:dyDescent="0.2"/>
    <row r="15810" ht="12.75" hidden="1" customHeight="1" x14ac:dyDescent="0.2"/>
    <row r="15811" ht="12.75" hidden="1" customHeight="1" x14ac:dyDescent="0.2"/>
    <row r="15812" ht="12.75" hidden="1" customHeight="1" x14ac:dyDescent="0.2"/>
    <row r="15813" ht="12.75" hidden="1" customHeight="1" x14ac:dyDescent="0.2"/>
    <row r="15814" ht="12.75" hidden="1" customHeight="1" x14ac:dyDescent="0.2"/>
    <row r="15815" ht="12.75" hidden="1" customHeight="1" x14ac:dyDescent="0.2"/>
    <row r="15816" ht="12.75" hidden="1" customHeight="1" x14ac:dyDescent="0.2"/>
    <row r="15817" ht="12.75" hidden="1" customHeight="1" x14ac:dyDescent="0.2"/>
    <row r="15818" ht="12.75" hidden="1" customHeight="1" x14ac:dyDescent="0.2"/>
    <row r="15819" ht="12.75" hidden="1" customHeight="1" x14ac:dyDescent="0.2"/>
    <row r="15820" ht="12.75" hidden="1" customHeight="1" x14ac:dyDescent="0.2"/>
    <row r="15821" ht="12.75" hidden="1" customHeight="1" x14ac:dyDescent="0.2"/>
    <row r="15822" ht="12.75" hidden="1" customHeight="1" x14ac:dyDescent="0.2"/>
    <row r="15823" ht="12.75" hidden="1" customHeight="1" x14ac:dyDescent="0.2"/>
    <row r="15824" ht="12.75" hidden="1" customHeight="1" x14ac:dyDescent="0.2"/>
    <row r="15825" ht="12.75" hidden="1" customHeight="1" x14ac:dyDescent="0.2"/>
    <row r="15826" ht="12.75" hidden="1" customHeight="1" x14ac:dyDescent="0.2"/>
    <row r="15827" ht="12.75" hidden="1" customHeight="1" x14ac:dyDescent="0.2"/>
    <row r="15828" ht="12.75" hidden="1" customHeight="1" x14ac:dyDescent="0.2"/>
    <row r="15829" ht="12.75" hidden="1" customHeight="1" x14ac:dyDescent="0.2"/>
    <row r="15830" ht="12.75" hidden="1" customHeight="1" x14ac:dyDescent="0.2"/>
    <row r="15831" ht="12.75" hidden="1" customHeight="1" x14ac:dyDescent="0.2"/>
    <row r="15832" ht="12.75" hidden="1" customHeight="1" x14ac:dyDescent="0.2"/>
    <row r="15833" ht="12.75" hidden="1" customHeight="1" x14ac:dyDescent="0.2"/>
    <row r="15834" ht="12.75" hidden="1" customHeight="1" x14ac:dyDescent="0.2"/>
    <row r="15835" ht="12.75" hidden="1" customHeight="1" x14ac:dyDescent="0.2"/>
    <row r="15836" ht="12.75" hidden="1" customHeight="1" x14ac:dyDescent="0.2"/>
    <row r="15837" ht="12.75" hidden="1" customHeight="1" x14ac:dyDescent="0.2"/>
    <row r="15838" ht="12.75" hidden="1" customHeight="1" x14ac:dyDescent="0.2"/>
    <row r="15839" ht="12.75" hidden="1" customHeight="1" x14ac:dyDescent="0.2"/>
    <row r="15840" ht="12.75" hidden="1" customHeight="1" x14ac:dyDescent="0.2"/>
    <row r="15841" ht="12.75" hidden="1" customHeight="1" x14ac:dyDescent="0.2"/>
    <row r="15842" ht="12.75" hidden="1" customHeight="1" x14ac:dyDescent="0.2"/>
    <row r="15843" ht="12.75" hidden="1" customHeight="1" x14ac:dyDescent="0.2"/>
    <row r="15844" ht="12.75" hidden="1" customHeight="1" x14ac:dyDescent="0.2"/>
    <row r="15845" ht="12.75" hidden="1" customHeight="1" x14ac:dyDescent="0.2"/>
    <row r="15846" ht="12.75" hidden="1" customHeight="1" x14ac:dyDescent="0.2"/>
    <row r="15847" ht="12.75" hidden="1" customHeight="1" x14ac:dyDescent="0.2"/>
    <row r="15848" ht="12.75" hidden="1" customHeight="1" x14ac:dyDescent="0.2"/>
    <row r="15849" ht="12.75" hidden="1" customHeight="1" x14ac:dyDescent="0.2"/>
    <row r="15850" ht="12.75" hidden="1" customHeight="1" x14ac:dyDescent="0.2"/>
    <row r="15851" ht="12.75" hidden="1" customHeight="1" x14ac:dyDescent="0.2"/>
    <row r="15852" ht="12.75" hidden="1" customHeight="1" x14ac:dyDescent="0.2"/>
    <row r="15853" ht="12.75" hidden="1" customHeight="1" x14ac:dyDescent="0.2"/>
    <row r="15854" ht="12.75" hidden="1" customHeight="1" x14ac:dyDescent="0.2"/>
    <row r="15855" ht="12.75" hidden="1" customHeight="1" x14ac:dyDescent="0.2"/>
    <row r="15856" ht="12.75" hidden="1" customHeight="1" x14ac:dyDescent="0.2"/>
    <row r="15857" ht="12.75" hidden="1" customHeight="1" x14ac:dyDescent="0.2"/>
    <row r="15858" ht="12.75" hidden="1" customHeight="1" x14ac:dyDescent="0.2"/>
    <row r="15859" ht="12.75" hidden="1" customHeight="1" x14ac:dyDescent="0.2"/>
    <row r="15860" ht="12.75" hidden="1" customHeight="1" x14ac:dyDescent="0.2"/>
    <row r="15861" ht="12.75" hidden="1" customHeight="1" x14ac:dyDescent="0.2"/>
    <row r="15862" ht="12.75" hidden="1" customHeight="1" x14ac:dyDescent="0.2"/>
    <row r="15863" ht="12.75" hidden="1" customHeight="1" x14ac:dyDescent="0.2"/>
    <row r="15864" ht="12.75" hidden="1" customHeight="1" x14ac:dyDescent="0.2"/>
    <row r="15865" ht="12.75" hidden="1" customHeight="1" x14ac:dyDescent="0.2"/>
    <row r="15866" ht="12.75" hidden="1" customHeight="1" x14ac:dyDescent="0.2"/>
    <row r="15867" ht="12.75" hidden="1" customHeight="1" x14ac:dyDescent="0.2"/>
    <row r="15868" ht="12.75" hidden="1" customHeight="1" x14ac:dyDescent="0.2"/>
    <row r="15869" ht="12.75" hidden="1" customHeight="1" x14ac:dyDescent="0.2"/>
    <row r="15870" ht="12.75" hidden="1" customHeight="1" x14ac:dyDescent="0.2"/>
    <row r="15871" ht="12.75" hidden="1" customHeight="1" x14ac:dyDescent="0.2"/>
    <row r="15872" ht="12.75" hidden="1" customHeight="1" x14ac:dyDescent="0.2"/>
    <row r="15873" ht="12.75" hidden="1" customHeight="1" x14ac:dyDescent="0.2"/>
    <row r="15874" ht="12.75" hidden="1" customHeight="1" x14ac:dyDescent="0.2"/>
    <row r="15875" ht="12.75" hidden="1" customHeight="1" x14ac:dyDescent="0.2"/>
    <row r="15876" ht="12.75" hidden="1" customHeight="1" x14ac:dyDescent="0.2"/>
    <row r="15877" ht="12.75" hidden="1" customHeight="1" x14ac:dyDescent="0.2"/>
    <row r="15878" ht="12.75" hidden="1" customHeight="1" x14ac:dyDescent="0.2"/>
    <row r="15879" ht="12.75" hidden="1" customHeight="1" x14ac:dyDescent="0.2"/>
    <row r="15880" ht="12.75" hidden="1" customHeight="1" x14ac:dyDescent="0.2"/>
    <row r="15881" ht="12.75" hidden="1" customHeight="1" x14ac:dyDescent="0.2"/>
    <row r="15882" ht="12.75" hidden="1" customHeight="1" x14ac:dyDescent="0.2"/>
    <row r="15883" ht="12.75" hidden="1" customHeight="1" x14ac:dyDescent="0.2"/>
    <row r="15884" ht="12.75" hidden="1" customHeight="1" x14ac:dyDescent="0.2"/>
    <row r="15885" ht="12.75" hidden="1" customHeight="1" x14ac:dyDescent="0.2"/>
    <row r="15886" ht="12.75" hidden="1" customHeight="1" x14ac:dyDescent="0.2"/>
    <row r="15887" ht="12.75" hidden="1" customHeight="1" x14ac:dyDescent="0.2"/>
    <row r="15888" ht="12.75" hidden="1" customHeight="1" x14ac:dyDescent="0.2"/>
    <row r="15889" ht="12.75" hidden="1" customHeight="1" x14ac:dyDescent="0.2"/>
    <row r="15890" ht="12.75" hidden="1" customHeight="1" x14ac:dyDescent="0.2"/>
    <row r="15891" ht="12.75" hidden="1" customHeight="1" x14ac:dyDescent="0.2"/>
    <row r="15892" ht="12.75" hidden="1" customHeight="1" x14ac:dyDescent="0.2"/>
    <row r="15893" ht="12.75" hidden="1" customHeight="1" x14ac:dyDescent="0.2"/>
    <row r="15894" ht="12.75" hidden="1" customHeight="1" x14ac:dyDescent="0.2"/>
    <row r="15895" ht="12.75" hidden="1" customHeight="1" x14ac:dyDescent="0.2"/>
    <row r="15896" ht="12.75" hidden="1" customHeight="1" x14ac:dyDescent="0.2"/>
    <row r="15897" ht="12.75" hidden="1" customHeight="1" x14ac:dyDescent="0.2"/>
    <row r="15898" ht="12.75" hidden="1" customHeight="1" x14ac:dyDescent="0.2"/>
    <row r="15899" ht="12.75" hidden="1" customHeight="1" x14ac:dyDescent="0.2"/>
    <row r="15900" ht="12.75" hidden="1" customHeight="1" x14ac:dyDescent="0.2"/>
    <row r="15901" ht="12.75" hidden="1" customHeight="1" x14ac:dyDescent="0.2"/>
    <row r="15902" ht="12.75" hidden="1" customHeight="1" x14ac:dyDescent="0.2"/>
    <row r="15903" ht="12.75" hidden="1" customHeight="1" x14ac:dyDescent="0.2"/>
    <row r="15904" ht="12.75" hidden="1" customHeight="1" x14ac:dyDescent="0.2"/>
    <row r="15905" ht="12.75" hidden="1" customHeight="1" x14ac:dyDescent="0.2"/>
    <row r="15906" ht="12.75" hidden="1" customHeight="1" x14ac:dyDescent="0.2"/>
    <row r="15907" ht="12.75" hidden="1" customHeight="1" x14ac:dyDescent="0.2"/>
    <row r="15908" ht="12.75" hidden="1" customHeight="1" x14ac:dyDescent="0.2"/>
    <row r="15909" ht="12.75" hidden="1" customHeight="1" x14ac:dyDescent="0.2"/>
    <row r="15910" ht="12.75" hidden="1" customHeight="1" x14ac:dyDescent="0.2"/>
    <row r="15911" ht="12.75" hidden="1" customHeight="1" x14ac:dyDescent="0.2"/>
    <row r="15912" ht="12.75" hidden="1" customHeight="1" x14ac:dyDescent="0.2"/>
    <row r="15913" ht="12.75" hidden="1" customHeight="1" x14ac:dyDescent="0.2"/>
    <row r="15914" ht="12.75" hidden="1" customHeight="1" x14ac:dyDescent="0.2"/>
    <row r="15915" ht="12.75" hidden="1" customHeight="1" x14ac:dyDescent="0.2"/>
    <row r="15916" ht="12.75" hidden="1" customHeight="1" x14ac:dyDescent="0.2"/>
    <row r="15917" ht="12.75" hidden="1" customHeight="1" x14ac:dyDescent="0.2"/>
    <row r="15918" ht="12.75" hidden="1" customHeight="1" x14ac:dyDescent="0.2"/>
    <row r="15919" ht="12.75" hidden="1" customHeight="1" x14ac:dyDescent="0.2"/>
    <row r="15920" ht="12.75" hidden="1" customHeight="1" x14ac:dyDescent="0.2"/>
    <row r="15921" ht="12.75" hidden="1" customHeight="1" x14ac:dyDescent="0.2"/>
    <row r="15922" ht="12.75" hidden="1" customHeight="1" x14ac:dyDescent="0.2"/>
    <row r="15923" ht="12.75" hidden="1" customHeight="1" x14ac:dyDescent="0.2"/>
    <row r="15924" ht="12.75" hidden="1" customHeight="1" x14ac:dyDescent="0.2"/>
    <row r="15925" ht="12.75" hidden="1" customHeight="1" x14ac:dyDescent="0.2"/>
    <row r="15926" ht="12.75" hidden="1" customHeight="1" x14ac:dyDescent="0.2"/>
    <row r="15927" ht="12.75" hidden="1" customHeight="1" x14ac:dyDescent="0.2"/>
    <row r="15928" ht="12.75" hidden="1" customHeight="1" x14ac:dyDescent="0.2"/>
    <row r="15929" ht="12.75" hidden="1" customHeight="1" x14ac:dyDescent="0.2"/>
    <row r="15930" ht="12.75" hidden="1" customHeight="1" x14ac:dyDescent="0.2"/>
    <row r="15931" ht="12.75" hidden="1" customHeight="1" x14ac:dyDescent="0.2"/>
    <row r="15932" ht="12.75" hidden="1" customHeight="1" x14ac:dyDescent="0.2"/>
    <row r="15933" ht="12.75" hidden="1" customHeight="1" x14ac:dyDescent="0.2"/>
    <row r="15934" ht="12.75" hidden="1" customHeight="1" x14ac:dyDescent="0.2"/>
    <row r="15935" ht="12.75" hidden="1" customHeight="1" x14ac:dyDescent="0.2"/>
    <row r="15936" ht="12.75" hidden="1" customHeight="1" x14ac:dyDescent="0.2"/>
    <row r="15937" ht="12.75" hidden="1" customHeight="1" x14ac:dyDescent="0.2"/>
    <row r="15938" ht="12.75" hidden="1" customHeight="1" x14ac:dyDescent="0.2"/>
    <row r="15939" ht="12.75" hidden="1" customHeight="1" x14ac:dyDescent="0.2"/>
    <row r="15940" ht="12.75" hidden="1" customHeight="1" x14ac:dyDescent="0.2"/>
    <row r="15941" ht="12.75" hidden="1" customHeight="1" x14ac:dyDescent="0.2"/>
    <row r="15942" ht="12.75" hidden="1" customHeight="1" x14ac:dyDescent="0.2"/>
    <row r="15943" ht="12.75" hidden="1" customHeight="1" x14ac:dyDescent="0.2"/>
    <row r="15944" ht="12.75" hidden="1" customHeight="1" x14ac:dyDescent="0.2"/>
    <row r="15945" ht="12.75" hidden="1" customHeight="1" x14ac:dyDescent="0.2"/>
    <row r="15946" ht="12.75" hidden="1" customHeight="1" x14ac:dyDescent="0.2"/>
    <row r="15947" ht="12.75" hidden="1" customHeight="1" x14ac:dyDescent="0.2"/>
    <row r="15948" ht="12.75" hidden="1" customHeight="1" x14ac:dyDescent="0.2"/>
    <row r="15949" ht="12.75" hidden="1" customHeight="1" x14ac:dyDescent="0.2"/>
    <row r="15950" ht="12.75" hidden="1" customHeight="1" x14ac:dyDescent="0.2"/>
    <row r="15951" ht="12.75" hidden="1" customHeight="1" x14ac:dyDescent="0.2"/>
    <row r="15952" ht="12.75" hidden="1" customHeight="1" x14ac:dyDescent="0.2"/>
    <row r="15953" ht="12.75" hidden="1" customHeight="1" x14ac:dyDescent="0.2"/>
    <row r="15954" ht="12.75" hidden="1" customHeight="1" x14ac:dyDescent="0.2"/>
    <row r="15955" ht="12.75" hidden="1" customHeight="1" x14ac:dyDescent="0.2"/>
    <row r="15956" ht="12.75" hidden="1" customHeight="1" x14ac:dyDescent="0.2"/>
    <row r="15957" ht="12.75" hidden="1" customHeight="1" x14ac:dyDescent="0.2"/>
    <row r="15958" ht="12.75" hidden="1" customHeight="1" x14ac:dyDescent="0.2"/>
    <row r="15959" ht="12.75" hidden="1" customHeight="1" x14ac:dyDescent="0.2"/>
    <row r="15960" ht="12.75" hidden="1" customHeight="1" x14ac:dyDescent="0.2"/>
    <row r="15961" ht="12.75" hidden="1" customHeight="1" x14ac:dyDescent="0.2"/>
    <row r="15962" ht="12.75" hidden="1" customHeight="1" x14ac:dyDescent="0.2"/>
    <row r="15963" ht="12.75" hidden="1" customHeight="1" x14ac:dyDescent="0.2"/>
    <row r="15964" ht="12.75" hidden="1" customHeight="1" x14ac:dyDescent="0.2"/>
    <row r="15965" ht="12.75" hidden="1" customHeight="1" x14ac:dyDescent="0.2"/>
    <row r="15966" ht="12.75" hidden="1" customHeight="1" x14ac:dyDescent="0.2"/>
    <row r="15967" ht="12.75" hidden="1" customHeight="1" x14ac:dyDescent="0.2"/>
    <row r="15968" ht="12.75" hidden="1" customHeight="1" x14ac:dyDescent="0.2"/>
    <row r="15969" ht="12.75" hidden="1" customHeight="1" x14ac:dyDescent="0.2"/>
    <row r="15970" ht="12.75" hidden="1" customHeight="1" x14ac:dyDescent="0.2"/>
    <row r="15971" ht="12.75" hidden="1" customHeight="1" x14ac:dyDescent="0.2"/>
    <row r="15972" ht="12.75" hidden="1" customHeight="1" x14ac:dyDescent="0.2"/>
    <row r="15973" ht="12.75" hidden="1" customHeight="1" x14ac:dyDescent="0.2"/>
    <row r="15974" ht="12.75" hidden="1" customHeight="1" x14ac:dyDescent="0.2"/>
    <row r="15975" ht="12.75" hidden="1" customHeight="1" x14ac:dyDescent="0.2"/>
    <row r="15976" ht="12.75" hidden="1" customHeight="1" x14ac:dyDescent="0.2"/>
    <row r="15977" ht="12.75" hidden="1" customHeight="1" x14ac:dyDescent="0.2"/>
    <row r="15978" ht="12.75" hidden="1" customHeight="1" x14ac:dyDescent="0.2"/>
    <row r="15979" ht="12.75" hidden="1" customHeight="1" x14ac:dyDescent="0.2"/>
    <row r="15980" ht="12.75" hidden="1" customHeight="1" x14ac:dyDescent="0.2"/>
    <row r="15981" ht="12.75" hidden="1" customHeight="1" x14ac:dyDescent="0.2"/>
    <row r="15982" ht="12.75" hidden="1" customHeight="1" x14ac:dyDescent="0.2"/>
    <row r="15983" ht="12.75" hidden="1" customHeight="1" x14ac:dyDescent="0.2"/>
    <row r="15984" ht="12.75" hidden="1" customHeight="1" x14ac:dyDescent="0.2"/>
    <row r="15985" ht="12.75" hidden="1" customHeight="1" x14ac:dyDescent="0.2"/>
    <row r="15986" ht="12.75" hidden="1" customHeight="1" x14ac:dyDescent="0.2"/>
    <row r="15987" ht="12.75" hidden="1" customHeight="1" x14ac:dyDescent="0.2"/>
    <row r="15988" ht="12.75" hidden="1" customHeight="1" x14ac:dyDescent="0.2"/>
    <row r="15989" ht="12.75" hidden="1" customHeight="1" x14ac:dyDescent="0.2"/>
    <row r="15990" ht="12.75" hidden="1" customHeight="1" x14ac:dyDescent="0.2"/>
    <row r="15991" ht="12.75" hidden="1" customHeight="1" x14ac:dyDescent="0.2"/>
    <row r="15992" ht="12.75" hidden="1" customHeight="1" x14ac:dyDescent="0.2"/>
    <row r="15993" ht="12.75" hidden="1" customHeight="1" x14ac:dyDescent="0.2"/>
    <row r="15994" ht="12.75" hidden="1" customHeight="1" x14ac:dyDescent="0.2"/>
    <row r="15995" ht="12.75" hidden="1" customHeight="1" x14ac:dyDescent="0.2"/>
    <row r="15996" ht="12.75" hidden="1" customHeight="1" x14ac:dyDescent="0.2"/>
    <row r="15997" ht="12.75" hidden="1" customHeight="1" x14ac:dyDescent="0.2"/>
    <row r="15998" ht="12.75" hidden="1" customHeight="1" x14ac:dyDescent="0.2"/>
    <row r="15999" ht="12.75" hidden="1" customHeight="1" x14ac:dyDescent="0.2"/>
    <row r="16000" ht="12.75" hidden="1" customHeight="1" x14ac:dyDescent="0.2"/>
    <row r="16001" ht="12.75" hidden="1" customHeight="1" x14ac:dyDescent="0.2"/>
    <row r="16002" ht="12.75" hidden="1" customHeight="1" x14ac:dyDescent="0.2"/>
    <row r="16003" ht="12.75" hidden="1" customHeight="1" x14ac:dyDescent="0.2"/>
    <row r="16004" ht="12.75" hidden="1" customHeight="1" x14ac:dyDescent="0.2"/>
    <row r="16005" ht="12.75" hidden="1" customHeight="1" x14ac:dyDescent="0.2"/>
    <row r="16006" ht="12.75" hidden="1" customHeight="1" x14ac:dyDescent="0.2"/>
    <row r="16007" ht="12.75" hidden="1" customHeight="1" x14ac:dyDescent="0.2"/>
    <row r="16008" ht="12.75" hidden="1" customHeight="1" x14ac:dyDescent="0.2"/>
    <row r="16009" ht="12.75" hidden="1" customHeight="1" x14ac:dyDescent="0.2"/>
    <row r="16010" ht="12.75" hidden="1" customHeight="1" x14ac:dyDescent="0.2"/>
    <row r="16011" ht="12.75" hidden="1" customHeight="1" x14ac:dyDescent="0.2"/>
    <row r="16012" ht="12.75" hidden="1" customHeight="1" x14ac:dyDescent="0.2"/>
    <row r="16013" ht="12.75" hidden="1" customHeight="1" x14ac:dyDescent="0.2"/>
    <row r="16014" ht="12.75" hidden="1" customHeight="1" x14ac:dyDescent="0.2"/>
    <row r="16015" ht="12.75" hidden="1" customHeight="1" x14ac:dyDescent="0.2"/>
    <row r="16016" ht="12.75" hidden="1" customHeight="1" x14ac:dyDescent="0.2"/>
    <row r="16017" ht="12.75" hidden="1" customHeight="1" x14ac:dyDescent="0.2"/>
    <row r="16018" ht="12.75" hidden="1" customHeight="1" x14ac:dyDescent="0.2"/>
    <row r="16019" ht="12.75" hidden="1" customHeight="1" x14ac:dyDescent="0.2"/>
    <row r="16020" ht="12.75" hidden="1" customHeight="1" x14ac:dyDescent="0.2"/>
    <row r="16021" ht="12.75" hidden="1" customHeight="1" x14ac:dyDescent="0.2"/>
    <row r="16022" ht="12.75" hidden="1" customHeight="1" x14ac:dyDescent="0.2"/>
    <row r="16023" ht="12.75" hidden="1" customHeight="1" x14ac:dyDescent="0.2"/>
    <row r="16024" ht="12.75" hidden="1" customHeight="1" x14ac:dyDescent="0.2"/>
    <row r="16025" ht="12.75" hidden="1" customHeight="1" x14ac:dyDescent="0.2"/>
    <row r="16026" ht="12.75" hidden="1" customHeight="1" x14ac:dyDescent="0.2"/>
    <row r="16027" ht="12.75" hidden="1" customHeight="1" x14ac:dyDescent="0.2"/>
    <row r="16028" ht="12.75" hidden="1" customHeight="1" x14ac:dyDescent="0.2"/>
    <row r="16029" ht="12.75" hidden="1" customHeight="1" x14ac:dyDescent="0.2"/>
    <row r="16030" ht="12.75" hidden="1" customHeight="1" x14ac:dyDescent="0.2"/>
    <row r="16031" ht="12.75" hidden="1" customHeight="1" x14ac:dyDescent="0.2"/>
    <row r="16032" ht="12.75" hidden="1" customHeight="1" x14ac:dyDescent="0.2"/>
    <row r="16033" ht="12.75" hidden="1" customHeight="1" x14ac:dyDescent="0.2"/>
    <row r="16034" ht="12.75" hidden="1" customHeight="1" x14ac:dyDescent="0.2"/>
    <row r="16035" ht="12.75" hidden="1" customHeight="1" x14ac:dyDescent="0.2"/>
    <row r="16036" ht="12.75" hidden="1" customHeight="1" x14ac:dyDescent="0.2"/>
    <row r="16037" ht="12.75" hidden="1" customHeight="1" x14ac:dyDescent="0.2"/>
    <row r="16038" ht="12.75" hidden="1" customHeight="1" x14ac:dyDescent="0.2"/>
    <row r="16039" ht="12.75" hidden="1" customHeight="1" x14ac:dyDescent="0.2"/>
    <row r="16040" ht="12.75" hidden="1" customHeight="1" x14ac:dyDescent="0.2"/>
    <row r="16041" ht="12.75" hidden="1" customHeight="1" x14ac:dyDescent="0.2"/>
    <row r="16042" ht="12.75" hidden="1" customHeight="1" x14ac:dyDescent="0.2"/>
    <row r="16043" ht="12.75" hidden="1" customHeight="1" x14ac:dyDescent="0.2"/>
    <row r="16044" ht="12.75" hidden="1" customHeight="1" x14ac:dyDescent="0.2"/>
    <row r="16045" ht="12.75" hidden="1" customHeight="1" x14ac:dyDescent="0.2"/>
    <row r="16046" ht="12.75" hidden="1" customHeight="1" x14ac:dyDescent="0.2"/>
    <row r="16047" ht="12.75" hidden="1" customHeight="1" x14ac:dyDescent="0.2"/>
    <row r="16048" ht="12.75" hidden="1" customHeight="1" x14ac:dyDescent="0.2"/>
    <row r="16049" ht="12.75" hidden="1" customHeight="1" x14ac:dyDescent="0.2"/>
    <row r="16050" ht="12.75" hidden="1" customHeight="1" x14ac:dyDescent="0.2"/>
    <row r="16051" ht="12.75" hidden="1" customHeight="1" x14ac:dyDescent="0.2"/>
    <row r="16052" ht="12.75" hidden="1" customHeight="1" x14ac:dyDescent="0.2"/>
    <row r="16053" ht="12.75" hidden="1" customHeight="1" x14ac:dyDescent="0.2"/>
    <row r="16054" ht="12.75" hidden="1" customHeight="1" x14ac:dyDescent="0.2"/>
    <row r="16055" ht="12.75" hidden="1" customHeight="1" x14ac:dyDescent="0.2"/>
    <row r="16056" ht="12.75" hidden="1" customHeight="1" x14ac:dyDescent="0.2"/>
    <row r="16057" ht="12.75" hidden="1" customHeight="1" x14ac:dyDescent="0.2"/>
    <row r="16058" ht="12.75" hidden="1" customHeight="1" x14ac:dyDescent="0.2"/>
    <row r="16059" ht="12.75" hidden="1" customHeight="1" x14ac:dyDescent="0.2"/>
    <row r="16060" ht="12.75" hidden="1" customHeight="1" x14ac:dyDescent="0.2"/>
    <row r="16061" ht="12.75" hidden="1" customHeight="1" x14ac:dyDescent="0.2"/>
    <row r="16062" ht="12.75" hidden="1" customHeight="1" x14ac:dyDescent="0.2"/>
    <row r="16063" ht="12.75" hidden="1" customHeight="1" x14ac:dyDescent="0.2"/>
    <row r="16064" ht="12.75" hidden="1" customHeight="1" x14ac:dyDescent="0.2"/>
    <row r="16065" ht="12.75" hidden="1" customHeight="1" x14ac:dyDescent="0.2"/>
    <row r="16066" ht="12.75" hidden="1" customHeight="1" x14ac:dyDescent="0.2"/>
    <row r="16067" ht="12.75" hidden="1" customHeight="1" x14ac:dyDescent="0.2"/>
    <row r="16068" ht="12.75" hidden="1" customHeight="1" x14ac:dyDescent="0.2"/>
    <row r="16069" ht="12.75" hidden="1" customHeight="1" x14ac:dyDescent="0.2"/>
    <row r="16070" ht="12.75" hidden="1" customHeight="1" x14ac:dyDescent="0.2"/>
    <row r="16071" ht="12.75" hidden="1" customHeight="1" x14ac:dyDescent="0.2"/>
    <row r="16072" ht="12.75" hidden="1" customHeight="1" x14ac:dyDescent="0.2"/>
    <row r="16073" ht="12.75" hidden="1" customHeight="1" x14ac:dyDescent="0.2"/>
    <row r="16074" ht="12.75" hidden="1" customHeight="1" x14ac:dyDescent="0.2"/>
    <row r="16075" ht="12.75" hidden="1" customHeight="1" x14ac:dyDescent="0.2"/>
    <row r="16076" ht="12.75" hidden="1" customHeight="1" x14ac:dyDescent="0.2"/>
    <row r="16077" ht="12.75" hidden="1" customHeight="1" x14ac:dyDescent="0.2"/>
    <row r="16078" ht="12.75" hidden="1" customHeight="1" x14ac:dyDescent="0.2"/>
    <row r="16079" ht="12.75" hidden="1" customHeight="1" x14ac:dyDescent="0.2"/>
    <row r="16080" ht="12.75" hidden="1" customHeight="1" x14ac:dyDescent="0.2"/>
    <row r="16081" ht="12.75" hidden="1" customHeight="1" x14ac:dyDescent="0.2"/>
    <row r="16082" ht="12.75" hidden="1" customHeight="1" x14ac:dyDescent="0.2"/>
    <row r="16083" ht="12.75" hidden="1" customHeight="1" x14ac:dyDescent="0.2"/>
    <row r="16084" ht="12.75" hidden="1" customHeight="1" x14ac:dyDescent="0.2"/>
    <row r="16085" ht="12.75" hidden="1" customHeight="1" x14ac:dyDescent="0.2"/>
    <row r="16086" ht="12.75" hidden="1" customHeight="1" x14ac:dyDescent="0.2"/>
    <row r="16087" ht="12.75" hidden="1" customHeight="1" x14ac:dyDescent="0.2"/>
    <row r="16088" ht="12.75" hidden="1" customHeight="1" x14ac:dyDescent="0.2"/>
    <row r="16089" ht="12.75" hidden="1" customHeight="1" x14ac:dyDescent="0.2"/>
    <row r="16090" ht="12.75" hidden="1" customHeight="1" x14ac:dyDescent="0.2"/>
    <row r="16091" ht="12.75" hidden="1" customHeight="1" x14ac:dyDescent="0.2"/>
    <row r="16092" ht="12.75" hidden="1" customHeight="1" x14ac:dyDescent="0.2"/>
    <row r="16093" ht="12.75" hidden="1" customHeight="1" x14ac:dyDescent="0.2"/>
    <row r="16094" ht="12.75" hidden="1" customHeight="1" x14ac:dyDescent="0.2"/>
    <row r="16095" ht="12.75" hidden="1" customHeight="1" x14ac:dyDescent="0.2"/>
    <row r="16096" ht="12.75" hidden="1" customHeight="1" x14ac:dyDescent="0.2"/>
    <row r="16097" ht="12.75" hidden="1" customHeight="1" x14ac:dyDescent="0.2"/>
    <row r="16098" ht="12.75" hidden="1" customHeight="1" x14ac:dyDescent="0.2"/>
    <row r="16099" ht="12.75" hidden="1" customHeight="1" x14ac:dyDescent="0.2"/>
    <row r="16100" ht="12.75" hidden="1" customHeight="1" x14ac:dyDescent="0.2"/>
    <row r="16101" ht="12.75" hidden="1" customHeight="1" x14ac:dyDescent="0.2"/>
    <row r="16102" ht="12.75" hidden="1" customHeight="1" x14ac:dyDescent="0.2"/>
    <row r="16103" ht="12.75" hidden="1" customHeight="1" x14ac:dyDescent="0.2"/>
    <row r="16104" ht="12.75" hidden="1" customHeight="1" x14ac:dyDescent="0.2"/>
    <row r="16105" ht="12.75" hidden="1" customHeight="1" x14ac:dyDescent="0.2"/>
    <row r="16106" ht="12.75" hidden="1" customHeight="1" x14ac:dyDescent="0.2"/>
    <row r="16107" ht="12.75" hidden="1" customHeight="1" x14ac:dyDescent="0.2"/>
    <row r="16108" ht="12.75" hidden="1" customHeight="1" x14ac:dyDescent="0.2"/>
    <row r="16109" ht="12.75" hidden="1" customHeight="1" x14ac:dyDescent="0.2"/>
    <row r="16110" ht="12.75" hidden="1" customHeight="1" x14ac:dyDescent="0.2"/>
    <row r="16111" ht="12.75" hidden="1" customHeight="1" x14ac:dyDescent="0.2"/>
    <row r="16112" ht="12.75" hidden="1" customHeight="1" x14ac:dyDescent="0.2"/>
    <row r="16113" ht="12.75" hidden="1" customHeight="1" x14ac:dyDescent="0.2"/>
    <row r="16114" ht="12.75" hidden="1" customHeight="1" x14ac:dyDescent="0.2"/>
    <row r="16115" ht="12.75" hidden="1" customHeight="1" x14ac:dyDescent="0.2"/>
    <row r="16116" ht="12.75" hidden="1" customHeight="1" x14ac:dyDescent="0.2"/>
    <row r="16117" ht="12.75" hidden="1" customHeight="1" x14ac:dyDescent="0.2"/>
    <row r="16118" ht="12.75" hidden="1" customHeight="1" x14ac:dyDescent="0.2"/>
    <row r="16119" ht="12.75" hidden="1" customHeight="1" x14ac:dyDescent="0.2"/>
    <row r="16120" ht="12.75" hidden="1" customHeight="1" x14ac:dyDescent="0.2"/>
    <row r="16121" ht="12.75" hidden="1" customHeight="1" x14ac:dyDescent="0.2"/>
    <row r="16122" ht="12.75" hidden="1" customHeight="1" x14ac:dyDescent="0.2"/>
    <row r="16123" ht="12.75" hidden="1" customHeight="1" x14ac:dyDescent="0.2"/>
    <row r="16124" ht="12.75" hidden="1" customHeight="1" x14ac:dyDescent="0.2"/>
    <row r="16125" ht="12.75" hidden="1" customHeight="1" x14ac:dyDescent="0.2"/>
    <row r="16126" ht="12.75" hidden="1" customHeight="1" x14ac:dyDescent="0.2"/>
    <row r="16127" ht="12.75" hidden="1" customHeight="1" x14ac:dyDescent="0.2"/>
    <row r="16128" ht="12.75" hidden="1" customHeight="1" x14ac:dyDescent="0.2"/>
    <row r="16129" ht="12.75" hidden="1" customHeight="1" x14ac:dyDescent="0.2"/>
    <row r="16130" ht="12.75" hidden="1" customHeight="1" x14ac:dyDescent="0.2"/>
    <row r="16131" ht="12.75" hidden="1" customHeight="1" x14ac:dyDescent="0.2"/>
    <row r="16132" ht="12.75" hidden="1" customHeight="1" x14ac:dyDescent="0.2"/>
    <row r="16133" ht="12.75" hidden="1" customHeight="1" x14ac:dyDescent="0.2"/>
    <row r="16134" ht="12.75" hidden="1" customHeight="1" x14ac:dyDescent="0.2"/>
    <row r="16135" ht="12.75" hidden="1" customHeight="1" x14ac:dyDescent="0.2"/>
    <row r="16136" ht="12.75" hidden="1" customHeight="1" x14ac:dyDescent="0.2"/>
    <row r="16137" ht="12.75" hidden="1" customHeight="1" x14ac:dyDescent="0.2"/>
    <row r="16138" ht="12.75" hidden="1" customHeight="1" x14ac:dyDescent="0.2"/>
    <row r="16139" ht="12.75" hidden="1" customHeight="1" x14ac:dyDescent="0.2"/>
    <row r="16140" ht="12.75" hidden="1" customHeight="1" x14ac:dyDescent="0.2"/>
    <row r="16141" ht="12.75" hidden="1" customHeight="1" x14ac:dyDescent="0.2"/>
    <row r="16142" ht="12.75" hidden="1" customHeight="1" x14ac:dyDescent="0.2"/>
    <row r="16143" ht="12.75" hidden="1" customHeight="1" x14ac:dyDescent="0.2"/>
    <row r="16144" ht="12.75" hidden="1" customHeight="1" x14ac:dyDescent="0.2"/>
    <row r="16145" ht="12.75" hidden="1" customHeight="1" x14ac:dyDescent="0.2"/>
    <row r="16146" ht="12.75" hidden="1" customHeight="1" x14ac:dyDescent="0.2"/>
    <row r="16147" ht="12.75" hidden="1" customHeight="1" x14ac:dyDescent="0.2"/>
    <row r="16148" ht="12.75" hidden="1" customHeight="1" x14ac:dyDescent="0.2"/>
    <row r="16149" ht="12.75" hidden="1" customHeight="1" x14ac:dyDescent="0.2"/>
    <row r="16150" ht="12.75" hidden="1" customHeight="1" x14ac:dyDescent="0.2"/>
    <row r="16151" ht="12.75" hidden="1" customHeight="1" x14ac:dyDescent="0.2"/>
    <row r="16152" ht="12.75" hidden="1" customHeight="1" x14ac:dyDescent="0.2"/>
    <row r="16153" ht="12.75" hidden="1" customHeight="1" x14ac:dyDescent="0.2"/>
    <row r="16154" ht="12.75" hidden="1" customHeight="1" x14ac:dyDescent="0.2"/>
    <row r="16155" ht="12.75" hidden="1" customHeight="1" x14ac:dyDescent="0.2"/>
    <row r="16156" ht="12.75" hidden="1" customHeight="1" x14ac:dyDescent="0.2"/>
    <row r="16157" ht="12.75" hidden="1" customHeight="1" x14ac:dyDescent="0.2"/>
    <row r="16158" ht="12.75" hidden="1" customHeight="1" x14ac:dyDescent="0.2"/>
    <row r="16159" ht="12.75" hidden="1" customHeight="1" x14ac:dyDescent="0.2"/>
    <row r="16160" ht="12.75" hidden="1" customHeight="1" x14ac:dyDescent="0.2"/>
    <row r="16161" ht="12.75" hidden="1" customHeight="1" x14ac:dyDescent="0.2"/>
    <row r="16162" ht="12.75" hidden="1" customHeight="1" x14ac:dyDescent="0.2"/>
    <row r="16163" ht="12.75" hidden="1" customHeight="1" x14ac:dyDescent="0.2"/>
    <row r="16164" ht="12.75" hidden="1" customHeight="1" x14ac:dyDescent="0.2"/>
    <row r="16165" ht="12.75" hidden="1" customHeight="1" x14ac:dyDescent="0.2"/>
    <row r="16166" ht="12.75" hidden="1" customHeight="1" x14ac:dyDescent="0.2"/>
    <row r="16167" ht="12.75" hidden="1" customHeight="1" x14ac:dyDescent="0.2"/>
    <row r="16168" ht="12.75" hidden="1" customHeight="1" x14ac:dyDescent="0.2"/>
    <row r="16169" ht="12.75" hidden="1" customHeight="1" x14ac:dyDescent="0.2"/>
    <row r="16170" ht="12.75" hidden="1" customHeight="1" x14ac:dyDescent="0.2"/>
    <row r="16171" ht="12.75" hidden="1" customHeight="1" x14ac:dyDescent="0.2"/>
    <row r="16172" ht="12.75" hidden="1" customHeight="1" x14ac:dyDescent="0.2"/>
    <row r="16173" ht="12.75" hidden="1" customHeight="1" x14ac:dyDescent="0.2"/>
    <row r="16174" ht="12.75" hidden="1" customHeight="1" x14ac:dyDescent="0.2"/>
    <row r="16175" ht="12.75" hidden="1" customHeight="1" x14ac:dyDescent="0.2"/>
    <row r="16176" ht="12.75" hidden="1" customHeight="1" x14ac:dyDescent="0.2"/>
    <row r="16177" ht="12.75" hidden="1" customHeight="1" x14ac:dyDescent="0.2"/>
    <row r="16178" ht="12.75" hidden="1" customHeight="1" x14ac:dyDescent="0.2"/>
    <row r="16179" ht="12.75" hidden="1" customHeight="1" x14ac:dyDescent="0.2"/>
    <row r="16180" ht="12.75" hidden="1" customHeight="1" x14ac:dyDescent="0.2"/>
    <row r="16181" ht="12.75" hidden="1" customHeight="1" x14ac:dyDescent="0.2"/>
    <row r="16182" ht="12.75" hidden="1" customHeight="1" x14ac:dyDescent="0.2"/>
    <row r="16183" ht="12.75" hidden="1" customHeight="1" x14ac:dyDescent="0.2"/>
    <row r="16184" ht="12.75" hidden="1" customHeight="1" x14ac:dyDescent="0.2"/>
    <row r="16185" ht="12.75" hidden="1" customHeight="1" x14ac:dyDescent="0.2"/>
    <row r="16186" ht="12.75" hidden="1" customHeight="1" x14ac:dyDescent="0.2"/>
    <row r="16187" ht="12.75" hidden="1" customHeight="1" x14ac:dyDescent="0.2"/>
    <row r="16188" ht="12.75" hidden="1" customHeight="1" x14ac:dyDescent="0.2"/>
    <row r="16189" ht="12.75" hidden="1" customHeight="1" x14ac:dyDescent="0.2"/>
    <row r="16190" ht="12.75" hidden="1" customHeight="1" x14ac:dyDescent="0.2"/>
    <row r="16191" ht="12.75" hidden="1" customHeight="1" x14ac:dyDescent="0.2"/>
    <row r="16192" ht="12.75" hidden="1" customHeight="1" x14ac:dyDescent="0.2"/>
    <row r="16193" ht="12.75" hidden="1" customHeight="1" x14ac:dyDescent="0.2"/>
    <row r="16194" ht="12.75" hidden="1" customHeight="1" x14ac:dyDescent="0.2"/>
    <row r="16195" ht="12.75" hidden="1" customHeight="1" x14ac:dyDescent="0.2"/>
    <row r="16196" ht="12.75" hidden="1" customHeight="1" x14ac:dyDescent="0.2"/>
    <row r="16197" ht="12.75" hidden="1" customHeight="1" x14ac:dyDescent="0.2"/>
    <row r="16198" ht="12.75" hidden="1" customHeight="1" x14ac:dyDescent="0.2"/>
    <row r="16199" ht="12.75" hidden="1" customHeight="1" x14ac:dyDescent="0.2"/>
    <row r="16200" ht="12.75" hidden="1" customHeight="1" x14ac:dyDescent="0.2"/>
    <row r="16201" ht="12.75" hidden="1" customHeight="1" x14ac:dyDescent="0.2"/>
    <row r="16202" ht="12.75" hidden="1" customHeight="1" x14ac:dyDescent="0.2"/>
    <row r="16203" ht="12.75" hidden="1" customHeight="1" x14ac:dyDescent="0.2"/>
    <row r="16204" ht="12.75" hidden="1" customHeight="1" x14ac:dyDescent="0.2"/>
    <row r="16205" ht="12.75" hidden="1" customHeight="1" x14ac:dyDescent="0.2"/>
    <row r="16206" ht="12.75" hidden="1" customHeight="1" x14ac:dyDescent="0.2"/>
    <row r="16207" ht="12.75" hidden="1" customHeight="1" x14ac:dyDescent="0.2"/>
    <row r="16208" ht="12.75" hidden="1" customHeight="1" x14ac:dyDescent="0.2"/>
    <row r="16209" ht="12.75" hidden="1" customHeight="1" x14ac:dyDescent="0.2"/>
    <row r="16210" ht="12.75" hidden="1" customHeight="1" x14ac:dyDescent="0.2"/>
    <row r="16211" ht="12.75" hidden="1" customHeight="1" x14ac:dyDescent="0.2"/>
    <row r="16212" ht="12.75" hidden="1" customHeight="1" x14ac:dyDescent="0.2"/>
    <row r="16213" ht="12.75" hidden="1" customHeight="1" x14ac:dyDescent="0.2"/>
    <row r="16214" ht="12.75" hidden="1" customHeight="1" x14ac:dyDescent="0.2"/>
    <row r="16215" ht="12.75" hidden="1" customHeight="1" x14ac:dyDescent="0.2"/>
    <row r="16216" ht="12.75" hidden="1" customHeight="1" x14ac:dyDescent="0.2"/>
    <row r="16217" ht="12.75" hidden="1" customHeight="1" x14ac:dyDescent="0.2"/>
    <row r="16218" ht="12.75" hidden="1" customHeight="1" x14ac:dyDescent="0.2"/>
    <row r="16219" ht="12.75" hidden="1" customHeight="1" x14ac:dyDescent="0.2"/>
    <row r="16220" ht="12.75" hidden="1" customHeight="1" x14ac:dyDescent="0.2"/>
    <row r="16221" ht="12.75" hidden="1" customHeight="1" x14ac:dyDescent="0.2"/>
    <row r="16222" ht="12.75" hidden="1" customHeight="1" x14ac:dyDescent="0.2"/>
    <row r="16223" ht="12.75" hidden="1" customHeight="1" x14ac:dyDescent="0.2"/>
    <row r="16224" ht="12.75" hidden="1" customHeight="1" x14ac:dyDescent="0.2"/>
    <row r="16225" ht="12.75" hidden="1" customHeight="1" x14ac:dyDescent="0.2"/>
    <row r="16226" ht="12.75" hidden="1" customHeight="1" x14ac:dyDescent="0.2"/>
    <row r="16227" ht="12.75" hidden="1" customHeight="1" x14ac:dyDescent="0.2"/>
    <row r="16228" ht="12.75" hidden="1" customHeight="1" x14ac:dyDescent="0.2"/>
    <row r="16229" ht="12.75" hidden="1" customHeight="1" x14ac:dyDescent="0.2"/>
    <row r="16230" ht="12.75" hidden="1" customHeight="1" x14ac:dyDescent="0.2"/>
    <row r="16231" ht="12.75" hidden="1" customHeight="1" x14ac:dyDescent="0.2"/>
    <row r="16232" ht="12.75" hidden="1" customHeight="1" x14ac:dyDescent="0.2"/>
    <row r="16233" ht="12.75" hidden="1" customHeight="1" x14ac:dyDescent="0.2"/>
    <row r="16234" ht="12.75" hidden="1" customHeight="1" x14ac:dyDescent="0.2"/>
    <row r="16235" ht="12.75" hidden="1" customHeight="1" x14ac:dyDescent="0.2"/>
    <row r="16236" ht="12.75" hidden="1" customHeight="1" x14ac:dyDescent="0.2"/>
    <row r="16237" ht="12.75" hidden="1" customHeight="1" x14ac:dyDescent="0.2"/>
    <row r="16238" ht="12.75" hidden="1" customHeight="1" x14ac:dyDescent="0.2"/>
    <row r="16239" ht="12.75" hidden="1" customHeight="1" x14ac:dyDescent="0.2"/>
    <row r="16240" ht="12.75" hidden="1" customHeight="1" x14ac:dyDescent="0.2"/>
    <row r="16241" ht="12.75" hidden="1" customHeight="1" x14ac:dyDescent="0.2"/>
    <row r="16242" ht="12.75" hidden="1" customHeight="1" x14ac:dyDescent="0.2"/>
    <row r="16243" ht="12.75" hidden="1" customHeight="1" x14ac:dyDescent="0.2"/>
    <row r="16244" ht="12.75" hidden="1" customHeight="1" x14ac:dyDescent="0.2"/>
    <row r="16245" ht="12.75" hidden="1" customHeight="1" x14ac:dyDescent="0.2"/>
    <row r="16246" ht="12.75" hidden="1" customHeight="1" x14ac:dyDescent="0.2"/>
    <row r="16247" ht="12.75" hidden="1" customHeight="1" x14ac:dyDescent="0.2"/>
    <row r="16248" ht="12.75" hidden="1" customHeight="1" x14ac:dyDescent="0.2"/>
    <row r="16249" ht="12.75" hidden="1" customHeight="1" x14ac:dyDescent="0.2"/>
    <row r="16250" ht="12.75" hidden="1" customHeight="1" x14ac:dyDescent="0.2"/>
    <row r="16251" ht="12.75" hidden="1" customHeight="1" x14ac:dyDescent="0.2"/>
    <row r="16252" ht="12.75" hidden="1" customHeight="1" x14ac:dyDescent="0.2"/>
    <row r="16253" ht="12.75" hidden="1" customHeight="1" x14ac:dyDescent="0.2"/>
    <row r="16254" ht="12.75" hidden="1" customHeight="1" x14ac:dyDescent="0.2"/>
    <row r="16255" ht="12.75" hidden="1" customHeight="1" x14ac:dyDescent="0.2"/>
    <row r="16256" ht="12.75" hidden="1" customHeight="1" x14ac:dyDescent="0.2"/>
    <row r="16257" ht="12.75" hidden="1" customHeight="1" x14ac:dyDescent="0.2"/>
    <row r="16258" ht="12.75" hidden="1" customHeight="1" x14ac:dyDescent="0.2"/>
    <row r="16259" ht="12.75" hidden="1" customHeight="1" x14ac:dyDescent="0.2"/>
    <row r="16260" ht="12.75" hidden="1" customHeight="1" x14ac:dyDescent="0.2"/>
    <row r="16261" ht="12.75" hidden="1" customHeight="1" x14ac:dyDescent="0.2"/>
    <row r="16262" ht="12.75" hidden="1" customHeight="1" x14ac:dyDescent="0.2"/>
    <row r="16263" ht="12.75" hidden="1" customHeight="1" x14ac:dyDescent="0.2"/>
    <row r="16264" ht="12.75" hidden="1" customHeight="1" x14ac:dyDescent="0.2"/>
    <row r="16265" ht="12.75" hidden="1" customHeight="1" x14ac:dyDescent="0.2"/>
    <row r="16266" ht="12.75" hidden="1" customHeight="1" x14ac:dyDescent="0.2"/>
    <row r="16267" ht="12.75" hidden="1" customHeight="1" x14ac:dyDescent="0.2"/>
    <row r="16268" ht="12.75" hidden="1" customHeight="1" x14ac:dyDescent="0.2"/>
    <row r="16269" ht="12.75" hidden="1" customHeight="1" x14ac:dyDescent="0.2"/>
    <row r="16270" ht="12.75" hidden="1" customHeight="1" x14ac:dyDescent="0.2"/>
    <row r="16271" ht="12.75" hidden="1" customHeight="1" x14ac:dyDescent="0.2"/>
    <row r="16272" ht="12.75" hidden="1" customHeight="1" x14ac:dyDescent="0.2"/>
    <row r="16273" ht="12.75" hidden="1" customHeight="1" x14ac:dyDescent="0.2"/>
    <row r="16274" ht="12.75" hidden="1" customHeight="1" x14ac:dyDescent="0.2"/>
    <row r="16275" ht="12.75" hidden="1" customHeight="1" x14ac:dyDescent="0.2"/>
    <row r="16276" ht="12.75" hidden="1" customHeight="1" x14ac:dyDescent="0.2"/>
    <row r="16277" ht="12.75" hidden="1" customHeight="1" x14ac:dyDescent="0.2"/>
    <row r="16278" ht="12.75" hidden="1" customHeight="1" x14ac:dyDescent="0.2"/>
    <row r="16279" ht="12.75" hidden="1" customHeight="1" x14ac:dyDescent="0.2"/>
    <row r="16280" ht="12.75" hidden="1" customHeight="1" x14ac:dyDescent="0.2"/>
    <row r="16281" ht="12.75" hidden="1" customHeight="1" x14ac:dyDescent="0.2"/>
    <row r="16282" ht="12.75" hidden="1" customHeight="1" x14ac:dyDescent="0.2"/>
    <row r="16283" ht="12.75" hidden="1" customHeight="1" x14ac:dyDescent="0.2"/>
    <row r="16284" ht="12.75" hidden="1" customHeight="1" x14ac:dyDescent="0.2"/>
    <row r="16285" ht="12.75" hidden="1" customHeight="1" x14ac:dyDescent="0.2"/>
    <row r="16286" ht="12.75" hidden="1" customHeight="1" x14ac:dyDescent="0.2"/>
    <row r="16287" ht="12.75" hidden="1" customHeight="1" x14ac:dyDescent="0.2"/>
    <row r="16288" ht="12.75" hidden="1" customHeight="1" x14ac:dyDescent="0.2"/>
    <row r="16289" ht="12.75" hidden="1" customHeight="1" x14ac:dyDescent="0.2"/>
    <row r="16290" ht="12.75" hidden="1" customHeight="1" x14ac:dyDescent="0.2"/>
    <row r="16291" ht="12.75" hidden="1" customHeight="1" x14ac:dyDescent="0.2"/>
    <row r="16292" ht="12.75" hidden="1" customHeight="1" x14ac:dyDescent="0.2"/>
    <row r="16293" ht="12.75" hidden="1" customHeight="1" x14ac:dyDescent="0.2"/>
    <row r="16294" ht="12.75" hidden="1" customHeight="1" x14ac:dyDescent="0.2"/>
    <row r="16295" ht="12.75" hidden="1" customHeight="1" x14ac:dyDescent="0.2"/>
    <row r="16296" ht="12.75" hidden="1" customHeight="1" x14ac:dyDescent="0.2"/>
    <row r="16297" ht="12.75" hidden="1" customHeight="1" x14ac:dyDescent="0.2"/>
    <row r="16298" ht="12.75" hidden="1" customHeight="1" x14ac:dyDescent="0.2"/>
    <row r="16299" ht="12.75" hidden="1" customHeight="1" x14ac:dyDescent="0.2"/>
    <row r="16300" ht="12.75" hidden="1" customHeight="1" x14ac:dyDescent="0.2"/>
    <row r="16301" ht="12.75" hidden="1" customHeight="1" x14ac:dyDescent="0.2"/>
    <row r="16302" ht="12.75" hidden="1" customHeight="1" x14ac:dyDescent="0.2"/>
    <row r="16303" ht="12.75" hidden="1" customHeight="1" x14ac:dyDescent="0.2"/>
    <row r="16304" ht="12.75" hidden="1" customHeight="1" x14ac:dyDescent="0.2"/>
    <row r="16305" ht="12.75" hidden="1" customHeight="1" x14ac:dyDescent="0.2"/>
    <row r="16306" ht="12.75" hidden="1" customHeight="1" x14ac:dyDescent="0.2"/>
    <row r="16307" ht="12.75" hidden="1" customHeight="1" x14ac:dyDescent="0.2"/>
    <row r="16308" ht="12.75" hidden="1" customHeight="1" x14ac:dyDescent="0.2"/>
    <row r="16309" ht="12.75" hidden="1" customHeight="1" x14ac:dyDescent="0.2"/>
    <row r="16310" ht="12.75" hidden="1" customHeight="1" x14ac:dyDescent="0.2"/>
    <row r="16311" ht="12.75" hidden="1" customHeight="1" x14ac:dyDescent="0.2"/>
    <row r="16312" ht="12.75" hidden="1" customHeight="1" x14ac:dyDescent="0.2"/>
    <row r="16313" ht="12.75" hidden="1" customHeight="1" x14ac:dyDescent="0.2"/>
    <row r="16314" ht="12.75" hidden="1" customHeight="1" x14ac:dyDescent="0.2"/>
    <row r="16315" ht="12.75" hidden="1" customHeight="1" x14ac:dyDescent="0.2"/>
    <row r="16316" ht="12.75" hidden="1" customHeight="1" x14ac:dyDescent="0.2"/>
    <row r="16317" ht="12.75" hidden="1" customHeight="1" x14ac:dyDescent="0.2"/>
    <row r="16318" ht="12.75" hidden="1" customHeight="1" x14ac:dyDescent="0.2"/>
    <row r="16319" ht="12.75" hidden="1" customHeight="1" x14ac:dyDescent="0.2"/>
    <row r="16320" ht="12.75" hidden="1" customHeight="1" x14ac:dyDescent="0.2"/>
    <row r="16321" ht="12.75" hidden="1" customHeight="1" x14ac:dyDescent="0.2"/>
    <row r="16322" ht="12.75" hidden="1" customHeight="1" x14ac:dyDescent="0.2"/>
    <row r="16323" ht="12.75" hidden="1" customHeight="1" x14ac:dyDescent="0.2"/>
    <row r="16324" ht="12.75" hidden="1" customHeight="1" x14ac:dyDescent="0.2"/>
    <row r="16325" ht="12.75" hidden="1" customHeight="1" x14ac:dyDescent="0.2"/>
    <row r="16326" ht="12.75" hidden="1" customHeight="1" x14ac:dyDescent="0.2"/>
    <row r="16327" ht="12.75" hidden="1" customHeight="1" x14ac:dyDescent="0.2"/>
    <row r="16328" ht="12.75" hidden="1" customHeight="1" x14ac:dyDescent="0.2"/>
    <row r="16329" ht="12.75" hidden="1" customHeight="1" x14ac:dyDescent="0.2"/>
    <row r="16330" ht="12.75" hidden="1" customHeight="1" x14ac:dyDescent="0.2"/>
    <row r="16331" ht="12.75" hidden="1" customHeight="1" x14ac:dyDescent="0.2"/>
    <row r="16332" ht="12.75" hidden="1" customHeight="1" x14ac:dyDescent="0.2"/>
    <row r="16333" ht="12.75" hidden="1" customHeight="1" x14ac:dyDescent="0.2"/>
    <row r="16334" ht="12.75" hidden="1" customHeight="1" x14ac:dyDescent="0.2"/>
    <row r="16335" ht="12.75" hidden="1" customHeight="1" x14ac:dyDescent="0.2"/>
    <row r="16336" ht="12.75" hidden="1" customHeight="1" x14ac:dyDescent="0.2"/>
    <row r="16337" ht="12.75" hidden="1" customHeight="1" x14ac:dyDescent="0.2"/>
    <row r="16338" ht="12.75" hidden="1" customHeight="1" x14ac:dyDescent="0.2"/>
    <row r="16339" ht="12.75" hidden="1" customHeight="1" x14ac:dyDescent="0.2"/>
    <row r="16340" ht="12.75" hidden="1" customHeight="1" x14ac:dyDescent="0.2"/>
    <row r="16341" ht="12.75" hidden="1" customHeight="1" x14ac:dyDescent="0.2"/>
    <row r="16342" ht="12.75" hidden="1" customHeight="1" x14ac:dyDescent="0.2"/>
    <row r="16343" ht="12.75" hidden="1" customHeight="1" x14ac:dyDescent="0.2"/>
    <row r="16344" ht="12.75" hidden="1" customHeight="1" x14ac:dyDescent="0.2"/>
    <row r="16345" ht="12.75" hidden="1" customHeight="1" x14ac:dyDescent="0.2"/>
    <row r="16346" ht="12.75" hidden="1" customHeight="1" x14ac:dyDescent="0.2"/>
    <row r="16347" ht="12.75" hidden="1" customHeight="1" x14ac:dyDescent="0.2"/>
    <row r="16348" ht="12.75" hidden="1" customHeight="1" x14ac:dyDescent="0.2"/>
    <row r="16349" ht="12.75" hidden="1" customHeight="1" x14ac:dyDescent="0.2"/>
    <row r="16350" ht="12.75" hidden="1" customHeight="1" x14ac:dyDescent="0.2"/>
    <row r="16351" ht="12.75" hidden="1" customHeight="1" x14ac:dyDescent="0.2"/>
    <row r="16352" ht="12.75" hidden="1" customHeight="1" x14ac:dyDescent="0.2"/>
    <row r="16353" ht="12.75" hidden="1" customHeight="1" x14ac:dyDescent="0.2"/>
    <row r="16354" ht="12.75" hidden="1" customHeight="1" x14ac:dyDescent="0.2"/>
    <row r="16355" ht="12.75" hidden="1" customHeight="1" x14ac:dyDescent="0.2"/>
    <row r="16356" ht="12.75" hidden="1" customHeight="1" x14ac:dyDescent="0.2"/>
    <row r="16357" ht="12.75" hidden="1" customHeight="1" x14ac:dyDescent="0.2"/>
    <row r="16358" ht="12.75" hidden="1" customHeight="1" x14ac:dyDescent="0.2"/>
    <row r="16359" ht="12.75" hidden="1" customHeight="1" x14ac:dyDescent="0.2"/>
    <row r="16360" ht="12.75" hidden="1" customHeight="1" x14ac:dyDescent="0.2"/>
    <row r="16361" ht="12.75" hidden="1" customHeight="1" x14ac:dyDescent="0.2"/>
    <row r="16362" ht="12.75" hidden="1" customHeight="1" x14ac:dyDescent="0.2"/>
    <row r="16363" ht="12.75" hidden="1" customHeight="1" x14ac:dyDescent="0.2"/>
    <row r="16364" ht="12.75" hidden="1" customHeight="1" x14ac:dyDescent="0.2"/>
    <row r="16365" ht="12.75" hidden="1" customHeight="1" x14ac:dyDescent="0.2"/>
    <row r="16366" ht="12.75" hidden="1" customHeight="1" x14ac:dyDescent="0.2"/>
    <row r="16367" ht="12.75" hidden="1" customHeight="1" x14ac:dyDescent="0.2"/>
    <row r="16368" ht="12.75" hidden="1" customHeight="1" x14ac:dyDescent="0.2"/>
    <row r="16369" ht="12.75" hidden="1" customHeight="1" x14ac:dyDescent="0.2"/>
    <row r="16370" ht="12.75" hidden="1" customHeight="1" x14ac:dyDescent="0.2"/>
    <row r="16371" ht="12.75" hidden="1" customHeight="1" x14ac:dyDescent="0.2"/>
    <row r="16372" ht="12.75" hidden="1" customHeight="1" x14ac:dyDescent="0.2"/>
    <row r="16373" ht="12.75" hidden="1" customHeight="1" x14ac:dyDescent="0.2"/>
    <row r="16374" ht="12.75" hidden="1" customHeight="1" x14ac:dyDescent="0.2"/>
    <row r="16375" ht="12.75" hidden="1" customHeight="1" x14ac:dyDescent="0.2"/>
    <row r="16376" ht="12.75" hidden="1" customHeight="1" x14ac:dyDescent="0.2"/>
    <row r="16377" ht="12.75" hidden="1" customHeight="1" x14ac:dyDescent="0.2"/>
    <row r="16378" ht="12.75" hidden="1" customHeight="1" x14ac:dyDescent="0.2"/>
    <row r="16379" ht="12.75" hidden="1" customHeight="1" x14ac:dyDescent="0.2"/>
    <row r="16380" ht="12.75" hidden="1" customHeight="1" x14ac:dyDescent="0.2"/>
    <row r="16381" ht="12.75" hidden="1" customHeight="1" x14ac:dyDescent="0.2"/>
    <row r="16382" ht="12.75" hidden="1" customHeight="1" x14ac:dyDescent="0.2"/>
    <row r="16383" ht="12.75" hidden="1" customHeight="1" x14ac:dyDescent="0.2"/>
    <row r="16384" ht="12.75" hidden="1" customHeight="1" x14ac:dyDescent="0.2"/>
    <row r="16385" ht="12.75" hidden="1" customHeight="1" x14ac:dyDescent="0.2"/>
    <row r="16386" ht="12.75" hidden="1" customHeight="1" x14ac:dyDescent="0.2"/>
    <row r="16387" ht="12.75" hidden="1" customHeight="1" x14ac:dyDescent="0.2"/>
    <row r="16388" ht="12.75" hidden="1" customHeight="1" x14ac:dyDescent="0.2"/>
    <row r="16389" ht="12.75" hidden="1" customHeight="1" x14ac:dyDescent="0.2"/>
    <row r="16390" ht="12.75" hidden="1" customHeight="1" x14ac:dyDescent="0.2"/>
    <row r="16391" ht="12.75" hidden="1" customHeight="1" x14ac:dyDescent="0.2"/>
    <row r="16392" ht="12.75" hidden="1" customHeight="1" x14ac:dyDescent="0.2"/>
    <row r="16393" ht="12.75" hidden="1" customHeight="1" x14ac:dyDescent="0.2"/>
    <row r="16394" ht="12.75" hidden="1" customHeight="1" x14ac:dyDescent="0.2"/>
    <row r="16395" ht="12.75" hidden="1" customHeight="1" x14ac:dyDescent="0.2"/>
    <row r="16396" ht="12.75" hidden="1" customHeight="1" x14ac:dyDescent="0.2"/>
    <row r="16397" ht="12.75" hidden="1" customHeight="1" x14ac:dyDescent="0.2"/>
    <row r="16398" ht="12.75" hidden="1" customHeight="1" x14ac:dyDescent="0.2"/>
    <row r="16399" ht="12.75" hidden="1" customHeight="1" x14ac:dyDescent="0.2"/>
    <row r="16400" ht="12.75" hidden="1" customHeight="1" x14ac:dyDescent="0.2"/>
    <row r="16401" ht="12.75" hidden="1" customHeight="1" x14ac:dyDescent="0.2"/>
    <row r="16402" ht="12.75" hidden="1" customHeight="1" x14ac:dyDescent="0.2"/>
    <row r="16403" ht="12.75" hidden="1" customHeight="1" x14ac:dyDescent="0.2"/>
    <row r="16404" ht="12.75" hidden="1" customHeight="1" x14ac:dyDescent="0.2"/>
    <row r="16405" ht="12.75" hidden="1" customHeight="1" x14ac:dyDescent="0.2"/>
    <row r="16406" ht="12.75" hidden="1" customHeight="1" x14ac:dyDescent="0.2"/>
    <row r="16407" ht="12.75" hidden="1" customHeight="1" x14ac:dyDescent="0.2"/>
    <row r="16408" ht="12.75" hidden="1" customHeight="1" x14ac:dyDescent="0.2"/>
    <row r="16409" ht="12.75" hidden="1" customHeight="1" x14ac:dyDescent="0.2"/>
    <row r="16410" ht="12.75" hidden="1" customHeight="1" x14ac:dyDescent="0.2"/>
    <row r="16411" ht="12.75" hidden="1" customHeight="1" x14ac:dyDescent="0.2"/>
    <row r="16412" ht="12.75" hidden="1" customHeight="1" x14ac:dyDescent="0.2"/>
    <row r="16413" ht="12.75" hidden="1" customHeight="1" x14ac:dyDescent="0.2"/>
    <row r="16414" ht="12.75" hidden="1" customHeight="1" x14ac:dyDescent="0.2"/>
    <row r="16415" ht="12.75" hidden="1" customHeight="1" x14ac:dyDescent="0.2"/>
    <row r="16416" ht="12.75" hidden="1" customHeight="1" x14ac:dyDescent="0.2"/>
    <row r="16417" ht="12.75" hidden="1" customHeight="1" x14ac:dyDescent="0.2"/>
    <row r="16418" ht="12.75" hidden="1" customHeight="1" x14ac:dyDescent="0.2"/>
    <row r="16419" ht="12.75" hidden="1" customHeight="1" x14ac:dyDescent="0.2"/>
    <row r="16420" ht="12.75" hidden="1" customHeight="1" x14ac:dyDescent="0.2"/>
    <row r="16421" ht="12.75" hidden="1" customHeight="1" x14ac:dyDescent="0.2"/>
    <row r="16422" ht="12.75" hidden="1" customHeight="1" x14ac:dyDescent="0.2"/>
    <row r="16423" ht="12.75" hidden="1" customHeight="1" x14ac:dyDescent="0.2"/>
    <row r="16424" ht="12.75" hidden="1" customHeight="1" x14ac:dyDescent="0.2"/>
    <row r="16425" ht="12.75" hidden="1" customHeight="1" x14ac:dyDescent="0.2"/>
    <row r="16426" ht="12.75" hidden="1" customHeight="1" x14ac:dyDescent="0.2"/>
    <row r="16427" ht="12.75" hidden="1" customHeight="1" x14ac:dyDescent="0.2"/>
    <row r="16428" ht="12.75" hidden="1" customHeight="1" x14ac:dyDescent="0.2"/>
    <row r="16429" ht="12.75" hidden="1" customHeight="1" x14ac:dyDescent="0.2"/>
    <row r="16430" ht="12.75" hidden="1" customHeight="1" x14ac:dyDescent="0.2"/>
    <row r="16431" ht="12.75" hidden="1" customHeight="1" x14ac:dyDescent="0.2"/>
    <row r="16432" ht="12.75" hidden="1" customHeight="1" x14ac:dyDescent="0.2"/>
    <row r="16433" ht="12.75" hidden="1" customHeight="1" x14ac:dyDescent="0.2"/>
    <row r="16434" ht="12.75" hidden="1" customHeight="1" x14ac:dyDescent="0.2"/>
    <row r="16435" ht="12.75" hidden="1" customHeight="1" x14ac:dyDescent="0.2"/>
    <row r="16436" ht="12.75" hidden="1" customHeight="1" x14ac:dyDescent="0.2"/>
    <row r="16437" ht="12.75" hidden="1" customHeight="1" x14ac:dyDescent="0.2"/>
    <row r="16438" ht="12.75" hidden="1" customHeight="1" x14ac:dyDescent="0.2"/>
    <row r="16439" ht="12.75" hidden="1" customHeight="1" x14ac:dyDescent="0.2"/>
    <row r="16440" ht="12.75" hidden="1" customHeight="1" x14ac:dyDescent="0.2"/>
    <row r="16441" ht="12.75" hidden="1" customHeight="1" x14ac:dyDescent="0.2"/>
    <row r="16442" ht="12.75" hidden="1" customHeight="1" x14ac:dyDescent="0.2"/>
    <row r="16443" ht="12.75" hidden="1" customHeight="1" x14ac:dyDescent="0.2"/>
    <row r="16444" ht="12.75" hidden="1" customHeight="1" x14ac:dyDescent="0.2"/>
    <row r="16445" ht="12.75" hidden="1" customHeight="1" x14ac:dyDescent="0.2"/>
    <row r="16446" ht="12.75" hidden="1" customHeight="1" x14ac:dyDescent="0.2"/>
    <row r="16447" ht="12.75" hidden="1" customHeight="1" x14ac:dyDescent="0.2"/>
    <row r="16448" ht="12.75" hidden="1" customHeight="1" x14ac:dyDescent="0.2"/>
    <row r="16449" ht="12.75" hidden="1" customHeight="1" x14ac:dyDescent="0.2"/>
    <row r="16450" ht="12.75" hidden="1" customHeight="1" x14ac:dyDescent="0.2"/>
    <row r="16451" ht="12.75" hidden="1" customHeight="1" x14ac:dyDescent="0.2"/>
    <row r="16452" ht="12.75" hidden="1" customHeight="1" x14ac:dyDescent="0.2"/>
    <row r="16453" ht="12.75" hidden="1" customHeight="1" x14ac:dyDescent="0.2"/>
    <row r="16454" ht="12.75" hidden="1" customHeight="1" x14ac:dyDescent="0.2"/>
    <row r="16455" ht="12.75" hidden="1" customHeight="1" x14ac:dyDescent="0.2"/>
    <row r="16456" ht="12.75" hidden="1" customHeight="1" x14ac:dyDescent="0.2"/>
    <row r="16457" ht="12.75" hidden="1" customHeight="1" x14ac:dyDescent="0.2"/>
    <row r="16458" ht="12.75" hidden="1" customHeight="1" x14ac:dyDescent="0.2"/>
    <row r="16459" ht="12.75" hidden="1" customHeight="1" x14ac:dyDescent="0.2"/>
    <row r="16460" ht="12.75" hidden="1" customHeight="1" x14ac:dyDescent="0.2"/>
    <row r="16461" ht="12.75" hidden="1" customHeight="1" x14ac:dyDescent="0.2"/>
    <row r="16462" ht="12.75" hidden="1" customHeight="1" x14ac:dyDescent="0.2"/>
    <row r="16463" ht="12.75" hidden="1" customHeight="1" x14ac:dyDescent="0.2"/>
    <row r="16464" ht="12.75" hidden="1" customHeight="1" x14ac:dyDescent="0.2"/>
    <row r="16465" ht="12.75" hidden="1" customHeight="1" x14ac:dyDescent="0.2"/>
    <row r="16466" ht="12.75" hidden="1" customHeight="1" x14ac:dyDescent="0.2"/>
    <row r="16467" ht="12.75" hidden="1" customHeight="1" x14ac:dyDescent="0.2"/>
    <row r="16468" ht="12.75" hidden="1" customHeight="1" x14ac:dyDescent="0.2"/>
    <row r="16469" ht="12.75" hidden="1" customHeight="1" x14ac:dyDescent="0.2"/>
    <row r="16470" ht="12.75" hidden="1" customHeight="1" x14ac:dyDescent="0.2"/>
    <row r="16471" ht="12.75" hidden="1" customHeight="1" x14ac:dyDescent="0.2"/>
    <row r="16472" ht="12.75" hidden="1" customHeight="1" x14ac:dyDescent="0.2"/>
    <row r="16473" ht="12.75" hidden="1" customHeight="1" x14ac:dyDescent="0.2"/>
    <row r="16474" ht="12.75" hidden="1" customHeight="1" x14ac:dyDescent="0.2"/>
    <row r="16475" ht="12.75" hidden="1" customHeight="1" x14ac:dyDescent="0.2"/>
    <row r="16476" ht="12.75" hidden="1" customHeight="1" x14ac:dyDescent="0.2"/>
    <row r="16477" ht="12.75" hidden="1" customHeight="1" x14ac:dyDescent="0.2"/>
    <row r="16478" ht="12.75" hidden="1" customHeight="1" x14ac:dyDescent="0.2"/>
    <row r="16479" ht="12.75" hidden="1" customHeight="1" x14ac:dyDescent="0.2"/>
    <row r="16480" ht="12.75" hidden="1" customHeight="1" x14ac:dyDescent="0.2"/>
    <row r="16481" ht="12.75" hidden="1" customHeight="1" x14ac:dyDescent="0.2"/>
    <row r="16482" ht="12.75" hidden="1" customHeight="1" x14ac:dyDescent="0.2"/>
    <row r="16483" ht="12.75" hidden="1" customHeight="1" x14ac:dyDescent="0.2"/>
    <row r="16484" ht="12.75" hidden="1" customHeight="1" x14ac:dyDescent="0.2"/>
    <row r="16485" ht="12.75" hidden="1" customHeight="1" x14ac:dyDescent="0.2"/>
    <row r="16486" ht="12.75" hidden="1" customHeight="1" x14ac:dyDescent="0.2"/>
    <row r="16487" ht="12.75" hidden="1" customHeight="1" x14ac:dyDescent="0.2"/>
    <row r="16488" ht="12.75" hidden="1" customHeight="1" x14ac:dyDescent="0.2"/>
    <row r="16489" ht="12.75" hidden="1" customHeight="1" x14ac:dyDescent="0.2"/>
    <row r="16490" ht="12.75" hidden="1" customHeight="1" x14ac:dyDescent="0.2"/>
    <row r="16491" ht="12.75" hidden="1" customHeight="1" x14ac:dyDescent="0.2"/>
    <row r="16492" ht="12.75" hidden="1" customHeight="1" x14ac:dyDescent="0.2"/>
    <row r="16493" ht="12.75" hidden="1" customHeight="1" x14ac:dyDescent="0.2"/>
    <row r="16494" ht="12.75" hidden="1" customHeight="1" x14ac:dyDescent="0.2"/>
    <row r="16495" ht="12.75" hidden="1" customHeight="1" x14ac:dyDescent="0.2"/>
    <row r="16496" ht="12.75" hidden="1" customHeight="1" x14ac:dyDescent="0.2"/>
    <row r="16497" ht="12.75" hidden="1" customHeight="1" x14ac:dyDescent="0.2"/>
    <row r="16498" ht="12.75" hidden="1" customHeight="1" x14ac:dyDescent="0.2"/>
    <row r="16499" ht="12.75" hidden="1" customHeight="1" x14ac:dyDescent="0.2"/>
    <row r="16500" ht="12.75" hidden="1" customHeight="1" x14ac:dyDescent="0.2"/>
    <row r="16501" ht="12.75" hidden="1" customHeight="1" x14ac:dyDescent="0.2"/>
    <row r="16502" ht="12.75" hidden="1" customHeight="1" x14ac:dyDescent="0.2"/>
    <row r="16503" ht="12.75" hidden="1" customHeight="1" x14ac:dyDescent="0.2"/>
    <row r="16504" ht="12.75" hidden="1" customHeight="1" x14ac:dyDescent="0.2"/>
    <row r="16505" ht="12.75" hidden="1" customHeight="1" x14ac:dyDescent="0.2"/>
    <row r="16506" ht="12.75" hidden="1" customHeight="1" x14ac:dyDescent="0.2"/>
    <row r="16507" ht="12.75" hidden="1" customHeight="1" x14ac:dyDescent="0.2"/>
    <row r="16508" ht="12.75" hidden="1" customHeight="1" x14ac:dyDescent="0.2"/>
    <row r="16509" ht="12.75" hidden="1" customHeight="1" x14ac:dyDescent="0.2"/>
    <row r="16510" ht="12.75" hidden="1" customHeight="1" x14ac:dyDescent="0.2"/>
    <row r="16511" ht="12.75" hidden="1" customHeight="1" x14ac:dyDescent="0.2"/>
    <row r="16512" ht="12.75" hidden="1" customHeight="1" x14ac:dyDescent="0.2"/>
    <row r="16513" ht="12.75" hidden="1" customHeight="1" x14ac:dyDescent="0.2"/>
    <row r="16514" ht="12.75" hidden="1" customHeight="1" x14ac:dyDescent="0.2"/>
    <row r="16515" ht="12.75" hidden="1" customHeight="1" x14ac:dyDescent="0.2"/>
    <row r="16516" ht="12.75" hidden="1" customHeight="1" x14ac:dyDescent="0.2"/>
    <row r="16517" ht="12.75" hidden="1" customHeight="1" x14ac:dyDescent="0.2"/>
    <row r="16518" ht="12.75" hidden="1" customHeight="1" x14ac:dyDescent="0.2"/>
    <row r="16519" ht="12.75" hidden="1" customHeight="1" x14ac:dyDescent="0.2"/>
    <row r="16520" ht="12.75" hidden="1" customHeight="1" x14ac:dyDescent="0.2"/>
    <row r="16521" ht="12.75" hidden="1" customHeight="1" x14ac:dyDescent="0.2"/>
    <row r="16522" ht="12.75" hidden="1" customHeight="1" x14ac:dyDescent="0.2"/>
    <row r="16523" ht="12.75" hidden="1" customHeight="1" x14ac:dyDescent="0.2"/>
    <row r="16524" ht="12.75" hidden="1" customHeight="1" x14ac:dyDescent="0.2"/>
    <row r="16525" ht="12.75" hidden="1" customHeight="1" x14ac:dyDescent="0.2"/>
    <row r="16526" ht="12.75" hidden="1" customHeight="1" x14ac:dyDescent="0.2"/>
    <row r="16527" ht="12.75" hidden="1" customHeight="1" x14ac:dyDescent="0.2"/>
    <row r="16528" ht="12.75" hidden="1" customHeight="1" x14ac:dyDescent="0.2"/>
    <row r="16529" ht="12.75" hidden="1" customHeight="1" x14ac:dyDescent="0.2"/>
    <row r="16530" ht="12.75" hidden="1" customHeight="1" x14ac:dyDescent="0.2"/>
    <row r="16531" ht="12.75" hidden="1" customHeight="1" x14ac:dyDescent="0.2"/>
    <row r="16532" ht="12.75" hidden="1" customHeight="1" x14ac:dyDescent="0.2"/>
    <row r="16533" ht="12.75" hidden="1" customHeight="1" x14ac:dyDescent="0.2"/>
    <row r="16534" ht="12.75" hidden="1" customHeight="1" x14ac:dyDescent="0.2"/>
    <row r="16535" ht="12.75" hidden="1" customHeight="1" x14ac:dyDescent="0.2"/>
    <row r="16536" ht="12.75" hidden="1" customHeight="1" x14ac:dyDescent="0.2"/>
    <row r="16537" ht="12.75" hidden="1" customHeight="1" x14ac:dyDescent="0.2"/>
    <row r="16538" ht="12.75" hidden="1" customHeight="1" x14ac:dyDescent="0.2"/>
    <row r="16539" ht="12.75" hidden="1" customHeight="1" x14ac:dyDescent="0.2"/>
    <row r="16540" ht="12.75" hidden="1" customHeight="1" x14ac:dyDescent="0.2"/>
    <row r="16541" ht="12.75" hidden="1" customHeight="1" x14ac:dyDescent="0.2"/>
    <row r="16542" ht="12.75" hidden="1" customHeight="1" x14ac:dyDescent="0.2"/>
    <row r="16543" ht="12.75" hidden="1" customHeight="1" x14ac:dyDescent="0.2"/>
    <row r="16544" ht="12.75" hidden="1" customHeight="1" x14ac:dyDescent="0.2"/>
    <row r="16545" ht="12.75" hidden="1" customHeight="1" x14ac:dyDescent="0.2"/>
    <row r="16546" ht="12.75" hidden="1" customHeight="1" x14ac:dyDescent="0.2"/>
    <row r="16547" ht="12.75" hidden="1" customHeight="1" x14ac:dyDescent="0.2"/>
    <row r="16548" ht="12.75" hidden="1" customHeight="1" x14ac:dyDescent="0.2"/>
    <row r="16549" ht="12.75" hidden="1" customHeight="1" x14ac:dyDescent="0.2"/>
    <row r="16550" ht="12.75" hidden="1" customHeight="1" x14ac:dyDescent="0.2"/>
    <row r="16551" ht="12.75" hidden="1" customHeight="1" x14ac:dyDescent="0.2"/>
    <row r="16552" ht="12.75" hidden="1" customHeight="1" x14ac:dyDescent="0.2"/>
    <row r="16553" ht="12.75" hidden="1" customHeight="1" x14ac:dyDescent="0.2"/>
    <row r="16554" ht="12.75" hidden="1" customHeight="1" x14ac:dyDescent="0.2"/>
    <row r="16555" ht="12.75" hidden="1" customHeight="1" x14ac:dyDescent="0.2"/>
    <row r="16556" ht="12.75" hidden="1" customHeight="1" x14ac:dyDescent="0.2"/>
    <row r="16557" ht="12.75" hidden="1" customHeight="1" x14ac:dyDescent="0.2"/>
    <row r="16558" ht="12.75" hidden="1" customHeight="1" x14ac:dyDescent="0.2"/>
    <row r="16559" ht="12.75" hidden="1" customHeight="1" x14ac:dyDescent="0.2"/>
    <row r="16560" ht="12.75" hidden="1" customHeight="1" x14ac:dyDescent="0.2"/>
    <row r="16561" ht="12.75" hidden="1" customHeight="1" x14ac:dyDescent="0.2"/>
    <row r="16562" ht="12.75" hidden="1" customHeight="1" x14ac:dyDescent="0.2"/>
    <row r="16563" ht="12.75" hidden="1" customHeight="1" x14ac:dyDescent="0.2"/>
    <row r="16564" ht="12.75" hidden="1" customHeight="1" x14ac:dyDescent="0.2"/>
    <row r="16565" ht="12.75" hidden="1" customHeight="1" x14ac:dyDescent="0.2"/>
    <row r="16566" ht="12.75" hidden="1" customHeight="1" x14ac:dyDescent="0.2"/>
    <row r="16567" ht="12.75" hidden="1" customHeight="1" x14ac:dyDescent="0.2"/>
    <row r="16568" ht="12.75" hidden="1" customHeight="1" x14ac:dyDescent="0.2"/>
    <row r="16569" ht="12.75" hidden="1" customHeight="1" x14ac:dyDescent="0.2"/>
    <row r="16570" ht="12.75" hidden="1" customHeight="1" x14ac:dyDescent="0.2"/>
    <row r="16571" ht="12.75" hidden="1" customHeight="1" x14ac:dyDescent="0.2"/>
    <row r="16572" ht="12.75" hidden="1" customHeight="1" x14ac:dyDescent="0.2"/>
    <row r="16573" ht="12.75" hidden="1" customHeight="1" x14ac:dyDescent="0.2"/>
    <row r="16574" ht="12.75" hidden="1" customHeight="1" x14ac:dyDescent="0.2"/>
    <row r="16575" ht="12.75" hidden="1" customHeight="1" x14ac:dyDescent="0.2"/>
    <row r="16576" ht="12.75" hidden="1" customHeight="1" x14ac:dyDescent="0.2"/>
    <row r="16577" ht="12.75" hidden="1" customHeight="1" x14ac:dyDescent="0.2"/>
    <row r="16578" ht="12.75" hidden="1" customHeight="1" x14ac:dyDescent="0.2"/>
    <row r="16579" ht="12.75" hidden="1" customHeight="1" x14ac:dyDescent="0.2"/>
    <row r="16580" ht="12.75" hidden="1" customHeight="1" x14ac:dyDescent="0.2"/>
    <row r="16581" ht="12.75" hidden="1" customHeight="1" x14ac:dyDescent="0.2"/>
    <row r="16582" ht="12.75" hidden="1" customHeight="1" x14ac:dyDescent="0.2"/>
    <row r="16583" ht="12.75" hidden="1" customHeight="1" x14ac:dyDescent="0.2"/>
    <row r="16584" ht="12.75" hidden="1" customHeight="1" x14ac:dyDescent="0.2"/>
    <row r="16585" ht="12.75" hidden="1" customHeight="1" x14ac:dyDescent="0.2"/>
    <row r="16586" ht="12.75" hidden="1" customHeight="1" x14ac:dyDescent="0.2"/>
    <row r="16587" ht="12.75" hidden="1" customHeight="1" x14ac:dyDescent="0.2"/>
    <row r="16588" ht="12.75" hidden="1" customHeight="1" x14ac:dyDescent="0.2"/>
    <row r="16589" ht="12.75" hidden="1" customHeight="1" x14ac:dyDescent="0.2"/>
    <row r="16590" ht="12.75" hidden="1" customHeight="1" x14ac:dyDescent="0.2"/>
    <row r="16591" ht="12.75" hidden="1" customHeight="1" x14ac:dyDescent="0.2"/>
    <row r="16592" ht="12.75" hidden="1" customHeight="1" x14ac:dyDescent="0.2"/>
    <row r="16593" ht="12.75" hidden="1" customHeight="1" x14ac:dyDescent="0.2"/>
    <row r="16594" ht="12.75" hidden="1" customHeight="1" x14ac:dyDescent="0.2"/>
    <row r="16595" ht="12.75" hidden="1" customHeight="1" x14ac:dyDescent="0.2"/>
    <row r="16596" ht="12.75" hidden="1" customHeight="1" x14ac:dyDescent="0.2"/>
    <row r="16597" ht="12.75" hidden="1" customHeight="1" x14ac:dyDescent="0.2"/>
    <row r="16598" ht="12.75" hidden="1" customHeight="1" x14ac:dyDescent="0.2"/>
    <row r="16599" ht="12.75" hidden="1" customHeight="1" x14ac:dyDescent="0.2"/>
    <row r="16600" ht="12.75" hidden="1" customHeight="1" x14ac:dyDescent="0.2"/>
    <row r="16601" ht="12.75" hidden="1" customHeight="1" x14ac:dyDescent="0.2"/>
    <row r="16602" ht="12.75" hidden="1" customHeight="1" x14ac:dyDescent="0.2"/>
    <row r="16603" ht="12.75" hidden="1" customHeight="1" x14ac:dyDescent="0.2"/>
    <row r="16604" ht="12.75" hidden="1" customHeight="1" x14ac:dyDescent="0.2"/>
    <row r="16605" ht="12.75" hidden="1" customHeight="1" x14ac:dyDescent="0.2"/>
    <row r="16606" ht="12.75" hidden="1" customHeight="1" x14ac:dyDescent="0.2"/>
    <row r="16607" ht="12.75" hidden="1" customHeight="1" x14ac:dyDescent="0.2"/>
    <row r="16608" ht="12.75" hidden="1" customHeight="1" x14ac:dyDescent="0.2"/>
    <row r="16609" ht="12.75" hidden="1" customHeight="1" x14ac:dyDescent="0.2"/>
    <row r="16610" ht="12.75" hidden="1" customHeight="1" x14ac:dyDescent="0.2"/>
    <row r="16611" ht="12.75" hidden="1" customHeight="1" x14ac:dyDescent="0.2"/>
    <row r="16612" ht="12.75" hidden="1" customHeight="1" x14ac:dyDescent="0.2"/>
    <row r="16613" ht="12.75" hidden="1" customHeight="1" x14ac:dyDescent="0.2"/>
    <row r="16614" ht="12.75" hidden="1" customHeight="1" x14ac:dyDescent="0.2"/>
    <row r="16615" ht="12.75" hidden="1" customHeight="1" x14ac:dyDescent="0.2"/>
    <row r="16616" ht="12.75" hidden="1" customHeight="1" x14ac:dyDescent="0.2"/>
    <row r="16617" ht="12.75" hidden="1" customHeight="1" x14ac:dyDescent="0.2"/>
    <row r="16618" ht="12.75" hidden="1" customHeight="1" x14ac:dyDescent="0.2"/>
    <row r="16619" ht="12.75" hidden="1" customHeight="1" x14ac:dyDescent="0.2"/>
    <row r="16620" ht="12.75" hidden="1" customHeight="1" x14ac:dyDescent="0.2"/>
    <row r="16621" ht="12.75" hidden="1" customHeight="1" x14ac:dyDescent="0.2"/>
    <row r="16622" ht="12.75" hidden="1" customHeight="1" x14ac:dyDescent="0.2"/>
    <row r="16623" ht="12.75" hidden="1" customHeight="1" x14ac:dyDescent="0.2"/>
    <row r="16624" ht="12.75" hidden="1" customHeight="1" x14ac:dyDescent="0.2"/>
    <row r="16625" ht="12.75" hidden="1" customHeight="1" x14ac:dyDescent="0.2"/>
    <row r="16626" ht="12.75" hidden="1" customHeight="1" x14ac:dyDescent="0.2"/>
    <row r="16627" ht="12.75" hidden="1" customHeight="1" x14ac:dyDescent="0.2"/>
    <row r="16628" ht="12.75" hidden="1" customHeight="1" x14ac:dyDescent="0.2"/>
    <row r="16629" ht="12.75" hidden="1" customHeight="1" x14ac:dyDescent="0.2"/>
    <row r="16630" ht="12.75" hidden="1" customHeight="1" x14ac:dyDescent="0.2"/>
    <row r="16631" ht="12.75" hidden="1" customHeight="1" x14ac:dyDescent="0.2"/>
    <row r="16632" ht="12.75" hidden="1" customHeight="1" x14ac:dyDescent="0.2"/>
    <row r="16633" ht="12.75" hidden="1" customHeight="1" x14ac:dyDescent="0.2"/>
    <row r="16634" ht="12.75" hidden="1" customHeight="1" x14ac:dyDescent="0.2"/>
    <row r="16635" ht="12.75" hidden="1" customHeight="1" x14ac:dyDescent="0.2"/>
    <row r="16636" ht="12.75" hidden="1" customHeight="1" x14ac:dyDescent="0.2"/>
    <row r="16637" ht="12.75" hidden="1" customHeight="1" x14ac:dyDescent="0.2"/>
    <row r="16638" ht="12.75" hidden="1" customHeight="1" x14ac:dyDescent="0.2"/>
    <row r="16639" ht="12.75" hidden="1" customHeight="1" x14ac:dyDescent="0.2"/>
    <row r="16640" ht="12.75" hidden="1" customHeight="1" x14ac:dyDescent="0.2"/>
    <row r="16641" ht="12.75" hidden="1" customHeight="1" x14ac:dyDescent="0.2"/>
    <row r="16642" ht="12.75" hidden="1" customHeight="1" x14ac:dyDescent="0.2"/>
    <row r="16643" ht="12.75" hidden="1" customHeight="1" x14ac:dyDescent="0.2"/>
    <row r="16644" ht="12.75" hidden="1" customHeight="1" x14ac:dyDescent="0.2"/>
    <row r="16645" ht="12.75" hidden="1" customHeight="1" x14ac:dyDescent="0.2"/>
    <row r="16646" ht="12.75" hidden="1" customHeight="1" x14ac:dyDescent="0.2"/>
    <row r="16647" ht="12.75" hidden="1" customHeight="1" x14ac:dyDescent="0.2"/>
    <row r="16648" ht="12.75" hidden="1" customHeight="1" x14ac:dyDescent="0.2"/>
    <row r="16649" ht="12.75" hidden="1" customHeight="1" x14ac:dyDescent="0.2"/>
    <row r="16650" ht="12.75" hidden="1" customHeight="1" x14ac:dyDescent="0.2"/>
    <row r="16651" ht="12.75" hidden="1" customHeight="1" x14ac:dyDescent="0.2"/>
    <row r="16652" ht="12.75" hidden="1" customHeight="1" x14ac:dyDescent="0.2"/>
    <row r="16653" ht="12.75" hidden="1" customHeight="1" x14ac:dyDescent="0.2"/>
    <row r="16654" ht="12.75" hidden="1" customHeight="1" x14ac:dyDescent="0.2"/>
    <row r="16655" ht="12.75" hidden="1" customHeight="1" x14ac:dyDescent="0.2"/>
    <row r="16656" ht="12.75" hidden="1" customHeight="1" x14ac:dyDescent="0.2"/>
    <row r="16657" ht="12.75" hidden="1" customHeight="1" x14ac:dyDescent="0.2"/>
    <row r="16658" ht="12.75" hidden="1" customHeight="1" x14ac:dyDescent="0.2"/>
    <row r="16659" ht="12.75" hidden="1" customHeight="1" x14ac:dyDescent="0.2"/>
    <row r="16660" ht="12.75" hidden="1" customHeight="1" x14ac:dyDescent="0.2"/>
    <row r="16661" ht="12.75" hidden="1" customHeight="1" x14ac:dyDescent="0.2"/>
    <row r="16662" ht="12.75" hidden="1" customHeight="1" x14ac:dyDescent="0.2"/>
    <row r="16663" ht="12.75" hidden="1" customHeight="1" x14ac:dyDescent="0.2"/>
    <row r="16664" ht="12.75" hidden="1" customHeight="1" x14ac:dyDescent="0.2"/>
    <row r="16665" ht="12.75" hidden="1" customHeight="1" x14ac:dyDescent="0.2"/>
    <row r="16666" ht="12.75" hidden="1" customHeight="1" x14ac:dyDescent="0.2"/>
    <row r="16667" ht="12.75" hidden="1" customHeight="1" x14ac:dyDescent="0.2"/>
    <row r="16668" ht="12.75" hidden="1" customHeight="1" x14ac:dyDescent="0.2"/>
    <row r="16669" ht="12.75" hidden="1" customHeight="1" x14ac:dyDescent="0.2"/>
    <row r="16670" ht="12.75" hidden="1" customHeight="1" x14ac:dyDescent="0.2"/>
    <row r="16671" ht="12.75" hidden="1" customHeight="1" x14ac:dyDescent="0.2"/>
    <row r="16672" ht="12.75" hidden="1" customHeight="1" x14ac:dyDescent="0.2"/>
    <row r="16673" ht="12.75" hidden="1" customHeight="1" x14ac:dyDescent="0.2"/>
    <row r="16674" ht="12.75" hidden="1" customHeight="1" x14ac:dyDescent="0.2"/>
    <row r="16675" ht="12.75" hidden="1" customHeight="1" x14ac:dyDescent="0.2"/>
    <row r="16676" ht="12.75" hidden="1" customHeight="1" x14ac:dyDescent="0.2"/>
    <row r="16677" ht="12.75" hidden="1" customHeight="1" x14ac:dyDescent="0.2"/>
    <row r="16678" ht="12.75" hidden="1" customHeight="1" x14ac:dyDescent="0.2"/>
    <row r="16679" ht="12.75" hidden="1" customHeight="1" x14ac:dyDescent="0.2"/>
    <row r="16680" ht="12.75" hidden="1" customHeight="1" x14ac:dyDescent="0.2"/>
    <row r="16681" ht="12.75" hidden="1" customHeight="1" x14ac:dyDescent="0.2"/>
    <row r="16682" ht="12.75" hidden="1" customHeight="1" x14ac:dyDescent="0.2"/>
    <row r="16683" ht="12.75" hidden="1" customHeight="1" x14ac:dyDescent="0.2"/>
    <row r="16684" ht="12.75" hidden="1" customHeight="1" x14ac:dyDescent="0.2"/>
    <row r="16685" ht="12.75" hidden="1" customHeight="1" x14ac:dyDescent="0.2"/>
    <row r="16686" ht="12.75" hidden="1" customHeight="1" x14ac:dyDescent="0.2"/>
    <row r="16687" ht="12.75" hidden="1" customHeight="1" x14ac:dyDescent="0.2"/>
    <row r="16688" ht="12.75" hidden="1" customHeight="1" x14ac:dyDescent="0.2"/>
    <row r="16689" ht="12.75" hidden="1" customHeight="1" x14ac:dyDescent="0.2"/>
    <row r="16690" ht="12.75" hidden="1" customHeight="1" x14ac:dyDescent="0.2"/>
    <row r="16691" ht="12.75" hidden="1" customHeight="1" x14ac:dyDescent="0.2"/>
    <row r="16692" ht="12.75" hidden="1" customHeight="1" x14ac:dyDescent="0.2"/>
    <row r="16693" ht="12.75" hidden="1" customHeight="1" x14ac:dyDescent="0.2"/>
    <row r="16694" ht="12.75" hidden="1" customHeight="1" x14ac:dyDescent="0.2"/>
    <row r="16695" ht="12.75" hidden="1" customHeight="1" x14ac:dyDescent="0.2"/>
    <row r="16696" ht="12.75" hidden="1" customHeight="1" x14ac:dyDescent="0.2"/>
    <row r="16697" ht="12.75" hidden="1" customHeight="1" x14ac:dyDescent="0.2"/>
    <row r="16698" ht="12.75" hidden="1" customHeight="1" x14ac:dyDescent="0.2"/>
    <row r="16699" ht="12.75" hidden="1" customHeight="1" x14ac:dyDescent="0.2"/>
    <row r="16700" ht="12.75" hidden="1" customHeight="1" x14ac:dyDescent="0.2"/>
    <row r="16701" ht="12.75" hidden="1" customHeight="1" x14ac:dyDescent="0.2"/>
    <row r="16702" ht="12.75" hidden="1" customHeight="1" x14ac:dyDescent="0.2"/>
    <row r="16703" ht="12.75" hidden="1" customHeight="1" x14ac:dyDescent="0.2"/>
    <row r="16704" ht="12.75" hidden="1" customHeight="1" x14ac:dyDescent="0.2"/>
    <row r="16705" ht="12.75" hidden="1" customHeight="1" x14ac:dyDescent="0.2"/>
    <row r="16706" ht="12.75" hidden="1" customHeight="1" x14ac:dyDescent="0.2"/>
    <row r="16707" ht="12.75" hidden="1" customHeight="1" x14ac:dyDescent="0.2"/>
    <row r="16708" ht="12.75" hidden="1" customHeight="1" x14ac:dyDescent="0.2"/>
    <row r="16709" ht="12.75" hidden="1" customHeight="1" x14ac:dyDescent="0.2"/>
    <row r="16710" ht="12.75" hidden="1" customHeight="1" x14ac:dyDescent="0.2"/>
    <row r="16711" ht="12.75" hidden="1" customHeight="1" x14ac:dyDescent="0.2"/>
    <row r="16712" ht="12.75" hidden="1" customHeight="1" x14ac:dyDescent="0.2"/>
    <row r="16713" ht="12.75" hidden="1" customHeight="1" x14ac:dyDescent="0.2"/>
    <row r="16714" ht="12.75" hidden="1" customHeight="1" x14ac:dyDescent="0.2"/>
    <row r="16715" ht="12.75" hidden="1" customHeight="1" x14ac:dyDescent="0.2"/>
    <row r="16716" ht="12.75" hidden="1" customHeight="1" x14ac:dyDescent="0.2"/>
    <row r="16717" ht="12.75" hidden="1" customHeight="1" x14ac:dyDescent="0.2"/>
    <row r="16718" ht="12.75" hidden="1" customHeight="1" x14ac:dyDescent="0.2"/>
    <row r="16719" ht="12.75" hidden="1" customHeight="1" x14ac:dyDescent="0.2"/>
    <row r="16720" ht="12.75" hidden="1" customHeight="1" x14ac:dyDescent="0.2"/>
    <row r="16721" ht="12.75" hidden="1" customHeight="1" x14ac:dyDescent="0.2"/>
    <row r="16722" ht="12.75" hidden="1" customHeight="1" x14ac:dyDescent="0.2"/>
    <row r="16723" ht="12.75" hidden="1" customHeight="1" x14ac:dyDescent="0.2"/>
    <row r="16724" ht="12.75" hidden="1" customHeight="1" x14ac:dyDescent="0.2"/>
    <row r="16725" ht="12.75" hidden="1" customHeight="1" x14ac:dyDescent="0.2"/>
    <row r="16726" ht="12.75" hidden="1" customHeight="1" x14ac:dyDescent="0.2"/>
    <row r="16727" ht="12.75" hidden="1" customHeight="1" x14ac:dyDescent="0.2"/>
    <row r="16728" ht="12.75" hidden="1" customHeight="1" x14ac:dyDescent="0.2"/>
    <row r="16729" ht="12.75" hidden="1" customHeight="1" x14ac:dyDescent="0.2"/>
    <row r="16730" ht="12.75" hidden="1" customHeight="1" x14ac:dyDescent="0.2"/>
    <row r="16731" ht="12.75" hidden="1" customHeight="1" x14ac:dyDescent="0.2"/>
    <row r="16732" ht="12.75" hidden="1" customHeight="1" x14ac:dyDescent="0.2"/>
    <row r="16733" ht="12.75" hidden="1" customHeight="1" x14ac:dyDescent="0.2"/>
    <row r="16734" ht="12.75" hidden="1" customHeight="1" x14ac:dyDescent="0.2"/>
    <row r="16735" ht="12.75" hidden="1" customHeight="1" x14ac:dyDescent="0.2"/>
    <row r="16736" ht="12.75" hidden="1" customHeight="1" x14ac:dyDescent="0.2"/>
    <row r="16737" ht="12.75" hidden="1" customHeight="1" x14ac:dyDescent="0.2"/>
    <row r="16738" ht="12.75" hidden="1" customHeight="1" x14ac:dyDescent="0.2"/>
    <row r="16739" ht="12.75" hidden="1" customHeight="1" x14ac:dyDescent="0.2"/>
    <row r="16740" ht="12.75" hidden="1" customHeight="1" x14ac:dyDescent="0.2"/>
    <row r="16741" ht="12.75" hidden="1" customHeight="1" x14ac:dyDescent="0.2"/>
    <row r="16742" ht="12.75" hidden="1" customHeight="1" x14ac:dyDescent="0.2"/>
    <row r="16743" ht="12.75" hidden="1" customHeight="1" x14ac:dyDescent="0.2"/>
    <row r="16744" ht="12.75" hidden="1" customHeight="1" x14ac:dyDescent="0.2"/>
    <row r="16745" ht="12.75" hidden="1" customHeight="1" x14ac:dyDescent="0.2"/>
    <row r="16746" ht="12.75" hidden="1" customHeight="1" x14ac:dyDescent="0.2"/>
    <row r="16747" ht="12.75" hidden="1" customHeight="1" x14ac:dyDescent="0.2"/>
    <row r="16748" ht="12.75" hidden="1" customHeight="1" x14ac:dyDescent="0.2"/>
    <row r="16749" ht="12.75" hidden="1" customHeight="1" x14ac:dyDescent="0.2"/>
    <row r="16750" ht="12.75" hidden="1" customHeight="1" x14ac:dyDescent="0.2"/>
    <row r="16751" ht="12.75" hidden="1" customHeight="1" x14ac:dyDescent="0.2"/>
    <row r="16752" ht="12.75" hidden="1" customHeight="1" x14ac:dyDescent="0.2"/>
    <row r="16753" ht="12.75" hidden="1" customHeight="1" x14ac:dyDescent="0.2"/>
    <row r="16754" ht="12.75" hidden="1" customHeight="1" x14ac:dyDescent="0.2"/>
    <row r="16755" ht="12.75" hidden="1" customHeight="1" x14ac:dyDescent="0.2"/>
    <row r="16756" ht="12.75" hidden="1" customHeight="1" x14ac:dyDescent="0.2"/>
    <row r="16757" ht="12.75" hidden="1" customHeight="1" x14ac:dyDescent="0.2"/>
    <row r="16758" ht="12.75" hidden="1" customHeight="1" x14ac:dyDescent="0.2"/>
    <row r="16759" ht="12.75" hidden="1" customHeight="1" x14ac:dyDescent="0.2"/>
    <row r="16760" ht="12.75" hidden="1" customHeight="1" x14ac:dyDescent="0.2"/>
    <row r="16761" ht="12.75" hidden="1" customHeight="1" x14ac:dyDescent="0.2"/>
    <row r="16762" ht="12.75" hidden="1" customHeight="1" x14ac:dyDescent="0.2"/>
    <row r="16763" ht="12.75" hidden="1" customHeight="1" x14ac:dyDescent="0.2"/>
    <row r="16764" ht="12.75" hidden="1" customHeight="1" x14ac:dyDescent="0.2"/>
    <row r="16765" ht="12.75" hidden="1" customHeight="1" x14ac:dyDescent="0.2"/>
    <row r="16766" ht="12.75" hidden="1" customHeight="1" x14ac:dyDescent="0.2"/>
    <row r="16767" ht="12.75" hidden="1" customHeight="1" x14ac:dyDescent="0.2"/>
    <row r="16768" ht="12.75" hidden="1" customHeight="1" x14ac:dyDescent="0.2"/>
    <row r="16769" ht="12.75" hidden="1" customHeight="1" x14ac:dyDescent="0.2"/>
    <row r="16770" ht="12.75" hidden="1" customHeight="1" x14ac:dyDescent="0.2"/>
    <row r="16771" ht="12.75" hidden="1" customHeight="1" x14ac:dyDescent="0.2"/>
    <row r="16772" ht="12.75" hidden="1" customHeight="1" x14ac:dyDescent="0.2"/>
    <row r="16773" ht="12.75" hidden="1" customHeight="1" x14ac:dyDescent="0.2"/>
    <row r="16774" ht="12.75" hidden="1" customHeight="1" x14ac:dyDescent="0.2"/>
    <row r="16775" ht="12.75" hidden="1" customHeight="1" x14ac:dyDescent="0.2"/>
    <row r="16776" ht="12.75" hidden="1" customHeight="1" x14ac:dyDescent="0.2"/>
    <row r="16777" ht="12.75" hidden="1" customHeight="1" x14ac:dyDescent="0.2"/>
    <row r="16778" ht="12.75" hidden="1" customHeight="1" x14ac:dyDescent="0.2"/>
    <row r="16779" ht="12.75" hidden="1" customHeight="1" x14ac:dyDescent="0.2"/>
    <row r="16780" ht="12.75" hidden="1" customHeight="1" x14ac:dyDescent="0.2"/>
    <row r="16781" ht="12.75" hidden="1" customHeight="1" x14ac:dyDescent="0.2"/>
    <row r="16782" ht="12.75" hidden="1" customHeight="1" x14ac:dyDescent="0.2"/>
    <row r="16783" ht="12.75" hidden="1" customHeight="1" x14ac:dyDescent="0.2"/>
    <row r="16784" ht="12.75" hidden="1" customHeight="1" x14ac:dyDescent="0.2"/>
    <row r="16785" ht="12.75" hidden="1" customHeight="1" x14ac:dyDescent="0.2"/>
    <row r="16786" ht="12.75" hidden="1" customHeight="1" x14ac:dyDescent="0.2"/>
    <row r="16787" ht="12.75" hidden="1" customHeight="1" x14ac:dyDescent="0.2"/>
    <row r="16788" ht="12.75" hidden="1" customHeight="1" x14ac:dyDescent="0.2"/>
    <row r="16789" ht="12.75" hidden="1" customHeight="1" x14ac:dyDescent="0.2"/>
    <row r="16790" ht="12.75" hidden="1" customHeight="1" x14ac:dyDescent="0.2"/>
    <row r="16791" ht="12.75" hidden="1" customHeight="1" x14ac:dyDescent="0.2"/>
    <row r="16792" ht="12.75" hidden="1" customHeight="1" x14ac:dyDescent="0.2"/>
    <row r="16793" ht="12.75" hidden="1" customHeight="1" x14ac:dyDescent="0.2"/>
    <row r="16794" ht="12.75" hidden="1" customHeight="1" x14ac:dyDescent="0.2"/>
    <row r="16795" ht="12.75" hidden="1" customHeight="1" x14ac:dyDescent="0.2"/>
    <row r="16796" ht="12.75" hidden="1" customHeight="1" x14ac:dyDescent="0.2"/>
    <row r="16797" ht="12.75" hidden="1" customHeight="1" x14ac:dyDescent="0.2"/>
    <row r="16798" ht="12.75" hidden="1" customHeight="1" x14ac:dyDescent="0.2"/>
    <row r="16799" ht="12.75" hidden="1" customHeight="1" x14ac:dyDescent="0.2"/>
    <row r="16800" ht="12.75" hidden="1" customHeight="1" x14ac:dyDescent="0.2"/>
    <row r="16801" ht="12.75" hidden="1" customHeight="1" x14ac:dyDescent="0.2"/>
    <row r="16802" ht="12.75" hidden="1" customHeight="1" x14ac:dyDescent="0.2"/>
    <row r="16803" ht="12.75" hidden="1" customHeight="1" x14ac:dyDescent="0.2"/>
    <row r="16804" ht="12.75" hidden="1" customHeight="1" x14ac:dyDescent="0.2"/>
    <row r="16805" ht="12.75" hidden="1" customHeight="1" x14ac:dyDescent="0.2"/>
    <row r="16806" ht="12.75" hidden="1" customHeight="1" x14ac:dyDescent="0.2"/>
    <row r="16807" ht="12.75" hidden="1" customHeight="1" x14ac:dyDescent="0.2"/>
    <row r="16808" ht="12.75" hidden="1" customHeight="1" x14ac:dyDescent="0.2"/>
    <row r="16809" ht="12.75" hidden="1" customHeight="1" x14ac:dyDescent="0.2"/>
    <row r="16810" ht="12.75" hidden="1" customHeight="1" x14ac:dyDescent="0.2"/>
    <row r="16811" ht="12.75" hidden="1" customHeight="1" x14ac:dyDescent="0.2"/>
    <row r="16812" ht="12.75" hidden="1" customHeight="1" x14ac:dyDescent="0.2"/>
    <row r="16813" ht="12.75" hidden="1" customHeight="1" x14ac:dyDescent="0.2"/>
    <row r="16814" ht="12.75" hidden="1" customHeight="1" x14ac:dyDescent="0.2"/>
    <row r="16815" ht="12.75" hidden="1" customHeight="1" x14ac:dyDescent="0.2"/>
    <row r="16816" ht="12.75" hidden="1" customHeight="1" x14ac:dyDescent="0.2"/>
    <row r="16817" ht="12.75" hidden="1" customHeight="1" x14ac:dyDescent="0.2"/>
    <row r="16818" ht="12.75" hidden="1" customHeight="1" x14ac:dyDescent="0.2"/>
    <row r="16819" ht="12.75" hidden="1" customHeight="1" x14ac:dyDescent="0.2"/>
    <row r="16820" ht="12.75" hidden="1" customHeight="1" x14ac:dyDescent="0.2"/>
    <row r="16821" ht="12.75" hidden="1" customHeight="1" x14ac:dyDescent="0.2"/>
    <row r="16822" ht="12.75" hidden="1" customHeight="1" x14ac:dyDescent="0.2"/>
    <row r="16823" ht="12.75" hidden="1" customHeight="1" x14ac:dyDescent="0.2"/>
    <row r="16824" ht="12.75" hidden="1" customHeight="1" x14ac:dyDescent="0.2"/>
    <row r="16825" ht="12.75" hidden="1" customHeight="1" x14ac:dyDescent="0.2"/>
    <row r="16826" ht="12.75" hidden="1" customHeight="1" x14ac:dyDescent="0.2"/>
    <row r="16827" ht="12.75" hidden="1" customHeight="1" x14ac:dyDescent="0.2"/>
    <row r="16828" ht="12.75" hidden="1" customHeight="1" x14ac:dyDescent="0.2"/>
    <row r="16829" ht="12.75" hidden="1" customHeight="1" x14ac:dyDescent="0.2"/>
    <row r="16830" ht="12.75" hidden="1" customHeight="1" x14ac:dyDescent="0.2"/>
    <row r="16831" ht="12.75" hidden="1" customHeight="1" x14ac:dyDescent="0.2"/>
    <row r="16832" ht="12.75" hidden="1" customHeight="1" x14ac:dyDescent="0.2"/>
    <row r="16833" ht="12.75" hidden="1" customHeight="1" x14ac:dyDescent="0.2"/>
    <row r="16834" ht="12.75" hidden="1" customHeight="1" x14ac:dyDescent="0.2"/>
    <row r="16835" ht="12.75" hidden="1" customHeight="1" x14ac:dyDescent="0.2"/>
    <row r="16836" ht="12.75" hidden="1" customHeight="1" x14ac:dyDescent="0.2"/>
    <row r="16837" ht="12.75" hidden="1" customHeight="1" x14ac:dyDescent="0.2"/>
    <row r="16838" ht="12.75" hidden="1" customHeight="1" x14ac:dyDescent="0.2"/>
    <row r="16839" ht="12.75" hidden="1" customHeight="1" x14ac:dyDescent="0.2"/>
    <row r="16840" ht="12.75" hidden="1" customHeight="1" x14ac:dyDescent="0.2"/>
    <row r="16841" ht="12.75" hidden="1" customHeight="1" x14ac:dyDescent="0.2"/>
    <row r="16842" ht="12.75" hidden="1" customHeight="1" x14ac:dyDescent="0.2"/>
    <row r="16843" ht="12.75" hidden="1" customHeight="1" x14ac:dyDescent="0.2"/>
    <row r="16844" ht="12.75" hidden="1" customHeight="1" x14ac:dyDescent="0.2"/>
    <row r="16845" ht="12.75" hidden="1" customHeight="1" x14ac:dyDescent="0.2"/>
    <row r="16846" ht="12.75" hidden="1" customHeight="1" x14ac:dyDescent="0.2"/>
    <row r="16847" ht="12.75" hidden="1" customHeight="1" x14ac:dyDescent="0.2"/>
    <row r="16848" ht="12.75" hidden="1" customHeight="1" x14ac:dyDescent="0.2"/>
    <row r="16849" ht="12.75" hidden="1" customHeight="1" x14ac:dyDescent="0.2"/>
    <row r="16850" ht="12.75" hidden="1" customHeight="1" x14ac:dyDescent="0.2"/>
    <row r="16851" ht="12.75" hidden="1" customHeight="1" x14ac:dyDescent="0.2"/>
    <row r="16852" ht="12.75" hidden="1" customHeight="1" x14ac:dyDescent="0.2"/>
    <row r="16853" ht="12.75" hidden="1" customHeight="1" x14ac:dyDescent="0.2"/>
    <row r="16854" ht="12.75" hidden="1" customHeight="1" x14ac:dyDescent="0.2"/>
    <row r="16855" ht="12.75" hidden="1" customHeight="1" x14ac:dyDescent="0.2"/>
    <row r="16856" ht="12.75" hidden="1" customHeight="1" x14ac:dyDescent="0.2"/>
    <row r="16857" ht="12.75" hidden="1" customHeight="1" x14ac:dyDescent="0.2"/>
    <row r="16858" ht="12.75" hidden="1" customHeight="1" x14ac:dyDescent="0.2"/>
    <row r="16859" ht="12.75" hidden="1" customHeight="1" x14ac:dyDescent="0.2"/>
    <row r="16860" ht="12.75" hidden="1" customHeight="1" x14ac:dyDescent="0.2"/>
    <row r="16861" ht="12.75" hidden="1" customHeight="1" x14ac:dyDescent="0.2"/>
    <row r="16862" ht="12.75" hidden="1" customHeight="1" x14ac:dyDescent="0.2"/>
    <row r="16863" ht="12.75" hidden="1" customHeight="1" x14ac:dyDescent="0.2"/>
    <row r="16864" ht="12.75" hidden="1" customHeight="1" x14ac:dyDescent="0.2"/>
    <row r="16865" ht="12.75" hidden="1" customHeight="1" x14ac:dyDescent="0.2"/>
    <row r="16866" ht="12.75" hidden="1" customHeight="1" x14ac:dyDescent="0.2"/>
    <row r="16867" ht="12.75" hidden="1" customHeight="1" x14ac:dyDescent="0.2"/>
    <row r="16868" ht="12.75" hidden="1" customHeight="1" x14ac:dyDescent="0.2"/>
    <row r="16869" ht="12.75" hidden="1" customHeight="1" x14ac:dyDescent="0.2"/>
    <row r="16870" ht="12.75" hidden="1" customHeight="1" x14ac:dyDescent="0.2"/>
    <row r="16871" ht="12.75" hidden="1" customHeight="1" x14ac:dyDescent="0.2"/>
    <row r="16872" ht="12.75" hidden="1" customHeight="1" x14ac:dyDescent="0.2"/>
    <row r="16873" ht="12.75" hidden="1" customHeight="1" x14ac:dyDescent="0.2"/>
    <row r="16874" ht="12.75" hidden="1" customHeight="1" x14ac:dyDescent="0.2"/>
    <row r="16875" ht="12.75" hidden="1" customHeight="1" x14ac:dyDescent="0.2"/>
    <row r="16876" ht="12.75" hidden="1" customHeight="1" x14ac:dyDescent="0.2"/>
    <row r="16877" ht="12.75" hidden="1" customHeight="1" x14ac:dyDescent="0.2"/>
    <row r="16878" ht="12.75" hidden="1" customHeight="1" x14ac:dyDescent="0.2"/>
    <row r="16879" ht="12.75" hidden="1" customHeight="1" x14ac:dyDescent="0.2"/>
    <row r="16880" ht="12.75" hidden="1" customHeight="1" x14ac:dyDescent="0.2"/>
    <row r="16881" ht="12.75" hidden="1" customHeight="1" x14ac:dyDescent="0.2"/>
    <row r="16882" ht="12.75" hidden="1" customHeight="1" x14ac:dyDescent="0.2"/>
    <row r="16883" ht="12.75" hidden="1" customHeight="1" x14ac:dyDescent="0.2"/>
    <row r="16884" ht="12.75" hidden="1" customHeight="1" x14ac:dyDescent="0.2"/>
    <row r="16885" ht="12.75" hidden="1" customHeight="1" x14ac:dyDescent="0.2"/>
    <row r="16886" ht="12.75" hidden="1" customHeight="1" x14ac:dyDescent="0.2"/>
    <row r="16887" ht="12.75" hidden="1" customHeight="1" x14ac:dyDescent="0.2"/>
    <row r="16888" ht="12.75" hidden="1" customHeight="1" x14ac:dyDescent="0.2"/>
    <row r="16889" ht="12.75" hidden="1" customHeight="1" x14ac:dyDescent="0.2"/>
    <row r="16890" ht="12.75" hidden="1" customHeight="1" x14ac:dyDescent="0.2"/>
    <row r="16891" ht="12.75" hidden="1" customHeight="1" x14ac:dyDescent="0.2"/>
    <row r="16892" ht="12.75" hidden="1" customHeight="1" x14ac:dyDescent="0.2"/>
    <row r="16893" ht="12.75" hidden="1" customHeight="1" x14ac:dyDescent="0.2"/>
    <row r="16894" ht="12.75" hidden="1" customHeight="1" x14ac:dyDescent="0.2"/>
    <row r="16895" ht="12.75" hidden="1" customHeight="1" x14ac:dyDescent="0.2"/>
    <row r="16896" ht="12.75" hidden="1" customHeight="1" x14ac:dyDescent="0.2"/>
    <row r="16897" ht="12.75" hidden="1" customHeight="1" x14ac:dyDescent="0.2"/>
    <row r="16898" ht="12.75" hidden="1" customHeight="1" x14ac:dyDescent="0.2"/>
    <row r="16899" ht="12.75" hidden="1" customHeight="1" x14ac:dyDescent="0.2"/>
    <row r="16900" ht="12.75" hidden="1" customHeight="1" x14ac:dyDescent="0.2"/>
    <row r="16901" ht="12.75" hidden="1" customHeight="1" x14ac:dyDescent="0.2"/>
    <row r="16902" ht="12.75" hidden="1" customHeight="1" x14ac:dyDescent="0.2"/>
    <row r="16903" ht="12.75" hidden="1" customHeight="1" x14ac:dyDescent="0.2"/>
    <row r="16904" ht="12.75" hidden="1" customHeight="1" x14ac:dyDescent="0.2"/>
    <row r="16905" ht="12.75" hidden="1" customHeight="1" x14ac:dyDescent="0.2"/>
    <row r="16906" ht="12.75" hidden="1" customHeight="1" x14ac:dyDescent="0.2"/>
    <row r="16907" ht="12.75" hidden="1" customHeight="1" x14ac:dyDescent="0.2"/>
    <row r="16908" ht="12.75" hidden="1" customHeight="1" x14ac:dyDescent="0.2"/>
    <row r="16909" ht="12.75" hidden="1" customHeight="1" x14ac:dyDescent="0.2"/>
    <row r="16910" ht="12.75" hidden="1" customHeight="1" x14ac:dyDescent="0.2"/>
    <row r="16911" ht="12.75" hidden="1" customHeight="1" x14ac:dyDescent="0.2"/>
    <row r="16912" ht="12.75" hidden="1" customHeight="1" x14ac:dyDescent="0.2"/>
    <row r="16913" ht="12.75" hidden="1" customHeight="1" x14ac:dyDescent="0.2"/>
    <row r="16914" ht="12.75" hidden="1" customHeight="1" x14ac:dyDescent="0.2"/>
    <row r="16915" ht="12.75" hidden="1" customHeight="1" x14ac:dyDescent="0.2"/>
    <row r="16916" ht="12.75" hidden="1" customHeight="1" x14ac:dyDescent="0.2"/>
    <row r="16917" ht="12.75" hidden="1" customHeight="1" x14ac:dyDescent="0.2"/>
    <row r="16918" ht="12.75" hidden="1" customHeight="1" x14ac:dyDescent="0.2"/>
    <row r="16919" ht="12.75" hidden="1" customHeight="1" x14ac:dyDescent="0.2"/>
    <row r="16920" ht="12.75" hidden="1" customHeight="1" x14ac:dyDescent="0.2"/>
    <row r="16921" ht="12.75" hidden="1" customHeight="1" x14ac:dyDescent="0.2"/>
    <row r="16922" ht="12.75" hidden="1" customHeight="1" x14ac:dyDescent="0.2"/>
    <row r="16923" ht="12.75" hidden="1" customHeight="1" x14ac:dyDescent="0.2"/>
    <row r="16924" ht="12.75" hidden="1" customHeight="1" x14ac:dyDescent="0.2"/>
    <row r="16925" ht="12.75" hidden="1" customHeight="1" x14ac:dyDescent="0.2"/>
    <row r="16926" ht="12.75" hidden="1" customHeight="1" x14ac:dyDescent="0.2"/>
    <row r="16927" ht="12.75" hidden="1" customHeight="1" x14ac:dyDescent="0.2"/>
    <row r="16928" ht="12.75" hidden="1" customHeight="1" x14ac:dyDescent="0.2"/>
    <row r="16929" ht="12.75" hidden="1" customHeight="1" x14ac:dyDescent="0.2"/>
    <row r="16930" ht="12.75" hidden="1" customHeight="1" x14ac:dyDescent="0.2"/>
    <row r="16931" ht="12.75" hidden="1" customHeight="1" x14ac:dyDescent="0.2"/>
    <row r="16932" ht="12.75" hidden="1" customHeight="1" x14ac:dyDescent="0.2"/>
    <row r="16933" ht="12.75" hidden="1" customHeight="1" x14ac:dyDescent="0.2"/>
    <row r="16934" ht="12.75" hidden="1" customHeight="1" x14ac:dyDescent="0.2"/>
    <row r="16935" ht="12.75" hidden="1" customHeight="1" x14ac:dyDescent="0.2"/>
    <row r="16936" ht="12.75" hidden="1" customHeight="1" x14ac:dyDescent="0.2"/>
    <row r="16937" ht="12.75" hidden="1" customHeight="1" x14ac:dyDescent="0.2"/>
    <row r="16938" ht="12.75" hidden="1" customHeight="1" x14ac:dyDescent="0.2"/>
    <row r="16939" ht="12.75" hidden="1" customHeight="1" x14ac:dyDescent="0.2"/>
    <row r="16940" ht="12.75" hidden="1" customHeight="1" x14ac:dyDescent="0.2"/>
    <row r="16941" ht="12.75" hidden="1" customHeight="1" x14ac:dyDescent="0.2"/>
    <row r="16942" ht="12.75" hidden="1" customHeight="1" x14ac:dyDescent="0.2"/>
    <row r="16943" ht="12.75" hidden="1" customHeight="1" x14ac:dyDescent="0.2"/>
    <row r="16944" ht="12.75" hidden="1" customHeight="1" x14ac:dyDescent="0.2"/>
    <row r="16945" ht="12.75" hidden="1" customHeight="1" x14ac:dyDescent="0.2"/>
    <row r="16946" ht="12.75" hidden="1" customHeight="1" x14ac:dyDescent="0.2"/>
    <row r="16947" ht="12.75" hidden="1" customHeight="1" x14ac:dyDescent="0.2"/>
    <row r="16948" ht="12.75" hidden="1" customHeight="1" x14ac:dyDescent="0.2"/>
    <row r="16949" ht="12.75" hidden="1" customHeight="1" x14ac:dyDescent="0.2"/>
    <row r="16950" ht="12.75" hidden="1" customHeight="1" x14ac:dyDescent="0.2"/>
    <row r="16951" ht="12.75" hidden="1" customHeight="1" x14ac:dyDescent="0.2"/>
    <row r="16952" ht="12.75" hidden="1" customHeight="1" x14ac:dyDescent="0.2"/>
    <row r="16953" ht="12.75" hidden="1" customHeight="1" x14ac:dyDescent="0.2"/>
    <row r="16954" ht="12.75" hidden="1" customHeight="1" x14ac:dyDescent="0.2"/>
    <row r="16955" ht="12.75" hidden="1" customHeight="1" x14ac:dyDescent="0.2"/>
    <row r="16956" ht="12.75" hidden="1" customHeight="1" x14ac:dyDescent="0.2"/>
    <row r="16957" ht="12.75" hidden="1" customHeight="1" x14ac:dyDescent="0.2"/>
    <row r="16958" ht="12.75" hidden="1" customHeight="1" x14ac:dyDescent="0.2"/>
    <row r="16959" ht="12.75" hidden="1" customHeight="1" x14ac:dyDescent="0.2"/>
    <row r="16960" ht="12.75" hidden="1" customHeight="1" x14ac:dyDescent="0.2"/>
    <row r="16961" ht="12.75" hidden="1" customHeight="1" x14ac:dyDescent="0.2"/>
    <row r="16962" ht="12.75" hidden="1" customHeight="1" x14ac:dyDescent="0.2"/>
    <row r="16963" ht="12.75" hidden="1" customHeight="1" x14ac:dyDescent="0.2"/>
    <row r="16964" ht="12.75" hidden="1" customHeight="1" x14ac:dyDescent="0.2"/>
    <row r="16965" ht="12.75" hidden="1" customHeight="1" x14ac:dyDescent="0.2"/>
    <row r="16966" ht="12.75" hidden="1" customHeight="1" x14ac:dyDescent="0.2"/>
    <row r="16967" ht="12.75" hidden="1" customHeight="1" x14ac:dyDescent="0.2"/>
    <row r="16968" ht="12.75" hidden="1" customHeight="1" x14ac:dyDescent="0.2"/>
    <row r="16969" ht="12.75" hidden="1" customHeight="1" x14ac:dyDescent="0.2"/>
    <row r="16970" ht="12.75" hidden="1" customHeight="1" x14ac:dyDescent="0.2"/>
    <row r="16971" ht="12.75" hidden="1" customHeight="1" x14ac:dyDescent="0.2"/>
    <row r="16972" ht="12.75" hidden="1" customHeight="1" x14ac:dyDescent="0.2"/>
    <row r="16973" ht="12.75" hidden="1" customHeight="1" x14ac:dyDescent="0.2"/>
    <row r="16974" ht="12.75" hidden="1" customHeight="1" x14ac:dyDescent="0.2"/>
    <row r="16975" ht="12.75" hidden="1" customHeight="1" x14ac:dyDescent="0.2"/>
    <row r="16976" ht="12.75" hidden="1" customHeight="1" x14ac:dyDescent="0.2"/>
    <row r="16977" ht="12.75" hidden="1" customHeight="1" x14ac:dyDescent="0.2"/>
    <row r="16978" ht="12.75" hidden="1" customHeight="1" x14ac:dyDescent="0.2"/>
    <row r="16979" ht="12.75" hidden="1" customHeight="1" x14ac:dyDescent="0.2"/>
    <row r="16980" ht="12.75" hidden="1" customHeight="1" x14ac:dyDescent="0.2"/>
    <row r="16981" ht="12.75" hidden="1" customHeight="1" x14ac:dyDescent="0.2"/>
    <row r="16982" ht="12.75" hidden="1" customHeight="1" x14ac:dyDescent="0.2"/>
    <row r="16983" ht="12.75" hidden="1" customHeight="1" x14ac:dyDescent="0.2"/>
    <row r="16984" ht="12.75" hidden="1" customHeight="1" x14ac:dyDescent="0.2"/>
    <row r="16985" ht="12.75" hidden="1" customHeight="1" x14ac:dyDescent="0.2"/>
    <row r="16986" ht="12.75" hidden="1" customHeight="1" x14ac:dyDescent="0.2"/>
    <row r="16987" ht="12.75" hidden="1" customHeight="1" x14ac:dyDescent="0.2"/>
    <row r="16988" ht="12.75" hidden="1" customHeight="1" x14ac:dyDescent="0.2"/>
    <row r="16989" ht="12.75" hidden="1" customHeight="1" x14ac:dyDescent="0.2"/>
    <row r="16990" ht="12.75" hidden="1" customHeight="1" x14ac:dyDescent="0.2"/>
    <row r="16991" ht="12.75" hidden="1" customHeight="1" x14ac:dyDescent="0.2"/>
    <row r="16992" ht="12.75" hidden="1" customHeight="1" x14ac:dyDescent="0.2"/>
    <row r="16993" ht="12.75" hidden="1" customHeight="1" x14ac:dyDescent="0.2"/>
    <row r="16994" ht="12.75" hidden="1" customHeight="1" x14ac:dyDescent="0.2"/>
    <row r="16995" ht="12.75" hidden="1" customHeight="1" x14ac:dyDescent="0.2"/>
    <row r="16996" ht="12.75" hidden="1" customHeight="1" x14ac:dyDescent="0.2"/>
    <row r="16997" ht="12.75" hidden="1" customHeight="1" x14ac:dyDescent="0.2"/>
    <row r="16998" ht="12.75" hidden="1" customHeight="1" x14ac:dyDescent="0.2"/>
    <row r="16999" ht="12.75" hidden="1" customHeight="1" x14ac:dyDescent="0.2"/>
    <row r="17000" ht="12.75" hidden="1" customHeight="1" x14ac:dyDescent="0.2"/>
    <row r="17001" ht="12.75" hidden="1" customHeight="1" x14ac:dyDescent="0.2"/>
    <row r="17002" ht="12.75" hidden="1" customHeight="1" x14ac:dyDescent="0.2"/>
    <row r="17003" ht="12.75" hidden="1" customHeight="1" x14ac:dyDescent="0.2"/>
    <row r="17004" ht="12.75" hidden="1" customHeight="1" x14ac:dyDescent="0.2"/>
    <row r="17005" ht="12.75" hidden="1" customHeight="1" x14ac:dyDescent="0.2"/>
    <row r="17006" ht="12.75" hidden="1" customHeight="1" x14ac:dyDescent="0.2"/>
    <row r="17007" ht="12.75" hidden="1" customHeight="1" x14ac:dyDescent="0.2"/>
    <row r="17008" ht="12.75" hidden="1" customHeight="1" x14ac:dyDescent="0.2"/>
    <row r="17009" ht="12.75" hidden="1" customHeight="1" x14ac:dyDescent="0.2"/>
    <row r="17010" ht="12.75" hidden="1" customHeight="1" x14ac:dyDescent="0.2"/>
    <row r="17011" ht="12.75" hidden="1" customHeight="1" x14ac:dyDescent="0.2"/>
    <row r="17012" ht="12.75" hidden="1" customHeight="1" x14ac:dyDescent="0.2"/>
    <row r="17013" ht="12.75" hidden="1" customHeight="1" x14ac:dyDescent="0.2"/>
    <row r="17014" ht="12.75" hidden="1" customHeight="1" x14ac:dyDescent="0.2"/>
    <row r="17015" ht="12.75" hidden="1" customHeight="1" x14ac:dyDescent="0.2"/>
    <row r="17016" ht="12.75" hidden="1" customHeight="1" x14ac:dyDescent="0.2"/>
    <row r="17017" ht="12.75" hidden="1" customHeight="1" x14ac:dyDescent="0.2"/>
    <row r="17018" ht="12.75" hidden="1" customHeight="1" x14ac:dyDescent="0.2"/>
    <row r="17019" ht="12.75" hidden="1" customHeight="1" x14ac:dyDescent="0.2"/>
    <row r="17020" ht="12.75" hidden="1" customHeight="1" x14ac:dyDescent="0.2"/>
    <row r="17021" ht="12.75" hidden="1" customHeight="1" x14ac:dyDescent="0.2"/>
    <row r="17022" ht="12.75" hidden="1" customHeight="1" x14ac:dyDescent="0.2"/>
    <row r="17023" ht="12.75" hidden="1" customHeight="1" x14ac:dyDescent="0.2"/>
    <row r="17024" ht="12.75" hidden="1" customHeight="1" x14ac:dyDescent="0.2"/>
    <row r="17025" ht="12.75" hidden="1" customHeight="1" x14ac:dyDescent="0.2"/>
    <row r="17026" ht="12.75" hidden="1" customHeight="1" x14ac:dyDescent="0.2"/>
    <row r="17027" ht="12.75" hidden="1" customHeight="1" x14ac:dyDescent="0.2"/>
    <row r="17028" ht="12.75" hidden="1" customHeight="1" x14ac:dyDescent="0.2"/>
    <row r="17029" ht="12.75" hidden="1" customHeight="1" x14ac:dyDescent="0.2"/>
    <row r="17030" ht="12.75" hidden="1" customHeight="1" x14ac:dyDescent="0.2"/>
    <row r="17031" ht="12.75" hidden="1" customHeight="1" x14ac:dyDescent="0.2"/>
    <row r="17032" ht="12.75" hidden="1" customHeight="1" x14ac:dyDescent="0.2"/>
    <row r="17033" ht="12.75" hidden="1" customHeight="1" x14ac:dyDescent="0.2"/>
    <row r="17034" ht="12.75" hidden="1" customHeight="1" x14ac:dyDescent="0.2"/>
    <row r="17035" ht="12.75" hidden="1" customHeight="1" x14ac:dyDescent="0.2"/>
    <row r="17036" ht="12.75" hidden="1" customHeight="1" x14ac:dyDescent="0.2"/>
    <row r="17037" ht="12.75" hidden="1" customHeight="1" x14ac:dyDescent="0.2"/>
    <row r="17038" ht="12.75" hidden="1" customHeight="1" x14ac:dyDescent="0.2"/>
    <row r="17039" ht="12.75" hidden="1" customHeight="1" x14ac:dyDescent="0.2"/>
    <row r="17040" ht="12.75" hidden="1" customHeight="1" x14ac:dyDescent="0.2"/>
    <row r="17041" ht="12.75" hidden="1" customHeight="1" x14ac:dyDescent="0.2"/>
    <row r="17042" ht="12.75" hidden="1" customHeight="1" x14ac:dyDescent="0.2"/>
    <row r="17043" ht="12.75" hidden="1" customHeight="1" x14ac:dyDescent="0.2"/>
    <row r="17044" ht="12.75" hidden="1" customHeight="1" x14ac:dyDescent="0.2"/>
    <row r="17045" ht="12.75" hidden="1" customHeight="1" x14ac:dyDescent="0.2"/>
    <row r="17046" ht="12.75" hidden="1" customHeight="1" x14ac:dyDescent="0.2"/>
    <row r="17047" ht="12.75" hidden="1" customHeight="1" x14ac:dyDescent="0.2"/>
    <row r="17048" ht="12.75" hidden="1" customHeight="1" x14ac:dyDescent="0.2"/>
    <row r="17049" ht="12.75" hidden="1" customHeight="1" x14ac:dyDescent="0.2"/>
    <row r="17050" ht="12.75" hidden="1" customHeight="1" x14ac:dyDescent="0.2"/>
    <row r="17051" ht="12.75" hidden="1" customHeight="1" x14ac:dyDescent="0.2"/>
    <row r="17052" ht="12.75" hidden="1" customHeight="1" x14ac:dyDescent="0.2"/>
    <row r="17053" ht="12.75" hidden="1" customHeight="1" x14ac:dyDescent="0.2"/>
    <row r="17054" ht="12.75" hidden="1" customHeight="1" x14ac:dyDescent="0.2"/>
    <row r="17055" ht="12.75" hidden="1" customHeight="1" x14ac:dyDescent="0.2"/>
    <row r="17056" ht="12.75" hidden="1" customHeight="1" x14ac:dyDescent="0.2"/>
    <row r="17057" ht="12.75" hidden="1" customHeight="1" x14ac:dyDescent="0.2"/>
    <row r="17058" ht="12.75" hidden="1" customHeight="1" x14ac:dyDescent="0.2"/>
    <row r="17059" ht="12.75" hidden="1" customHeight="1" x14ac:dyDescent="0.2"/>
    <row r="17060" ht="12.75" hidden="1" customHeight="1" x14ac:dyDescent="0.2"/>
    <row r="17061" ht="12.75" hidden="1" customHeight="1" x14ac:dyDescent="0.2"/>
    <row r="17062" ht="12.75" hidden="1" customHeight="1" x14ac:dyDescent="0.2"/>
    <row r="17063" ht="12.75" hidden="1" customHeight="1" x14ac:dyDescent="0.2"/>
    <row r="17064" ht="12.75" hidden="1" customHeight="1" x14ac:dyDescent="0.2"/>
    <row r="17065" ht="12.75" hidden="1" customHeight="1" x14ac:dyDescent="0.2"/>
    <row r="17066" ht="12.75" hidden="1" customHeight="1" x14ac:dyDescent="0.2"/>
    <row r="17067" ht="12.75" hidden="1" customHeight="1" x14ac:dyDescent="0.2"/>
    <row r="17068" ht="12.75" hidden="1" customHeight="1" x14ac:dyDescent="0.2"/>
    <row r="17069" ht="12.75" hidden="1" customHeight="1" x14ac:dyDescent="0.2"/>
    <row r="17070" ht="12.75" hidden="1" customHeight="1" x14ac:dyDescent="0.2"/>
    <row r="17071" ht="12.75" hidden="1" customHeight="1" x14ac:dyDescent="0.2"/>
    <row r="17072" ht="12.75" hidden="1" customHeight="1" x14ac:dyDescent="0.2"/>
    <row r="17073" ht="12.75" hidden="1" customHeight="1" x14ac:dyDescent="0.2"/>
    <row r="17074" ht="12.75" hidden="1" customHeight="1" x14ac:dyDescent="0.2"/>
    <row r="17075" ht="12.75" hidden="1" customHeight="1" x14ac:dyDescent="0.2"/>
    <row r="17076" ht="12.75" hidden="1" customHeight="1" x14ac:dyDescent="0.2"/>
    <row r="17077" ht="12.75" hidden="1" customHeight="1" x14ac:dyDescent="0.2"/>
    <row r="17078" ht="12.75" hidden="1" customHeight="1" x14ac:dyDescent="0.2"/>
    <row r="17079" ht="12.75" hidden="1" customHeight="1" x14ac:dyDescent="0.2"/>
    <row r="17080" ht="12.75" hidden="1" customHeight="1" x14ac:dyDescent="0.2"/>
    <row r="17081" ht="12.75" hidden="1" customHeight="1" x14ac:dyDescent="0.2"/>
    <row r="17082" ht="12.75" hidden="1" customHeight="1" x14ac:dyDescent="0.2"/>
    <row r="17083" ht="12.75" hidden="1" customHeight="1" x14ac:dyDescent="0.2"/>
    <row r="17084" ht="12.75" hidden="1" customHeight="1" x14ac:dyDescent="0.2"/>
    <row r="17085" ht="12.75" hidden="1" customHeight="1" x14ac:dyDescent="0.2"/>
    <row r="17086" ht="12.75" hidden="1" customHeight="1" x14ac:dyDescent="0.2"/>
    <row r="17087" ht="12.75" hidden="1" customHeight="1" x14ac:dyDescent="0.2"/>
    <row r="17088" ht="12.75" hidden="1" customHeight="1" x14ac:dyDescent="0.2"/>
    <row r="17089" ht="12.75" hidden="1" customHeight="1" x14ac:dyDescent="0.2"/>
    <row r="17090" ht="12.75" hidden="1" customHeight="1" x14ac:dyDescent="0.2"/>
    <row r="17091" ht="12.75" hidden="1" customHeight="1" x14ac:dyDescent="0.2"/>
    <row r="17092" ht="12.75" hidden="1" customHeight="1" x14ac:dyDescent="0.2"/>
    <row r="17093" ht="12.75" hidden="1" customHeight="1" x14ac:dyDescent="0.2"/>
    <row r="17094" ht="12.75" hidden="1" customHeight="1" x14ac:dyDescent="0.2"/>
    <row r="17095" ht="12.75" hidden="1" customHeight="1" x14ac:dyDescent="0.2"/>
    <row r="17096" ht="12.75" hidden="1" customHeight="1" x14ac:dyDescent="0.2"/>
    <row r="17097" ht="12.75" hidden="1" customHeight="1" x14ac:dyDescent="0.2"/>
    <row r="17098" ht="12.75" hidden="1" customHeight="1" x14ac:dyDescent="0.2"/>
    <row r="17099" ht="12.75" hidden="1" customHeight="1" x14ac:dyDescent="0.2"/>
    <row r="17100" ht="12.75" hidden="1" customHeight="1" x14ac:dyDescent="0.2"/>
    <row r="17101" ht="12.75" hidden="1" customHeight="1" x14ac:dyDescent="0.2"/>
    <row r="17102" ht="12.75" hidden="1" customHeight="1" x14ac:dyDescent="0.2"/>
    <row r="17103" ht="12.75" hidden="1" customHeight="1" x14ac:dyDescent="0.2"/>
    <row r="17104" ht="12.75" hidden="1" customHeight="1" x14ac:dyDescent="0.2"/>
    <row r="17105" ht="12.75" hidden="1" customHeight="1" x14ac:dyDescent="0.2"/>
    <row r="17106" ht="12.75" hidden="1" customHeight="1" x14ac:dyDescent="0.2"/>
    <row r="17107" ht="12.75" hidden="1" customHeight="1" x14ac:dyDescent="0.2"/>
    <row r="17108" ht="12.75" hidden="1" customHeight="1" x14ac:dyDescent="0.2"/>
    <row r="17109" ht="12.75" hidden="1" customHeight="1" x14ac:dyDescent="0.2"/>
    <row r="17110" ht="12.75" hidden="1" customHeight="1" x14ac:dyDescent="0.2"/>
    <row r="17111" ht="12.75" hidden="1" customHeight="1" x14ac:dyDescent="0.2"/>
    <row r="17112" ht="12.75" hidden="1" customHeight="1" x14ac:dyDescent="0.2"/>
    <row r="17113" ht="12.75" hidden="1" customHeight="1" x14ac:dyDescent="0.2"/>
    <row r="17114" ht="12.75" hidden="1" customHeight="1" x14ac:dyDescent="0.2"/>
    <row r="17115" ht="12.75" hidden="1" customHeight="1" x14ac:dyDescent="0.2"/>
    <row r="17116" ht="12.75" hidden="1" customHeight="1" x14ac:dyDescent="0.2"/>
    <row r="17117" ht="12.75" hidden="1" customHeight="1" x14ac:dyDescent="0.2"/>
    <row r="17118" ht="12.75" hidden="1" customHeight="1" x14ac:dyDescent="0.2"/>
    <row r="17119" ht="12.75" hidden="1" customHeight="1" x14ac:dyDescent="0.2"/>
    <row r="17120" ht="12.75" hidden="1" customHeight="1" x14ac:dyDescent="0.2"/>
    <row r="17121" ht="12.75" hidden="1" customHeight="1" x14ac:dyDescent="0.2"/>
    <row r="17122" ht="12.75" hidden="1" customHeight="1" x14ac:dyDescent="0.2"/>
    <row r="17123" ht="12.75" hidden="1" customHeight="1" x14ac:dyDescent="0.2"/>
    <row r="17124" ht="12.75" hidden="1" customHeight="1" x14ac:dyDescent="0.2"/>
    <row r="17125" ht="12.75" hidden="1" customHeight="1" x14ac:dyDescent="0.2"/>
    <row r="17126" ht="12.75" hidden="1" customHeight="1" x14ac:dyDescent="0.2"/>
    <row r="17127" ht="12.75" hidden="1" customHeight="1" x14ac:dyDescent="0.2"/>
    <row r="17128" ht="12.75" hidden="1" customHeight="1" x14ac:dyDescent="0.2"/>
    <row r="17129" ht="12.75" hidden="1" customHeight="1" x14ac:dyDescent="0.2"/>
    <row r="17130" ht="12.75" hidden="1" customHeight="1" x14ac:dyDescent="0.2"/>
    <row r="17131" ht="12.75" hidden="1" customHeight="1" x14ac:dyDescent="0.2"/>
    <row r="17132" ht="12.75" hidden="1" customHeight="1" x14ac:dyDescent="0.2"/>
    <row r="17133" ht="12.75" hidden="1" customHeight="1" x14ac:dyDescent="0.2"/>
    <row r="17134" ht="12.75" hidden="1" customHeight="1" x14ac:dyDescent="0.2"/>
    <row r="17135" ht="12.75" hidden="1" customHeight="1" x14ac:dyDescent="0.2"/>
    <row r="17136" ht="12.75" hidden="1" customHeight="1" x14ac:dyDescent="0.2"/>
    <row r="17137" ht="12.75" hidden="1" customHeight="1" x14ac:dyDescent="0.2"/>
    <row r="17138" ht="12.75" hidden="1" customHeight="1" x14ac:dyDescent="0.2"/>
    <row r="17139" ht="12.75" hidden="1" customHeight="1" x14ac:dyDescent="0.2"/>
    <row r="17140" ht="12.75" hidden="1" customHeight="1" x14ac:dyDescent="0.2"/>
    <row r="17141" ht="12.75" hidden="1" customHeight="1" x14ac:dyDescent="0.2"/>
    <row r="17142" ht="12.75" hidden="1" customHeight="1" x14ac:dyDescent="0.2"/>
    <row r="17143" ht="12.75" hidden="1" customHeight="1" x14ac:dyDescent="0.2"/>
    <row r="17144" ht="12.75" hidden="1" customHeight="1" x14ac:dyDescent="0.2"/>
    <row r="17145" ht="12.75" hidden="1" customHeight="1" x14ac:dyDescent="0.2"/>
    <row r="17146" ht="12.75" hidden="1" customHeight="1" x14ac:dyDescent="0.2"/>
    <row r="17147" ht="12.75" hidden="1" customHeight="1" x14ac:dyDescent="0.2"/>
    <row r="17148" ht="12.75" hidden="1" customHeight="1" x14ac:dyDescent="0.2"/>
    <row r="17149" ht="12.75" hidden="1" customHeight="1" x14ac:dyDescent="0.2"/>
    <row r="17150" ht="12.75" hidden="1" customHeight="1" x14ac:dyDescent="0.2"/>
    <row r="17151" ht="12.75" hidden="1" customHeight="1" x14ac:dyDescent="0.2"/>
    <row r="17152" ht="12.75" hidden="1" customHeight="1" x14ac:dyDescent="0.2"/>
    <row r="17153" ht="12.75" hidden="1" customHeight="1" x14ac:dyDescent="0.2"/>
    <row r="17154" ht="12.75" hidden="1" customHeight="1" x14ac:dyDescent="0.2"/>
    <row r="17155" ht="12.75" hidden="1" customHeight="1" x14ac:dyDescent="0.2"/>
    <row r="17156" ht="12.75" hidden="1" customHeight="1" x14ac:dyDescent="0.2"/>
    <row r="17157" ht="12.75" hidden="1" customHeight="1" x14ac:dyDescent="0.2"/>
    <row r="17158" ht="12.75" hidden="1" customHeight="1" x14ac:dyDescent="0.2"/>
    <row r="17159" ht="12.75" hidden="1" customHeight="1" x14ac:dyDescent="0.2"/>
    <row r="17160" ht="12.75" hidden="1" customHeight="1" x14ac:dyDescent="0.2"/>
    <row r="17161" ht="12.75" hidden="1" customHeight="1" x14ac:dyDescent="0.2"/>
    <row r="17162" ht="12.75" hidden="1" customHeight="1" x14ac:dyDescent="0.2"/>
    <row r="17163" ht="12.75" hidden="1" customHeight="1" x14ac:dyDescent="0.2"/>
    <row r="17164" ht="12.75" hidden="1" customHeight="1" x14ac:dyDescent="0.2"/>
    <row r="17165" ht="12.75" hidden="1" customHeight="1" x14ac:dyDescent="0.2"/>
    <row r="17166" ht="12.75" hidden="1" customHeight="1" x14ac:dyDescent="0.2"/>
    <row r="17167" ht="12.75" hidden="1" customHeight="1" x14ac:dyDescent="0.2"/>
    <row r="17168" ht="12.75" hidden="1" customHeight="1" x14ac:dyDescent="0.2"/>
    <row r="17169" ht="12.75" hidden="1" customHeight="1" x14ac:dyDescent="0.2"/>
    <row r="17170" ht="12.75" hidden="1" customHeight="1" x14ac:dyDescent="0.2"/>
    <row r="17171" ht="12.75" hidden="1" customHeight="1" x14ac:dyDescent="0.2"/>
    <row r="17172" ht="12.75" hidden="1" customHeight="1" x14ac:dyDescent="0.2"/>
    <row r="17173" ht="12.75" hidden="1" customHeight="1" x14ac:dyDescent="0.2"/>
    <row r="17174" ht="12.75" hidden="1" customHeight="1" x14ac:dyDescent="0.2"/>
    <row r="17175" ht="12.75" hidden="1" customHeight="1" x14ac:dyDescent="0.2"/>
    <row r="17176" ht="12.75" hidden="1" customHeight="1" x14ac:dyDescent="0.2"/>
    <row r="17177" ht="12.75" hidden="1" customHeight="1" x14ac:dyDescent="0.2"/>
    <row r="17178" ht="12.75" hidden="1" customHeight="1" x14ac:dyDescent="0.2"/>
    <row r="17179" ht="12.75" hidden="1" customHeight="1" x14ac:dyDescent="0.2"/>
    <row r="17180" ht="12.75" hidden="1" customHeight="1" x14ac:dyDescent="0.2"/>
    <row r="17181" ht="12.75" hidden="1" customHeight="1" x14ac:dyDescent="0.2"/>
    <row r="17182" ht="12.75" hidden="1" customHeight="1" x14ac:dyDescent="0.2"/>
    <row r="17183" ht="12.75" hidden="1" customHeight="1" x14ac:dyDescent="0.2"/>
    <row r="17184" ht="12.75" hidden="1" customHeight="1" x14ac:dyDescent="0.2"/>
    <row r="17185" ht="12.75" hidden="1" customHeight="1" x14ac:dyDescent="0.2"/>
    <row r="17186" ht="12.75" hidden="1" customHeight="1" x14ac:dyDescent="0.2"/>
    <row r="17187" ht="12.75" hidden="1" customHeight="1" x14ac:dyDescent="0.2"/>
    <row r="17188" ht="12.75" hidden="1" customHeight="1" x14ac:dyDescent="0.2"/>
    <row r="17189" ht="12.75" hidden="1" customHeight="1" x14ac:dyDescent="0.2"/>
    <row r="17190" ht="12.75" hidden="1" customHeight="1" x14ac:dyDescent="0.2"/>
    <row r="17191" ht="12.75" hidden="1" customHeight="1" x14ac:dyDescent="0.2"/>
    <row r="17192" ht="12.75" hidden="1" customHeight="1" x14ac:dyDescent="0.2"/>
    <row r="17193" ht="12.75" hidden="1" customHeight="1" x14ac:dyDescent="0.2"/>
    <row r="17194" ht="12.75" hidden="1" customHeight="1" x14ac:dyDescent="0.2"/>
    <row r="17195" ht="12.75" hidden="1" customHeight="1" x14ac:dyDescent="0.2"/>
    <row r="17196" ht="12.75" hidden="1" customHeight="1" x14ac:dyDescent="0.2"/>
    <row r="17197" ht="12.75" hidden="1" customHeight="1" x14ac:dyDescent="0.2"/>
    <row r="17198" ht="12.75" hidden="1" customHeight="1" x14ac:dyDescent="0.2"/>
    <row r="17199" ht="12.75" hidden="1" customHeight="1" x14ac:dyDescent="0.2"/>
    <row r="17200" ht="12.75" hidden="1" customHeight="1" x14ac:dyDescent="0.2"/>
    <row r="17201" ht="12.75" hidden="1" customHeight="1" x14ac:dyDescent="0.2"/>
    <row r="17202" ht="12.75" hidden="1" customHeight="1" x14ac:dyDescent="0.2"/>
    <row r="17203" ht="12.75" hidden="1" customHeight="1" x14ac:dyDescent="0.2"/>
    <row r="17204" ht="12.75" hidden="1" customHeight="1" x14ac:dyDescent="0.2"/>
    <row r="17205" ht="12.75" hidden="1" customHeight="1" x14ac:dyDescent="0.2"/>
    <row r="17206" ht="12.75" hidden="1" customHeight="1" x14ac:dyDescent="0.2"/>
    <row r="17207" ht="12.75" hidden="1" customHeight="1" x14ac:dyDescent="0.2"/>
    <row r="17208" ht="12.75" hidden="1" customHeight="1" x14ac:dyDescent="0.2"/>
    <row r="17209" ht="12.75" hidden="1" customHeight="1" x14ac:dyDescent="0.2"/>
    <row r="17210" ht="12.75" hidden="1" customHeight="1" x14ac:dyDescent="0.2"/>
    <row r="17211" ht="12.75" hidden="1" customHeight="1" x14ac:dyDescent="0.2"/>
    <row r="17212" ht="12.75" hidden="1" customHeight="1" x14ac:dyDescent="0.2"/>
    <row r="17213" ht="12.75" hidden="1" customHeight="1" x14ac:dyDescent="0.2"/>
    <row r="17214" ht="12.75" hidden="1" customHeight="1" x14ac:dyDescent="0.2"/>
    <row r="17215" ht="12.75" hidden="1" customHeight="1" x14ac:dyDescent="0.2"/>
    <row r="17216" ht="12.75" hidden="1" customHeight="1" x14ac:dyDescent="0.2"/>
    <row r="17217" ht="12.75" hidden="1" customHeight="1" x14ac:dyDescent="0.2"/>
    <row r="17218" ht="12.75" hidden="1" customHeight="1" x14ac:dyDescent="0.2"/>
    <row r="17219" ht="12.75" hidden="1" customHeight="1" x14ac:dyDescent="0.2"/>
    <row r="17220" ht="12.75" hidden="1" customHeight="1" x14ac:dyDescent="0.2"/>
    <row r="17221" ht="12.75" hidden="1" customHeight="1" x14ac:dyDescent="0.2"/>
    <row r="17222" ht="12.75" hidden="1" customHeight="1" x14ac:dyDescent="0.2"/>
    <row r="17223" ht="12.75" hidden="1" customHeight="1" x14ac:dyDescent="0.2"/>
    <row r="17224" ht="12.75" hidden="1" customHeight="1" x14ac:dyDescent="0.2"/>
    <row r="17225" ht="12.75" hidden="1" customHeight="1" x14ac:dyDescent="0.2"/>
    <row r="17226" ht="12.75" hidden="1" customHeight="1" x14ac:dyDescent="0.2"/>
    <row r="17227" ht="12.75" hidden="1" customHeight="1" x14ac:dyDescent="0.2"/>
    <row r="17228" ht="12.75" hidden="1" customHeight="1" x14ac:dyDescent="0.2"/>
    <row r="17229" ht="12.75" hidden="1" customHeight="1" x14ac:dyDescent="0.2"/>
    <row r="17230" ht="12.75" hidden="1" customHeight="1" x14ac:dyDescent="0.2"/>
    <row r="17231" ht="12.75" hidden="1" customHeight="1" x14ac:dyDescent="0.2"/>
    <row r="17232" ht="12.75" hidden="1" customHeight="1" x14ac:dyDescent="0.2"/>
    <row r="17233" ht="12.75" hidden="1" customHeight="1" x14ac:dyDescent="0.2"/>
    <row r="17234" ht="12.75" hidden="1" customHeight="1" x14ac:dyDescent="0.2"/>
    <row r="17235" ht="12.75" hidden="1" customHeight="1" x14ac:dyDescent="0.2"/>
    <row r="17236" ht="12.75" hidden="1" customHeight="1" x14ac:dyDescent="0.2"/>
    <row r="17237" ht="12.75" hidden="1" customHeight="1" x14ac:dyDescent="0.2"/>
    <row r="17238" ht="12.75" hidden="1" customHeight="1" x14ac:dyDescent="0.2"/>
    <row r="17239" ht="12.75" hidden="1" customHeight="1" x14ac:dyDescent="0.2"/>
    <row r="17240" ht="12.75" hidden="1" customHeight="1" x14ac:dyDescent="0.2"/>
    <row r="17241" ht="12.75" hidden="1" customHeight="1" x14ac:dyDescent="0.2"/>
    <row r="17242" ht="12.75" hidden="1" customHeight="1" x14ac:dyDescent="0.2"/>
    <row r="17243" ht="12.75" hidden="1" customHeight="1" x14ac:dyDescent="0.2"/>
    <row r="17244" ht="12.75" hidden="1" customHeight="1" x14ac:dyDescent="0.2"/>
    <row r="17245" ht="12.75" hidden="1" customHeight="1" x14ac:dyDescent="0.2"/>
    <row r="17246" ht="12.75" hidden="1" customHeight="1" x14ac:dyDescent="0.2"/>
    <row r="17247" ht="12.75" hidden="1" customHeight="1" x14ac:dyDescent="0.2"/>
    <row r="17248" ht="12.75" hidden="1" customHeight="1" x14ac:dyDescent="0.2"/>
    <row r="17249" ht="12.75" hidden="1" customHeight="1" x14ac:dyDescent="0.2"/>
    <row r="17250" ht="12.75" hidden="1" customHeight="1" x14ac:dyDescent="0.2"/>
    <row r="17251" ht="12.75" hidden="1" customHeight="1" x14ac:dyDescent="0.2"/>
    <row r="17252" ht="12.75" hidden="1" customHeight="1" x14ac:dyDescent="0.2"/>
    <row r="17253" ht="12.75" hidden="1" customHeight="1" x14ac:dyDescent="0.2"/>
    <row r="17254" ht="12.75" hidden="1" customHeight="1" x14ac:dyDescent="0.2"/>
    <row r="17255" ht="12.75" hidden="1" customHeight="1" x14ac:dyDescent="0.2"/>
    <row r="17256" ht="12.75" hidden="1" customHeight="1" x14ac:dyDescent="0.2"/>
    <row r="17257" ht="12.75" hidden="1" customHeight="1" x14ac:dyDescent="0.2"/>
    <row r="17258" ht="12.75" hidden="1" customHeight="1" x14ac:dyDescent="0.2"/>
    <row r="17259" ht="12.75" hidden="1" customHeight="1" x14ac:dyDescent="0.2"/>
    <row r="17260" ht="12.75" hidden="1" customHeight="1" x14ac:dyDescent="0.2"/>
    <row r="17261" ht="12.75" hidden="1" customHeight="1" x14ac:dyDescent="0.2"/>
    <row r="17262" ht="12.75" hidden="1" customHeight="1" x14ac:dyDescent="0.2"/>
    <row r="17263" ht="12.75" hidden="1" customHeight="1" x14ac:dyDescent="0.2"/>
    <row r="17264" ht="12.75" hidden="1" customHeight="1" x14ac:dyDescent="0.2"/>
    <row r="17265" ht="12.75" hidden="1" customHeight="1" x14ac:dyDescent="0.2"/>
    <row r="17266" ht="12.75" hidden="1" customHeight="1" x14ac:dyDescent="0.2"/>
    <row r="17267" ht="12.75" hidden="1" customHeight="1" x14ac:dyDescent="0.2"/>
    <row r="17268" ht="12.75" hidden="1" customHeight="1" x14ac:dyDescent="0.2"/>
    <row r="17269" ht="12.75" hidden="1" customHeight="1" x14ac:dyDescent="0.2"/>
    <row r="17270" ht="12.75" hidden="1" customHeight="1" x14ac:dyDescent="0.2"/>
    <row r="17271" ht="12.75" hidden="1" customHeight="1" x14ac:dyDescent="0.2"/>
    <row r="17272" ht="12.75" hidden="1" customHeight="1" x14ac:dyDescent="0.2"/>
    <row r="17273" ht="12.75" hidden="1" customHeight="1" x14ac:dyDescent="0.2"/>
    <row r="17274" ht="12.75" hidden="1" customHeight="1" x14ac:dyDescent="0.2"/>
    <row r="17275" ht="12.75" hidden="1" customHeight="1" x14ac:dyDescent="0.2"/>
    <row r="17276" ht="12.75" hidden="1" customHeight="1" x14ac:dyDescent="0.2"/>
    <row r="17277" ht="12.75" hidden="1" customHeight="1" x14ac:dyDescent="0.2"/>
    <row r="17278" ht="12.75" hidden="1" customHeight="1" x14ac:dyDescent="0.2"/>
    <row r="17279" ht="12.75" hidden="1" customHeight="1" x14ac:dyDescent="0.2"/>
    <row r="17280" ht="12.75" hidden="1" customHeight="1" x14ac:dyDescent="0.2"/>
    <row r="17281" ht="12.75" hidden="1" customHeight="1" x14ac:dyDescent="0.2"/>
    <row r="17282" ht="12.75" hidden="1" customHeight="1" x14ac:dyDescent="0.2"/>
    <row r="17283" ht="12.75" hidden="1" customHeight="1" x14ac:dyDescent="0.2"/>
    <row r="17284" ht="12.75" hidden="1" customHeight="1" x14ac:dyDescent="0.2"/>
    <row r="17285" ht="12.75" hidden="1" customHeight="1" x14ac:dyDescent="0.2"/>
    <row r="17286" ht="12.75" hidden="1" customHeight="1" x14ac:dyDescent="0.2"/>
    <row r="17287" ht="12.75" hidden="1" customHeight="1" x14ac:dyDescent="0.2"/>
    <row r="17288" ht="12.75" hidden="1" customHeight="1" x14ac:dyDescent="0.2"/>
    <row r="17289" ht="12.75" hidden="1" customHeight="1" x14ac:dyDescent="0.2"/>
    <row r="17290" ht="12.75" hidden="1" customHeight="1" x14ac:dyDescent="0.2"/>
    <row r="17291" ht="12.75" hidden="1" customHeight="1" x14ac:dyDescent="0.2"/>
    <row r="17292" ht="12.75" hidden="1" customHeight="1" x14ac:dyDescent="0.2"/>
    <row r="17293" ht="12.75" hidden="1" customHeight="1" x14ac:dyDescent="0.2"/>
    <row r="17294" ht="12.75" hidden="1" customHeight="1" x14ac:dyDescent="0.2"/>
    <row r="17295" ht="12.75" hidden="1" customHeight="1" x14ac:dyDescent="0.2"/>
    <row r="17296" ht="12.75" hidden="1" customHeight="1" x14ac:dyDescent="0.2"/>
    <row r="17297" ht="12.75" hidden="1" customHeight="1" x14ac:dyDescent="0.2"/>
    <row r="17298" ht="12.75" hidden="1" customHeight="1" x14ac:dyDescent="0.2"/>
    <row r="17299" ht="12.75" hidden="1" customHeight="1" x14ac:dyDescent="0.2"/>
    <row r="17300" ht="12.75" hidden="1" customHeight="1" x14ac:dyDescent="0.2"/>
    <row r="17301" ht="12.75" hidden="1" customHeight="1" x14ac:dyDescent="0.2"/>
    <row r="17302" ht="12.75" hidden="1" customHeight="1" x14ac:dyDescent="0.2"/>
    <row r="17303" ht="12.75" hidden="1" customHeight="1" x14ac:dyDescent="0.2"/>
    <row r="17304" ht="12.75" hidden="1" customHeight="1" x14ac:dyDescent="0.2"/>
    <row r="17305" ht="12.75" hidden="1" customHeight="1" x14ac:dyDescent="0.2"/>
    <row r="17306" ht="12.75" hidden="1" customHeight="1" x14ac:dyDescent="0.2"/>
    <row r="17307" ht="12.75" hidden="1" customHeight="1" x14ac:dyDescent="0.2"/>
    <row r="17308" ht="12.75" hidden="1" customHeight="1" x14ac:dyDescent="0.2"/>
    <row r="17309" ht="12.75" hidden="1" customHeight="1" x14ac:dyDescent="0.2"/>
    <row r="17310" ht="12.75" hidden="1" customHeight="1" x14ac:dyDescent="0.2"/>
    <row r="17311" ht="12.75" hidden="1" customHeight="1" x14ac:dyDescent="0.2"/>
    <row r="17312" ht="12.75" hidden="1" customHeight="1" x14ac:dyDescent="0.2"/>
    <row r="17313" ht="12.75" hidden="1" customHeight="1" x14ac:dyDescent="0.2"/>
    <row r="17314" ht="12.75" hidden="1" customHeight="1" x14ac:dyDescent="0.2"/>
    <row r="17315" ht="12.75" hidden="1" customHeight="1" x14ac:dyDescent="0.2"/>
    <row r="17316" ht="12.75" hidden="1" customHeight="1" x14ac:dyDescent="0.2"/>
    <row r="17317" ht="12.75" hidden="1" customHeight="1" x14ac:dyDescent="0.2"/>
    <row r="17318" ht="12.75" hidden="1" customHeight="1" x14ac:dyDescent="0.2"/>
    <row r="17319" ht="12.75" hidden="1" customHeight="1" x14ac:dyDescent="0.2"/>
    <row r="17320" ht="12.75" hidden="1" customHeight="1" x14ac:dyDescent="0.2"/>
    <row r="17321" ht="12.75" hidden="1" customHeight="1" x14ac:dyDescent="0.2"/>
    <row r="17322" ht="12.75" hidden="1" customHeight="1" x14ac:dyDescent="0.2"/>
    <row r="17323" ht="12.75" hidden="1" customHeight="1" x14ac:dyDescent="0.2"/>
    <row r="17324" ht="12.75" hidden="1" customHeight="1" x14ac:dyDescent="0.2"/>
    <row r="17325" ht="12.75" hidden="1" customHeight="1" x14ac:dyDescent="0.2"/>
    <row r="17326" ht="12.75" hidden="1" customHeight="1" x14ac:dyDescent="0.2"/>
    <row r="17327" ht="12.75" hidden="1" customHeight="1" x14ac:dyDescent="0.2"/>
    <row r="17328" ht="12.75" hidden="1" customHeight="1" x14ac:dyDescent="0.2"/>
    <row r="17329" ht="12.75" hidden="1" customHeight="1" x14ac:dyDescent="0.2"/>
    <row r="17330" ht="12.75" hidden="1" customHeight="1" x14ac:dyDescent="0.2"/>
    <row r="17331" ht="12.75" hidden="1" customHeight="1" x14ac:dyDescent="0.2"/>
    <row r="17332" ht="12.75" hidden="1" customHeight="1" x14ac:dyDescent="0.2"/>
    <row r="17333" ht="12.75" hidden="1" customHeight="1" x14ac:dyDescent="0.2"/>
    <row r="17334" ht="12.75" hidden="1" customHeight="1" x14ac:dyDescent="0.2"/>
    <row r="17335" ht="12.75" hidden="1" customHeight="1" x14ac:dyDescent="0.2"/>
    <row r="17336" ht="12.75" hidden="1" customHeight="1" x14ac:dyDescent="0.2"/>
    <row r="17337" ht="12.75" hidden="1" customHeight="1" x14ac:dyDescent="0.2"/>
    <row r="17338" ht="12.75" hidden="1" customHeight="1" x14ac:dyDescent="0.2"/>
    <row r="17339" ht="12.75" hidden="1" customHeight="1" x14ac:dyDescent="0.2"/>
    <row r="17340" ht="12.75" hidden="1" customHeight="1" x14ac:dyDescent="0.2"/>
    <row r="17341" ht="12.75" hidden="1" customHeight="1" x14ac:dyDescent="0.2"/>
    <row r="17342" ht="12.75" hidden="1" customHeight="1" x14ac:dyDescent="0.2"/>
    <row r="17343" ht="12.75" hidden="1" customHeight="1" x14ac:dyDescent="0.2"/>
    <row r="17344" ht="12.75" hidden="1" customHeight="1" x14ac:dyDescent="0.2"/>
    <row r="17345" ht="12.75" hidden="1" customHeight="1" x14ac:dyDescent="0.2"/>
    <row r="17346" ht="12.75" hidden="1" customHeight="1" x14ac:dyDescent="0.2"/>
    <row r="17347" ht="12.75" hidden="1" customHeight="1" x14ac:dyDescent="0.2"/>
    <row r="17348" ht="12.75" hidden="1" customHeight="1" x14ac:dyDescent="0.2"/>
    <row r="17349" ht="12.75" hidden="1" customHeight="1" x14ac:dyDescent="0.2"/>
    <row r="17350" ht="12.75" hidden="1" customHeight="1" x14ac:dyDescent="0.2"/>
    <row r="17351" ht="12.75" hidden="1" customHeight="1" x14ac:dyDescent="0.2"/>
    <row r="17352" ht="12.75" hidden="1" customHeight="1" x14ac:dyDescent="0.2"/>
    <row r="17353" ht="12.75" hidden="1" customHeight="1" x14ac:dyDescent="0.2"/>
    <row r="17354" ht="12.75" hidden="1" customHeight="1" x14ac:dyDescent="0.2"/>
    <row r="17355" ht="12.75" hidden="1" customHeight="1" x14ac:dyDescent="0.2"/>
    <row r="17356" ht="12.75" hidden="1" customHeight="1" x14ac:dyDescent="0.2"/>
    <row r="17357" ht="12.75" hidden="1" customHeight="1" x14ac:dyDescent="0.2"/>
    <row r="17358" ht="12.75" hidden="1" customHeight="1" x14ac:dyDescent="0.2"/>
    <row r="17359" ht="12.75" hidden="1" customHeight="1" x14ac:dyDescent="0.2"/>
    <row r="17360" ht="12.75" hidden="1" customHeight="1" x14ac:dyDescent="0.2"/>
    <row r="17361" ht="12.75" hidden="1" customHeight="1" x14ac:dyDescent="0.2"/>
    <row r="17362" ht="12.75" hidden="1" customHeight="1" x14ac:dyDescent="0.2"/>
    <row r="17363" ht="12.75" hidden="1" customHeight="1" x14ac:dyDescent="0.2"/>
    <row r="17364" ht="12.75" hidden="1" customHeight="1" x14ac:dyDescent="0.2"/>
    <row r="17365" ht="12.75" hidden="1" customHeight="1" x14ac:dyDescent="0.2"/>
    <row r="17366" ht="12.75" hidden="1" customHeight="1" x14ac:dyDescent="0.2"/>
    <row r="17367" ht="12.75" hidden="1" customHeight="1" x14ac:dyDescent="0.2"/>
    <row r="17368" ht="12.75" hidden="1" customHeight="1" x14ac:dyDescent="0.2"/>
    <row r="17369" ht="12.75" hidden="1" customHeight="1" x14ac:dyDescent="0.2"/>
    <row r="17370" ht="12.75" hidden="1" customHeight="1" x14ac:dyDescent="0.2"/>
    <row r="17371" ht="12.75" hidden="1" customHeight="1" x14ac:dyDescent="0.2"/>
    <row r="17372" ht="12.75" hidden="1" customHeight="1" x14ac:dyDescent="0.2"/>
    <row r="17373" ht="12.75" hidden="1" customHeight="1" x14ac:dyDescent="0.2"/>
    <row r="17374" ht="12.75" hidden="1" customHeight="1" x14ac:dyDescent="0.2"/>
    <row r="17375" ht="12.75" hidden="1" customHeight="1" x14ac:dyDescent="0.2"/>
    <row r="17376" ht="12.75" hidden="1" customHeight="1" x14ac:dyDescent="0.2"/>
    <row r="17377" ht="12.75" hidden="1" customHeight="1" x14ac:dyDescent="0.2"/>
    <row r="17378" ht="12.75" hidden="1" customHeight="1" x14ac:dyDescent="0.2"/>
    <row r="17379" ht="12.75" hidden="1" customHeight="1" x14ac:dyDescent="0.2"/>
    <row r="17380" ht="12.75" hidden="1" customHeight="1" x14ac:dyDescent="0.2"/>
    <row r="17381" ht="12.75" hidden="1" customHeight="1" x14ac:dyDescent="0.2"/>
    <row r="17382" ht="12.75" hidden="1" customHeight="1" x14ac:dyDescent="0.2"/>
    <row r="17383" ht="12.75" hidden="1" customHeight="1" x14ac:dyDescent="0.2"/>
    <row r="17384" ht="12.75" hidden="1" customHeight="1" x14ac:dyDescent="0.2"/>
    <row r="17385" ht="12.75" hidden="1" customHeight="1" x14ac:dyDescent="0.2"/>
    <row r="17386" ht="12.75" hidden="1" customHeight="1" x14ac:dyDescent="0.2"/>
    <row r="17387" ht="12.75" hidden="1" customHeight="1" x14ac:dyDescent="0.2"/>
    <row r="17388" ht="12.75" hidden="1" customHeight="1" x14ac:dyDescent="0.2"/>
    <row r="17389" ht="12.75" hidden="1" customHeight="1" x14ac:dyDescent="0.2"/>
    <row r="17390" ht="12.75" hidden="1" customHeight="1" x14ac:dyDescent="0.2"/>
    <row r="17391" ht="12.75" hidden="1" customHeight="1" x14ac:dyDescent="0.2"/>
    <row r="17392" ht="12.75" hidden="1" customHeight="1" x14ac:dyDescent="0.2"/>
    <row r="17393" ht="12.75" hidden="1" customHeight="1" x14ac:dyDescent="0.2"/>
    <row r="17394" ht="12.75" hidden="1" customHeight="1" x14ac:dyDescent="0.2"/>
    <row r="17395" ht="12.75" hidden="1" customHeight="1" x14ac:dyDescent="0.2"/>
    <row r="17396" ht="12.75" hidden="1" customHeight="1" x14ac:dyDescent="0.2"/>
    <row r="17397" ht="12.75" hidden="1" customHeight="1" x14ac:dyDescent="0.2"/>
    <row r="17398" ht="12.75" hidden="1" customHeight="1" x14ac:dyDescent="0.2"/>
    <row r="17399" ht="12.75" hidden="1" customHeight="1" x14ac:dyDescent="0.2"/>
    <row r="17400" ht="12.75" hidden="1" customHeight="1" x14ac:dyDescent="0.2"/>
    <row r="17401" ht="12.75" hidden="1" customHeight="1" x14ac:dyDescent="0.2"/>
    <row r="17402" ht="12.75" hidden="1" customHeight="1" x14ac:dyDescent="0.2"/>
    <row r="17403" ht="12.75" hidden="1" customHeight="1" x14ac:dyDescent="0.2"/>
    <row r="17404" ht="12.75" hidden="1" customHeight="1" x14ac:dyDescent="0.2"/>
    <row r="17405" ht="12.75" hidden="1" customHeight="1" x14ac:dyDescent="0.2"/>
    <row r="17406" ht="12.75" hidden="1" customHeight="1" x14ac:dyDescent="0.2"/>
    <row r="17407" ht="12.75" hidden="1" customHeight="1" x14ac:dyDescent="0.2"/>
    <row r="17408" ht="12.75" hidden="1" customHeight="1" x14ac:dyDescent="0.2"/>
    <row r="17409" ht="12.75" hidden="1" customHeight="1" x14ac:dyDescent="0.2"/>
    <row r="17410" ht="12.75" hidden="1" customHeight="1" x14ac:dyDescent="0.2"/>
    <row r="17411" ht="12.75" hidden="1" customHeight="1" x14ac:dyDescent="0.2"/>
    <row r="17412" ht="12.75" hidden="1" customHeight="1" x14ac:dyDescent="0.2"/>
    <row r="17413" ht="12.75" hidden="1" customHeight="1" x14ac:dyDescent="0.2"/>
    <row r="17414" ht="12.75" hidden="1" customHeight="1" x14ac:dyDescent="0.2"/>
    <row r="17415" ht="12.75" hidden="1" customHeight="1" x14ac:dyDescent="0.2"/>
    <row r="17416" ht="12.75" hidden="1" customHeight="1" x14ac:dyDescent="0.2"/>
    <row r="17417" ht="12.75" hidden="1" customHeight="1" x14ac:dyDescent="0.2"/>
    <row r="17418" ht="12.75" hidden="1" customHeight="1" x14ac:dyDescent="0.2"/>
    <row r="17419" ht="12.75" hidden="1" customHeight="1" x14ac:dyDescent="0.2"/>
    <row r="17420" ht="12.75" hidden="1" customHeight="1" x14ac:dyDescent="0.2"/>
    <row r="17421" ht="12.75" hidden="1" customHeight="1" x14ac:dyDescent="0.2"/>
    <row r="17422" ht="12.75" hidden="1" customHeight="1" x14ac:dyDescent="0.2"/>
    <row r="17423" ht="12.75" hidden="1" customHeight="1" x14ac:dyDescent="0.2"/>
    <row r="17424" ht="12.75" hidden="1" customHeight="1" x14ac:dyDescent="0.2"/>
    <row r="17425" ht="12.75" hidden="1" customHeight="1" x14ac:dyDescent="0.2"/>
    <row r="17426" ht="12.75" hidden="1" customHeight="1" x14ac:dyDescent="0.2"/>
    <row r="17427" ht="12.75" hidden="1" customHeight="1" x14ac:dyDescent="0.2"/>
    <row r="17428" ht="12.75" hidden="1" customHeight="1" x14ac:dyDescent="0.2"/>
    <row r="17429" ht="12.75" hidden="1" customHeight="1" x14ac:dyDescent="0.2"/>
    <row r="17430" ht="12.75" hidden="1" customHeight="1" x14ac:dyDescent="0.2"/>
    <row r="17431" ht="12.75" hidden="1" customHeight="1" x14ac:dyDescent="0.2"/>
    <row r="17432" ht="12.75" hidden="1" customHeight="1" x14ac:dyDescent="0.2"/>
    <row r="17433" ht="12.75" hidden="1" customHeight="1" x14ac:dyDescent="0.2"/>
    <row r="17434" ht="12.75" hidden="1" customHeight="1" x14ac:dyDescent="0.2"/>
    <row r="17435" ht="12.75" hidden="1" customHeight="1" x14ac:dyDescent="0.2"/>
    <row r="17436" ht="12.75" hidden="1" customHeight="1" x14ac:dyDescent="0.2"/>
    <row r="17437" ht="12.75" hidden="1" customHeight="1" x14ac:dyDescent="0.2"/>
    <row r="17438" ht="12.75" hidden="1" customHeight="1" x14ac:dyDescent="0.2"/>
    <row r="17439" ht="12.75" hidden="1" customHeight="1" x14ac:dyDescent="0.2"/>
    <row r="17440" ht="12.75" hidden="1" customHeight="1" x14ac:dyDescent="0.2"/>
    <row r="17441" ht="12.75" hidden="1" customHeight="1" x14ac:dyDescent="0.2"/>
    <row r="17442" ht="12.75" hidden="1" customHeight="1" x14ac:dyDescent="0.2"/>
    <row r="17443" ht="12.75" hidden="1" customHeight="1" x14ac:dyDescent="0.2"/>
    <row r="17444" ht="12.75" hidden="1" customHeight="1" x14ac:dyDescent="0.2"/>
    <row r="17445" ht="12.75" hidden="1" customHeight="1" x14ac:dyDescent="0.2"/>
    <row r="17446" ht="12.75" hidden="1" customHeight="1" x14ac:dyDescent="0.2"/>
    <row r="17447" ht="12.75" hidden="1" customHeight="1" x14ac:dyDescent="0.2"/>
    <row r="17448" ht="12.75" hidden="1" customHeight="1" x14ac:dyDescent="0.2"/>
    <row r="17449" ht="12.75" hidden="1" customHeight="1" x14ac:dyDescent="0.2"/>
    <row r="17450" ht="12.75" hidden="1" customHeight="1" x14ac:dyDescent="0.2"/>
    <row r="17451" ht="12.75" hidden="1" customHeight="1" x14ac:dyDescent="0.2"/>
    <row r="17452" ht="12.75" hidden="1" customHeight="1" x14ac:dyDescent="0.2"/>
    <row r="17453" ht="12.75" hidden="1" customHeight="1" x14ac:dyDescent="0.2"/>
    <row r="17454" ht="12.75" hidden="1" customHeight="1" x14ac:dyDescent="0.2"/>
    <row r="17455" ht="12.75" hidden="1" customHeight="1" x14ac:dyDescent="0.2"/>
    <row r="17456" ht="12.75" hidden="1" customHeight="1" x14ac:dyDescent="0.2"/>
    <row r="17457" ht="12.75" hidden="1" customHeight="1" x14ac:dyDescent="0.2"/>
    <row r="17458" ht="12.75" hidden="1" customHeight="1" x14ac:dyDescent="0.2"/>
    <row r="17459" ht="12.75" hidden="1" customHeight="1" x14ac:dyDescent="0.2"/>
    <row r="17460" ht="12.75" hidden="1" customHeight="1" x14ac:dyDescent="0.2"/>
    <row r="17461" ht="12.75" hidden="1" customHeight="1" x14ac:dyDescent="0.2"/>
    <row r="17462" ht="12.75" hidden="1" customHeight="1" x14ac:dyDescent="0.2"/>
    <row r="17463" ht="12.75" hidden="1" customHeight="1" x14ac:dyDescent="0.2"/>
    <row r="17464" ht="12.75" hidden="1" customHeight="1" x14ac:dyDescent="0.2"/>
    <row r="17465" ht="12.75" hidden="1" customHeight="1" x14ac:dyDescent="0.2"/>
    <row r="17466" ht="12.75" hidden="1" customHeight="1" x14ac:dyDescent="0.2"/>
    <row r="17467" ht="12.75" hidden="1" customHeight="1" x14ac:dyDescent="0.2"/>
    <row r="17468" ht="12.75" hidden="1" customHeight="1" x14ac:dyDescent="0.2"/>
    <row r="17469" ht="12.75" hidden="1" customHeight="1" x14ac:dyDescent="0.2"/>
    <row r="17470" ht="12.75" hidden="1" customHeight="1" x14ac:dyDescent="0.2"/>
    <row r="17471" ht="12.75" hidden="1" customHeight="1" x14ac:dyDescent="0.2"/>
    <row r="17472" ht="12.75" hidden="1" customHeight="1" x14ac:dyDescent="0.2"/>
    <row r="17473" ht="12.75" hidden="1" customHeight="1" x14ac:dyDescent="0.2"/>
    <row r="17474" ht="12.75" hidden="1" customHeight="1" x14ac:dyDescent="0.2"/>
    <row r="17475" ht="12.75" hidden="1" customHeight="1" x14ac:dyDescent="0.2"/>
    <row r="17476" ht="12.75" hidden="1" customHeight="1" x14ac:dyDescent="0.2"/>
    <row r="17477" ht="12.75" hidden="1" customHeight="1" x14ac:dyDescent="0.2"/>
    <row r="17478" ht="12.75" hidden="1" customHeight="1" x14ac:dyDescent="0.2"/>
    <row r="17479" ht="12.75" hidden="1" customHeight="1" x14ac:dyDescent="0.2"/>
    <row r="17480" ht="12.75" hidden="1" customHeight="1" x14ac:dyDescent="0.2"/>
    <row r="17481" ht="12.75" hidden="1" customHeight="1" x14ac:dyDescent="0.2"/>
    <row r="17482" ht="12.75" hidden="1" customHeight="1" x14ac:dyDescent="0.2"/>
    <row r="17483" ht="12.75" hidden="1" customHeight="1" x14ac:dyDescent="0.2"/>
    <row r="17484" ht="12.75" hidden="1" customHeight="1" x14ac:dyDescent="0.2"/>
    <row r="17485" ht="12.75" hidden="1" customHeight="1" x14ac:dyDescent="0.2"/>
    <row r="17486" ht="12.75" hidden="1" customHeight="1" x14ac:dyDescent="0.2"/>
    <row r="17487" ht="12.75" hidden="1" customHeight="1" x14ac:dyDescent="0.2"/>
    <row r="17488" ht="12.75" hidden="1" customHeight="1" x14ac:dyDescent="0.2"/>
    <row r="17489" ht="12.75" hidden="1" customHeight="1" x14ac:dyDescent="0.2"/>
    <row r="17490" ht="12.75" hidden="1" customHeight="1" x14ac:dyDescent="0.2"/>
    <row r="17491" ht="12.75" hidden="1" customHeight="1" x14ac:dyDescent="0.2"/>
    <row r="17492" ht="12.75" hidden="1" customHeight="1" x14ac:dyDescent="0.2"/>
    <row r="17493" ht="12.75" hidden="1" customHeight="1" x14ac:dyDescent="0.2"/>
    <row r="17494" ht="12.75" hidden="1" customHeight="1" x14ac:dyDescent="0.2"/>
    <row r="17495" ht="12.75" hidden="1" customHeight="1" x14ac:dyDescent="0.2"/>
    <row r="17496" ht="12.75" hidden="1" customHeight="1" x14ac:dyDescent="0.2"/>
    <row r="17497" ht="12.75" hidden="1" customHeight="1" x14ac:dyDescent="0.2"/>
    <row r="17498" ht="12.75" hidden="1" customHeight="1" x14ac:dyDescent="0.2"/>
    <row r="17499" ht="12.75" hidden="1" customHeight="1" x14ac:dyDescent="0.2"/>
    <row r="17500" ht="12.75" hidden="1" customHeight="1" x14ac:dyDescent="0.2"/>
    <row r="17501" ht="12.75" hidden="1" customHeight="1" x14ac:dyDescent="0.2"/>
    <row r="17502" ht="12.75" hidden="1" customHeight="1" x14ac:dyDescent="0.2"/>
    <row r="17503" ht="12.75" hidden="1" customHeight="1" x14ac:dyDescent="0.2"/>
    <row r="17504" ht="12.75" hidden="1" customHeight="1" x14ac:dyDescent="0.2"/>
    <row r="17505" ht="12.75" hidden="1" customHeight="1" x14ac:dyDescent="0.2"/>
    <row r="17506" ht="12.75" hidden="1" customHeight="1" x14ac:dyDescent="0.2"/>
    <row r="17507" ht="12.75" hidden="1" customHeight="1" x14ac:dyDescent="0.2"/>
    <row r="17508" ht="12.75" hidden="1" customHeight="1" x14ac:dyDescent="0.2"/>
    <row r="17509" ht="12.75" hidden="1" customHeight="1" x14ac:dyDescent="0.2"/>
    <row r="17510" ht="12.75" hidden="1" customHeight="1" x14ac:dyDescent="0.2"/>
    <row r="17511" ht="12.75" hidden="1" customHeight="1" x14ac:dyDescent="0.2"/>
    <row r="17512" ht="12.75" hidden="1" customHeight="1" x14ac:dyDescent="0.2"/>
    <row r="17513" ht="12.75" hidden="1" customHeight="1" x14ac:dyDescent="0.2"/>
    <row r="17514" ht="12.75" hidden="1" customHeight="1" x14ac:dyDescent="0.2"/>
    <row r="17515" ht="12.75" hidden="1" customHeight="1" x14ac:dyDescent="0.2"/>
    <row r="17516" ht="12.75" hidden="1" customHeight="1" x14ac:dyDescent="0.2"/>
    <row r="17517" ht="12.75" hidden="1" customHeight="1" x14ac:dyDescent="0.2"/>
    <row r="17518" ht="12.75" hidden="1" customHeight="1" x14ac:dyDescent="0.2"/>
    <row r="17519" ht="12.75" hidden="1" customHeight="1" x14ac:dyDescent="0.2"/>
    <row r="17520" ht="12.75" hidden="1" customHeight="1" x14ac:dyDescent="0.2"/>
    <row r="17521" ht="12.75" hidden="1" customHeight="1" x14ac:dyDescent="0.2"/>
    <row r="17522" ht="12.75" hidden="1" customHeight="1" x14ac:dyDescent="0.2"/>
    <row r="17523" ht="12.75" hidden="1" customHeight="1" x14ac:dyDescent="0.2"/>
    <row r="17524" ht="12.75" hidden="1" customHeight="1" x14ac:dyDescent="0.2"/>
    <row r="17525" ht="12.75" hidden="1" customHeight="1" x14ac:dyDescent="0.2"/>
    <row r="17526" ht="12.75" hidden="1" customHeight="1" x14ac:dyDescent="0.2"/>
    <row r="17527" ht="12.75" hidden="1" customHeight="1" x14ac:dyDescent="0.2"/>
    <row r="17528" ht="12.75" hidden="1" customHeight="1" x14ac:dyDescent="0.2"/>
    <row r="17529" ht="12.75" hidden="1" customHeight="1" x14ac:dyDescent="0.2"/>
    <row r="17530" ht="12.75" hidden="1" customHeight="1" x14ac:dyDescent="0.2"/>
    <row r="17531" ht="12.75" hidden="1" customHeight="1" x14ac:dyDescent="0.2"/>
    <row r="17532" ht="12.75" hidden="1" customHeight="1" x14ac:dyDescent="0.2"/>
    <row r="17533" ht="12.75" hidden="1" customHeight="1" x14ac:dyDescent="0.2"/>
    <row r="17534" ht="12.75" hidden="1" customHeight="1" x14ac:dyDescent="0.2"/>
    <row r="17535" ht="12.75" hidden="1" customHeight="1" x14ac:dyDescent="0.2"/>
    <row r="17536" ht="12.75" hidden="1" customHeight="1" x14ac:dyDescent="0.2"/>
    <row r="17537" ht="12.75" hidden="1" customHeight="1" x14ac:dyDescent="0.2"/>
    <row r="17538" ht="12.75" hidden="1" customHeight="1" x14ac:dyDescent="0.2"/>
    <row r="17539" ht="12.75" hidden="1" customHeight="1" x14ac:dyDescent="0.2"/>
    <row r="17540" ht="12.75" hidden="1" customHeight="1" x14ac:dyDescent="0.2"/>
    <row r="17541" ht="12.75" hidden="1" customHeight="1" x14ac:dyDescent="0.2"/>
    <row r="17542" ht="12.75" hidden="1" customHeight="1" x14ac:dyDescent="0.2"/>
    <row r="17543" ht="12.75" hidden="1" customHeight="1" x14ac:dyDescent="0.2"/>
    <row r="17544" ht="12.75" hidden="1" customHeight="1" x14ac:dyDescent="0.2"/>
    <row r="17545" ht="12.75" hidden="1" customHeight="1" x14ac:dyDescent="0.2"/>
    <row r="17546" ht="12.75" hidden="1" customHeight="1" x14ac:dyDescent="0.2"/>
    <row r="17547" ht="12.75" hidden="1" customHeight="1" x14ac:dyDescent="0.2"/>
    <row r="17548" ht="12.75" hidden="1" customHeight="1" x14ac:dyDescent="0.2"/>
    <row r="17549" ht="12.75" hidden="1" customHeight="1" x14ac:dyDescent="0.2"/>
    <row r="17550" ht="12.75" hidden="1" customHeight="1" x14ac:dyDescent="0.2"/>
    <row r="17551" ht="12.75" hidden="1" customHeight="1" x14ac:dyDescent="0.2"/>
    <row r="17552" ht="12.75" hidden="1" customHeight="1" x14ac:dyDescent="0.2"/>
    <row r="17553" ht="12.75" hidden="1" customHeight="1" x14ac:dyDescent="0.2"/>
    <row r="17554" ht="12.75" hidden="1" customHeight="1" x14ac:dyDescent="0.2"/>
    <row r="17555" ht="12.75" hidden="1" customHeight="1" x14ac:dyDescent="0.2"/>
    <row r="17556" ht="12.75" hidden="1" customHeight="1" x14ac:dyDescent="0.2"/>
    <row r="17557" ht="12.75" hidden="1" customHeight="1" x14ac:dyDescent="0.2"/>
    <row r="17558" ht="12.75" hidden="1" customHeight="1" x14ac:dyDescent="0.2"/>
    <row r="17559" ht="12.75" hidden="1" customHeight="1" x14ac:dyDescent="0.2"/>
    <row r="17560" ht="12.75" hidden="1" customHeight="1" x14ac:dyDescent="0.2"/>
    <row r="17561" ht="12.75" hidden="1" customHeight="1" x14ac:dyDescent="0.2"/>
    <row r="17562" ht="12.75" hidden="1" customHeight="1" x14ac:dyDescent="0.2"/>
    <row r="17563" ht="12.75" hidden="1" customHeight="1" x14ac:dyDescent="0.2"/>
    <row r="17564" ht="12.75" hidden="1" customHeight="1" x14ac:dyDescent="0.2"/>
    <row r="17565" ht="12.75" hidden="1" customHeight="1" x14ac:dyDescent="0.2"/>
    <row r="17566" ht="12.75" hidden="1" customHeight="1" x14ac:dyDescent="0.2"/>
    <row r="17567" ht="12.75" hidden="1" customHeight="1" x14ac:dyDescent="0.2"/>
    <row r="17568" ht="12.75" hidden="1" customHeight="1" x14ac:dyDescent="0.2"/>
    <row r="17569" ht="12.75" hidden="1" customHeight="1" x14ac:dyDescent="0.2"/>
    <row r="17570" ht="12.75" hidden="1" customHeight="1" x14ac:dyDescent="0.2"/>
    <row r="17571" ht="12.75" hidden="1" customHeight="1" x14ac:dyDescent="0.2"/>
    <row r="17572" ht="12.75" hidden="1" customHeight="1" x14ac:dyDescent="0.2"/>
    <row r="17573" ht="12.75" hidden="1" customHeight="1" x14ac:dyDescent="0.2"/>
    <row r="17574" ht="12.75" hidden="1" customHeight="1" x14ac:dyDescent="0.2"/>
    <row r="17575" ht="12.75" hidden="1" customHeight="1" x14ac:dyDescent="0.2"/>
    <row r="17576" ht="12.75" hidden="1" customHeight="1" x14ac:dyDescent="0.2"/>
    <row r="17577" ht="12.75" hidden="1" customHeight="1" x14ac:dyDescent="0.2"/>
    <row r="17578" ht="12.75" hidden="1" customHeight="1" x14ac:dyDescent="0.2"/>
    <row r="17579" ht="12.75" hidden="1" customHeight="1" x14ac:dyDescent="0.2"/>
    <row r="17580" ht="12.75" hidden="1" customHeight="1" x14ac:dyDescent="0.2"/>
    <row r="17581" ht="12.75" hidden="1" customHeight="1" x14ac:dyDescent="0.2"/>
    <row r="17582" ht="12.75" hidden="1" customHeight="1" x14ac:dyDescent="0.2"/>
    <row r="17583" ht="12.75" hidden="1" customHeight="1" x14ac:dyDescent="0.2"/>
    <row r="17584" ht="12.75" hidden="1" customHeight="1" x14ac:dyDescent="0.2"/>
    <row r="17585" ht="12.75" hidden="1" customHeight="1" x14ac:dyDescent="0.2"/>
    <row r="17586" ht="12.75" hidden="1" customHeight="1" x14ac:dyDescent="0.2"/>
    <row r="17587" ht="12.75" hidden="1" customHeight="1" x14ac:dyDescent="0.2"/>
    <row r="17588" ht="12.75" hidden="1" customHeight="1" x14ac:dyDescent="0.2"/>
    <row r="17589" ht="12.75" hidden="1" customHeight="1" x14ac:dyDescent="0.2"/>
    <row r="17590" ht="12.75" hidden="1" customHeight="1" x14ac:dyDescent="0.2"/>
    <row r="17591" ht="12.75" hidden="1" customHeight="1" x14ac:dyDescent="0.2"/>
    <row r="17592" ht="12.75" hidden="1" customHeight="1" x14ac:dyDescent="0.2"/>
    <row r="17593" ht="12.75" hidden="1" customHeight="1" x14ac:dyDescent="0.2"/>
    <row r="17594" ht="12.75" hidden="1" customHeight="1" x14ac:dyDescent="0.2"/>
    <row r="17595" ht="12.75" hidden="1" customHeight="1" x14ac:dyDescent="0.2"/>
    <row r="17596" ht="12.75" hidden="1" customHeight="1" x14ac:dyDescent="0.2"/>
    <row r="17597" ht="12.75" hidden="1" customHeight="1" x14ac:dyDescent="0.2"/>
    <row r="17598" ht="12.75" hidden="1" customHeight="1" x14ac:dyDescent="0.2"/>
    <row r="17599" ht="12.75" hidden="1" customHeight="1" x14ac:dyDescent="0.2"/>
    <row r="17600" ht="12.75" hidden="1" customHeight="1" x14ac:dyDescent="0.2"/>
    <row r="17601" ht="12.75" hidden="1" customHeight="1" x14ac:dyDescent="0.2"/>
    <row r="17602" ht="12.75" hidden="1" customHeight="1" x14ac:dyDescent="0.2"/>
    <row r="17603" ht="12.75" hidden="1" customHeight="1" x14ac:dyDescent="0.2"/>
    <row r="17604" ht="12.75" hidden="1" customHeight="1" x14ac:dyDescent="0.2"/>
    <row r="17605" ht="12.75" hidden="1" customHeight="1" x14ac:dyDescent="0.2"/>
    <row r="17606" ht="12.75" hidden="1" customHeight="1" x14ac:dyDescent="0.2"/>
    <row r="17607" ht="12.75" hidden="1" customHeight="1" x14ac:dyDescent="0.2"/>
    <row r="17608" ht="12.75" hidden="1" customHeight="1" x14ac:dyDescent="0.2"/>
    <row r="17609" ht="12.75" hidden="1" customHeight="1" x14ac:dyDescent="0.2"/>
    <row r="17610" ht="12.75" hidden="1" customHeight="1" x14ac:dyDescent="0.2"/>
    <row r="17611" ht="12.75" hidden="1" customHeight="1" x14ac:dyDescent="0.2"/>
    <row r="17612" ht="12.75" hidden="1" customHeight="1" x14ac:dyDescent="0.2"/>
    <row r="17613" ht="12.75" hidden="1" customHeight="1" x14ac:dyDescent="0.2"/>
    <row r="17614" ht="12.75" hidden="1" customHeight="1" x14ac:dyDescent="0.2"/>
    <row r="17615" ht="12.75" hidden="1" customHeight="1" x14ac:dyDescent="0.2"/>
    <row r="17616" ht="12.75" hidden="1" customHeight="1" x14ac:dyDescent="0.2"/>
    <row r="17617" ht="12.75" hidden="1" customHeight="1" x14ac:dyDescent="0.2"/>
    <row r="17618" ht="12.75" hidden="1" customHeight="1" x14ac:dyDescent="0.2"/>
    <row r="17619" ht="12.75" hidden="1" customHeight="1" x14ac:dyDescent="0.2"/>
    <row r="17620" ht="12.75" hidden="1" customHeight="1" x14ac:dyDescent="0.2"/>
    <row r="17621" ht="12.75" hidden="1" customHeight="1" x14ac:dyDescent="0.2"/>
    <row r="17622" ht="12.75" hidden="1" customHeight="1" x14ac:dyDescent="0.2"/>
    <row r="17623" ht="12.75" hidden="1" customHeight="1" x14ac:dyDescent="0.2"/>
    <row r="17624" ht="12.75" hidden="1" customHeight="1" x14ac:dyDescent="0.2"/>
    <row r="17625" ht="12.75" hidden="1" customHeight="1" x14ac:dyDescent="0.2"/>
    <row r="17626" ht="12.75" hidden="1" customHeight="1" x14ac:dyDescent="0.2"/>
    <row r="17627" ht="12.75" hidden="1" customHeight="1" x14ac:dyDescent="0.2"/>
    <row r="17628" ht="12.75" hidden="1" customHeight="1" x14ac:dyDescent="0.2"/>
    <row r="17629" ht="12.75" hidden="1" customHeight="1" x14ac:dyDescent="0.2"/>
    <row r="17630" ht="12.75" hidden="1" customHeight="1" x14ac:dyDescent="0.2"/>
    <row r="17631" ht="12.75" hidden="1" customHeight="1" x14ac:dyDescent="0.2"/>
    <row r="17632" ht="12.75" hidden="1" customHeight="1" x14ac:dyDescent="0.2"/>
    <row r="17633" ht="12.75" hidden="1" customHeight="1" x14ac:dyDescent="0.2"/>
    <row r="17634" ht="12.75" hidden="1" customHeight="1" x14ac:dyDescent="0.2"/>
    <row r="17635" ht="12.75" hidden="1" customHeight="1" x14ac:dyDescent="0.2"/>
    <row r="17636" ht="12.75" hidden="1" customHeight="1" x14ac:dyDescent="0.2"/>
    <row r="17637" ht="12.75" hidden="1" customHeight="1" x14ac:dyDescent="0.2"/>
    <row r="17638" ht="12.75" hidden="1" customHeight="1" x14ac:dyDescent="0.2"/>
    <row r="17639" ht="12.75" hidden="1" customHeight="1" x14ac:dyDescent="0.2"/>
    <row r="17640" ht="12.75" hidden="1" customHeight="1" x14ac:dyDescent="0.2"/>
    <row r="17641" ht="12.75" hidden="1" customHeight="1" x14ac:dyDescent="0.2"/>
    <row r="17642" ht="12.75" hidden="1" customHeight="1" x14ac:dyDescent="0.2"/>
    <row r="17643" ht="12.75" hidden="1" customHeight="1" x14ac:dyDescent="0.2"/>
    <row r="17644" ht="12.75" hidden="1" customHeight="1" x14ac:dyDescent="0.2"/>
    <row r="17645" ht="12.75" hidden="1" customHeight="1" x14ac:dyDescent="0.2"/>
    <row r="17646" ht="12.75" hidden="1" customHeight="1" x14ac:dyDescent="0.2"/>
    <row r="17647" ht="12.75" hidden="1" customHeight="1" x14ac:dyDescent="0.2"/>
    <row r="17648" ht="12.75" hidden="1" customHeight="1" x14ac:dyDescent="0.2"/>
    <row r="17649" ht="12.75" hidden="1" customHeight="1" x14ac:dyDescent="0.2"/>
    <row r="17650" ht="12.75" hidden="1" customHeight="1" x14ac:dyDescent="0.2"/>
    <row r="17651" ht="12.75" hidden="1" customHeight="1" x14ac:dyDescent="0.2"/>
    <row r="17652" ht="12.75" hidden="1" customHeight="1" x14ac:dyDescent="0.2"/>
    <row r="17653" ht="12.75" hidden="1" customHeight="1" x14ac:dyDescent="0.2"/>
    <row r="17654" ht="12.75" hidden="1" customHeight="1" x14ac:dyDescent="0.2"/>
    <row r="17655" ht="12.75" hidden="1" customHeight="1" x14ac:dyDescent="0.2"/>
    <row r="17656" ht="12.75" hidden="1" customHeight="1" x14ac:dyDescent="0.2"/>
    <row r="17657" ht="12.75" hidden="1" customHeight="1" x14ac:dyDescent="0.2"/>
    <row r="17658" ht="12.75" hidden="1" customHeight="1" x14ac:dyDescent="0.2"/>
    <row r="17659" ht="12.75" hidden="1" customHeight="1" x14ac:dyDescent="0.2"/>
    <row r="17660" ht="12.75" hidden="1" customHeight="1" x14ac:dyDescent="0.2"/>
    <row r="17661" ht="12.75" hidden="1" customHeight="1" x14ac:dyDescent="0.2"/>
    <row r="17662" ht="12.75" hidden="1" customHeight="1" x14ac:dyDescent="0.2"/>
    <row r="17663" ht="12.75" hidden="1" customHeight="1" x14ac:dyDescent="0.2"/>
    <row r="17664" ht="12.75" hidden="1" customHeight="1" x14ac:dyDescent="0.2"/>
    <row r="17665" ht="12.75" hidden="1" customHeight="1" x14ac:dyDescent="0.2"/>
    <row r="17666" ht="12.75" hidden="1" customHeight="1" x14ac:dyDescent="0.2"/>
    <row r="17667" ht="12.75" hidden="1" customHeight="1" x14ac:dyDescent="0.2"/>
    <row r="17668" ht="12.75" hidden="1" customHeight="1" x14ac:dyDescent="0.2"/>
    <row r="17669" ht="12.75" hidden="1" customHeight="1" x14ac:dyDescent="0.2"/>
    <row r="17670" ht="12.75" hidden="1" customHeight="1" x14ac:dyDescent="0.2"/>
    <row r="17671" ht="12.75" hidden="1" customHeight="1" x14ac:dyDescent="0.2"/>
    <row r="17672" ht="12.75" hidden="1" customHeight="1" x14ac:dyDescent="0.2"/>
    <row r="17673" ht="12.75" hidden="1" customHeight="1" x14ac:dyDescent="0.2"/>
    <row r="17674" ht="12.75" hidden="1" customHeight="1" x14ac:dyDescent="0.2"/>
    <row r="17675" ht="12.75" hidden="1" customHeight="1" x14ac:dyDescent="0.2"/>
    <row r="17676" ht="12.75" hidden="1" customHeight="1" x14ac:dyDescent="0.2"/>
    <row r="17677" ht="12.75" hidden="1" customHeight="1" x14ac:dyDescent="0.2"/>
    <row r="17678" ht="12.75" hidden="1" customHeight="1" x14ac:dyDescent="0.2"/>
    <row r="17679" ht="12.75" hidden="1" customHeight="1" x14ac:dyDescent="0.2"/>
    <row r="17680" ht="12.75" hidden="1" customHeight="1" x14ac:dyDescent="0.2"/>
    <row r="17681" ht="12.75" hidden="1" customHeight="1" x14ac:dyDescent="0.2"/>
    <row r="17682" ht="12.75" hidden="1" customHeight="1" x14ac:dyDescent="0.2"/>
    <row r="17683" ht="12.75" hidden="1" customHeight="1" x14ac:dyDescent="0.2"/>
    <row r="17684" ht="12.75" hidden="1" customHeight="1" x14ac:dyDescent="0.2"/>
    <row r="17685" ht="12.75" hidden="1" customHeight="1" x14ac:dyDescent="0.2"/>
    <row r="17686" ht="12.75" hidden="1" customHeight="1" x14ac:dyDescent="0.2"/>
    <row r="17687" ht="12.75" hidden="1" customHeight="1" x14ac:dyDescent="0.2"/>
    <row r="17688" ht="12.75" hidden="1" customHeight="1" x14ac:dyDescent="0.2"/>
    <row r="17689" ht="12.75" hidden="1" customHeight="1" x14ac:dyDescent="0.2"/>
    <row r="17690" ht="12.75" hidden="1" customHeight="1" x14ac:dyDescent="0.2"/>
    <row r="17691" ht="12.75" hidden="1" customHeight="1" x14ac:dyDescent="0.2"/>
    <row r="17692" ht="12.75" hidden="1" customHeight="1" x14ac:dyDescent="0.2"/>
    <row r="17693" ht="12.75" hidden="1" customHeight="1" x14ac:dyDescent="0.2"/>
    <row r="17694" ht="12.75" hidden="1" customHeight="1" x14ac:dyDescent="0.2"/>
    <row r="17695" ht="12.75" hidden="1" customHeight="1" x14ac:dyDescent="0.2"/>
    <row r="17696" ht="12.75" hidden="1" customHeight="1" x14ac:dyDescent="0.2"/>
    <row r="17697" ht="12.75" hidden="1" customHeight="1" x14ac:dyDescent="0.2"/>
    <row r="17698" ht="12.75" hidden="1" customHeight="1" x14ac:dyDescent="0.2"/>
    <row r="17699" ht="12.75" hidden="1" customHeight="1" x14ac:dyDescent="0.2"/>
    <row r="17700" ht="12.75" hidden="1" customHeight="1" x14ac:dyDescent="0.2"/>
    <row r="17701" ht="12.75" hidden="1" customHeight="1" x14ac:dyDescent="0.2"/>
    <row r="17702" ht="12.75" hidden="1" customHeight="1" x14ac:dyDescent="0.2"/>
    <row r="17703" ht="12.75" hidden="1" customHeight="1" x14ac:dyDescent="0.2"/>
    <row r="17704" ht="12.75" hidden="1" customHeight="1" x14ac:dyDescent="0.2"/>
    <row r="17705" ht="12.75" hidden="1" customHeight="1" x14ac:dyDescent="0.2"/>
    <row r="17706" ht="12.75" hidden="1" customHeight="1" x14ac:dyDescent="0.2"/>
    <row r="17707" ht="12.75" hidden="1" customHeight="1" x14ac:dyDescent="0.2"/>
    <row r="17708" ht="12.75" hidden="1" customHeight="1" x14ac:dyDescent="0.2"/>
    <row r="17709" ht="12.75" hidden="1" customHeight="1" x14ac:dyDescent="0.2"/>
    <row r="17710" ht="12.75" hidden="1" customHeight="1" x14ac:dyDescent="0.2"/>
    <row r="17711" ht="12.75" hidden="1" customHeight="1" x14ac:dyDescent="0.2"/>
    <row r="17712" ht="12.75" hidden="1" customHeight="1" x14ac:dyDescent="0.2"/>
    <row r="17713" ht="12.75" hidden="1" customHeight="1" x14ac:dyDescent="0.2"/>
    <row r="17714" ht="12.75" hidden="1" customHeight="1" x14ac:dyDescent="0.2"/>
    <row r="17715" ht="12.75" hidden="1" customHeight="1" x14ac:dyDescent="0.2"/>
    <row r="17716" ht="12.75" hidden="1" customHeight="1" x14ac:dyDescent="0.2"/>
    <row r="17717" ht="12.75" hidden="1" customHeight="1" x14ac:dyDescent="0.2"/>
    <row r="17718" ht="12.75" hidden="1" customHeight="1" x14ac:dyDescent="0.2"/>
    <row r="17719" ht="12.75" hidden="1" customHeight="1" x14ac:dyDescent="0.2"/>
    <row r="17720" ht="12.75" hidden="1" customHeight="1" x14ac:dyDescent="0.2"/>
    <row r="17721" ht="12.75" hidden="1" customHeight="1" x14ac:dyDescent="0.2"/>
    <row r="17722" ht="12.75" hidden="1" customHeight="1" x14ac:dyDescent="0.2"/>
    <row r="17723" ht="12.75" hidden="1" customHeight="1" x14ac:dyDescent="0.2"/>
    <row r="17724" ht="12.75" hidden="1" customHeight="1" x14ac:dyDescent="0.2"/>
    <row r="17725" ht="12.75" hidden="1" customHeight="1" x14ac:dyDescent="0.2"/>
    <row r="17726" ht="12.75" hidden="1" customHeight="1" x14ac:dyDescent="0.2"/>
    <row r="17727" ht="12.75" hidden="1" customHeight="1" x14ac:dyDescent="0.2"/>
    <row r="17728" ht="12.75" hidden="1" customHeight="1" x14ac:dyDescent="0.2"/>
    <row r="17729" ht="12.75" hidden="1" customHeight="1" x14ac:dyDescent="0.2"/>
    <row r="17730" ht="12.75" hidden="1" customHeight="1" x14ac:dyDescent="0.2"/>
    <row r="17731" ht="12.75" hidden="1" customHeight="1" x14ac:dyDescent="0.2"/>
    <row r="17732" ht="12.75" hidden="1" customHeight="1" x14ac:dyDescent="0.2"/>
    <row r="17733" ht="12.75" hidden="1" customHeight="1" x14ac:dyDescent="0.2"/>
    <row r="17734" ht="12.75" hidden="1" customHeight="1" x14ac:dyDescent="0.2"/>
    <row r="17735" ht="12.75" hidden="1" customHeight="1" x14ac:dyDescent="0.2"/>
    <row r="17736" ht="12.75" hidden="1" customHeight="1" x14ac:dyDescent="0.2"/>
    <row r="17737" ht="12.75" hidden="1" customHeight="1" x14ac:dyDescent="0.2"/>
    <row r="17738" ht="12.75" hidden="1" customHeight="1" x14ac:dyDescent="0.2"/>
    <row r="17739" ht="12.75" hidden="1" customHeight="1" x14ac:dyDescent="0.2"/>
    <row r="17740" ht="12.75" hidden="1" customHeight="1" x14ac:dyDescent="0.2"/>
    <row r="17741" ht="12.75" hidden="1" customHeight="1" x14ac:dyDescent="0.2"/>
    <row r="17742" ht="12.75" hidden="1" customHeight="1" x14ac:dyDescent="0.2"/>
    <row r="17743" ht="12.75" hidden="1" customHeight="1" x14ac:dyDescent="0.2"/>
    <row r="17744" ht="12.75" hidden="1" customHeight="1" x14ac:dyDescent="0.2"/>
    <row r="17745" ht="12.75" hidden="1" customHeight="1" x14ac:dyDescent="0.2"/>
    <row r="17746" ht="12.75" hidden="1" customHeight="1" x14ac:dyDescent="0.2"/>
    <row r="17747" ht="12.75" hidden="1" customHeight="1" x14ac:dyDescent="0.2"/>
    <row r="17748" ht="12.75" hidden="1" customHeight="1" x14ac:dyDescent="0.2"/>
    <row r="17749" ht="12.75" hidden="1" customHeight="1" x14ac:dyDescent="0.2"/>
    <row r="17750" ht="12.75" hidden="1" customHeight="1" x14ac:dyDescent="0.2"/>
    <row r="17751" ht="12.75" hidden="1" customHeight="1" x14ac:dyDescent="0.2"/>
    <row r="17752" ht="12.75" hidden="1" customHeight="1" x14ac:dyDescent="0.2"/>
    <row r="17753" ht="12.75" hidden="1" customHeight="1" x14ac:dyDescent="0.2"/>
    <row r="17754" ht="12.75" hidden="1" customHeight="1" x14ac:dyDescent="0.2"/>
    <row r="17755" ht="12.75" hidden="1" customHeight="1" x14ac:dyDescent="0.2"/>
    <row r="17756" ht="12.75" hidden="1" customHeight="1" x14ac:dyDescent="0.2"/>
    <row r="17757" ht="12.75" hidden="1" customHeight="1" x14ac:dyDescent="0.2"/>
    <row r="17758" ht="12.75" hidden="1" customHeight="1" x14ac:dyDescent="0.2"/>
    <row r="17759" ht="12.75" hidden="1" customHeight="1" x14ac:dyDescent="0.2"/>
    <row r="17760" ht="12.75" hidden="1" customHeight="1" x14ac:dyDescent="0.2"/>
    <row r="17761" ht="12.75" hidden="1" customHeight="1" x14ac:dyDescent="0.2"/>
    <row r="17762" ht="12.75" hidden="1" customHeight="1" x14ac:dyDescent="0.2"/>
    <row r="17763" ht="12.75" hidden="1" customHeight="1" x14ac:dyDescent="0.2"/>
    <row r="17764" ht="12.75" hidden="1" customHeight="1" x14ac:dyDescent="0.2"/>
    <row r="17765" ht="12.75" hidden="1" customHeight="1" x14ac:dyDescent="0.2"/>
    <row r="17766" ht="12.75" hidden="1" customHeight="1" x14ac:dyDescent="0.2"/>
    <row r="17767" ht="12.75" hidden="1" customHeight="1" x14ac:dyDescent="0.2"/>
    <row r="17768" ht="12.75" hidden="1" customHeight="1" x14ac:dyDescent="0.2"/>
    <row r="17769" ht="12.75" hidden="1" customHeight="1" x14ac:dyDescent="0.2"/>
    <row r="17770" ht="12.75" hidden="1" customHeight="1" x14ac:dyDescent="0.2"/>
    <row r="17771" ht="12.75" hidden="1" customHeight="1" x14ac:dyDescent="0.2"/>
    <row r="17772" ht="12.75" hidden="1" customHeight="1" x14ac:dyDescent="0.2"/>
    <row r="17773" ht="12.75" hidden="1" customHeight="1" x14ac:dyDescent="0.2"/>
    <row r="17774" ht="12.75" hidden="1" customHeight="1" x14ac:dyDescent="0.2"/>
    <row r="17775" ht="12.75" hidden="1" customHeight="1" x14ac:dyDescent="0.2"/>
    <row r="17776" ht="12.75" hidden="1" customHeight="1" x14ac:dyDescent="0.2"/>
    <row r="17777" ht="12.75" hidden="1" customHeight="1" x14ac:dyDescent="0.2"/>
    <row r="17778" ht="12.75" hidden="1" customHeight="1" x14ac:dyDescent="0.2"/>
    <row r="17779" ht="12.75" hidden="1" customHeight="1" x14ac:dyDescent="0.2"/>
    <row r="17780" ht="12.75" hidden="1" customHeight="1" x14ac:dyDescent="0.2"/>
    <row r="17781" ht="12.75" hidden="1" customHeight="1" x14ac:dyDescent="0.2"/>
    <row r="17782" ht="12.75" hidden="1" customHeight="1" x14ac:dyDescent="0.2"/>
    <row r="17783" ht="12.75" hidden="1" customHeight="1" x14ac:dyDescent="0.2"/>
    <row r="17784" ht="12.75" hidden="1" customHeight="1" x14ac:dyDescent="0.2"/>
    <row r="17785" ht="12.75" hidden="1" customHeight="1" x14ac:dyDescent="0.2"/>
    <row r="17786" ht="12.75" hidden="1" customHeight="1" x14ac:dyDescent="0.2"/>
    <row r="17787" ht="12.75" hidden="1" customHeight="1" x14ac:dyDescent="0.2"/>
    <row r="17788" ht="12.75" hidden="1" customHeight="1" x14ac:dyDescent="0.2"/>
    <row r="17789" ht="12.75" hidden="1" customHeight="1" x14ac:dyDescent="0.2"/>
    <row r="17790" ht="12.75" hidden="1" customHeight="1" x14ac:dyDescent="0.2"/>
    <row r="17791" ht="12.75" hidden="1" customHeight="1" x14ac:dyDescent="0.2"/>
    <row r="17792" ht="12.75" hidden="1" customHeight="1" x14ac:dyDescent="0.2"/>
    <row r="17793" ht="12.75" hidden="1" customHeight="1" x14ac:dyDescent="0.2"/>
    <row r="17794" ht="12.75" hidden="1" customHeight="1" x14ac:dyDescent="0.2"/>
    <row r="17795" ht="12.75" hidden="1" customHeight="1" x14ac:dyDescent="0.2"/>
    <row r="17796" ht="12.75" hidden="1" customHeight="1" x14ac:dyDescent="0.2"/>
    <row r="17797" ht="12.75" hidden="1" customHeight="1" x14ac:dyDescent="0.2"/>
    <row r="17798" ht="12.75" hidden="1" customHeight="1" x14ac:dyDescent="0.2"/>
    <row r="17799" ht="12.75" hidden="1" customHeight="1" x14ac:dyDescent="0.2"/>
    <row r="17800" ht="12.75" hidden="1" customHeight="1" x14ac:dyDescent="0.2"/>
    <row r="17801" ht="12.75" hidden="1" customHeight="1" x14ac:dyDescent="0.2"/>
    <row r="17802" ht="12.75" hidden="1" customHeight="1" x14ac:dyDescent="0.2"/>
    <row r="17803" ht="12.75" hidden="1" customHeight="1" x14ac:dyDescent="0.2"/>
    <row r="17804" ht="12.75" hidden="1" customHeight="1" x14ac:dyDescent="0.2"/>
    <row r="17805" ht="12.75" hidden="1" customHeight="1" x14ac:dyDescent="0.2"/>
    <row r="17806" ht="12.75" hidden="1" customHeight="1" x14ac:dyDescent="0.2"/>
    <row r="17807" ht="12.75" hidden="1" customHeight="1" x14ac:dyDescent="0.2"/>
    <row r="17808" ht="12.75" hidden="1" customHeight="1" x14ac:dyDescent="0.2"/>
    <row r="17809" ht="12.75" hidden="1" customHeight="1" x14ac:dyDescent="0.2"/>
    <row r="17810" ht="12.75" hidden="1" customHeight="1" x14ac:dyDescent="0.2"/>
    <row r="17811" ht="12.75" hidden="1" customHeight="1" x14ac:dyDescent="0.2"/>
    <row r="17812" ht="12.75" hidden="1" customHeight="1" x14ac:dyDescent="0.2"/>
    <row r="17813" ht="12.75" hidden="1" customHeight="1" x14ac:dyDescent="0.2"/>
    <row r="17814" ht="12.75" hidden="1" customHeight="1" x14ac:dyDescent="0.2"/>
    <row r="17815" ht="12.75" hidden="1" customHeight="1" x14ac:dyDescent="0.2"/>
    <row r="17816" ht="12.75" hidden="1" customHeight="1" x14ac:dyDescent="0.2"/>
    <row r="17817" ht="12.75" hidden="1" customHeight="1" x14ac:dyDescent="0.2"/>
    <row r="17818" ht="12.75" hidden="1" customHeight="1" x14ac:dyDescent="0.2"/>
    <row r="17819" ht="12.75" hidden="1" customHeight="1" x14ac:dyDescent="0.2"/>
    <row r="17820" ht="12.75" hidden="1" customHeight="1" x14ac:dyDescent="0.2"/>
    <row r="17821" ht="12.75" hidden="1" customHeight="1" x14ac:dyDescent="0.2"/>
    <row r="17822" ht="12.75" hidden="1" customHeight="1" x14ac:dyDescent="0.2"/>
    <row r="17823" ht="12.75" hidden="1" customHeight="1" x14ac:dyDescent="0.2"/>
    <row r="17824" ht="12.75" hidden="1" customHeight="1" x14ac:dyDescent="0.2"/>
    <row r="17825" ht="12.75" hidden="1" customHeight="1" x14ac:dyDescent="0.2"/>
    <row r="17826" ht="12.75" hidden="1" customHeight="1" x14ac:dyDescent="0.2"/>
    <row r="17827" ht="12.75" hidden="1" customHeight="1" x14ac:dyDescent="0.2"/>
    <row r="17828" ht="12.75" hidden="1" customHeight="1" x14ac:dyDescent="0.2"/>
    <row r="17829" ht="12.75" hidden="1" customHeight="1" x14ac:dyDescent="0.2"/>
    <row r="17830" ht="12.75" hidden="1" customHeight="1" x14ac:dyDescent="0.2"/>
    <row r="17831" ht="12.75" hidden="1" customHeight="1" x14ac:dyDescent="0.2"/>
    <row r="17832" ht="12.75" hidden="1" customHeight="1" x14ac:dyDescent="0.2"/>
    <row r="17833" ht="12.75" hidden="1" customHeight="1" x14ac:dyDescent="0.2"/>
    <row r="17834" ht="12.75" hidden="1" customHeight="1" x14ac:dyDescent="0.2"/>
    <row r="17835" ht="12.75" hidden="1" customHeight="1" x14ac:dyDescent="0.2"/>
    <row r="17836" ht="12.75" hidden="1" customHeight="1" x14ac:dyDescent="0.2"/>
    <row r="17837" ht="12.75" hidden="1" customHeight="1" x14ac:dyDescent="0.2"/>
    <row r="17838" ht="12.75" hidden="1" customHeight="1" x14ac:dyDescent="0.2"/>
    <row r="17839" ht="12.75" hidden="1" customHeight="1" x14ac:dyDescent="0.2"/>
    <row r="17840" ht="12.75" hidden="1" customHeight="1" x14ac:dyDescent="0.2"/>
    <row r="17841" ht="12.75" hidden="1" customHeight="1" x14ac:dyDescent="0.2"/>
    <row r="17842" ht="12.75" hidden="1" customHeight="1" x14ac:dyDescent="0.2"/>
    <row r="17843" ht="12.75" hidden="1" customHeight="1" x14ac:dyDescent="0.2"/>
    <row r="17844" ht="12.75" hidden="1" customHeight="1" x14ac:dyDescent="0.2"/>
    <row r="17845" ht="12.75" hidden="1" customHeight="1" x14ac:dyDescent="0.2"/>
    <row r="17846" ht="12.75" hidden="1" customHeight="1" x14ac:dyDescent="0.2"/>
    <row r="17847" ht="12.75" hidden="1" customHeight="1" x14ac:dyDescent="0.2"/>
    <row r="17848" ht="12.75" hidden="1" customHeight="1" x14ac:dyDescent="0.2"/>
    <row r="17849" ht="12.75" hidden="1" customHeight="1" x14ac:dyDescent="0.2"/>
    <row r="17850" ht="12.75" hidden="1" customHeight="1" x14ac:dyDescent="0.2"/>
    <row r="17851" ht="12.75" hidden="1" customHeight="1" x14ac:dyDescent="0.2"/>
    <row r="17852" ht="12.75" hidden="1" customHeight="1" x14ac:dyDescent="0.2"/>
    <row r="17853" ht="12.75" hidden="1" customHeight="1" x14ac:dyDescent="0.2"/>
    <row r="17854" ht="12.75" hidden="1" customHeight="1" x14ac:dyDescent="0.2"/>
    <row r="17855" ht="12.75" hidden="1" customHeight="1" x14ac:dyDescent="0.2"/>
    <row r="17856" ht="12.75" hidden="1" customHeight="1" x14ac:dyDescent="0.2"/>
    <row r="17857" ht="12.75" hidden="1" customHeight="1" x14ac:dyDescent="0.2"/>
    <row r="17858" ht="12.75" hidden="1" customHeight="1" x14ac:dyDescent="0.2"/>
    <row r="17859" ht="12.75" hidden="1" customHeight="1" x14ac:dyDescent="0.2"/>
    <row r="17860" ht="12.75" hidden="1" customHeight="1" x14ac:dyDescent="0.2"/>
    <row r="17861" ht="12.75" hidden="1" customHeight="1" x14ac:dyDescent="0.2"/>
    <row r="17862" ht="12.75" hidden="1" customHeight="1" x14ac:dyDescent="0.2"/>
    <row r="17863" ht="12.75" hidden="1" customHeight="1" x14ac:dyDescent="0.2"/>
    <row r="17864" ht="12.75" hidden="1" customHeight="1" x14ac:dyDescent="0.2"/>
    <row r="17865" ht="12.75" hidden="1" customHeight="1" x14ac:dyDescent="0.2"/>
    <row r="17866" ht="12.75" hidden="1" customHeight="1" x14ac:dyDescent="0.2"/>
    <row r="17867" ht="12.75" hidden="1" customHeight="1" x14ac:dyDescent="0.2"/>
    <row r="17868" ht="12.75" hidden="1" customHeight="1" x14ac:dyDescent="0.2"/>
    <row r="17869" ht="12.75" hidden="1" customHeight="1" x14ac:dyDescent="0.2"/>
    <row r="17870" ht="12.75" hidden="1" customHeight="1" x14ac:dyDescent="0.2"/>
    <row r="17871" ht="12.75" hidden="1" customHeight="1" x14ac:dyDescent="0.2"/>
    <row r="17872" ht="12.75" hidden="1" customHeight="1" x14ac:dyDescent="0.2"/>
    <row r="17873" ht="12.75" hidden="1" customHeight="1" x14ac:dyDescent="0.2"/>
    <row r="17874" ht="12.75" hidden="1" customHeight="1" x14ac:dyDescent="0.2"/>
    <row r="17875" ht="12.75" hidden="1" customHeight="1" x14ac:dyDescent="0.2"/>
    <row r="17876" ht="12.75" hidden="1" customHeight="1" x14ac:dyDescent="0.2"/>
    <row r="17877" ht="12.75" hidden="1" customHeight="1" x14ac:dyDescent="0.2"/>
    <row r="17878" ht="12.75" hidden="1" customHeight="1" x14ac:dyDescent="0.2"/>
    <row r="17879" ht="12.75" hidden="1" customHeight="1" x14ac:dyDescent="0.2"/>
    <row r="17880" ht="12.75" hidden="1" customHeight="1" x14ac:dyDescent="0.2"/>
    <row r="17881" ht="12.75" hidden="1" customHeight="1" x14ac:dyDescent="0.2"/>
    <row r="17882" ht="12.75" hidden="1" customHeight="1" x14ac:dyDescent="0.2"/>
    <row r="17883" ht="12.75" hidden="1" customHeight="1" x14ac:dyDescent="0.2"/>
    <row r="17884" ht="12.75" hidden="1" customHeight="1" x14ac:dyDescent="0.2"/>
    <row r="17885" ht="12.75" hidden="1" customHeight="1" x14ac:dyDescent="0.2"/>
    <row r="17886" ht="12.75" hidden="1" customHeight="1" x14ac:dyDescent="0.2"/>
    <row r="17887" ht="12.75" hidden="1" customHeight="1" x14ac:dyDescent="0.2"/>
    <row r="17888" ht="12.75" hidden="1" customHeight="1" x14ac:dyDescent="0.2"/>
    <row r="17889" ht="12.75" hidden="1" customHeight="1" x14ac:dyDescent="0.2"/>
    <row r="17890" ht="12.75" hidden="1" customHeight="1" x14ac:dyDescent="0.2"/>
    <row r="17891" ht="12.75" hidden="1" customHeight="1" x14ac:dyDescent="0.2"/>
    <row r="17892" ht="12.75" hidden="1" customHeight="1" x14ac:dyDescent="0.2"/>
    <row r="17893" ht="12.75" hidden="1" customHeight="1" x14ac:dyDescent="0.2"/>
    <row r="17894" ht="12.75" hidden="1" customHeight="1" x14ac:dyDescent="0.2"/>
    <row r="17895" ht="12.75" hidden="1" customHeight="1" x14ac:dyDescent="0.2"/>
    <row r="17896" ht="12.75" hidden="1" customHeight="1" x14ac:dyDescent="0.2"/>
    <row r="17897" ht="12.75" hidden="1" customHeight="1" x14ac:dyDescent="0.2"/>
    <row r="17898" ht="12.75" hidden="1" customHeight="1" x14ac:dyDescent="0.2"/>
    <row r="17899" ht="12.75" hidden="1" customHeight="1" x14ac:dyDescent="0.2"/>
    <row r="17900" ht="12.75" hidden="1" customHeight="1" x14ac:dyDescent="0.2"/>
    <row r="17901" ht="12.75" hidden="1" customHeight="1" x14ac:dyDescent="0.2"/>
    <row r="17902" ht="12.75" hidden="1" customHeight="1" x14ac:dyDescent="0.2"/>
    <row r="17903" ht="12.75" hidden="1" customHeight="1" x14ac:dyDescent="0.2"/>
    <row r="17904" ht="12.75" hidden="1" customHeight="1" x14ac:dyDescent="0.2"/>
    <row r="17905" ht="12.75" hidden="1" customHeight="1" x14ac:dyDescent="0.2"/>
    <row r="17906" ht="12.75" hidden="1" customHeight="1" x14ac:dyDescent="0.2"/>
    <row r="17907" ht="12.75" hidden="1" customHeight="1" x14ac:dyDescent="0.2"/>
    <row r="17908" ht="12.75" hidden="1" customHeight="1" x14ac:dyDescent="0.2"/>
    <row r="17909" ht="12.75" hidden="1" customHeight="1" x14ac:dyDescent="0.2"/>
    <row r="17910" ht="12.75" hidden="1" customHeight="1" x14ac:dyDescent="0.2"/>
    <row r="17911" ht="12.75" hidden="1" customHeight="1" x14ac:dyDescent="0.2"/>
    <row r="17912" ht="12.75" hidden="1" customHeight="1" x14ac:dyDescent="0.2"/>
    <row r="17913" ht="12.75" hidden="1" customHeight="1" x14ac:dyDescent="0.2"/>
    <row r="17914" ht="12.75" hidden="1" customHeight="1" x14ac:dyDescent="0.2"/>
    <row r="17915" ht="12.75" hidden="1" customHeight="1" x14ac:dyDescent="0.2"/>
    <row r="17916" ht="12.75" hidden="1" customHeight="1" x14ac:dyDescent="0.2"/>
    <row r="17917" ht="12.75" hidden="1" customHeight="1" x14ac:dyDescent="0.2"/>
    <row r="17918" ht="12.75" hidden="1" customHeight="1" x14ac:dyDescent="0.2"/>
    <row r="17919" ht="12.75" hidden="1" customHeight="1" x14ac:dyDescent="0.2"/>
    <row r="17920" ht="12.75" hidden="1" customHeight="1" x14ac:dyDescent="0.2"/>
    <row r="17921" ht="12.75" hidden="1" customHeight="1" x14ac:dyDescent="0.2"/>
    <row r="17922" ht="12.75" hidden="1" customHeight="1" x14ac:dyDescent="0.2"/>
    <row r="17923" ht="12.75" hidden="1" customHeight="1" x14ac:dyDescent="0.2"/>
    <row r="17924" ht="12.75" hidden="1" customHeight="1" x14ac:dyDescent="0.2"/>
    <row r="17925" ht="12.75" hidden="1" customHeight="1" x14ac:dyDescent="0.2"/>
    <row r="17926" ht="12.75" hidden="1" customHeight="1" x14ac:dyDescent="0.2"/>
    <row r="17927" ht="12.75" hidden="1" customHeight="1" x14ac:dyDescent="0.2"/>
    <row r="17928" ht="12.75" hidden="1" customHeight="1" x14ac:dyDescent="0.2"/>
    <row r="17929" ht="12.75" hidden="1" customHeight="1" x14ac:dyDescent="0.2"/>
    <row r="17930" ht="12.75" hidden="1" customHeight="1" x14ac:dyDescent="0.2"/>
    <row r="17931" ht="12.75" hidden="1" customHeight="1" x14ac:dyDescent="0.2"/>
    <row r="17932" ht="12.75" hidden="1" customHeight="1" x14ac:dyDescent="0.2"/>
    <row r="17933" ht="12.75" hidden="1" customHeight="1" x14ac:dyDescent="0.2"/>
    <row r="17934" ht="12.75" hidden="1" customHeight="1" x14ac:dyDescent="0.2"/>
    <row r="17935" ht="12.75" hidden="1" customHeight="1" x14ac:dyDescent="0.2"/>
    <row r="17936" ht="12.75" hidden="1" customHeight="1" x14ac:dyDescent="0.2"/>
    <row r="17937" ht="12.75" hidden="1" customHeight="1" x14ac:dyDescent="0.2"/>
    <row r="17938" ht="12.75" hidden="1" customHeight="1" x14ac:dyDescent="0.2"/>
    <row r="17939" ht="12.75" hidden="1" customHeight="1" x14ac:dyDescent="0.2"/>
    <row r="17940" ht="12.75" hidden="1" customHeight="1" x14ac:dyDescent="0.2"/>
    <row r="17941" ht="12.75" hidden="1" customHeight="1" x14ac:dyDescent="0.2"/>
    <row r="17942" ht="12.75" hidden="1" customHeight="1" x14ac:dyDescent="0.2"/>
    <row r="17943" ht="12.75" hidden="1" customHeight="1" x14ac:dyDescent="0.2"/>
    <row r="17944" ht="12.75" hidden="1" customHeight="1" x14ac:dyDescent="0.2"/>
    <row r="17945" ht="12.75" hidden="1" customHeight="1" x14ac:dyDescent="0.2"/>
    <row r="17946" ht="12.75" hidden="1" customHeight="1" x14ac:dyDescent="0.2"/>
    <row r="17947" ht="12.75" hidden="1" customHeight="1" x14ac:dyDescent="0.2"/>
    <row r="17948" ht="12.75" hidden="1" customHeight="1" x14ac:dyDescent="0.2"/>
    <row r="17949" ht="12.75" hidden="1" customHeight="1" x14ac:dyDescent="0.2"/>
    <row r="17950" ht="12.75" hidden="1" customHeight="1" x14ac:dyDescent="0.2"/>
    <row r="17951" ht="12.75" hidden="1" customHeight="1" x14ac:dyDescent="0.2"/>
    <row r="17952" ht="12.75" hidden="1" customHeight="1" x14ac:dyDescent="0.2"/>
    <row r="17953" ht="12.75" hidden="1" customHeight="1" x14ac:dyDescent="0.2"/>
    <row r="17954" ht="12.75" hidden="1" customHeight="1" x14ac:dyDescent="0.2"/>
    <row r="17955" ht="12.75" hidden="1" customHeight="1" x14ac:dyDescent="0.2"/>
    <row r="17956" ht="12.75" hidden="1" customHeight="1" x14ac:dyDescent="0.2"/>
    <row r="17957" ht="12.75" hidden="1" customHeight="1" x14ac:dyDescent="0.2"/>
    <row r="17958" ht="12.75" hidden="1" customHeight="1" x14ac:dyDescent="0.2"/>
    <row r="17959" ht="12.75" hidden="1" customHeight="1" x14ac:dyDescent="0.2"/>
    <row r="17960" ht="12.75" hidden="1" customHeight="1" x14ac:dyDescent="0.2"/>
    <row r="17961" ht="12.75" hidden="1" customHeight="1" x14ac:dyDescent="0.2"/>
    <row r="17962" ht="12.75" hidden="1" customHeight="1" x14ac:dyDescent="0.2"/>
    <row r="17963" ht="12.75" hidden="1" customHeight="1" x14ac:dyDescent="0.2"/>
    <row r="17964" ht="12.75" hidden="1" customHeight="1" x14ac:dyDescent="0.2"/>
    <row r="17965" ht="12.75" hidden="1" customHeight="1" x14ac:dyDescent="0.2"/>
    <row r="17966" ht="12.75" hidden="1" customHeight="1" x14ac:dyDescent="0.2"/>
    <row r="17967" ht="12.75" hidden="1" customHeight="1" x14ac:dyDescent="0.2"/>
    <row r="17968" ht="12.75" hidden="1" customHeight="1" x14ac:dyDescent="0.2"/>
    <row r="17969" ht="12.75" hidden="1" customHeight="1" x14ac:dyDescent="0.2"/>
    <row r="17970" ht="12.75" hidden="1" customHeight="1" x14ac:dyDescent="0.2"/>
    <row r="17971" ht="12.75" hidden="1" customHeight="1" x14ac:dyDescent="0.2"/>
    <row r="17972" ht="12.75" hidden="1" customHeight="1" x14ac:dyDescent="0.2"/>
    <row r="17973" ht="12.75" hidden="1" customHeight="1" x14ac:dyDescent="0.2"/>
    <row r="17974" ht="12.75" hidden="1" customHeight="1" x14ac:dyDescent="0.2"/>
    <row r="17975" ht="12.75" hidden="1" customHeight="1" x14ac:dyDescent="0.2"/>
    <row r="17976" ht="12.75" hidden="1" customHeight="1" x14ac:dyDescent="0.2"/>
    <row r="17977" ht="12.75" hidden="1" customHeight="1" x14ac:dyDescent="0.2"/>
    <row r="17978" ht="12.75" hidden="1" customHeight="1" x14ac:dyDescent="0.2"/>
    <row r="17979" ht="12.75" hidden="1" customHeight="1" x14ac:dyDescent="0.2"/>
    <row r="17980" ht="12.75" hidden="1" customHeight="1" x14ac:dyDescent="0.2"/>
    <row r="17981" ht="12.75" hidden="1" customHeight="1" x14ac:dyDescent="0.2"/>
    <row r="17982" ht="12.75" hidden="1" customHeight="1" x14ac:dyDescent="0.2"/>
    <row r="17983" ht="12.75" hidden="1" customHeight="1" x14ac:dyDescent="0.2"/>
    <row r="17984" ht="12.75" hidden="1" customHeight="1" x14ac:dyDescent="0.2"/>
    <row r="17985" ht="12.75" hidden="1" customHeight="1" x14ac:dyDescent="0.2"/>
    <row r="17986" ht="12.75" hidden="1" customHeight="1" x14ac:dyDescent="0.2"/>
    <row r="17987" ht="12.75" hidden="1" customHeight="1" x14ac:dyDescent="0.2"/>
    <row r="17988" ht="12.75" hidden="1" customHeight="1" x14ac:dyDescent="0.2"/>
    <row r="17989" ht="12.75" hidden="1" customHeight="1" x14ac:dyDescent="0.2"/>
    <row r="17990" ht="12.75" hidden="1" customHeight="1" x14ac:dyDescent="0.2"/>
    <row r="17991" ht="12.75" hidden="1" customHeight="1" x14ac:dyDescent="0.2"/>
    <row r="17992" ht="12.75" hidden="1" customHeight="1" x14ac:dyDescent="0.2"/>
    <row r="17993" ht="12.75" hidden="1" customHeight="1" x14ac:dyDescent="0.2"/>
    <row r="17994" ht="12.75" hidden="1" customHeight="1" x14ac:dyDescent="0.2"/>
    <row r="17995" ht="12.75" hidden="1" customHeight="1" x14ac:dyDescent="0.2"/>
    <row r="17996" ht="12.75" hidden="1" customHeight="1" x14ac:dyDescent="0.2"/>
    <row r="17997" ht="12.75" hidden="1" customHeight="1" x14ac:dyDescent="0.2"/>
    <row r="17998" ht="12.75" hidden="1" customHeight="1" x14ac:dyDescent="0.2"/>
    <row r="17999" ht="12.75" hidden="1" customHeight="1" x14ac:dyDescent="0.2"/>
    <row r="18000" ht="12.75" hidden="1" customHeight="1" x14ac:dyDescent="0.2"/>
    <row r="18001" ht="12.75" hidden="1" customHeight="1" x14ac:dyDescent="0.2"/>
    <row r="18002" ht="12.75" hidden="1" customHeight="1" x14ac:dyDescent="0.2"/>
    <row r="18003" ht="12.75" hidden="1" customHeight="1" x14ac:dyDescent="0.2"/>
    <row r="18004" ht="12.75" hidden="1" customHeight="1" x14ac:dyDescent="0.2"/>
    <row r="18005" ht="12.75" hidden="1" customHeight="1" x14ac:dyDescent="0.2"/>
    <row r="18006" ht="12.75" hidden="1" customHeight="1" x14ac:dyDescent="0.2"/>
    <row r="18007" ht="12.75" hidden="1" customHeight="1" x14ac:dyDescent="0.2"/>
    <row r="18008" ht="12.75" hidden="1" customHeight="1" x14ac:dyDescent="0.2"/>
    <row r="18009" ht="12.75" hidden="1" customHeight="1" x14ac:dyDescent="0.2"/>
    <row r="18010" ht="12.75" hidden="1" customHeight="1" x14ac:dyDescent="0.2"/>
    <row r="18011" ht="12.75" hidden="1" customHeight="1" x14ac:dyDescent="0.2"/>
    <row r="18012" ht="12.75" hidden="1" customHeight="1" x14ac:dyDescent="0.2"/>
    <row r="18013" ht="12.75" hidden="1" customHeight="1" x14ac:dyDescent="0.2"/>
    <row r="18014" ht="12.75" hidden="1" customHeight="1" x14ac:dyDescent="0.2"/>
    <row r="18015" ht="12.75" hidden="1" customHeight="1" x14ac:dyDescent="0.2"/>
    <row r="18016" ht="12.75" hidden="1" customHeight="1" x14ac:dyDescent="0.2"/>
    <row r="18017" ht="12.75" hidden="1" customHeight="1" x14ac:dyDescent="0.2"/>
    <row r="18018" ht="12.75" hidden="1" customHeight="1" x14ac:dyDescent="0.2"/>
    <row r="18019" ht="12.75" hidden="1" customHeight="1" x14ac:dyDescent="0.2"/>
    <row r="18020" ht="12.75" hidden="1" customHeight="1" x14ac:dyDescent="0.2"/>
    <row r="18021" ht="12.75" hidden="1" customHeight="1" x14ac:dyDescent="0.2"/>
    <row r="18022" ht="12.75" hidden="1" customHeight="1" x14ac:dyDescent="0.2"/>
    <row r="18023" ht="12.75" hidden="1" customHeight="1" x14ac:dyDescent="0.2"/>
    <row r="18024" ht="12.75" hidden="1" customHeight="1" x14ac:dyDescent="0.2"/>
    <row r="18025" ht="12.75" hidden="1" customHeight="1" x14ac:dyDescent="0.2"/>
    <row r="18026" ht="12.75" hidden="1" customHeight="1" x14ac:dyDescent="0.2"/>
    <row r="18027" ht="12.75" hidden="1" customHeight="1" x14ac:dyDescent="0.2"/>
    <row r="18028" ht="12.75" hidden="1" customHeight="1" x14ac:dyDescent="0.2"/>
    <row r="18029" ht="12.75" hidden="1" customHeight="1" x14ac:dyDescent="0.2"/>
    <row r="18030" ht="12.75" hidden="1" customHeight="1" x14ac:dyDescent="0.2"/>
    <row r="18031" ht="12.75" hidden="1" customHeight="1" x14ac:dyDescent="0.2"/>
    <row r="18032" ht="12.75" hidden="1" customHeight="1" x14ac:dyDescent="0.2"/>
    <row r="18033" ht="12.75" hidden="1" customHeight="1" x14ac:dyDescent="0.2"/>
    <row r="18034" ht="12.75" hidden="1" customHeight="1" x14ac:dyDescent="0.2"/>
    <row r="18035" ht="12.75" hidden="1" customHeight="1" x14ac:dyDescent="0.2"/>
    <row r="18036" ht="12.75" hidden="1" customHeight="1" x14ac:dyDescent="0.2"/>
    <row r="18037" ht="12.75" hidden="1" customHeight="1" x14ac:dyDescent="0.2"/>
    <row r="18038" ht="12.75" hidden="1" customHeight="1" x14ac:dyDescent="0.2"/>
    <row r="18039" ht="12.75" hidden="1" customHeight="1" x14ac:dyDescent="0.2"/>
    <row r="18040" ht="12.75" hidden="1" customHeight="1" x14ac:dyDescent="0.2"/>
    <row r="18041" ht="12.75" hidden="1" customHeight="1" x14ac:dyDescent="0.2"/>
    <row r="18042" ht="12.75" hidden="1" customHeight="1" x14ac:dyDescent="0.2"/>
    <row r="18043" ht="12.75" hidden="1" customHeight="1" x14ac:dyDescent="0.2"/>
    <row r="18044" ht="12.75" hidden="1" customHeight="1" x14ac:dyDescent="0.2"/>
    <row r="18045" ht="12.75" hidden="1" customHeight="1" x14ac:dyDescent="0.2"/>
    <row r="18046" ht="12.75" hidden="1" customHeight="1" x14ac:dyDescent="0.2"/>
    <row r="18047" ht="12.75" hidden="1" customHeight="1" x14ac:dyDescent="0.2"/>
    <row r="18048" ht="12.75" hidden="1" customHeight="1" x14ac:dyDescent="0.2"/>
    <row r="18049" ht="12.75" hidden="1" customHeight="1" x14ac:dyDescent="0.2"/>
    <row r="18050" ht="12.75" hidden="1" customHeight="1" x14ac:dyDescent="0.2"/>
    <row r="18051" ht="12.75" hidden="1" customHeight="1" x14ac:dyDescent="0.2"/>
    <row r="18052" ht="12.75" hidden="1" customHeight="1" x14ac:dyDescent="0.2"/>
    <row r="18053" ht="12.75" hidden="1" customHeight="1" x14ac:dyDescent="0.2"/>
    <row r="18054" ht="12.75" hidden="1" customHeight="1" x14ac:dyDescent="0.2"/>
    <row r="18055" ht="12.75" hidden="1" customHeight="1" x14ac:dyDescent="0.2"/>
    <row r="18056" ht="12.75" hidden="1" customHeight="1" x14ac:dyDescent="0.2"/>
    <row r="18057" ht="12.75" hidden="1" customHeight="1" x14ac:dyDescent="0.2"/>
    <row r="18058" ht="12.75" hidden="1" customHeight="1" x14ac:dyDescent="0.2"/>
    <row r="18059" ht="12.75" hidden="1" customHeight="1" x14ac:dyDescent="0.2"/>
    <row r="18060" ht="12.75" hidden="1" customHeight="1" x14ac:dyDescent="0.2"/>
    <row r="18061" ht="12.75" hidden="1" customHeight="1" x14ac:dyDescent="0.2"/>
    <row r="18062" ht="12.75" hidden="1" customHeight="1" x14ac:dyDescent="0.2"/>
    <row r="18063" ht="12.75" hidden="1" customHeight="1" x14ac:dyDescent="0.2"/>
    <row r="18064" ht="12.75" hidden="1" customHeight="1" x14ac:dyDescent="0.2"/>
    <row r="18065" ht="12.75" hidden="1" customHeight="1" x14ac:dyDescent="0.2"/>
    <row r="18066" ht="12.75" hidden="1" customHeight="1" x14ac:dyDescent="0.2"/>
    <row r="18067" ht="12.75" hidden="1" customHeight="1" x14ac:dyDescent="0.2"/>
    <row r="18068" ht="12.75" hidden="1" customHeight="1" x14ac:dyDescent="0.2"/>
    <row r="18069" ht="12.75" hidden="1" customHeight="1" x14ac:dyDescent="0.2"/>
    <row r="18070" ht="12.75" hidden="1" customHeight="1" x14ac:dyDescent="0.2"/>
    <row r="18071" ht="12.75" hidden="1" customHeight="1" x14ac:dyDescent="0.2"/>
    <row r="18072" ht="12.75" hidden="1" customHeight="1" x14ac:dyDescent="0.2"/>
    <row r="18073" ht="12.75" hidden="1" customHeight="1" x14ac:dyDescent="0.2"/>
    <row r="18074" ht="12.75" hidden="1" customHeight="1" x14ac:dyDescent="0.2"/>
    <row r="18075" ht="12.75" hidden="1" customHeight="1" x14ac:dyDescent="0.2"/>
    <row r="18076" ht="12.75" hidden="1" customHeight="1" x14ac:dyDescent="0.2"/>
    <row r="18077" ht="12.75" hidden="1" customHeight="1" x14ac:dyDescent="0.2"/>
    <row r="18078" ht="12.75" hidden="1" customHeight="1" x14ac:dyDescent="0.2"/>
    <row r="18079" ht="12.75" hidden="1" customHeight="1" x14ac:dyDescent="0.2"/>
    <row r="18080" ht="12.75" hidden="1" customHeight="1" x14ac:dyDescent="0.2"/>
    <row r="18081" ht="12.75" hidden="1" customHeight="1" x14ac:dyDescent="0.2"/>
    <row r="18082" ht="12.75" hidden="1" customHeight="1" x14ac:dyDescent="0.2"/>
    <row r="18083" ht="12.75" hidden="1" customHeight="1" x14ac:dyDescent="0.2"/>
    <row r="18084" ht="12.75" hidden="1" customHeight="1" x14ac:dyDescent="0.2"/>
    <row r="18085" ht="12.75" hidden="1" customHeight="1" x14ac:dyDescent="0.2"/>
    <row r="18086" ht="12.75" hidden="1" customHeight="1" x14ac:dyDescent="0.2"/>
    <row r="18087" ht="12.75" hidden="1" customHeight="1" x14ac:dyDescent="0.2"/>
    <row r="18088" ht="12.75" hidden="1" customHeight="1" x14ac:dyDescent="0.2"/>
    <row r="18089" ht="12.75" hidden="1" customHeight="1" x14ac:dyDescent="0.2"/>
    <row r="18090" ht="12.75" hidden="1" customHeight="1" x14ac:dyDescent="0.2"/>
    <row r="18091" ht="12.75" hidden="1" customHeight="1" x14ac:dyDescent="0.2"/>
    <row r="18092" ht="12.75" hidden="1" customHeight="1" x14ac:dyDescent="0.2"/>
    <row r="18093" ht="12.75" hidden="1" customHeight="1" x14ac:dyDescent="0.2"/>
    <row r="18094" ht="12.75" hidden="1" customHeight="1" x14ac:dyDescent="0.2"/>
    <row r="18095" ht="12.75" hidden="1" customHeight="1" x14ac:dyDescent="0.2"/>
    <row r="18096" ht="12.75" hidden="1" customHeight="1" x14ac:dyDescent="0.2"/>
    <row r="18097" ht="12.75" hidden="1" customHeight="1" x14ac:dyDescent="0.2"/>
    <row r="18098" ht="12.75" hidden="1" customHeight="1" x14ac:dyDescent="0.2"/>
    <row r="18099" ht="12.75" hidden="1" customHeight="1" x14ac:dyDescent="0.2"/>
    <row r="18100" ht="12.75" hidden="1" customHeight="1" x14ac:dyDescent="0.2"/>
    <row r="18101" ht="12.75" hidden="1" customHeight="1" x14ac:dyDescent="0.2"/>
    <row r="18102" ht="12.75" hidden="1" customHeight="1" x14ac:dyDescent="0.2"/>
    <row r="18103" ht="12.75" hidden="1" customHeight="1" x14ac:dyDescent="0.2"/>
    <row r="18104" ht="12.75" hidden="1" customHeight="1" x14ac:dyDescent="0.2"/>
    <row r="18105" ht="12.75" hidden="1" customHeight="1" x14ac:dyDescent="0.2"/>
    <row r="18106" ht="12.75" hidden="1" customHeight="1" x14ac:dyDescent="0.2"/>
    <row r="18107" ht="12.75" hidden="1" customHeight="1" x14ac:dyDescent="0.2"/>
    <row r="18108" ht="12.75" hidden="1" customHeight="1" x14ac:dyDescent="0.2"/>
    <row r="18109" ht="12.75" hidden="1" customHeight="1" x14ac:dyDescent="0.2"/>
    <row r="18110" ht="12.75" hidden="1" customHeight="1" x14ac:dyDescent="0.2"/>
    <row r="18111" ht="12.75" hidden="1" customHeight="1" x14ac:dyDescent="0.2"/>
    <row r="18112" ht="12.75" hidden="1" customHeight="1" x14ac:dyDescent="0.2"/>
    <row r="18113" ht="12.75" hidden="1" customHeight="1" x14ac:dyDescent="0.2"/>
    <row r="18114" ht="12.75" hidden="1" customHeight="1" x14ac:dyDescent="0.2"/>
    <row r="18115" ht="12.75" hidden="1" customHeight="1" x14ac:dyDescent="0.2"/>
    <row r="18116" ht="12.75" hidden="1" customHeight="1" x14ac:dyDescent="0.2"/>
    <row r="18117" ht="12.75" hidden="1" customHeight="1" x14ac:dyDescent="0.2"/>
    <row r="18118" ht="12.75" hidden="1" customHeight="1" x14ac:dyDescent="0.2"/>
    <row r="18119" ht="12.75" hidden="1" customHeight="1" x14ac:dyDescent="0.2"/>
    <row r="18120" ht="12.75" hidden="1" customHeight="1" x14ac:dyDescent="0.2"/>
    <row r="18121" ht="12.75" hidden="1" customHeight="1" x14ac:dyDescent="0.2"/>
    <row r="18122" ht="12.75" hidden="1" customHeight="1" x14ac:dyDescent="0.2"/>
    <row r="18123" ht="12.75" hidden="1" customHeight="1" x14ac:dyDescent="0.2"/>
    <row r="18124" ht="12.75" hidden="1" customHeight="1" x14ac:dyDescent="0.2"/>
    <row r="18125" ht="12.75" hidden="1" customHeight="1" x14ac:dyDescent="0.2"/>
    <row r="18126" ht="12.75" hidden="1" customHeight="1" x14ac:dyDescent="0.2"/>
    <row r="18127" ht="12.75" hidden="1" customHeight="1" x14ac:dyDescent="0.2"/>
    <row r="18128" ht="12.75" hidden="1" customHeight="1" x14ac:dyDescent="0.2"/>
    <row r="18129" ht="12.75" hidden="1" customHeight="1" x14ac:dyDescent="0.2"/>
    <row r="18130" ht="12.75" hidden="1" customHeight="1" x14ac:dyDescent="0.2"/>
    <row r="18131" ht="12.75" hidden="1" customHeight="1" x14ac:dyDescent="0.2"/>
    <row r="18132" ht="12.75" hidden="1" customHeight="1" x14ac:dyDescent="0.2"/>
    <row r="18133" ht="12.75" hidden="1" customHeight="1" x14ac:dyDescent="0.2"/>
    <row r="18134" ht="12.75" hidden="1" customHeight="1" x14ac:dyDescent="0.2"/>
    <row r="18135" ht="12.75" hidden="1" customHeight="1" x14ac:dyDescent="0.2"/>
    <row r="18136" ht="12.75" hidden="1" customHeight="1" x14ac:dyDescent="0.2"/>
    <row r="18137" ht="12.75" hidden="1" customHeight="1" x14ac:dyDescent="0.2"/>
    <row r="18138" ht="12.75" hidden="1" customHeight="1" x14ac:dyDescent="0.2"/>
    <row r="18139" ht="12.75" hidden="1" customHeight="1" x14ac:dyDescent="0.2"/>
    <row r="18140" ht="12.75" hidden="1" customHeight="1" x14ac:dyDescent="0.2"/>
    <row r="18141" ht="12.75" hidden="1" customHeight="1" x14ac:dyDescent="0.2"/>
    <row r="18142" ht="12.75" hidden="1" customHeight="1" x14ac:dyDescent="0.2"/>
    <row r="18143" ht="12.75" hidden="1" customHeight="1" x14ac:dyDescent="0.2"/>
    <row r="18144" ht="12.75" hidden="1" customHeight="1" x14ac:dyDescent="0.2"/>
    <row r="18145" ht="12.75" hidden="1" customHeight="1" x14ac:dyDescent="0.2"/>
    <row r="18146" ht="12.75" hidden="1" customHeight="1" x14ac:dyDescent="0.2"/>
    <row r="18147" ht="12.75" hidden="1" customHeight="1" x14ac:dyDescent="0.2"/>
    <row r="18148" ht="12.75" hidden="1" customHeight="1" x14ac:dyDescent="0.2"/>
    <row r="18149" ht="12.75" hidden="1" customHeight="1" x14ac:dyDescent="0.2"/>
    <row r="18150" ht="12.75" hidden="1" customHeight="1" x14ac:dyDescent="0.2"/>
    <row r="18151" ht="12.75" hidden="1" customHeight="1" x14ac:dyDescent="0.2"/>
    <row r="18152" ht="12.75" hidden="1" customHeight="1" x14ac:dyDescent="0.2"/>
    <row r="18153" ht="12.75" hidden="1" customHeight="1" x14ac:dyDescent="0.2"/>
    <row r="18154" ht="12.75" hidden="1" customHeight="1" x14ac:dyDescent="0.2"/>
    <row r="18155" ht="12.75" hidden="1" customHeight="1" x14ac:dyDescent="0.2"/>
    <row r="18156" ht="12.75" hidden="1" customHeight="1" x14ac:dyDescent="0.2"/>
    <row r="18157" ht="12.75" hidden="1" customHeight="1" x14ac:dyDescent="0.2"/>
    <row r="18158" ht="12.75" hidden="1" customHeight="1" x14ac:dyDescent="0.2"/>
    <row r="18159" ht="12.75" hidden="1" customHeight="1" x14ac:dyDescent="0.2"/>
    <row r="18160" ht="12.75" hidden="1" customHeight="1" x14ac:dyDescent="0.2"/>
    <row r="18161" ht="12.75" hidden="1" customHeight="1" x14ac:dyDescent="0.2"/>
    <row r="18162" ht="12.75" hidden="1" customHeight="1" x14ac:dyDescent="0.2"/>
    <row r="18163" ht="12.75" hidden="1" customHeight="1" x14ac:dyDescent="0.2"/>
    <row r="18164" ht="12.75" hidden="1" customHeight="1" x14ac:dyDescent="0.2"/>
    <row r="18165" ht="12.75" hidden="1" customHeight="1" x14ac:dyDescent="0.2"/>
    <row r="18166" ht="12.75" hidden="1" customHeight="1" x14ac:dyDescent="0.2"/>
    <row r="18167" ht="12.75" hidden="1" customHeight="1" x14ac:dyDescent="0.2"/>
    <row r="18168" ht="12.75" hidden="1" customHeight="1" x14ac:dyDescent="0.2"/>
    <row r="18169" ht="12.75" hidden="1" customHeight="1" x14ac:dyDescent="0.2"/>
    <row r="18170" ht="12.75" hidden="1" customHeight="1" x14ac:dyDescent="0.2"/>
    <row r="18171" ht="12.75" hidden="1" customHeight="1" x14ac:dyDescent="0.2"/>
    <row r="18172" ht="12.75" hidden="1" customHeight="1" x14ac:dyDescent="0.2"/>
    <row r="18173" ht="12.75" hidden="1" customHeight="1" x14ac:dyDescent="0.2"/>
    <row r="18174" ht="12.75" hidden="1" customHeight="1" x14ac:dyDescent="0.2"/>
    <row r="18175" ht="12.75" hidden="1" customHeight="1" x14ac:dyDescent="0.2"/>
    <row r="18176" ht="12.75" hidden="1" customHeight="1" x14ac:dyDescent="0.2"/>
    <row r="18177" ht="12.75" hidden="1" customHeight="1" x14ac:dyDescent="0.2"/>
    <row r="18178" ht="12.75" hidden="1" customHeight="1" x14ac:dyDescent="0.2"/>
    <row r="18179" ht="12.75" hidden="1" customHeight="1" x14ac:dyDescent="0.2"/>
    <row r="18180" ht="12.75" hidden="1" customHeight="1" x14ac:dyDescent="0.2"/>
    <row r="18181" ht="12.75" hidden="1" customHeight="1" x14ac:dyDescent="0.2"/>
    <row r="18182" ht="12.75" hidden="1" customHeight="1" x14ac:dyDescent="0.2"/>
    <row r="18183" ht="12.75" hidden="1" customHeight="1" x14ac:dyDescent="0.2"/>
    <row r="18184" ht="12.75" hidden="1" customHeight="1" x14ac:dyDescent="0.2"/>
    <row r="18185" ht="12.75" hidden="1" customHeight="1" x14ac:dyDescent="0.2"/>
    <row r="18186" ht="12.75" hidden="1" customHeight="1" x14ac:dyDescent="0.2"/>
    <row r="18187" ht="12.75" hidden="1" customHeight="1" x14ac:dyDescent="0.2"/>
    <row r="18188" ht="12.75" hidden="1" customHeight="1" x14ac:dyDescent="0.2"/>
    <row r="18189" ht="12.75" hidden="1" customHeight="1" x14ac:dyDescent="0.2"/>
    <row r="18190" ht="12.75" hidden="1" customHeight="1" x14ac:dyDescent="0.2"/>
    <row r="18191" ht="12.75" hidden="1" customHeight="1" x14ac:dyDescent="0.2"/>
    <row r="18192" ht="12.75" hidden="1" customHeight="1" x14ac:dyDescent="0.2"/>
    <row r="18193" ht="12.75" hidden="1" customHeight="1" x14ac:dyDescent="0.2"/>
    <row r="18194" ht="12.75" hidden="1" customHeight="1" x14ac:dyDescent="0.2"/>
    <row r="18195" ht="12.75" hidden="1" customHeight="1" x14ac:dyDescent="0.2"/>
    <row r="18196" ht="12.75" hidden="1" customHeight="1" x14ac:dyDescent="0.2"/>
    <row r="18197" ht="12.75" hidden="1" customHeight="1" x14ac:dyDescent="0.2"/>
    <row r="18198" ht="12.75" hidden="1" customHeight="1" x14ac:dyDescent="0.2"/>
    <row r="18199" ht="12.75" hidden="1" customHeight="1" x14ac:dyDescent="0.2"/>
    <row r="18200" ht="12.75" hidden="1" customHeight="1" x14ac:dyDescent="0.2"/>
    <row r="18201" ht="12.75" hidden="1" customHeight="1" x14ac:dyDescent="0.2"/>
    <row r="18202" ht="12.75" hidden="1" customHeight="1" x14ac:dyDescent="0.2"/>
    <row r="18203" ht="12.75" hidden="1" customHeight="1" x14ac:dyDescent="0.2"/>
    <row r="18204" ht="12.75" hidden="1" customHeight="1" x14ac:dyDescent="0.2"/>
    <row r="18205" ht="12.75" hidden="1" customHeight="1" x14ac:dyDescent="0.2"/>
    <row r="18206" ht="12.75" hidden="1" customHeight="1" x14ac:dyDescent="0.2"/>
    <row r="18207" ht="12.75" hidden="1" customHeight="1" x14ac:dyDescent="0.2"/>
    <row r="18208" ht="12.75" hidden="1" customHeight="1" x14ac:dyDescent="0.2"/>
    <row r="18209" ht="12.75" hidden="1" customHeight="1" x14ac:dyDescent="0.2"/>
    <row r="18210" ht="12.75" hidden="1" customHeight="1" x14ac:dyDescent="0.2"/>
    <row r="18211" ht="12.75" hidden="1" customHeight="1" x14ac:dyDescent="0.2"/>
    <row r="18212" ht="12.75" hidden="1" customHeight="1" x14ac:dyDescent="0.2"/>
    <row r="18213" ht="12.75" hidden="1" customHeight="1" x14ac:dyDescent="0.2"/>
    <row r="18214" ht="12.75" hidden="1" customHeight="1" x14ac:dyDescent="0.2"/>
    <row r="18215" ht="12.75" hidden="1" customHeight="1" x14ac:dyDescent="0.2"/>
    <row r="18216" ht="12.75" hidden="1" customHeight="1" x14ac:dyDescent="0.2"/>
    <row r="18217" ht="12.75" hidden="1" customHeight="1" x14ac:dyDescent="0.2"/>
    <row r="18218" ht="12.75" hidden="1" customHeight="1" x14ac:dyDescent="0.2"/>
    <row r="18219" ht="12.75" hidden="1" customHeight="1" x14ac:dyDescent="0.2"/>
    <row r="18220" ht="12.75" hidden="1" customHeight="1" x14ac:dyDescent="0.2"/>
    <row r="18221" ht="12.75" hidden="1" customHeight="1" x14ac:dyDescent="0.2"/>
    <row r="18222" ht="12.75" hidden="1" customHeight="1" x14ac:dyDescent="0.2"/>
    <row r="18223" ht="12.75" hidden="1" customHeight="1" x14ac:dyDescent="0.2"/>
    <row r="18224" ht="12.75" hidden="1" customHeight="1" x14ac:dyDescent="0.2"/>
    <row r="18225" ht="12.75" hidden="1" customHeight="1" x14ac:dyDescent="0.2"/>
    <row r="18226" ht="12.75" hidden="1" customHeight="1" x14ac:dyDescent="0.2"/>
    <row r="18227" ht="12.75" hidden="1" customHeight="1" x14ac:dyDescent="0.2"/>
    <row r="18228" ht="12.75" hidden="1" customHeight="1" x14ac:dyDescent="0.2"/>
    <row r="18229" ht="12.75" hidden="1" customHeight="1" x14ac:dyDescent="0.2"/>
    <row r="18230" ht="12.75" hidden="1" customHeight="1" x14ac:dyDescent="0.2"/>
    <row r="18231" ht="12.75" hidden="1" customHeight="1" x14ac:dyDescent="0.2"/>
    <row r="18232" ht="12.75" hidden="1" customHeight="1" x14ac:dyDescent="0.2"/>
    <row r="18233" ht="12.75" hidden="1" customHeight="1" x14ac:dyDescent="0.2"/>
    <row r="18234" ht="12.75" hidden="1" customHeight="1" x14ac:dyDescent="0.2"/>
    <row r="18235" ht="12.75" hidden="1" customHeight="1" x14ac:dyDescent="0.2"/>
    <row r="18236" ht="12.75" hidden="1" customHeight="1" x14ac:dyDescent="0.2"/>
    <row r="18237" ht="12.75" hidden="1" customHeight="1" x14ac:dyDescent="0.2"/>
    <row r="18238" ht="12.75" hidden="1" customHeight="1" x14ac:dyDescent="0.2"/>
    <row r="18239" ht="12.75" hidden="1" customHeight="1" x14ac:dyDescent="0.2"/>
    <row r="18240" ht="12.75" hidden="1" customHeight="1" x14ac:dyDescent="0.2"/>
    <row r="18241" ht="12.75" hidden="1" customHeight="1" x14ac:dyDescent="0.2"/>
    <row r="18242" ht="12.75" hidden="1" customHeight="1" x14ac:dyDescent="0.2"/>
    <row r="18243" ht="12.75" hidden="1" customHeight="1" x14ac:dyDescent="0.2"/>
    <row r="18244" ht="12.75" hidden="1" customHeight="1" x14ac:dyDescent="0.2"/>
    <row r="18245" ht="12.75" hidden="1" customHeight="1" x14ac:dyDescent="0.2"/>
    <row r="18246" ht="12.75" hidden="1" customHeight="1" x14ac:dyDescent="0.2"/>
    <row r="18247" ht="12.75" hidden="1" customHeight="1" x14ac:dyDescent="0.2"/>
    <row r="18248" ht="12.75" hidden="1" customHeight="1" x14ac:dyDescent="0.2"/>
    <row r="18249" ht="12.75" hidden="1" customHeight="1" x14ac:dyDescent="0.2"/>
    <row r="18250" ht="12.75" hidden="1" customHeight="1" x14ac:dyDescent="0.2"/>
    <row r="18251" ht="12.75" hidden="1" customHeight="1" x14ac:dyDescent="0.2"/>
    <row r="18252" ht="12.75" hidden="1" customHeight="1" x14ac:dyDescent="0.2"/>
    <row r="18253" ht="12.75" hidden="1" customHeight="1" x14ac:dyDescent="0.2"/>
    <row r="18254" ht="12.75" hidden="1" customHeight="1" x14ac:dyDescent="0.2"/>
    <row r="18255" ht="12.75" hidden="1" customHeight="1" x14ac:dyDescent="0.2"/>
    <row r="18256" ht="12.75" hidden="1" customHeight="1" x14ac:dyDescent="0.2"/>
    <row r="18257" ht="12.75" hidden="1" customHeight="1" x14ac:dyDescent="0.2"/>
    <row r="18258" ht="12.75" hidden="1" customHeight="1" x14ac:dyDescent="0.2"/>
    <row r="18259" ht="12.75" hidden="1" customHeight="1" x14ac:dyDescent="0.2"/>
    <row r="18260" ht="12.75" hidden="1" customHeight="1" x14ac:dyDescent="0.2"/>
    <row r="18261" ht="12.75" hidden="1" customHeight="1" x14ac:dyDescent="0.2"/>
    <row r="18262" ht="12.75" hidden="1" customHeight="1" x14ac:dyDescent="0.2"/>
    <row r="18263" ht="12.75" hidden="1" customHeight="1" x14ac:dyDescent="0.2"/>
    <row r="18264" ht="12.75" hidden="1" customHeight="1" x14ac:dyDescent="0.2"/>
    <row r="18265" ht="12.75" hidden="1" customHeight="1" x14ac:dyDescent="0.2"/>
    <row r="18266" ht="12.75" hidden="1" customHeight="1" x14ac:dyDescent="0.2"/>
    <row r="18267" ht="12.75" hidden="1" customHeight="1" x14ac:dyDescent="0.2"/>
    <row r="18268" ht="12.75" hidden="1" customHeight="1" x14ac:dyDescent="0.2"/>
    <row r="18269" ht="12.75" hidden="1" customHeight="1" x14ac:dyDescent="0.2"/>
    <row r="18270" ht="12.75" hidden="1" customHeight="1" x14ac:dyDescent="0.2"/>
    <row r="18271" ht="12.75" hidden="1" customHeight="1" x14ac:dyDescent="0.2"/>
    <row r="18272" ht="12.75" hidden="1" customHeight="1" x14ac:dyDescent="0.2"/>
    <row r="18273" ht="12.75" hidden="1" customHeight="1" x14ac:dyDescent="0.2"/>
    <row r="18274" ht="12.75" hidden="1" customHeight="1" x14ac:dyDescent="0.2"/>
    <row r="18275" ht="12.75" hidden="1" customHeight="1" x14ac:dyDescent="0.2"/>
    <row r="18276" ht="12.75" hidden="1" customHeight="1" x14ac:dyDescent="0.2"/>
    <row r="18277" ht="12.75" hidden="1" customHeight="1" x14ac:dyDescent="0.2"/>
    <row r="18278" ht="12.75" hidden="1" customHeight="1" x14ac:dyDescent="0.2"/>
    <row r="18279" ht="12.75" hidden="1" customHeight="1" x14ac:dyDescent="0.2"/>
    <row r="18280" ht="12.75" hidden="1" customHeight="1" x14ac:dyDescent="0.2"/>
    <row r="18281" ht="12.75" hidden="1" customHeight="1" x14ac:dyDescent="0.2"/>
    <row r="18282" ht="12.75" hidden="1" customHeight="1" x14ac:dyDescent="0.2"/>
    <row r="18283" ht="12.75" hidden="1" customHeight="1" x14ac:dyDescent="0.2"/>
    <row r="18284" ht="12.75" hidden="1" customHeight="1" x14ac:dyDescent="0.2"/>
    <row r="18285" ht="12.75" hidden="1" customHeight="1" x14ac:dyDescent="0.2"/>
    <row r="18286" ht="12.75" hidden="1" customHeight="1" x14ac:dyDescent="0.2"/>
    <row r="18287" ht="12.75" hidden="1" customHeight="1" x14ac:dyDescent="0.2"/>
    <row r="18288" ht="12.75" hidden="1" customHeight="1" x14ac:dyDescent="0.2"/>
    <row r="18289" ht="12.75" hidden="1" customHeight="1" x14ac:dyDescent="0.2"/>
    <row r="18290" ht="12.75" hidden="1" customHeight="1" x14ac:dyDescent="0.2"/>
    <row r="18291" ht="12.75" hidden="1" customHeight="1" x14ac:dyDescent="0.2"/>
    <row r="18292" ht="12.75" hidden="1" customHeight="1" x14ac:dyDescent="0.2"/>
    <row r="18293" ht="12.75" hidden="1" customHeight="1" x14ac:dyDescent="0.2"/>
    <row r="18294" ht="12.75" hidden="1" customHeight="1" x14ac:dyDescent="0.2"/>
    <row r="18295" ht="12.75" hidden="1" customHeight="1" x14ac:dyDescent="0.2"/>
    <row r="18296" ht="12.75" hidden="1" customHeight="1" x14ac:dyDescent="0.2"/>
    <row r="18297" ht="12.75" hidden="1" customHeight="1" x14ac:dyDescent="0.2"/>
    <row r="18298" ht="12.75" hidden="1" customHeight="1" x14ac:dyDescent="0.2"/>
    <row r="18299" ht="12.75" hidden="1" customHeight="1" x14ac:dyDescent="0.2"/>
    <row r="18300" ht="12.75" hidden="1" customHeight="1" x14ac:dyDescent="0.2"/>
    <row r="18301" ht="12.75" hidden="1" customHeight="1" x14ac:dyDescent="0.2"/>
    <row r="18302" ht="12.75" hidden="1" customHeight="1" x14ac:dyDescent="0.2"/>
    <row r="18303" ht="12.75" hidden="1" customHeight="1" x14ac:dyDescent="0.2"/>
    <row r="18304" ht="12.75" hidden="1" customHeight="1" x14ac:dyDescent="0.2"/>
    <row r="18305" ht="12.75" hidden="1" customHeight="1" x14ac:dyDescent="0.2"/>
    <row r="18306" ht="12.75" hidden="1" customHeight="1" x14ac:dyDescent="0.2"/>
    <row r="18307" ht="12.75" hidden="1" customHeight="1" x14ac:dyDescent="0.2"/>
    <row r="18308" ht="12.75" hidden="1" customHeight="1" x14ac:dyDescent="0.2"/>
    <row r="18309" ht="12.75" hidden="1" customHeight="1" x14ac:dyDescent="0.2"/>
    <row r="18310" ht="12.75" hidden="1" customHeight="1" x14ac:dyDescent="0.2"/>
    <row r="18311" ht="12.75" hidden="1" customHeight="1" x14ac:dyDescent="0.2"/>
    <row r="18312" ht="12.75" hidden="1" customHeight="1" x14ac:dyDescent="0.2"/>
    <row r="18313" ht="12.75" hidden="1" customHeight="1" x14ac:dyDescent="0.2"/>
    <row r="18314" ht="12.75" hidden="1" customHeight="1" x14ac:dyDescent="0.2"/>
    <row r="18315" ht="12.75" hidden="1" customHeight="1" x14ac:dyDescent="0.2"/>
    <row r="18316" ht="12.75" hidden="1" customHeight="1" x14ac:dyDescent="0.2"/>
    <row r="18317" ht="12.75" hidden="1" customHeight="1" x14ac:dyDescent="0.2"/>
    <row r="18318" ht="12.75" hidden="1" customHeight="1" x14ac:dyDescent="0.2"/>
    <row r="18319" ht="12.75" hidden="1" customHeight="1" x14ac:dyDescent="0.2"/>
    <row r="18320" ht="12.75" hidden="1" customHeight="1" x14ac:dyDescent="0.2"/>
    <row r="18321" ht="12.75" hidden="1" customHeight="1" x14ac:dyDescent="0.2"/>
    <row r="18322" ht="12.75" hidden="1" customHeight="1" x14ac:dyDescent="0.2"/>
    <row r="18323" ht="12.75" hidden="1" customHeight="1" x14ac:dyDescent="0.2"/>
    <row r="18324" ht="12.75" hidden="1" customHeight="1" x14ac:dyDescent="0.2"/>
    <row r="18325" ht="12.75" hidden="1" customHeight="1" x14ac:dyDescent="0.2"/>
    <row r="18326" ht="12.75" hidden="1" customHeight="1" x14ac:dyDescent="0.2"/>
    <row r="18327" ht="12.75" hidden="1" customHeight="1" x14ac:dyDescent="0.2"/>
    <row r="18328" ht="12.75" hidden="1" customHeight="1" x14ac:dyDescent="0.2"/>
    <row r="18329" ht="12.75" hidden="1" customHeight="1" x14ac:dyDescent="0.2"/>
    <row r="18330" ht="12.75" hidden="1" customHeight="1" x14ac:dyDescent="0.2"/>
    <row r="18331" ht="12.75" hidden="1" customHeight="1" x14ac:dyDescent="0.2"/>
    <row r="18332" ht="12.75" hidden="1" customHeight="1" x14ac:dyDescent="0.2"/>
    <row r="18333" ht="12.75" hidden="1" customHeight="1" x14ac:dyDescent="0.2"/>
    <row r="18334" ht="12.75" hidden="1" customHeight="1" x14ac:dyDescent="0.2"/>
    <row r="18335" ht="12.75" hidden="1" customHeight="1" x14ac:dyDescent="0.2"/>
    <row r="18336" ht="12.75" hidden="1" customHeight="1" x14ac:dyDescent="0.2"/>
    <row r="18337" ht="12.75" hidden="1" customHeight="1" x14ac:dyDescent="0.2"/>
    <row r="18338" ht="12.75" hidden="1" customHeight="1" x14ac:dyDescent="0.2"/>
    <row r="18339" ht="12.75" hidden="1" customHeight="1" x14ac:dyDescent="0.2"/>
    <row r="18340" ht="12.75" hidden="1" customHeight="1" x14ac:dyDescent="0.2"/>
    <row r="18341" ht="12.75" hidden="1" customHeight="1" x14ac:dyDescent="0.2"/>
    <row r="18342" ht="12.75" hidden="1" customHeight="1" x14ac:dyDescent="0.2"/>
    <row r="18343" ht="12.75" hidden="1" customHeight="1" x14ac:dyDescent="0.2"/>
    <row r="18344" ht="12.75" hidden="1" customHeight="1" x14ac:dyDescent="0.2"/>
    <row r="18345" ht="12.75" hidden="1" customHeight="1" x14ac:dyDescent="0.2"/>
    <row r="18346" ht="12.75" hidden="1" customHeight="1" x14ac:dyDescent="0.2"/>
    <row r="18347" ht="12.75" hidden="1" customHeight="1" x14ac:dyDescent="0.2"/>
    <row r="18348" ht="12.75" hidden="1" customHeight="1" x14ac:dyDescent="0.2"/>
    <row r="18349" ht="12.75" hidden="1" customHeight="1" x14ac:dyDescent="0.2"/>
    <row r="18350" ht="12.75" hidden="1" customHeight="1" x14ac:dyDescent="0.2"/>
    <row r="18351" ht="12.75" hidden="1" customHeight="1" x14ac:dyDescent="0.2"/>
    <row r="18352" ht="12.75" hidden="1" customHeight="1" x14ac:dyDescent="0.2"/>
    <row r="18353" ht="12.75" hidden="1" customHeight="1" x14ac:dyDescent="0.2"/>
    <row r="18354" ht="12.75" hidden="1" customHeight="1" x14ac:dyDescent="0.2"/>
    <row r="18355" ht="12.75" hidden="1" customHeight="1" x14ac:dyDescent="0.2"/>
    <row r="18356" ht="12.75" hidden="1" customHeight="1" x14ac:dyDescent="0.2"/>
    <row r="18357" ht="12.75" hidden="1" customHeight="1" x14ac:dyDescent="0.2"/>
    <row r="18358" ht="12.75" hidden="1" customHeight="1" x14ac:dyDescent="0.2"/>
    <row r="18359" ht="12.75" hidden="1" customHeight="1" x14ac:dyDescent="0.2"/>
    <row r="18360" ht="12.75" hidden="1" customHeight="1" x14ac:dyDescent="0.2"/>
    <row r="18361" ht="12.75" hidden="1" customHeight="1" x14ac:dyDescent="0.2"/>
    <row r="18362" ht="12.75" hidden="1" customHeight="1" x14ac:dyDescent="0.2"/>
    <row r="18363" ht="12.75" hidden="1" customHeight="1" x14ac:dyDescent="0.2"/>
    <row r="18364" ht="12.75" hidden="1" customHeight="1" x14ac:dyDescent="0.2"/>
    <row r="18365" ht="12.75" hidden="1" customHeight="1" x14ac:dyDescent="0.2"/>
    <row r="18366" ht="12.75" hidden="1" customHeight="1" x14ac:dyDescent="0.2"/>
    <row r="18367" ht="12.75" hidden="1" customHeight="1" x14ac:dyDescent="0.2"/>
    <row r="18368" ht="12.75" hidden="1" customHeight="1" x14ac:dyDescent="0.2"/>
    <row r="18369" ht="12.75" hidden="1" customHeight="1" x14ac:dyDescent="0.2"/>
    <row r="18370" ht="12.75" hidden="1" customHeight="1" x14ac:dyDescent="0.2"/>
    <row r="18371" ht="12.75" hidden="1" customHeight="1" x14ac:dyDescent="0.2"/>
    <row r="18372" ht="12.75" hidden="1" customHeight="1" x14ac:dyDescent="0.2"/>
    <row r="18373" ht="12.75" hidden="1" customHeight="1" x14ac:dyDescent="0.2"/>
    <row r="18374" ht="12.75" hidden="1" customHeight="1" x14ac:dyDescent="0.2"/>
    <row r="18375" ht="12.75" hidden="1" customHeight="1" x14ac:dyDescent="0.2"/>
    <row r="18376" ht="12.75" hidden="1" customHeight="1" x14ac:dyDescent="0.2"/>
    <row r="18377" ht="12.75" hidden="1" customHeight="1" x14ac:dyDescent="0.2"/>
    <row r="18378" ht="12.75" hidden="1" customHeight="1" x14ac:dyDescent="0.2"/>
    <row r="18379" ht="12.75" hidden="1" customHeight="1" x14ac:dyDescent="0.2"/>
    <row r="18380" ht="12.75" hidden="1" customHeight="1" x14ac:dyDescent="0.2"/>
    <row r="18381" ht="12.75" hidden="1" customHeight="1" x14ac:dyDescent="0.2"/>
    <row r="18382" ht="12.75" hidden="1" customHeight="1" x14ac:dyDescent="0.2"/>
    <row r="18383" ht="12.75" hidden="1" customHeight="1" x14ac:dyDescent="0.2"/>
    <row r="18384" ht="12.75" hidden="1" customHeight="1" x14ac:dyDescent="0.2"/>
    <row r="18385" ht="12.75" hidden="1" customHeight="1" x14ac:dyDescent="0.2"/>
    <row r="18386" ht="12.75" hidden="1" customHeight="1" x14ac:dyDescent="0.2"/>
    <row r="18387" ht="12.75" hidden="1" customHeight="1" x14ac:dyDescent="0.2"/>
    <row r="18388" ht="12.75" hidden="1" customHeight="1" x14ac:dyDescent="0.2"/>
    <row r="18389" ht="12.75" hidden="1" customHeight="1" x14ac:dyDescent="0.2"/>
    <row r="18390" ht="12.75" hidden="1" customHeight="1" x14ac:dyDescent="0.2"/>
    <row r="18391" ht="12.75" hidden="1" customHeight="1" x14ac:dyDescent="0.2"/>
    <row r="18392" ht="12.75" hidden="1" customHeight="1" x14ac:dyDescent="0.2"/>
    <row r="18393" ht="12.75" hidden="1" customHeight="1" x14ac:dyDescent="0.2"/>
    <row r="18394" ht="12.75" hidden="1" customHeight="1" x14ac:dyDescent="0.2"/>
    <row r="18395" ht="12.75" hidden="1" customHeight="1" x14ac:dyDescent="0.2"/>
    <row r="18396" ht="12.75" hidden="1" customHeight="1" x14ac:dyDescent="0.2"/>
    <row r="18397" ht="12.75" hidden="1" customHeight="1" x14ac:dyDescent="0.2"/>
    <row r="18398" ht="12.75" hidden="1" customHeight="1" x14ac:dyDescent="0.2"/>
    <row r="18399" ht="12.75" hidden="1" customHeight="1" x14ac:dyDescent="0.2"/>
    <row r="18400" ht="12.75" hidden="1" customHeight="1" x14ac:dyDescent="0.2"/>
    <row r="18401" ht="12.75" hidden="1" customHeight="1" x14ac:dyDescent="0.2"/>
    <row r="18402" ht="12.75" hidden="1" customHeight="1" x14ac:dyDescent="0.2"/>
    <row r="18403" ht="12.75" hidden="1" customHeight="1" x14ac:dyDescent="0.2"/>
    <row r="18404" ht="12.75" hidden="1" customHeight="1" x14ac:dyDescent="0.2"/>
    <row r="18405" ht="12.75" hidden="1" customHeight="1" x14ac:dyDescent="0.2"/>
    <row r="18406" ht="12.75" hidden="1" customHeight="1" x14ac:dyDescent="0.2"/>
    <row r="18407" ht="12.75" hidden="1" customHeight="1" x14ac:dyDescent="0.2"/>
    <row r="18408" ht="12.75" hidden="1" customHeight="1" x14ac:dyDescent="0.2"/>
    <row r="18409" ht="12.75" hidden="1" customHeight="1" x14ac:dyDescent="0.2"/>
    <row r="18410" ht="12.75" hidden="1" customHeight="1" x14ac:dyDescent="0.2"/>
    <row r="18411" ht="12.75" hidden="1" customHeight="1" x14ac:dyDescent="0.2"/>
    <row r="18412" ht="12.75" hidden="1" customHeight="1" x14ac:dyDescent="0.2"/>
    <row r="18413" ht="12.75" hidden="1" customHeight="1" x14ac:dyDescent="0.2"/>
    <row r="18414" ht="12.75" hidden="1" customHeight="1" x14ac:dyDescent="0.2"/>
    <row r="18415" ht="12.75" hidden="1" customHeight="1" x14ac:dyDescent="0.2"/>
    <row r="18416" ht="12.75" hidden="1" customHeight="1" x14ac:dyDescent="0.2"/>
    <row r="18417" ht="12.75" hidden="1" customHeight="1" x14ac:dyDescent="0.2"/>
    <row r="18418" ht="12.75" hidden="1" customHeight="1" x14ac:dyDescent="0.2"/>
    <row r="18419" ht="12.75" hidden="1" customHeight="1" x14ac:dyDescent="0.2"/>
    <row r="18420" ht="12.75" hidden="1" customHeight="1" x14ac:dyDescent="0.2"/>
    <row r="18421" ht="12.75" hidden="1" customHeight="1" x14ac:dyDescent="0.2"/>
    <row r="18422" ht="12.75" hidden="1" customHeight="1" x14ac:dyDescent="0.2"/>
    <row r="18423" ht="12.75" hidden="1" customHeight="1" x14ac:dyDescent="0.2"/>
    <row r="18424" ht="12.75" hidden="1" customHeight="1" x14ac:dyDescent="0.2"/>
    <row r="18425" ht="12.75" hidden="1" customHeight="1" x14ac:dyDescent="0.2"/>
    <row r="18426" ht="12.75" hidden="1" customHeight="1" x14ac:dyDescent="0.2"/>
    <row r="18427" ht="12.75" hidden="1" customHeight="1" x14ac:dyDescent="0.2"/>
    <row r="18428" ht="12.75" hidden="1" customHeight="1" x14ac:dyDescent="0.2"/>
    <row r="18429" ht="12.75" hidden="1" customHeight="1" x14ac:dyDescent="0.2"/>
    <row r="18430" ht="12.75" hidden="1" customHeight="1" x14ac:dyDescent="0.2"/>
    <row r="18431" ht="12.75" hidden="1" customHeight="1" x14ac:dyDescent="0.2"/>
    <row r="18432" ht="12.75" hidden="1" customHeight="1" x14ac:dyDescent="0.2"/>
    <row r="18433" ht="12.75" hidden="1" customHeight="1" x14ac:dyDescent="0.2"/>
    <row r="18434" ht="12.75" hidden="1" customHeight="1" x14ac:dyDescent="0.2"/>
    <row r="18435" ht="12.75" hidden="1" customHeight="1" x14ac:dyDescent="0.2"/>
    <row r="18436" ht="12.75" hidden="1" customHeight="1" x14ac:dyDescent="0.2"/>
    <row r="18437" ht="12.75" hidden="1" customHeight="1" x14ac:dyDescent="0.2"/>
    <row r="18438" ht="12.75" hidden="1" customHeight="1" x14ac:dyDescent="0.2"/>
    <row r="18439" ht="12.75" hidden="1" customHeight="1" x14ac:dyDescent="0.2"/>
    <row r="18440" ht="12.75" hidden="1" customHeight="1" x14ac:dyDescent="0.2"/>
    <row r="18441" ht="12.75" hidden="1" customHeight="1" x14ac:dyDescent="0.2"/>
    <row r="18442" ht="12.75" hidden="1" customHeight="1" x14ac:dyDescent="0.2"/>
    <row r="18443" ht="12.75" hidden="1" customHeight="1" x14ac:dyDescent="0.2"/>
    <row r="18444" ht="12.75" hidden="1" customHeight="1" x14ac:dyDescent="0.2"/>
    <row r="18445" ht="12.75" hidden="1" customHeight="1" x14ac:dyDescent="0.2"/>
    <row r="18446" ht="12.75" hidden="1" customHeight="1" x14ac:dyDescent="0.2"/>
    <row r="18447" ht="12.75" hidden="1" customHeight="1" x14ac:dyDescent="0.2"/>
    <row r="18448" ht="12.75" hidden="1" customHeight="1" x14ac:dyDescent="0.2"/>
    <row r="18449" ht="12.75" hidden="1" customHeight="1" x14ac:dyDescent="0.2"/>
    <row r="18450" ht="12.75" hidden="1" customHeight="1" x14ac:dyDescent="0.2"/>
    <row r="18451" ht="12.75" hidden="1" customHeight="1" x14ac:dyDescent="0.2"/>
    <row r="18452" ht="12.75" hidden="1" customHeight="1" x14ac:dyDescent="0.2"/>
    <row r="18453" ht="12.75" hidden="1" customHeight="1" x14ac:dyDescent="0.2"/>
    <row r="18454" ht="12.75" hidden="1" customHeight="1" x14ac:dyDescent="0.2"/>
    <row r="18455" ht="12.75" hidden="1" customHeight="1" x14ac:dyDescent="0.2"/>
    <row r="18456" ht="12.75" hidden="1" customHeight="1" x14ac:dyDescent="0.2"/>
    <row r="18457" ht="12.75" hidden="1" customHeight="1" x14ac:dyDescent="0.2"/>
    <row r="18458" ht="12.75" hidden="1" customHeight="1" x14ac:dyDescent="0.2"/>
    <row r="18459" ht="12.75" hidden="1" customHeight="1" x14ac:dyDescent="0.2"/>
    <row r="18460" ht="12.75" hidden="1" customHeight="1" x14ac:dyDescent="0.2"/>
    <row r="18461" ht="12.75" hidden="1" customHeight="1" x14ac:dyDescent="0.2"/>
    <row r="18462" ht="12.75" hidden="1" customHeight="1" x14ac:dyDescent="0.2"/>
    <row r="18463" ht="12.75" hidden="1" customHeight="1" x14ac:dyDescent="0.2"/>
    <row r="18464" ht="12.75" hidden="1" customHeight="1" x14ac:dyDescent="0.2"/>
    <row r="18465" ht="12.75" hidden="1" customHeight="1" x14ac:dyDescent="0.2"/>
    <row r="18466" ht="12.75" hidden="1" customHeight="1" x14ac:dyDescent="0.2"/>
    <row r="18467" ht="12.75" hidden="1" customHeight="1" x14ac:dyDescent="0.2"/>
    <row r="18468" ht="12.75" hidden="1" customHeight="1" x14ac:dyDescent="0.2"/>
    <row r="18469" ht="12.75" hidden="1" customHeight="1" x14ac:dyDescent="0.2"/>
    <row r="18470" ht="12.75" hidden="1" customHeight="1" x14ac:dyDescent="0.2"/>
    <row r="18471" ht="12.75" hidden="1" customHeight="1" x14ac:dyDescent="0.2"/>
    <row r="18472" ht="12.75" hidden="1" customHeight="1" x14ac:dyDescent="0.2"/>
    <row r="18473" ht="12.75" hidden="1" customHeight="1" x14ac:dyDescent="0.2"/>
    <row r="18474" ht="12.75" hidden="1" customHeight="1" x14ac:dyDescent="0.2"/>
    <row r="18475" ht="12.75" hidden="1" customHeight="1" x14ac:dyDescent="0.2"/>
    <row r="18476" ht="12.75" hidden="1" customHeight="1" x14ac:dyDescent="0.2"/>
    <row r="18477" ht="12.75" hidden="1" customHeight="1" x14ac:dyDescent="0.2"/>
    <row r="18478" ht="12.75" hidden="1" customHeight="1" x14ac:dyDescent="0.2"/>
    <row r="18479" ht="12.75" hidden="1" customHeight="1" x14ac:dyDescent="0.2"/>
    <row r="18480" ht="12.75" hidden="1" customHeight="1" x14ac:dyDescent="0.2"/>
    <row r="18481" ht="12.75" hidden="1" customHeight="1" x14ac:dyDescent="0.2"/>
    <row r="18482" ht="12.75" hidden="1" customHeight="1" x14ac:dyDescent="0.2"/>
    <row r="18483" ht="12.75" hidden="1" customHeight="1" x14ac:dyDescent="0.2"/>
    <row r="18484" ht="12.75" hidden="1" customHeight="1" x14ac:dyDescent="0.2"/>
    <row r="18485" ht="12.75" hidden="1" customHeight="1" x14ac:dyDescent="0.2"/>
    <row r="18486" ht="12.75" hidden="1" customHeight="1" x14ac:dyDescent="0.2"/>
    <row r="18487" ht="12.75" hidden="1" customHeight="1" x14ac:dyDescent="0.2"/>
    <row r="18488" ht="12.75" hidden="1" customHeight="1" x14ac:dyDescent="0.2"/>
    <row r="18489" ht="12.75" hidden="1" customHeight="1" x14ac:dyDescent="0.2"/>
    <row r="18490" ht="12.75" hidden="1" customHeight="1" x14ac:dyDescent="0.2"/>
    <row r="18491" ht="12.75" hidden="1" customHeight="1" x14ac:dyDescent="0.2"/>
    <row r="18492" ht="12.75" hidden="1" customHeight="1" x14ac:dyDescent="0.2"/>
    <row r="18493" ht="12.75" hidden="1" customHeight="1" x14ac:dyDescent="0.2"/>
    <row r="18494" ht="12.75" hidden="1" customHeight="1" x14ac:dyDescent="0.2"/>
    <row r="18495" ht="12.75" hidden="1" customHeight="1" x14ac:dyDescent="0.2"/>
    <row r="18496" ht="12.75" hidden="1" customHeight="1" x14ac:dyDescent="0.2"/>
    <row r="18497" ht="12.75" hidden="1" customHeight="1" x14ac:dyDescent="0.2"/>
    <row r="18498" ht="12.75" hidden="1" customHeight="1" x14ac:dyDescent="0.2"/>
    <row r="18499" ht="12.75" hidden="1" customHeight="1" x14ac:dyDescent="0.2"/>
    <row r="18500" ht="12.75" hidden="1" customHeight="1" x14ac:dyDescent="0.2"/>
    <row r="18501" ht="12.75" hidden="1" customHeight="1" x14ac:dyDescent="0.2"/>
    <row r="18502" ht="12.75" hidden="1" customHeight="1" x14ac:dyDescent="0.2"/>
    <row r="18503" ht="12.75" hidden="1" customHeight="1" x14ac:dyDescent="0.2"/>
    <row r="18504" ht="12.75" hidden="1" customHeight="1" x14ac:dyDescent="0.2"/>
    <row r="18505" ht="12.75" hidden="1" customHeight="1" x14ac:dyDescent="0.2"/>
    <row r="18506" ht="12.75" hidden="1" customHeight="1" x14ac:dyDescent="0.2"/>
    <row r="18507" ht="12.75" hidden="1" customHeight="1" x14ac:dyDescent="0.2"/>
    <row r="18508" ht="12.75" hidden="1" customHeight="1" x14ac:dyDescent="0.2"/>
    <row r="18509" ht="12.75" hidden="1" customHeight="1" x14ac:dyDescent="0.2"/>
    <row r="18510" ht="12.75" hidden="1" customHeight="1" x14ac:dyDescent="0.2"/>
    <row r="18511" ht="12.75" hidden="1" customHeight="1" x14ac:dyDescent="0.2"/>
    <row r="18512" ht="12.75" hidden="1" customHeight="1" x14ac:dyDescent="0.2"/>
    <row r="18513" ht="12.75" hidden="1" customHeight="1" x14ac:dyDescent="0.2"/>
    <row r="18514" ht="12.75" hidden="1" customHeight="1" x14ac:dyDescent="0.2"/>
    <row r="18515" ht="12.75" hidden="1" customHeight="1" x14ac:dyDescent="0.2"/>
    <row r="18516" ht="12.75" hidden="1" customHeight="1" x14ac:dyDescent="0.2"/>
    <row r="18517" ht="12.75" hidden="1" customHeight="1" x14ac:dyDescent="0.2"/>
    <row r="18518" ht="12.75" hidden="1" customHeight="1" x14ac:dyDescent="0.2"/>
    <row r="18519" ht="12.75" hidden="1" customHeight="1" x14ac:dyDescent="0.2"/>
    <row r="18520" ht="12.75" hidden="1" customHeight="1" x14ac:dyDescent="0.2"/>
    <row r="18521" ht="12.75" hidden="1" customHeight="1" x14ac:dyDescent="0.2"/>
    <row r="18522" ht="12.75" hidden="1" customHeight="1" x14ac:dyDescent="0.2"/>
    <row r="18523" ht="12.75" hidden="1" customHeight="1" x14ac:dyDescent="0.2"/>
    <row r="18524" ht="12.75" hidden="1" customHeight="1" x14ac:dyDescent="0.2"/>
    <row r="18525" ht="12.75" hidden="1" customHeight="1" x14ac:dyDescent="0.2"/>
    <row r="18526" ht="12.75" hidden="1" customHeight="1" x14ac:dyDescent="0.2"/>
    <row r="18527" ht="12.75" hidden="1" customHeight="1" x14ac:dyDescent="0.2"/>
    <row r="18528" ht="12.75" hidden="1" customHeight="1" x14ac:dyDescent="0.2"/>
    <row r="18529" ht="12.75" hidden="1" customHeight="1" x14ac:dyDescent="0.2"/>
    <row r="18530" ht="12.75" hidden="1" customHeight="1" x14ac:dyDescent="0.2"/>
    <row r="18531" ht="12.75" hidden="1" customHeight="1" x14ac:dyDescent="0.2"/>
    <row r="18532" ht="12.75" hidden="1" customHeight="1" x14ac:dyDescent="0.2"/>
    <row r="18533" ht="12.75" hidden="1" customHeight="1" x14ac:dyDescent="0.2"/>
    <row r="18534" ht="12.75" hidden="1" customHeight="1" x14ac:dyDescent="0.2"/>
    <row r="18535" ht="12.75" hidden="1" customHeight="1" x14ac:dyDescent="0.2"/>
    <row r="18536" ht="12.75" hidden="1" customHeight="1" x14ac:dyDescent="0.2"/>
    <row r="18537" ht="12.75" hidden="1" customHeight="1" x14ac:dyDescent="0.2"/>
    <row r="18538" ht="12.75" hidden="1" customHeight="1" x14ac:dyDescent="0.2"/>
    <row r="18539" ht="12.75" hidden="1" customHeight="1" x14ac:dyDescent="0.2"/>
    <row r="18540" ht="12.75" hidden="1" customHeight="1" x14ac:dyDescent="0.2"/>
    <row r="18541" ht="12.75" hidden="1" customHeight="1" x14ac:dyDescent="0.2"/>
    <row r="18542" ht="12.75" hidden="1" customHeight="1" x14ac:dyDescent="0.2"/>
    <row r="18543" ht="12.75" hidden="1" customHeight="1" x14ac:dyDescent="0.2"/>
    <row r="18544" ht="12.75" hidden="1" customHeight="1" x14ac:dyDescent="0.2"/>
    <row r="18545" ht="12.75" hidden="1" customHeight="1" x14ac:dyDescent="0.2"/>
    <row r="18546" ht="12.75" hidden="1" customHeight="1" x14ac:dyDescent="0.2"/>
    <row r="18547" ht="12.75" hidden="1" customHeight="1" x14ac:dyDescent="0.2"/>
    <row r="18548" ht="12.75" hidden="1" customHeight="1" x14ac:dyDescent="0.2"/>
    <row r="18549" ht="12.75" hidden="1" customHeight="1" x14ac:dyDescent="0.2"/>
    <row r="18550" ht="12.75" hidden="1" customHeight="1" x14ac:dyDescent="0.2"/>
    <row r="18551" ht="12.75" hidden="1" customHeight="1" x14ac:dyDescent="0.2"/>
    <row r="18552" ht="12.75" hidden="1" customHeight="1" x14ac:dyDescent="0.2"/>
    <row r="18553" ht="12.75" hidden="1" customHeight="1" x14ac:dyDescent="0.2"/>
    <row r="18554" ht="12.75" hidden="1" customHeight="1" x14ac:dyDescent="0.2"/>
    <row r="18555" ht="12.75" hidden="1" customHeight="1" x14ac:dyDescent="0.2"/>
    <row r="18556" ht="12.75" hidden="1" customHeight="1" x14ac:dyDescent="0.2"/>
    <row r="18557" ht="12.75" hidden="1" customHeight="1" x14ac:dyDescent="0.2"/>
    <row r="18558" ht="12.75" hidden="1" customHeight="1" x14ac:dyDescent="0.2"/>
    <row r="18559" ht="12.75" hidden="1" customHeight="1" x14ac:dyDescent="0.2"/>
    <row r="18560" ht="12.75" hidden="1" customHeight="1" x14ac:dyDescent="0.2"/>
    <row r="18561" ht="12.75" hidden="1" customHeight="1" x14ac:dyDescent="0.2"/>
    <row r="18562" ht="12.75" hidden="1" customHeight="1" x14ac:dyDescent="0.2"/>
    <row r="18563" ht="12.75" hidden="1" customHeight="1" x14ac:dyDescent="0.2"/>
    <row r="18564" ht="12.75" hidden="1" customHeight="1" x14ac:dyDescent="0.2"/>
    <row r="18565" ht="12.75" hidden="1" customHeight="1" x14ac:dyDescent="0.2"/>
    <row r="18566" ht="12.75" hidden="1" customHeight="1" x14ac:dyDescent="0.2"/>
    <row r="18567" ht="12.75" hidden="1" customHeight="1" x14ac:dyDescent="0.2"/>
    <row r="18568" ht="12.75" hidden="1" customHeight="1" x14ac:dyDescent="0.2"/>
    <row r="18569" ht="12.75" hidden="1" customHeight="1" x14ac:dyDescent="0.2"/>
    <row r="18570" ht="12.75" hidden="1" customHeight="1" x14ac:dyDescent="0.2"/>
    <row r="18571" ht="12.75" hidden="1" customHeight="1" x14ac:dyDescent="0.2"/>
    <row r="18572" ht="12.75" hidden="1" customHeight="1" x14ac:dyDescent="0.2"/>
    <row r="18573" ht="12.75" hidden="1" customHeight="1" x14ac:dyDescent="0.2"/>
    <row r="18574" ht="12.75" hidden="1" customHeight="1" x14ac:dyDescent="0.2"/>
    <row r="18575" ht="12.75" hidden="1" customHeight="1" x14ac:dyDescent="0.2"/>
    <row r="18576" ht="12.75" hidden="1" customHeight="1" x14ac:dyDescent="0.2"/>
    <row r="18577" ht="12.75" hidden="1" customHeight="1" x14ac:dyDescent="0.2"/>
    <row r="18578" ht="12.75" hidden="1" customHeight="1" x14ac:dyDescent="0.2"/>
    <row r="18579" ht="12.75" hidden="1" customHeight="1" x14ac:dyDescent="0.2"/>
    <row r="18580" ht="12.75" hidden="1" customHeight="1" x14ac:dyDescent="0.2"/>
    <row r="18581" ht="12.75" hidden="1" customHeight="1" x14ac:dyDescent="0.2"/>
    <row r="18582" ht="12.75" hidden="1" customHeight="1" x14ac:dyDescent="0.2"/>
    <row r="18583" ht="12.75" hidden="1" customHeight="1" x14ac:dyDescent="0.2"/>
    <row r="18584" ht="12.75" hidden="1" customHeight="1" x14ac:dyDescent="0.2"/>
    <row r="18585" ht="12.75" hidden="1" customHeight="1" x14ac:dyDescent="0.2"/>
    <row r="18586" ht="12.75" hidden="1" customHeight="1" x14ac:dyDescent="0.2"/>
    <row r="18587" ht="12.75" hidden="1" customHeight="1" x14ac:dyDescent="0.2"/>
    <row r="18588" ht="12.75" hidden="1" customHeight="1" x14ac:dyDescent="0.2"/>
    <row r="18589" ht="12.75" hidden="1" customHeight="1" x14ac:dyDescent="0.2"/>
    <row r="18590" ht="12.75" hidden="1" customHeight="1" x14ac:dyDescent="0.2"/>
    <row r="18591" ht="12.75" hidden="1" customHeight="1" x14ac:dyDescent="0.2"/>
    <row r="18592" ht="12.75" hidden="1" customHeight="1" x14ac:dyDescent="0.2"/>
    <row r="18593" ht="12.75" hidden="1" customHeight="1" x14ac:dyDescent="0.2"/>
    <row r="18594" ht="12.75" hidden="1" customHeight="1" x14ac:dyDescent="0.2"/>
    <row r="18595" ht="12.75" hidden="1" customHeight="1" x14ac:dyDescent="0.2"/>
    <row r="18596" ht="12.75" hidden="1" customHeight="1" x14ac:dyDescent="0.2"/>
    <row r="18597" ht="12.75" hidden="1" customHeight="1" x14ac:dyDescent="0.2"/>
    <row r="18598" ht="12.75" hidden="1" customHeight="1" x14ac:dyDescent="0.2"/>
    <row r="18599" ht="12.75" hidden="1" customHeight="1" x14ac:dyDescent="0.2"/>
    <row r="18600" ht="12.75" hidden="1" customHeight="1" x14ac:dyDescent="0.2"/>
    <row r="18601" ht="12.75" hidden="1" customHeight="1" x14ac:dyDescent="0.2"/>
    <row r="18602" ht="12.75" hidden="1" customHeight="1" x14ac:dyDescent="0.2"/>
    <row r="18603" ht="12.75" hidden="1" customHeight="1" x14ac:dyDescent="0.2"/>
    <row r="18604" ht="12.75" hidden="1" customHeight="1" x14ac:dyDescent="0.2"/>
    <row r="18605" ht="12.75" hidden="1" customHeight="1" x14ac:dyDescent="0.2"/>
    <row r="18606" ht="12.75" hidden="1" customHeight="1" x14ac:dyDescent="0.2"/>
    <row r="18607" ht="12.75" hidden="1" customHeight="1" x14ac:dyDescent="0.2"/>
    <row r="18608" ht="12.75" hidden="1" customHeight="1" x14ac:dyDescent="0.2"/>
    <row r="18609" ht="12.75" hidden="1" customHeight="1" x14ac:dyDescent="0.2"/>
    <row r="18610" ht="12.75" hidden="1" customHeight="1" x14ac:dyDescent="0.2"/>
    <row r="18611" ht="12.75" hidden="1" customHeight="1" x14ac:dyDescent="0.2"/>
    <row r="18612" ht="12.75" hidden="1" customHeight="1" x14ac:dyDescent="0.2"/>
    <row r="18613" ht="12.75" hidden="1" customHeight="1" x14ac:dyDescent="0.2"/>
    <row r="18614" ht="12.75" hidden="1" customHeight="1" x14ac:dyDescent="0.2"/>
    <row r="18615" ht="12.75" hidden="1" customHeight="1" x14ac:dyDescent="0.2"/>
    <row r="18616" ht="12.75" hidden="1" customHeight="1" x14ac:dyDescent="0.2"/>
    <row r="18617" ht="12.75" hidden="1" customHeight="1" x14ac:dyDescent="0.2"/>
    <row r="18618" ht="12.75" hidden="1" customHeight="1" x14ac:dyDescent="0.2"/>
    <row r="18619" ht="12.75" hidden="1" customHeight="1" x14ac:dyDescent="0.2"/>
    <row r="18620" ht="12.75" hidden="1" customHeight="1" x14ac:dyDescent="0.2"/>
    <row r="18621" ht="12.75" hidden="1" customHeight="1" x14ac:dyDescent="0.2"/>
    <row r="18622" ht="12.75" hidden="1" customHeight="1" x14ac:dyDescent="0.2"/>
    <row r="18623" ht="12.75" hidden="1" customHeight="1" x14ac:dyDescent="0.2"/>
    <row r="18624" ht="12.75" hidden="1" customHeight="1" x14ac:dyDescent="0.2"/>
    <row r="18625" ht="12.75" hidden="1" customHeight="1" x14ac:dyDescent="0.2"/>
    <row r="18626" ht="12.75" hidden="1" customHeight="1" x14ac:dyDescent="0.2"/>
    <row r="18627" ht="12.75" hidden="1" customHeight="1" x14ac:dyDescent="0.2"/>
    <row r="18628" ht="12.75" hidden="1" customHeight="1" x14ac:dyDescent="0.2"/>
    <row r="18629" ht="12.75" hidden="1" customHeight="1" x14ac:dyDescent="0.2"/>
    <row r="18630" ht="12.75" hidden="1" customHeight="1" x14ac:dyDescent="0.2"/>
    <row r="18631" ht="12.75" hidden="1" customHeight="1" x14ac:dyDescent="0.2"/>
    <row r="18632" ht="12.75" hidden="1" customHeight="1" x14ac:dyDescent="0.2"/>
    <row r="18633" ht="12.75" hidden="1" customHeight="1" x14ac:dyDescent="0.2"/>
    <row r="18634" ht="12.75" hidden="1" customHeight="1" x14ac:dyDescent="0.2"/>
    <row r="18635" ht="12.75" hidden="1" customHeight="1" x14ac:dyDescent="0.2"/>
    <row r="18636" ht="12.75" hidden="1" customHeight="1" x14ac:dyDescent="0.2"/>
    <row r="18637" ht="12.75" hidden="1" customHeight="1" x14ac:dyDescent="0.2"/>
    <row r="18638" ht="12.75" hidden="1" customHeight="1" x14ac:dyDescent="0.2"/>
    <row r="18639" ht="12.75" hidden="1" customHeight="1" x14ac:dyDescent="0.2"/>
    <row r="18640" ht="12.75" hidden="1" customHeight="1" x14ac:dyDescent="0.2"/>
    <row r="18641" ht="12.75" hidden="1" customHeight="1" x14ac:dyDescent="0.2"/>
    <row r="18642" ht="12.75" hidden="1" customHeight="1" x14ac:dyDescent="0.2"/>
    <row r="18643" ht="12.75" hidden="1" customHeight="1" x14ac:dyDescent="0.2"/>
    <row r="18644" ht="12.75" hidden="1" customHeight="1" x14ac:dyDescent="0.2"/>
    <row r="18645" ht="12.75" hidden="1" customHeight="1" x14ac:dyDescent="0.2"/>
    <row r="18646" ht="12.75" hidden="1" customHeight="1" x14ac:dyDescent="0.2"/>
    <row r="18647" ht="12.75" hidden="1" customHeight="1" x14ac:dyDescent="0.2"/>
    <row r="18648" ht="12.75" hidden="1" customHeight="1" x14ac:dyDescent="0.2"/>
    <row r="18649" ht="12.75" hidden="1" customHeight="1" x14ac:dyDescent="0.2"/>
    <row r="18650" ht="12.75" hidden="1" customHeight="1" x14ac:dyDescent="0.2"/>
    <row r="18651" ht="12.75" hidden="1" customHeight="1" x14ac:dyDescent="0.2"/>
    <row r="18652" ht="12.75" hidden="1" customHeight="1" x14ac:dyDescent="0.2"/>
    <row r="18653" ht="12.75" hidden="1" customHeight="1" x14ac:dyDescent="0.2"/>
    <row r="18654" ht="12.75" hidden="1" customHeight="1" x14ac:dyDescent="0.2"/>
    <row r="18655" ht="12.75" hidden="1" customHeight="1" x14ac:dyDescent="0.2"/>
    <row r="18656" ht="12.75" hidden="1" customHeight="1" x14ac:dyDescent="0.2"/>
    <row r="18657" ht="12.75" hidden="1" customHeight="1" x14ac:dyDescent="0.2"/>
    <row r="18658" ht="12.75" hidden="1" customHeight="1" x14ac:dyDescent="0.2"/>
    <row r="18659" ht="12.75" hidden="1" customHeight="1" x14ac:dyDescent="0.2"/>
    <row r="18660" ht="12.75" hidden="1" customHeight="1" x14ac:dyDescent="0.2"/>
    <row r="18661" ht="12.75" hidden="1" customHeight="1" x14ac:dyDescent="0.2"/>
    <row r="18662" ht="12.75" hidden="1" customHeight="1" x14ac:dyDescent="0.2"/>
    <row r="18663" ht="12.75" hidden="1" customHeight="1" x14ac:dyDescent="0.2"/>
    <row r="18664" ht="12.75" hidden="1" customHeight="1" x14ac:dyDescent="0.2"/>
    <row r="18665" ht="12.75" hidden="1" customHeight="1" x14ac:dyDescent="0.2"/>
    <row r="18666" ht="12.75" hidden="1" customHeight="1" x14ac:dyDescent="0.2"/>
    <row r="18667" ht="12.75" hidden="1" customHeight="1" x14ac:dyDescent="0.2"/>
    <row r="18668" ht="12.75" hidden="1" customHeight="1" x14ac:dyDescent="0.2"/>
    <row r="18669" ht="12.75" hidden="1" customHeight="1" x14ac:dyDescent="0.2"/>
    <row r="18670" ht="12.75" hidden="1" customHeight="1" x14ac:dyDescent="0.2"/>
    <row r="18671" ht="12.75" hidden="1" customHeight="1" x14ac:dyDescent="0.2"/>
    <row r="18672" ht="12.75" hidden="1" customHeight="1" x14ac:dyDescent="0.2"/>
    <row r="18673" ht="12.75" hidden="1" customHeight="1" x14ac:dyDescent="0.2"/>
    <row r="18674" ht="12.75" hidden="1" customHeight="1" x14ac:dyDescent="0.2"/>
    <row r="18675" ht="12.75" hidden="1" customHeight="1" x14ac:dyDescent="0.2"/>
    <row r="18676" ht="12.75" hidden="1" customHeight="1" x14ac:dyDescent="0.2"/>
    <row r="18677" ht="12.75" hidden="1" customHeight="1" x14ac:dyDescent="0.2"/>
    <row r="18678" ht="12.75" hidden="1" customHeight="1" x14ac:dyDescent="0.2"/>
    <row r="18679" ht="12.75" hidden="1" customHeight="1" x14ac:dyDescent="0.2"/>
    <row r="18680" ht="12.75" hidden="1" customHeight="1" x14ac:dyDescent="0.2"/>
    <row r="18681" ht="12.75" hidden="1" customHeight="1" x14ac:dyDescent="0.2"/>
    <row r="18682" ht="12.75" hidden="1" customHeight="1" x14ac:dyDescent="0.2"/>
    <row r="18683" ht="12.75" hidden="1" customHeight="1" x14ac:dyDescent="0.2"/>
    <row r="18684" ht="12.75" hidden="1" customHeight="1" x14ac:dyDescent="0.2"/>
    <row r="18685" ht="12.75" hidden="1" customHeight="1" x14ac:dyDescent="0.2"/>
    <row r="18686" ht="12.75" hidden="1" customHeight="1" x14ac:dyDescent="0.2"/>
    <row r="18687" ht="12.75" hidden="1" customHeight="1" x14ac:dyDescent="0.2"/>
    <row r="18688" ht="12.75" hidden="1" customHeight="1" x14ac:dyDescent="0.2"/>
    <row r="18689" ht="12.75" hidden="1" customHeight="1" x14ac:dyDescent="0.2"/>
    <row r="18690" ht="12.75" hidden="1" customHeight="1" x14ac:dyDescent="0.2"/>
    <row r="18691" ht="12.75" hidden="1" customHeight="1" x14ac:dyDescent="0.2"/>
    <row r="18692" ht="12.75" hidden="1" customHeight="1" x14ac:dyDescent="0.2"/>
    <row r="18693" ht="12.75" hidden="1" customHeight="1" x14ac:dyDescent="0.2"/>
    <row r="18694" ht="12.75" hidden="1" customHeight="1" x14ac:dyDescent="0.2"/>
    <row r="18695" ht="12.75" hidden="1" customHeight="1" x14ac:dyDescent="0.2"/>
    <row r="18696" ht="12.75" hidden="1" customHeight="1" x14ac:dyDescent="0.2"/>
    <row r="18697" ht="12.75" hidden="1" customHeight="1" x14ac:dyDescent="0.2"/>
    <row r="18698" ht="12.75" hidden="1" customHeight="1" x14ac:dyDescent="0.2"/>
    <row r="18699" ht="12.75" hidden="1" customHeight="1" x14ac:dyDescent="0.2"/>
    <row r="18700" ht="12.75" hidden="1" customHeight="1" x14ac:dyDescent="0.2"/>
    <row r="18701" ht="12.75" hidden="1" customHeight="1" x14ac:dyDescent="0.2"/>
    <row r="18702" ht="12.75" hidden="1" customHeight="1" x14ac:dyDescent="0.2"/>
    <row r="18703" ht="12.75" hidden="1" customHeight="1" x14ac:dyDescent="0.2"/>
    <row r="18704" ht="12.75" hidden="1" customHeight="1" x14ac:dyDescent="0.2"/>
    <row r="18705" ht="12.75" hidden="1" customHeight="1" x14ac:dyDescent="0.2"/>
    <row r="18706" ht="12.75" hidden="1" customHeight="1" x14ac:dyDescent="0.2"/>
    <row r="18707" ht="12.75" hidden="1" customHeight="1" x14ac:dyDescent="0.2"/>
    <row r="18708" ht="12.75" hidden="1" customHeight="1" x14ac:dyDescent="0.2"/>
    <row r="18709" ht="12.75" hidden="1" customHeight="1" x14ac:dyDescent="0.2"/>
    <row r="18710" ht="12.75" hidden="1" customHeight="1" x14ac:dyDescent="0.2"/>
    <row r="18711" ht="12.75" hidden="1" customHeight="1" x14ac:dyDescent="0.2"/>
    <row r="18712" ht="12.75" hidden="1" customHeight="1" x14ac:dyDescent="0.2"/>
    <row r="18713" ht="12.75" hidden="1" customHeight="1" x14ac:dyDescent="0.2"/>
    <row r="18714" ht="12.75" hidden="1" customHeight="1" x14ac:dyDescent="0.2"/>
    <row r="18715" ht="12.75" hidden="1" customHeight="1" x14ac:dyDescent="0.2"/>
    <row r="18716" ht="12.75" hidden="1" customHeight="1" x14ac:dyDescent="0.2"/>
    <row r="18717" ht="12.75" hidden="1" customHeight="1" x14ac:dyDescent="0.2"/>
    <row r="18718" ht="12.75" hidden="1" customHeight="1" x14ac:dyDescent="0.2"/>
    <row r="18719" ht="12.75" hidden="1" customHeight="1" x14ac:dyDescent="0.2"/>
    <row r="18720" ht="12.75" hidden="1" customHeight="1" x14ac:dyDescent="0.2"/>
    <row r="18721" ht="12.75" hidden="1" customHeight="1" x14ac:dyDescent="0.2"/>
    <row r="18722" ht="12.75" hidden="1" customHeight="1" x14ac:dyDescent="0.2"/>
    <row r="18723" ht="12.75" hidden="1" customHeight="1" x14ac:dyDescent="0.2"/>
    <row r="18724" ht="12.75" hidden="1" customHeight="1" x14ac:dyDescent="0.2"/>
    <row r="18725" ht="12.75" hidden="1" customHeight="1" x14ac:dyDescent="0.2"/>
    <row r="18726" ht="12.75" hidden="1" customHeight="1" x14ac:dyDescent="0.2"/>
    <row r="18727" ht="12.75" hidden="1" customHeight="1" x14ac:dyDescent="0.2"/>
    <row r="18728" ht="12.75" hidden="1" customHeight="1" x14ac:dyDescent="0.2"/>
    <row r="18729" ht="12.75" hidden="1" customHeight="1" x14ac:dyDescent="0.2"/>
    <row r="18730" ht="12.75" hidden="1" customHeight="1" x14ac:dyDescent="0.2"/>
    <row r="18731" ht="12.75" hidden="1" customHeight="1" x14ac:dyDescent="0.2"/>
    <row r="18732" ht="12.75" hidden="1" customHeight="1" x14ac:dyDescent="0.2"/>
    <row r="18733" ht="12.75" hidden="1" customHeight="1" x14ac:dyDescent="0.2"/>
    <row r="18734" ht="12.75" hidden="1" customHeight="1" x14ac:dyDescent="0.2"/>
    <row r="18735" ht="12.75" hidden="1" customHeight="1" x14ac:dyDescent="0.2"/>
    <row r="18736" ht="12.75" hidden="1" customHeight="1" x14ac:dyDescent="0.2"/>
    <row r="18737" ht="12.75" hidden="1" customHeight="1" x14ac:dyDescent="0.2"/>
    <row r="18738" ht="12.75" hidden="1" customHeight="1" x14ac:dyDescent="0.2"/>
    <row r="18739" ht="12.75" hidden="1" customHeight="1" x14ac:dyDescent="0.2"/>
    <row r="18740" ht="12.75" hidden="1" customHeight="1" x14ac:dyDescent="0.2"/>
    <row r="18741" ht="12.75" hidden="1" customHeight="1" x14ac:dyDescent="0.2"/>
    <row r="18742" ht="12.75" hidden="1" customHeight="1" x14ac:dyDescent="0.2"/>
    <row r="18743" ht="12.75" hidden="1" customHeight="1" x14ac:dyDescent="0.2"/>
    <row r="18744" ht="12.75" hidden="1" customHeight="1" x14ac:dyDescent="0.2"/>
    <row r="18745" ht="12.75" hidden="1" customHeight="1" x14ac:dyDescent="0.2"/>
    <row r="18746" ht="12.75" hidden="1" customHeight="1" x14ac:dyDescent="0.2"/>
    <row r="18747" ht="12.75" hidden="1" customHeight="1" x14ac:dyDescent="0.2"/>
    <row r="18748" ht="12.75" hidden="1" customHeight="1" x14ac:dyDescent="0.2"/>
    <row r="18749" ht="12.75" hidden="1" customHeight="1" x14ac:dyDescent="0.2"/>
    <row r="18750" ht="12.75" hidden="1" customHeight="1" x14ac:dyDescent="0.2"/>
    <row r="18751" ht="12.75" hidden="1" customHeight="1" x14ac:dyDescent="0.2"/>
    <row r="18752" ht="12.75" hidden="1" customHeight="1" x14ac:dyDescent="0.2"/>
    <row r="18753" ht="12.75" hidden="1" customHeight="1" x14ac:dyDescent="0.2"/>
    <row r="18754" ht="12.75" hidden="1" customHeight="1" x14ac:dyDescent="0.2"/>
    <row r="18755" ht="12.75" hidden="1" customHeight="1" x14ac:dyDescent="0.2"/>
    <row r="18756" ht="12.75" hidden="1" customHeight="1" x14ac:dyDescent="0.2"/>
    <row r="18757" ht="12.75" hidden="1" customHeight="1" x14ac:dyDescent="0.2"/>
    <row r="18758" ht="12.75" hidden="1" customHeight="1" x14ac:dyDescent="0.2"/>
    <row r="18759" ht="12.75" hidden="1" customHeight="1" x14ac:dyDescent="0.2"/>
    <row r="18760" ht="12.75" hidden="1" customHeight="1" x14ac:dyDescent="0.2"/>
    <row r="18761" ht="12.75" hidden="1" customHeight="1" x14ac:dyDescent="0.2"/>
    <row r="18762" ht="12.75" hidden="1" customHeight="1" x14ac:dyDescent="0.2"/>
    <row r="18763" ht="12.75" hidden="1" customHeight="1" x14ac:dyDescent="0.2"/>
    <row r="18764" ht="12.75" hidden="1" customHeight="1" x14ac:dyDescent="0.2"/>
    <row r="18765" ht="12.75" hidden="1" customHeight="1" x14ac:dyDescent="0.2"/>
    <row r="18766" ht="12.75" hidden="1" customHeight="1" x14ac:dyDescent="0.2"/>
    <row r="18767" ht="12.75" hidden="1" customHeight="1" x14ac:dyDescent="0.2"/>
    <row r="18768" ht="12.75" hidden="1" customHeight="1" x14ac:dyDescent="0.2"/>
    <row r="18769" ht="12.75" hidden="1" customHeight="1" x14ac:dyDescent="0.2"/>
    <row r="18770" ht="12.75" hidden="1" customHeight="1" x14ac:dyDescent="0.2"/>
    <row r="18771" ht="12.75" hidden="1" customHeight="1" x14ac:dyDescent="0.2"/>
    <row r="18772" ht="12.75" hidden="1" customHeight="1" x14ac:dyDescent="0.2"/>
    <row r="18773" ht="12.75" hidden="1" customHeight="1" x14ac:dyDescent="0.2"/>
    <row r="18774" ht="12.75" hidden="1" customHeight="1" x14ac:dyDescent="0.2"/>
    <row r="18775" ht="12.75" hidden="1" customHeight="1" x14ac:dyDescent="0.2"/>
    <row r="18776" ht="12.75" hidden="1" customHeight="1" x14ac:dyDescent="0.2"/>
    <row r="18777" ht="12.75" hidden="1" customHeight="1" x14ac:dyDescent="0.2"/>
    <row r="18778" ht="12.75" hidden="1" customHeight="1" x14ac:dyDescent="0.2"/>
    <row r="18779" ht="12.75" hidden="1" customHeight="1" x14ac:dyDescent="0.2"/>
    <row r="18780" ht="12.75" hidden="1" customHeight="1" x14ac:dyDescent="0.2"/>
    <row r="18781" ht="12.75" hidden="1" customHeight="1" x14ac:dyDescent="0.2"/>
    <row r="18782" ht="12.75" hidden="1" customHeight="1" x14ac:dyDescent="0.2"/>
    <row r="18783" ht="12.75" hidden="1" customHeight="1" x14ac:dyDescent="0.2"/>
    <row r="18784" ht="12.75" hidden="1" customHeight="1" x14ac:dyDescent="0.2"/>
    <row r="18785" ht="12.75" hidden="1" customHeight="1" x14ac:dyDescent="0.2"/>
    <row r="18786" ht="12.75" hidden="1" customHeight="1" x14ac:dyDescent="0.2"/>
    <row r="18787" ht="12.75" hidden="1" customHeight="1" x14ac:dyDescent="0.2"/>
    <row r="18788" ht="12.75" hidden="1" customHeight="1" x14ac:dyDescent="0.2"/>
    <row r="18789" ht="12.75" hidden="1" customHeight="1" x14ac:dyDescent="0.2"/>
    <row r="18790" ht="12.75" hidden="1" customHeight="1" x14ac:dyDescent="0.2"/>
    <row r="18791" ht="12.75" hidden="1" customHeight="1" x14ac:dyDescent="0.2"/>
    <row r="18792" ht="12.75" hidden="1" customHeight="1" x14ac:dyDescent="0.2"/>
    <row r="18793" ht="12.75" hidden="1" customHeight="1" x14ac:dyDescent="0.2"/>
    <row r="18794" ht="12.75" hidden="1" customHeight="1" x14ac:dyDescent="0.2"/>
    <row r="18795" ht="12.75" hidden="1" customHeight="1" x14ac:dyDescent="0.2"/>
    <row r="18796" ht="12.75" hidden="1" customHeight="1" x14ac:dyDescent="0.2"/>
    <row r="18797" ht="12.75" hidden="1" customHeight="1" x14ac:dyDescent="0.2"/>
    <row r="18798" ht="12.75" hidden="1" customHeight="1" x14ac:dyDescent="0.2"/>
    <row r="18799" ht="12.75" hidden="1" customHeight="1" x14ac:dyDescent="0.2"/>
    <row r="18800" ht="12.75" hidden="1" customHeight="1" x14ac:dyDescent="0.2"/>
    <row r="18801" ht="12.75" hidden="1" customHeight="1" x14ac:dyDescent="0.2"/>
    <row r="18802" ht="12.75" hidden="1" customHeight="1" x14ac:dyDescent="0.2"/>
    <row r="18803" ht="12.75" hidden="1" customHeight="1" x14ac:dyDescent="0.2"/>
    <row r="18804" ht="12.75" hidden="1" customHeight="1" x14ac:dyDescent="0.2"/>
    <row r="18805" ht="12.75" hidden="1" customHeight="1" x14ac:dyDescent="0.2"/>
    <row r="18806" ht="12.75" hidden="1" customHeight="1" x14ac:dyDescent="0.2"/>
    <row r="18807" ht="12.75" hidden="1" customHeight="1" x14ac:dyDescent="0.2"/>
    <row r="18808" ht="12.75" hidden="1" customHeight="1" x14ac:dyDescent="0.2"/>
    <row r="18809" ht="12.75" hidden="1" customHeight="1" x14ac:dyDescent="0.2"/>
    <row r="18810" ht="12.75" hidden="1" customHeight="1" x14ac:dyDescent="0.2"/>
    <row r="18811" ht="12.75" hidden="1" customHeight="1" x14ac:dyDescent="0.2"/>
    <row r="18812" ht="12.75" hidden="1" customHeight="1" x14ac:dyDescent="0.2"/>
    <row r="18813" ht="12.75" hidden="1" customHeight="1" x14ac:dyDescent="0.2"/>
    <row r="18814" ht="12.75" hidden="1" customHeight="1" x14ac:dyDescent="0.2"/>
    <row r="18815" ht="12.75" hidden="1" customHeight="1" x14ac:dyDescent="0.2"/>
    <row r="18816" ht="12.75" hidden="1" customHeight="1" x14ac:dyDescent="0.2"/>
    <row r="18817" ht="12.75" hidden="1" customHeight="1" x14ac:dyDescent="0.2"/>
    <row r="18818" ht="12.75" hidden="1" customHeight="1" x14ac:dyDescent="0.2"/>
    <row r="18819" ht="12.75" hidden="1" customHeight="1" x14ac:dyDescent="0.2"/>
    <row r="18820" ht="12.75" hidden="1" customHeight="1" x14ac:dyDescent="0.2"/>
    <row r="18821" ht="12.75" hidden="1" customHeight="1" x14ac:dyDescent="0.2"/>
    <row r="18822" ht="12.75" hidden="1" customHeight="1" x14ac:dyDescent="0.2"/>
    <row r="18823" ht="12.75" hidden="1" customHeight="1" x14ac:dyDescent="0.2"/>
    <row r="18824" ht="12.75" hidden="1" customHeight="1" x14ac:dyDescent="0.2"/>
    <row r="18825" ht="12.75" hidden="1" customHeight="1" x14ac:dyDescent="0.2"/>
    <row r="18826" ht="12.75" hidden="1" customHeight="1" x14ac:dyDescent="0.2"/>
    <row r="18827" ht="12.75" hidden="1" customHeight="1" x14ac:dyDescent="0.2"/>
    <row r="18828" ht="12.75" hidden="1" customHeight="1" x14ac:dyDescent="0.2"/>
    <row r="18829" ht="12.75" hidden="1" customHeight="1" x14ac:dyDescent="0.2"/>
    <row r="18830" ht="12.75" hidden="1" customHeight="1" x14ac:dyDescent="0.2"/>
    <row r="18831" ht="12.75" hidden="1" customHeight="1" x14ac:dyDescent="0.2"/>
    <row r="18832" ht="12.75" hidden="1" customHeight="1" x14ac:dyDescent="0.2"/>
    <row r="18833" ht="12.75" hidden="1" customHeight="1" x14ac:dyDescent="0.2"/>
    <row r="18834" ht="12.75" hidden="1" customHeight="1" x14ac:dyDescent="0.2"/>
    <row r="18835" ht="12.75" hidden="1" customHeight="1" x14ac:dyDescent="0.2"/>
    <row r="18836" ht="12.75" hidden="1" customHeight="1" x14ac:dyDescent="0.2"/>
    <row r="18837" ht="12.75" hidden="1" customHeight="1" x14ac:dyDescent="0.2"/>
    <row r="18838" ht="12.75" hidden="1" customHeight="1" x14ac:dyDescent="0.2"/>
    <row r="18839" ht="12.75" hidden="1" customHeight="1" x14ac:dyDescent="0.2"/>
    <row r="18840" ht="12.75" hidden="1" customHeight="1" x14ac:dyDescent="0.2"/>
    <row r="18841" ht="12.75" hidden="1" customHeight="1" x14ac:dyDescent="0.2"/>
    <row r="18842" ht="12.75" hidden="1" customHeight="1" x14ac:dyDescent="0.2"/>
    <row r="18843" ht="12.75" hidden="1" customHeight="1" x14ac:dyDescent="0.2"/>
    <row r="18844" ht="12.75" hidden="1" customHeight="1" x14ac:dyDescent="0.2"/>
    <row r="18845" ht="12.75" hidden="1" customHeight="1" x14ac:dyDescent="0.2"/>
    <row r="18846" ht="12.75" hidden="1" customHeight="1" x14ac:dyDescent="0.2"/>
    <row r="18847" ht="12.75" hidden="1" customHeight="1" x14ac:dyDescent="0.2"/>
    <row r="18848" ht="12.75" hidden="1" customHeight="1" x14ac:dyDescent="0.2"/>
    <row r="18849" ht="12.75" hidden="1" customHeight="1" x14ac:dyDescent="0.2"/>
    <row r="18850" ht="12.75" hidden="1" customHeight="1" x14ac:dyDescent="0.2"/>
    <row r="18851" ht="12.75" hidden="1" customHeight="1" x14ac:dyDescent="0.2"/>
    <row r="18852" ht="12.75" hidden="1" customHeight="1" x14ac:dyDescent="0.2"/>
    <row r="18853" ht="12.75" hidden="1" customHeight="1" x14ac:dyDescent="0.2"/>
    <row r="18854" ht="12.75" hidden="1" customHeight="1" x14ac:dyDescent="0.2"/>
    <row r="18855" ht="12.75" hidden="1" customHeight="1" x14ac:dyDescent="0.2"/>
    <row r="18856" ht="12.75" hidden="1" customHeight="1" x14ac:dyDescent="0.2"/>
    <row r="18857" ht="12.75" hidden="1" customHeight="1" x14ac:dyDescent="0.2"/>
    <row r="18858" ht="12.75" hidden="1" customHeight="1" x14ac:dyDescent="0.2"/>
    <row r="18859" ht="12.75" hidden="1" customHeight="1" x14ac:dyDescent="0.2"/>
    <row r="18860" ht="12.75" hidden="1" customHeight="1" x14ac:dyDescent="0.2"/>
    <row r="18861" ht="12.75" hidden="1" customHeight="1" x14ac:dyDescent="0.2"/>
    <row r="18862" ht="12.75" hidden="1" customHeight="1" x14ac:dyDescent="0.2"/>
    <row r="18863" ht="12.75" hidden="1" customHeight="1" x14ac:dyDescent="0.2"/>
    <row r="18864" ht="12.75" hidden="1" customHeight="1" x14ac:dyDescent="0.2"/>
    <row r="18865" ht="12.75" hidden="1" customHeight="1" x14ac:dyDescent="0.2"/>
    <row r="18866" ht="12.75" hidden="1" customHeight="1" x14ac:dyDescent="0.2"/>
    <row r="18867" ht="12.75" hidden="1" customHeight="1" x14ac:dyDescent="0.2"/>
    <row r="18868" ht="12.75" hidden="1" customHeight="1" x14ac:dyDescent="0.2"/>
    <row r="18869" ht="12.75" hidden="1" customHeight="1" x14ac:dyDescent="0.2"/>
    <row r="18870" ht="12.75" hidden="1" customHeight="1" x14ac:dyDescent="0.2"/>
    <row r="18871" ht="12.75" hidden="1" customHeight="1" x14ac:dyDescent="0.2"/>
    <row r="18872" ht="12.75" hidden="1" customHeight="1" x14ac:dyDescent="0.2"/>
    <row r="18873" ht="12.75" hidden="1" customHeight="1" x14ac:dyDescent="0.2"/>
    <row r="18874" ht="12.75" hidden="1" customHeight="1" x14ac:dyDescent="0.2"/>
    <row r="18875" ht="12.75" hidden="1" customHeight="1" x14ac:dyDescent="0.2"/>
    <row r="18876" ht="12.75" hidden="1" customHeight="1" x14ac:dyDescent="0.2"/>
    <row r="18877" ht="12.75" hidden="1" customHeight="1" x14ac:dyDescent="0.2"/>
    <row r="18878" ht="12.75" hidden="1" customHeight="1" x14ac:dyDescent="0.2"/>
    <row r="18879" ht="12.75" hidden="1" customHeight="1" x14ac:dyDescent="0.2"/>
    <row r="18880" ht="12.75" hidden="1" customHeight="1" x14ac:dyDescent="0.2"/>
    <row r="18881" ht="12.75" hidden="1" customHeight="1" x14ac:dyDescent="0.2"/>
    <row r="18882" ht="12.75" hidden="1" customHeight="1" x14ac:dyDescent="0.2"/>
    <row r="18883" ht="12.75" hidden="1" customHeight="1" x14ac:dyDescent="0.2"/>
    <row r="18884" ht="12.75" hidden="1" customHeight="1" x14ac:dyDescent="0.2"/>
    <row r="18885" ht="12.75" hidden="1" customHeight="1" x14ac:dyDescent="0.2"/>
    <row r="18886" ht="12.75" hidden="1" customHeight="1" x14ac:dyDescent="0.2"/>
    <row r="18887" ht="12.75" hidden="1" customHeight="1" x14ac:dyDescent="0.2"/>
    <row r="18888" ht="12.75" hidden="1" customHeight="1" x14ac:dyDescent="0.2"/>
    <row r="18889" ht="12.75" hidden="1" customHeight="1" x14ac:dyDescent="0.2"/>
    <row r="18890" ht="12.75" hidden="1" customHeight="1" x14ac:dyDescent="0.2"/>
    <row r="18891" ht="12.75" hidden="1" customHeight="1" x14ac:dyDescent="0.2"/>
    <row r="18892" ht="12.75" hidden="1" customHeight="1" x14ac:dyDescent="0.2"/>
    <row r="18893" ht="12.75" hidden="1" customHeight="1" x14ac:dyDescent="0.2"/>
    <row r="18894" ht="12.75" hidden="1" customHeight="1" x14ac:dyDescent="0.2"/>
    <row r="18895" ht="12.75" hidden="1" customHeight="1" x14ac:dyDescent="0.2"/>
    <row r="18896" ht="12.75" hidden="1" customHeight="1" x14ac:dyDescent="0.2"/>
    <row r="18897" ht="12.75" hidden="1" customHeight="1" x14ac:dyDescent="0.2"/>
    <row r="18898" ht="12.75" hidden="1" customHeight="1" x14ac:dyDescent="0.2"/>
    <row r="18899" ht="12.75" hidden="1" customHeight="1" x14ac:dyDescent="0.2"/>
    <row r="18900" ht="12.75" hidden="1" customHeight="1" x14ac:dyDescent="0.2"/>
    <row r="18901" ht="12.75" hidden="1" customHeight="1" x14ac:dyDescent="0.2"/>
    <row r="18902" ht="12.75" hidden="1" customHeight="1" x14ac:dyDescent="0.2"/>
    <row r="18903" ht="12.75" hidden="1" customHeight="1" x14ac:dyDescent="0.2"/>
    <row r="18904" ht="12.75" hidden="1" customHeight="1" x14ac:dyDescent="0.2"/>
    <row r="18905" ht="12.75" hidden="1" customHeight="1" x14ac:dyDescent="0.2"/>
    <row r="18906" ht="12.75" hidden="1" customHeight="1" x14ac:dyDescent="0.2"/>
    <row r="18907" ht="12.75" hidden="1" customHeight="1" x14ac:dyDescent="0.2"/>
    <row r="18908" ht="12.75" hidden="1" customHeight="1" x14ac:dyDescent="0.2"/>
    <row r="18909" ht="12.75" hidden="1" customHeight="1" x14ac:dyDescent="0.2"/>
    <row r="18910" ht="12.75" hidden="1" customHeight="1" x14ac:dyDescent="0.2"/>
    <row r="18911" ht="12.75" hidden="1" customHeight="1" x14ac:dyDescent="0.2"/>
    <row r="18912" ht="12.75" hidden="1" customHeight="1" x14ac:dyDescent="0.2"/>
    <row r="18913" ht="12.75" hidden="1" customHeight="1" x14ac:dyDescent="0.2"/>
    <row r="18914" ht="12.75" hidden="1" customHeight="1" x14ac:dyDescent="0.2"/>
    <row r="18915" ht="12.75" hidden="1" customHeight="1" x14ac:dyDescent="0.2"/>
    <row r="18916" ht="12.75" hidden="1" customHeight="1" x14ac:dyDescent="0.2"/>
    <row r="18917" ht="12.75" hidden="1" customHeight="1" x14ac:dyDescent="0.2"/>
    <row r="18918" ht="12.75" hidden="1" customHeight="1" x14ac:dyDescent="0.2"/>
    <row r="18919" ht="12.75" hidden="1" customHeight="1" x14ac:dyDescent="0.2"/>
    <row r="18920" ht="12.75" hidden="1" customHeight="1" x14ac:dyDescent="0.2"/>
    <row r="18921" ht="12.75" hidden="1" customHeight="1" x14ac:dyDescent="0.2"/>
    <row r="18922" ht="12.75" hidden="1" customHeight="1" x14ac:dyDescent="0.2"/>
    <row r="18923" ht="12.75" hidden="1" customHeight="1" x14ac:dyDescent="0.2"/>
    <row r="18924" ht="12.75" hidden="1" customHeight="1" x14ac:dyDescent="0.2"/>
    <row r="18925" ht="12.75" hidden="1" customHeight="1" x14ac:dyDescent="0.2"/>
    <row r="18926" ht="12.75" hidden="1" customHeight="1" x14ac:dyDescent="0.2"/>
    <row r="18927" ht="12.75" hidden="1" customHeight="1" x14ac:dyDescent="0.2"/>
    <row r="18928" ht="12.75" hidden="1" customHeight="1" x14ac:dyDescent="0.2"/>
    <row r="18929" ht="12.75" hidden="1" customHeight="1" x14ac:dyDescent="0.2"/>
    <row r="18930" ht="12.75" hidden="1" customHeight="1" x14ac:dyDescent="0.2"/>
    <row r="18931" ht="12.75" hidden="1" customHeight="1" x14ac:dyDescent="0.2"/>
    <row r="18932" ht="12.75" hidden="1" customHeight="1" x14ac:dyDescent="0.2"/>
    <row r="18933" ht="12.75" hidden="1" customHeight="1" x14ac:dyDescent="0.2"/>
    <row r="18934" ht="12.75" hidden="1" customHeight="1" x14ac:dyDescent="0.2"/>
    <row r="18935" ht="12.75" hidden="1" customHeight="1" x14ac:dyDescent="0.2"/>
    <row r="18936" ht="12.75" hidden="1" customHeight="1" x14ac:dyDescent="0.2"/>
    <row r="18937" ht="12.75" hidden="1" customHeight="1" x14ac:dyDescent="0.2"/>
    <row r="18938" ht="12.75" hidden="1" customHeight="1" x14ac:dyDescent="0.2"/>
    <row r="18939" ht="12.75" hidden="1" customHeight="1" x14ac:dyDescent="0.2"/>
    <row r="18940" ht="12.75" hidden="1" customHeight="1" x14ac:dyDescent="0.2"/>
    <row r="18941" ht="12.75" hidden="1" customHeight="1" x14ac:dyDescent="0.2"/>
    <row r="18942" ht="12.75" hidden="1" customHeight="1" x14ac:dyDescent="0.2"/>
    <row r="18943" ht="12.75" hidden="1" customHeight="1" x14ac:dyDescent="0.2"/>
    <row r="18944" ht="12.75" hidden="1" customHeight="1" x14ac:dyDescent="0.2"/>
    <row r="18945" ht="12.75" hidden="1" customHeight="1" x14ac:dyDescent="0.2"/>
    <row r="18946" ht="12.75" hidden="1" customHeight="1" x14ac:dyDescent="0.2"/>
    <row r="18947" ht="12.75" hidden="1" customHeight="1" x14ac:dyDescent="0.2"/>
    <row r="18948" ht="12.75" hidden="1" customHeight="1" x14ac:dyDescent="0.2"/>
    <row r="18949" ht="12.75" hidden="1" customHeight="1" x14ac:dyDescent="0.2"/>
    <row r="18950" ht="12.75" hidden="1" customHeight="1" x14ac:dyDescent="0.2"/>
    <row r="18951" ht="12.75" hidden="1" customHeight="1" x14ac:dyDescent="0.2"/>
    <row r="18952" ht="12.75" hidden="1" customHeight="1" x14ac:dyDescent="0.2"/>
    <row r="18953" ht="12.75" hidden="1" customHeight="1" x14ac:dyDescent="0.2"/>
    <row r="18954" ht="12.75" hidden="1" customHeight="1" x14ac:dyDescent="0.2"/>
    <row r="18955" ht="12.75" hidden="1" customHeight="1" x14ac:dyDescent="0.2"/>
    <row r="18956" ht="12.75" hidden="1" customHeight="1" x14ac:dyDescent="0.2"/>
    <row r="18957" ht="12.75" hidden="1" customHeight="1" x14ac:dyDescent="0.2"/>
    <row r="18958" ht="12.75" hidden="1" customHeight="1" x14ac:dyDescent="0.2"/>
    <row r="18959" ht="12.75" hidden="1" customHeight="1" x14ac:dyDescent="0.2"/>
    <row r="18960" ht="12.75" hidden="1" customHeight="1" x14ac:dyDescent="0.2"/>
    <row r="18961" ht="12.75" hidden="1" customHeight="1" x14ac:dyDescent="0.2"/>
    <row r="18962" ht="12.75" hidden="1" customHeight="1" x14ac:dyDescent="0.2"/>
    <row r="18963" ht="12.75" hidden="1" customHeight="1" x14ac:dyDescent="0.2"/>
    <row r="18964" ht="12.75" hidden="1" customHeight="1" x14ac:dyDescent="0.2"/>
    <row r="18965" ht="12.75" hidden="1" customHeight="1" x14ac:dyDescent="0.2"/>
    <row r="18966" ht="12.75" hidden="1" customHeight="1" x14ac:dyDescent="0.2"/>
    <row r="18967" ht="12.75" hidden="1" customHeight="1" x14ac:dyDescent="0.2"/>
    <row r="18968" ht="12.75" hidden="1" customHeight="1" x14ac:dyDescent="0.2"/>
    <row r="18969" ht="12.75" hidden="1" customHeight="1" x14ac:dyDescent="0.2"/>
    <row r="18970" ht="12.75" hidden="1" customHeight="1" x14ac:dyDescent="0.2"/>
    <row r="18971" ht="12.75" hidden="1" customHeight="1" x14ac:dyDescent="0.2"/>
    <row r="18972" ht="12.75" hidden="1" customHeight="1" x14ac:dyDescent="0.2"/>
    <row r="18973" ht="12.75" hidden="1" customHeight="1" x14ac:dyDescent="0.2"/>
    <row r="18974" ht="12.75" hidden="1" customHeight="1" x14ac:dyDescent="0.2"/>
    <row r="18975" ht="12.75" hidden="1" customHeight="1" x14ac:dyDescent="0.2"/>
    <row r="18976" ht="12.75" hidden="1" customHeight="1" x14ac:dyDescent="0.2"/>
    <row r="18977" ht="12.75" hidden="1" customHeight="1" x14ac:dyDescent="0.2"/>
    <row r="18978" ht="12.75" hidden="1" customHeight="1" x14ac:dyDescent="0.2"/>
    <row r="18979" ht="12.75" hidden="1" customHeight="1" x14ac:dyDescent="0.2"/>
    <row r="18980" ht="12.75" hidden="1" customHeight="1" x14ac:dyDescent="0.2"/>
    <row r="18981" ht="12.75" hidden="1" customHeight="1" x14ac:dyDescent="0.2"/>
    <row r="18982" ht="12.75" hidden="1" customHeight="1" x14ac:dyDescent="0.2"/>
    <row r="18983" ht="12.75" hidden="1" customHeight="1" x14ac:dyDescent="0.2"/>
    <row r="18984" ht="12.75" hidden="1" customHeight="1" x14ac:dyDescent="0.2"/>
    <row r="18985" ht="12.75" hidden="1" customHeight="1" x14ac:dyDescent="0.2"/>
    <row r="18986" ht="12.75" hidden="1" customHeight="1" x14ac:dyDescent="0.2"/>
    <row r="18987" ht="12.75" hidden="1" customHeight="1" x14ac:dyDescent="0.2"/>
    <row r="18988" ht="12.75" hidden="1" customHeight="1" x14ac:dyDescent="0.2"/>
    <row r="18989" ht="12.75" hidden="1" customHeight="1" x14ac:dyDescent="0.2"/>
    <row r="18990" ht="12.75" hidden="1" customHeight="1" x14ac:dyDescent="0.2"/>
    <row r="18991" ht="12.75" hidden="1" customHeight="1" x14ac:dyDescent="0.2"/>
    <row r="18992" ht="12.75" hidden="1" customHeight="1" x14ac:dyDescent="0.2"/>
    <row r="18993" ht="12.75" hidden="1" customHeight="1" x14ac:dyDescent="0.2"/>
    <row r="18994" ht="12.75" hidden="1" customHeight="1" x14ac:dyDescent="0.2"/>
    <row r="18995" ht="12.75" hidden="1" customHeight="1" x14ac:dyDescent="0.2"/>
    <row r="18996" ht="12.75" hidden="1" customHeight="1" x14ac:dyDescent="0.2"/>
    <row r="18997" ht="12.75" hidden="1" customHeight="1" x14ac:dyDescent="0.2"/>
    <row r="18998" ht="12.75" hidden="1" customHeight="1" x14ac:dyDescent="0.2"/>
    <row r="18999" ht="12.75" hidden="1" customHeight="1" x14ac:dyDescent="0.2"/>
    <row r="19000" ht="12.75" hidden="1" customHeight="1" x14ac:dyDescent="0.2"/>
    <row r="19001" ht="12.75" hidden="1" customHeight="1" x14ac:dyDescent="0.2"/>
    <row r="19002" ht="12.75" hidden="1" customHeight="1" x14ac:dyDescent="0.2"/>
    <row r="19003" ht="12.75" hidden="1" customHeight="1" x14ac:dyDescent="0.2"/>
    <row r="19004" ht="12.75" hidden="1" customHeight="1" x14ac:dyDescent="0.2"/>
    <row r="19005" ht="12.75" hidden="1" customHeight="1" x14ac:dyDescent="0.2"/>
    <row r="19006" ht="12.75" hidden="1" customHeight="1" x14ac:dyDescent="0.2"/>
    <row r="19007" ht="12.75" hidden="1" customHeight="1" x14ac:dyDescent="0.2"/>
    <row r="19008" ht="12.75" hidden="1" customHeight="1" x14ac:dyDescent="0.2"/>
    <row r="19009" ht="12.75" hidden="1" customHeight="1" x14ac:dyDescent="0.2"/>
    <row r="19010" ht="12.75" hidden="1" customHeight="1" x14ac:dyDescent="0.2"/>
    <row r="19011" ht="12.75" hidden="1" customHeight="1" x14ac:dyDescent="0.2"/>
    <row r="19012" ht="12.75" hidden="1" customHeight="1" x14ac:dyDescent="0.2"/>
    <row r="19013" ht="12.75" hidden="1" customHeight="1" x14ac:dyDescent="0.2"/>
    <row r="19014" ht="12.75" hidden="1" customHeight="1" x14ac:dyDescent="0.2"/>
    <row r="19015" ht="12.75" hidden="1" customHeight="1" x14ac:dyDescent="0.2"/>
    <row r="19016" ht="12.75" hidden="1" customHeight="1" x14ac:dyDescent="0.2"/>
    <row r="19017" ht="12.75" hidden="1" customHeight="1" x14ac:dyDescent="0.2"/>
    <row r="19018" ht="12.75" hidden="1" customHeight="1" x14ac:dyDescent="0.2"/>
    <row r="19019" ht="12.75" hidden="1" customHeight="1" x14ac:dyDescent="0.2"/>
    <row r="19020" ht="12.75" hidden="1" customHeight="1" x14ac:dyDescent="0.2"/>
    <row r="19021" ht="12.75" hidden="1" customHeight="1" x14ac:dyDescent="0.2"/>
    <row r="19022" ht="12.75" hidden="1" customHeight="1" x14ac:dyDescent="0.2"/>
    <row r="19023" ht="12.75" hidden="1" customHeight="1" x14ac:dyDescent="0.2"/>
    <row r="19024" ht="12.75" hidden="1" customHeight="1" x14ac:dyDescent="0.2"/>
    <row r="19025" ht="12.75" hidden="1" customHeight="1" x14ac:dyDescent="0.2"/>
    <row r="19026" ht="12.75" hidden="1" customHeight="1" x14ac:dyDescent="0.2"/>
    <row r="19027" ht="12.75" hidden="1" customHeight="1" x14ac:dyDescent="0.2"/>
    <row r="19028" ht="12.75" hidden="1" customHeight="1" x14ac:dyDescent="0.2"/>
    <row r="19029" ht="12.75" hidden="1" customHeight="1" x14ac:dyDescent="0.2"/>
    <row r="19030" ht="12.75" hidden="1" customHeight="1" x14ac:dyDescent="0.2"/>
    <row r="19031" ht="12.75" hidden="1" customHeight="1" x14ac:dyDescent="0.2"/>
    <row r="19032" ht="12.75" hidden="1" customHeight="1" x14ac:dyDescent="0.2"/>
    <row r="19033" ht="12.75" hidden="1" customHeight="1" x14ac:dyDescent="0.2"/>
    <row r="19034" ht="12.75" hidden="1" customHeight="1" x14ac:dyDescent="0.2"/>
    <row r="19035" ht="12.75" hidden="1" customHeight="1" x14ac:dyDescent="0.2"/>
    <row r="19036" ht="12.75" hidden="1" customHeight="1" x14ac:dyDescent="0.2"/>
    <row r="19037" ht="12.75" hidden="1" customHeight="1" x14ac:dyDescent="0.2"/>
    <row r="19038" ht="12.75" hidden="1" customHeight="1" x14ac:dyDescent="0.2"/>
    <row r="19039" ht="12.75" hidden="1" customHeight="1" x14ac:dyDescent="0.2"/>
    <row r="19040" ht="12.75" hidden="1" customHeight="1" x14ac:dyDescent="0.2"/>
    <row r="19041" ht="12.75" hidden="1" customHeight="1" x14ac:dyDescent="0.2"/>
    <row r="19042" ht="12.75" hidden="1" customHeight="1" x14ac:dyDescent="0.2"/>
    <row r="19043" ht="12.75" hidden="1" customHeight="1" x14ac:dyDescent="0.2"/>
    <row r="19044" ht="12.75" hidden="1" customHeight="1" x14ac:dyDescent="0.2"/>
    <row r="19045" ht="12.75" hidden="1" customHeight="1" x14ac:dyDescent="0.2"/>
    <row r="19046" ht="12.75" hidden="1" customHeight="1" x14ac:dyDescent="0.2"/>
    <row r="19047" ht="12.75" hidden="1" customHeight="1" x14ac:dyDescent="0.2"/>
    <row r="19048" ht="12.75" hidden="1" customHeight="1" x14ac:dyDescent="0.2"/>
    <row r="19049" ht="12.75" hidden="1" customHeight="1" x14ac:dyDescent="0.2"/>
    <row r="19050" ht="12.75" hidden="1" customHeight="1" x14ac:dyDescent="0.2"/>
    <row r="19051" ht="12.75" hidden="1" customHeight="1" x14ac:dyDescent="0.2"/>
    <row r="19052" ht="12.75" hidden="1" customHeight="1" x14ac:dyDescent="0.2"/>
    <row r="19053" ht="12.75" hidden="1" customHeight="1" x14ac:dyDescent="0.2"/>
    <row r="19054" ht="12.75" hidden="1" customHeight="1" x14ac:dyDescent="0.2"/>
    <row r="19055" ht="12.75" hidden="1" customHeight="1" x14ac:dyDescent="0.2"/>
    <row r="19056" ht="12.75" hidden="1" customHeight="1" x14ac:dyDescent="0.2"/>
    <row r="19057" ht="12.75" hidden="1" customHeight="1" x14ac:dyDescent="0.2"/>
    <row r="19058" ht="12.75" hidden="1" customHeight="1" x14ac:dyDescent="0.2"/>
    <row r="19059" ht="12.75" hidden="1" customHeight="1" x14ac:dyDescent="0.2"/>
    <row r="19060" ht="12.75" hidden="1" customHeight="1" x14ac:dyDescent="0.2"/>
    <row r="19061" ht="12.75" hidden="1" customHeight="1" x14ac:dyDescent="0.2"/>
    <row r="19062" ht="12.75" hidden="1" customHeight="1" x14ac:dyDescent="0.2"/>
    <row r="19063" ht="12.75" hidden="1" customHeight="1" x14ac:dyDescent="0.2"/>
    <row r="19064" ht="12.75" hidden="1" customHeight="1" x14ac:dyDescent="0.2"/>
    <row r="19065" ht="12.75" hidden="1" customHeight="1" x14ac:dyDescent="0.2"/>
    <row r="19066" ht="12.75" hidden="1" customHeight="1" x14ac:dyDescent="0.2"/>
    <row r="19067" ht="12.75" hidden="1" customHeight="1" x14ac:dyDescent="0.2"/>
    <row r="19068" ht="12.75" hidden="1" customHeight="1" x14ac:dyDescent="0.2"/>
    <row r="19069" ht="12.75" hidden="1" customHeight="1" x14ac:dyDescent="0.2"/>
    <row r="19070" ht="12.75" hidden="1" customHeight="1" x14ac:dyDescent="0.2"/>
    <row r="19071" ht="12.75" hidden="1" customHeight="1" x14ac:dyDescent="0.2"/>
    <row r="19072" ht="12.75" hidden="1" customHeight="1" x14ac:dyDescent="0.2"/>
    <row r="19073" ht="12.75" hidden="1" customHeight="1" x14ac:dyDescent="0.2"/>
    <row r="19074" ht="12.75" hidden="1" customHeight="1" x14ac:dyDescent="0.2"/>
    <row r="19075" ht="12.75" hidden="1" customHeight="1" x14ac:dyDescent="0.2"/>
    <row r="19076" ht="12.75" hidden="1" customHeight="1" x14ac:dyDescent="0.2"/>
    <row r="19077" ht="12.75" hidden="1" customHeight="1" x14ac:dyDescent="0.2"/>
    <row r="19078" ht="12.75" hidden="1" customHeight="1" x14ac:dyDescent="0.2"/>
    <row r="19079" ht="12.75" hidden="1" customHeight="1" x14ac:dyDescent="0.2"/>
    <row r="19080" ht="12.75" hidden="1" customHeight="1" x14ac:dyDescent="0.2"/>
    <row r="19081" ht="12.75" hidden="1" customHeight="1" x14ac:dyDescent="0.2"/>
    <row r="19082" ht="12.75" hidden="1" customHeight="1" x14ac:dyDescent="0.2"/>
    <row r="19083" ht="12.75" hidden="1" customHeight="1" x14ac:dyDescent="0.2"/>
    <row r="19084" ht="12.75" hidden="1" customHeight="1" x14ac:dyDescent="0.2"/>
    <row r="19085" ht="12.75" hidden="1" customHeight="1" x14ac:dyDescent="0.2"/>
    <row r="19086" ht="12.75" hidden="1" customHeight="1" x14ac:dyDescent="0.2"/>
    <row r="19087" ht="12.75" hidden="1" customHeight="1" x14ac:dyDescent="0.2"/>
    <row r="19088" ht="12.75" hidden="1" customHeight="1" x14ac:dyDescent="0.2"/>
    <row r="19089" ht="12.75" hidden="1" customHeight="1" x14ac:dyDescent="0.2"/>
    <row r="19090" ht="12.75" hidden="1" customHeight="1" x14ac:dyDescent="0.2"/>
    <row r="19091" ht="12.75" hidden="1" customHeight="1" x14ac:dyDescent="0.2"/>
    <row r="19092" ht="12.75" hidden="1" customHeight="1" x14ac:dyDescent="0.2"/>
    <row r="19093" ht="12.75" hidden="1" customHeight="1" x14ac:dyDescent="0.2"/>
    <row r="19094" ht="12.75" hidden="1" customHeight="1" x14ac:dyDescent="0.2"/>
    <row r="19095" ht="12.75" hidden="1" customHeight="1" x14ac:dyDescent="0.2"/>
    <row r="19096" ht="12.75" hidden="1" customHeight="1" x14ac:dyDescent="0.2"/>
    <row r="19097" ht="12.75" hidden="1" customHeight="1" x14ac:dyDescent="0.2"/>
    <row r="19098" ht="12.75" hidden="1" customHeight="1" x14ac:dyDescent="0.2"/>
    <row r="19099" ht="12.75" hidden="1" customHeight="1" x14ac:dyDescent="0.2"/>
    <row r="19100" ht="12.75" hidden="1" customHeight="1" x14ac:dyDescent="0.2"/>
    <row r="19101" ht="12.75" hidden="1" customHeight="1" x14ac:dyDescent="0.2"/>
    <row r="19102" ht="12.75" hidden="1" customHeight="1" x14ac:dyDescent="0.2"/>
    <row r="19103" ht="12.75" hidden="1" customHeight="1" x14ac:dyDescent="0.2"/>
    <row r="19104" ht="12.75" hidden="1" customHeight="1" x14ac:dyDescent="0.2"/>
    <row r="19105" ht="12.75" hidden="1" customHeight="1" x14ac:dyDescent="0.2"/>
    <row r="19106" ht="12.75" hidden="1" customHeight="1" x14ac:dyDescent="0.2"/>
    <row r="19107" ht="12.75" hidden="1" customHeight="1" x14ac:dyDescent="0.2"/>
    <row r="19108" ht="12.75" hidden="1" customHeight="1" x14ac:dyDescent="0.2"/>
    <row r="19109" ht="12.75" hidden="1" customHeight="1" x14ac:dyDescent="0.2"/>
    <row r="19110" ht="12.75" hidden="1" customHeight="1" x14ac:dyDescent="0.2"/>
    <row r="19111" ht="12.75" hidden="1" customHeight="1" x14ac:dyDescent="0.2"/>
    <row r="19112" ht="12.75" hidden="1" customHeight="1" x14ac:dyDescent="0.2"/>
    <row r="19113" ht="12.75" hidden="1" customHeight="1" x14ac:dyDescent="0.2"/>
    <row r="19114" ht="12.75" hidden="1" customHeight="1" x14ac:dyDescent="0.2"/>
    <row r="19115" ht="12.75" hidden="1" customHeight="1" x14ac:dyDescent="0.2"/>
    <row r="19116" ht="12.75" hidden="1" customHeight="1" x14ac:dyDescent="0.2"/>
    <row r="19117" ht="12.75" hidden="1" customHeight="1" x14ac:dyDescent="0.2"/>
    <row r="19118" ht="12.75" hidden="1" customHeight="1" x14ac:dyDescent="0.2"/>
    <row r="19119" ht="12.75" hidden="1" customHeight="1" x14ac:dyDescent="0.2"/>
    <row r="19120" ht="12.75" hidden="1" customHeight="1" x14ac:dyDescent="0.2"/>
    <row r="19121" ht="12.75" hidden="1" customHeight="1" x14ac:dyDescent="0.2"/>
    <row r="19122" ht="12.75" hidden="1" customHeight="1" x14ac:dyDescent="0.2"/>
    <row r="19123" ht="12.75" hidden="1" customHeight="1" x14ac:dyDescent="0.2"/>
    <row r="19124" ht="12.75" hidden="1" customHeight="1" x14ac:dyDescent="0.2"/>
    <row r="19125" ht="12.75" hidden="1" customHeight="1" x14ac:dyDescent="0.2"/>
    <row r="19126" ht="12.75" hidden="1" customHeight="1" x14ac:dyDescent="0.2"/>
    <row r="19127" ht="12.75" hidden="1" customHeight="1" x14ac:dyDescent="0.2"/>
    <row r="19128" ht="12.75" hidden="1" customHeight="1" x14ac:dyDescent="0.2"/>
    <row r="19129" ht="12.75" hidden="1" customHeight="1" x14ac:dyDescent="0.2"/>
    <row r="19130" ht="12.75" hidden="1" customHeight="1" x14ac:dyDescent="0.2"/>
    <row r="19131" ht="12.75" hidden="1" customHeight="1" x14ac:dyDescent="0.2"/>
    <row r="19132" ht="12.75" hidden="1" customHeight="1" x14ac:dyDescent="0.2"/>
    <row r="19133" ht="12.75" hidden="1" customHeight="1" x14ac:dyDescent="0.2"/>
    <row r="19134" ht="12.75" hidden="1" customHeight="1" x14ac:dyDescent="0.2"/>
    <row r="19135" ht="12.75" hidden="1" customHeight="1" x14ac:dyDescent="0.2"/>
    <row r="19136" ht="12.75" hidden="1" customHeight="1" x14ac:dyDescent="0.2"/>
    <row r="19137" ht="12.75" hidden="1" customHeight="1" x14ac:dyDescent="0.2"/>
    <row r="19138" ht="12.75" hidden="1" customHeight="1" x14ac:dyDescent="0.2"/>
    <row r="19139" ht="12.75" hidden="1" customHeight="1" x14ac:dyDescent="0.2"/>
    <row r="19140" ht="12.75" hidden="1" customHeight="1" x14ac:dyDescent="0.2"/>
    <row r="19141" ht="12.75" hidden="1" customHeight="1" x14ac:dyDescent="0.2"/>
    <row r="19142" ht="12.75" hidden="1" customHeight="1" x14ac:dyDescent="0.2"/>
    <row r="19143" ht="12.75" hidden="1" customHeight="1" x14ac:dyDescent="0.2"/>
    <row r="19144" ht="12.75" hidden="1" customHeight="1" x14ac:dyDescent="0.2"/>
    <row r="19145" ht="12.75" hidden="1" customHeight="1" x14ac:dyDescent="0.2"/>
    <row r="19146" ht="12.75" hidden="1" customHeight="1" x14ac:dyDescent="0.2"/>
    <row r="19147" ht="12.75" hidden="1" customHeight="1" x14ac:dyDescent="0.2"/>
    <row r="19148" ht="12.75" hidden="1" customHeight="1" x14ac:dyDescent="0.2"/>
    <row r="19149" ht="12.75" hidden="1" customHeight="1" x14ac:dyDescent="0.2"/>
    <row r="19150" ht="12.75" hidden="1" customHeight="1" x14ac:dyDescent="0.2"/>
    <row r="19151" ht="12.75" hidden="1" customHeight="1" x14ac:dyDescent="0.2"/>
    <row r="19152" ht="12.75" hidden="1" customHeight="1" x14ac:dyDescent="0.2"/>
    <row r="19153" ht="12.75" hidden="1" customHeight="1" x14ac:dyDescent="0.2"/>
    <row r="19154" ht="12.75" hidden="1" customHeight="1" x14ac:dyDescent="0.2"/>
    <row r="19155" ht="12.75" hidden="1" customHeight="1" x14ac:dyDescent="0.2"/>
    <row r="19156" ht="12.75" hidden="1" customHeight="1" x14ac:dyDescent="0.2"/>
    <row r="19157" ht="12.75" hidden="1" customHeight="1" x14ac:dyDescent="0.2"/>
    <row r="19158" ht="12.75" hidden="1" customHeight="1" x14ac:dyDescent="0.2"/>
    <row r="19159" ht="12.75" hidden="1" customHeight="1" x14ac:dyDescent="0.2"/>
    <row r="19160" ht="12.75" hidden="1" customHeight="1" x14ac:dyDescent="0.2"/>
    <row r="19161" ht="12.75" hidden="1" customHeight="1" x14ac:dyDescent="0.2"/>
    <row r="19162" ht="12.75" hidden="1" customHeight="1" x14ac:dyDescent="0.2"/>
    <row r="19163" ht="12.75" hidden="1" customHeight="1" x14ac:dyDescent="0.2"/>
    <row r="19164" ht="12.75" hidden="1" customHeight="1" x14ac:dyDescent="0.2"/>
    <row r="19165" ht="12.75" hidden="1" customHeight="1" x14ac:dyDescent="0.2"/>
    <row r="19166" ht="12.75" hidden="1" customHeight="1" x14ac:dyDescent="0.2"/>
    <row r="19167" ht="12.75" hidden="1" customHeight="1" x14ac:dyDescent="0.2"/>
    <row r="19168" ht="12.75" hidden="1" customHeight="1" x14ac:dyDescent="0.2"/>
    <row r="19169" ht="12.75" hidden="1" customHeight="1" x14ac:dyDescent="0.2"/>
    <row r="19170" ht="12.75" hidden="1" customHeight="1" x14ac:dyDescent="0.2"/>
    <row r="19171" ht="12.75" hidden="1" customHeight="1" x14ac:dyDescent="0.2"/>
    <row r="19172" ht="12.75" hidden="1" customHeight="1" x14ac:dyDescent="0.2"/>
    <row r="19173" ht="12.75" hidden="1" customHeight="1" x14ac:dyDescent="0.2"/>
    <row r="19174" ht="12.75" hidden="1" customHeight="1" x14ac:dyDescent="0.2"/>
    <row r="19175" ht="12.75" hidden="1" customHeight="1" x14ac:dyDescent="0.2"/>
    <row r="19176" ht="12.75" hidden="1" customHeight="1" x14ac:dyDescent="0.2"/>
    <row r="19177" ht="12.75" hidden="1" customHeight="1" x14ac:dyDescent="0.2"/>
    <row r="19178" ht="12.75" hidden="1" customHeight="1" x14ac:dyDescent="0.2"/>
    <row r="19179" ht="12.75" hidden="1" customHeight="1" x14ac:dyDescent="0.2"/>
    <row r="19180" ht="12.75" hidden="1" customHeight="1" x14ac:dyDescent="0.2"/>
    <row r="19181" ht="12.75" hidden="1" customHeight="1" x14ac:dyDescent="0.2"/>
    <row r="19182" ht="12.75" hidden="1" customHeight="1" x14ac:dyDescent="0.2"/>
    <row r="19183" ht="12.75" hidden="1" customHeight="1" x14ac:dyDescent="0.2"/>
    <row r="19184" ht="12.75" hidden="1" customHeight="1" x14ac:dyDescent="0.2"/>
    <row r="19185" ht="12.75" hidden="1" customHeight="1" x14ac:dyDescent="0.2"/>
    <row r="19186" ht="12.75" hidden="1" customHeight="1" x14ac:dyDescent="0.2"/>
    <row r="19187" ht="12.75" hidden="1" customHeight="1" x14ac:dyDescent="0.2"/>
    <row r="19188" ht="12.75" hidden="1" customHeight="1" x14ac:dyDescent="0.2"/>
    <row r="19189" ht="12.75" hidden="1" customHeight="1" x14ac:dyDescent="0.2"/>
    <row r="19190" ht="12.75" hidden="1" customHeight="1" x14ac:dyDescent="0.2"/>
    <row r="19191" ht="12.75" hidden="1" customHeight="1" x14ac:dyDescent="0.2"/>
    <row r="19192" ht="12.75" hidden="1" customHeight="1" x14ac:dyDescent="0.2"/>
    <row r="19193" ht="12.75" hidden="1" customHeight="1" x14ac:dyDescent="0.2"/>
    <row r="19194" ht="12.75" hidden="1" customHeight="1" x14ac:dyDescent="0.2"/>
    <row r="19195" ht="12.75" hidden="1" customHeight="1" x14ac:dyDescent="0.2"/>
    <row r="19196" ht="12.75" hidden="1" customHeight="1" x14ac:dyDescent="0.2"/>
    <row r="19197" ht="12.75" hidden="1" customHeight="1" x14ac:dyDescent="0.2"/>
    <row r="19198" ht="12.75" hidden="1" customHeight="1" x14ac:dyDescent="0.2"/>
    <row r="19199" ht="12.75" hidden="1" customHeight="1" x14ac:dyDescent="0.2"/>
    <row r="19200" ht="12.75" hidden="1" customHeight="1" x14ac:dyDescent="0.2"/>
    <row r="19201" ht="12.75" hidden="1" customHeight="1" x14ac:dyDescent="0.2"/>
    <row r="19202" ht="12.75" hidden="1" customHeight="1" x14ac:dyDescent="0.2"/>
    <row r="19203" ht="12.75" hidden="1" customHeight="1" x14ac:dyDescent="0.2"/>
    <row r="19204" ht="12.75" hidden="1" customHeight="1" x14ac:dyDescent="0.2"/>
    <row r="19205" ht="12.75" hidden="1" customHeight="1" x14ac:dyDescent="0.2"/>
    <row r="19206" ht="12.75" hidden="1" customHeight="1" x14ac:dyDescent="0.2"/>
    <row r="19207" ht="12.75" hidden="1" customHeight="1" x14ac:dyDescent="0.2"/>
    <row r="19208" ht="12.75" hidden="1" customHeight="1" x14ac:dyDescent="0.2"/>
    <row r="19209" ht="12.75" hidden="1" customHeight="1" x14ac:dyDescent="0.2"/>
    <row r="19210" ht="12.75" hidden="1" customHeight="1" x14ac:dyDescent="0.2"/>
    <row r="19211" ht="12.75" hidden="1" customHeight="1" x14ac:dyDescent="0.2"/>
    <row r="19212" ht="12.75" hidden="1" customHeight="1" x14ac:dyDescent="0.2"/>
    <row r="19213" ht="12.75" hidden="1" customHeight="1" x14ac:dyDescent="0.2"/>
    <row r="19214" ht="12.75" hidden="1" customHeight="1" x14ac:dyDescent="0.2"/>
    <row r="19215" ht="12.75" hidden="1" customHeight="1" x14ac:dyDescent="0.2"/>
    <row r="19216" ht="12.75" hidden="1" customHeight="1" x14ac:dyDescent="0.2"/>
    <row r="19217" ht="12.75" hidden="1" customHeight="1" x14ac:dyDescent="0.2"/>
    <row r="19218" ht="12.75" hidden="1" customHeight="1" x14ac:dyDescent="0.2"/>
    <row r="19219" ht="12.75" hidden="1" customHeight="1" x14ac:dyDescent="0.2"/>
    <row r="19220" ht="12.75" hidden="1" customHeight="1" x14ac:dyDescent="0.2"/>
    <row r="19221" ht="12.75" hidden="1" customHeight="1" x14ac:dyDescent="0.2"/>
    <row r="19222" ht="12.75" hidden="1" customHeight="1" x14ac:dyDescent="0.2"/>
    <row r="19223" ht="12.75" hidden="1" customHeight="1" x14ac:dyDescent="0.2"/>
    <row r="19224" ht="12.75" hidden="1" customHeight="1" x14ac:dyDescent="0.2"/>
    <row r="19225" ht="12.75" hidden="1" customHeight="1" x14ac:dyDescent="0.2"/>
    <row r="19226" ht="12.75" hidden="1" customHeight="1" x14ac:dyDescent="0.2"/>
    <row r="19227" ht="12.75" hidden="1" customHeight="1" x14ac:dyDescent="0.2"/>
    <row r="19228" ht="12.75" hidden="1" customHeight="1" x14ac:dyDescent="0.2"/>
    <row r="19229" ht="12.75" hidden="1" customHeight="1" x14ac:dyDescent="0.2"/>
    <row r="19230" ht="12.75" hidden="1" customHeight="1" x14ac:dyDescent="0.2"/>
    <row r="19231" ht="12.75" hidden="1" customHeight="1" x14ac:dyDescent="0.2"/>
    <row r="19232" ht="12.75" hidden="1" customHeight="1" x14ac:dyDescent="0.2"/>
    <row r="19233" ht="12.75" hidden="1" customHeight="1" x14ac:dyDescent="0.2"/>
    <row r="19234" ht="12.75" hidden="1" customHeight="1" x14ac:dyDescent="0.2"/>
    <row r="19235" ht="12.75" hidden="1" customHeight="1" x14ac:dyDescent="0.2"/>
    <row r="19236" ht="12.75" hidden="1" customHeight="1" x14ac:dyDescent="0.2"/>
    <row r="19237" ht="12.75" hidden="1" customHeight="1" x14ac:dyDescent="0.2"/>
    <row r="19238" ht="12.75" hidden="1" customHeight="1" x14ac:dyDescent="0.2"/>
    <row r="19239" ht="12.75" hidden="1" customHeight="1" x14ac:dyDescent="0.2"/>
    <row r="19240" ht="12.75" hidden="1" customHeight="1" x14ac:dyDescent="0.2"/>
    <row r="19241" ht="12.75" hidden="1" customHeight="1" x14ac:dyDescent="0.2"/>
    <row r="19242" ht="12.75" hidden="1" customHeight="1" x14ac:dyDescent="0.2"/>
    <row r="19243" ht="12.75" hidden="1" customHeight="1" x14ac:dyDescent="0.2"/>
    <row r="19244" ht="12.75" hidden="1" customHeight="1" x14ac:dyDescent="0.2"/>
    <row r="19245" ht="12.75" hidden="1" customHeight="1" x14ac:dyDescent="0.2"/>
    <row r="19246" ht="12.75" hidden="1" customHeight="1" x14ac:dyDescent="0.2"/>
    <row r="19247" ht="12.75" hidden="1" customHeight="1" x14ac:dyDescent="0.2"/>
    <row r="19248" ht="12.75" hidden="1" customHeight="1" x14ac:dyDescent="0.2"/>
    <row r="19249" ht="12.75" hidden="1" customHeight="1" x14ac:dyDescent="0.2"/>
    <row r="19250" ht="12.75" hidden="1" customHeight="1" x14ac:dyDescent="0.2"/>
    <row r="19251" ht="12.75" hidden="1" customHeight="1" x14ac:dyDescent="0.2"/>
    <row r="19252" ht="12.75" hidden="1" customHeight="1" x14ac:dyDescent="0.2"/>
    <row r="19253" ht="12.75" hidden="1" customHeight="1" x14ac:dyDescent="0.2"/>
    <row r="19254" ht="12.75" hidden="1" customHeight="1" x14ac:dyDescent="0.2"/>
    <row r="19255" ht="12.75" hidden="1" customHeight="1" x14ac:dyDescent="0.2"/>
    <row r="19256" ht="12.75" hidden="1" customHeight="1" x14ac:dyDescent="0.2"/>
    <row r="19257" ht="12.75" hidden="1" customHeight="1" x14ac:dyDescent="0.2"/>
    <row r="19258" ht="12.75" hidden="1" customHeight="1" x14ac:dyDescent="0.2"/>
    <row r="19259" ht="12.75" hidden="1" customHeight="1" x14ac:dyDescent="0.2"/>
    <row r="19260" ht="12.75" hidden="1" customHeight="1" x14ac:dyDescent="0.2"/>
    <row r="19261" ht="12.75" hidden="1" customHeight="1" x14ac:dyDescent="0.2"/>
    <row r="19262" ht="12.75" hidden="1" customHeight="1" x14ac:dyDescent="0.2"/>
    <row r="19263" ht="12.75" hidden="1" customHeight="1" x14ac:dyDescent="0.2"/>
    <row r="19264" ht="12.75" hidden="1" customHeight="1" x14ac:dyDescent="0.2"/>
    <row r="19265" ht="12.75" hidden="1" customHeight="1" x14ac:dyDescent="0.2"/>
    <row r="19266" ht="12.75" hidden="1" customHeight="1" x14ac:dyDescent="0.2"/>
    <row r="19267" ht="12.75" hidden="1" customHeight="1" x14ac:dyDescent="0.2"/>
    <row r="19268" ht="12.75" hidden="1" customHeight="1" x14ac:dyDescent="0.2"/>
    <row r="19269" ht="12.75" hidden="1" customHeight="1" x14ac:dyDescent="0.2"/>
    <row r="19270" ht="12.75" hidden="1" customHeight="1" x14ac:dyDescent="0.2"/>
    <row r="19271" ht="12.75" hidden="1" customHeight="1" x14ac:dyDescent="0.2"/>
    <row r="19272" ht="12.75" hidden="1" customHeight="1" x14ac:dyDescent="0.2"/>
    <row r="19273" ht="12.75" hidden="1" customHeight="1" x14ac:dyDescent="0.2"/>
    <row r="19274" ht="12.75" hidden="1" customHeight="1" x14ac:dyDescent="0.2"/>
    <row r="19275" ht="12.75" hidden="1" customHeight="1" x14ac:dyDescent="0.2"/>
    <row r="19276" ht="12.75" hidden="1" customHeight="1" x14ac:dyDescent="0.2"/>
    <row r="19277" ht="12.75" hidden="1" customHeight="1" x14ac:dyDescent="0.2"/>
    <row r="19278" ht="12.75" hidden="1" customHeight="1" x14ac:dyDescent="0.2"/>
    <row r="19279" ht="12.75" hidden="1" customHeight="1" x14ac:dyDescent="0.2"/>
    <row r="19280" ht="12.75" hidden="1" customHeight="1" x14ac:dyDescent="0.2"/>
    <row r="19281" ht="12.75" hidden="1" customHeight="1" x14ac:dyDescent="0.2"/>
    <row r="19282" ht="12.75" hidden="1" customHeight="1" x14ac:dyDescent="0.2"/>
    <row r="19283" ht="12.75" hidden="1" customHeight="1" x14ac:dyDescent="0.2"/>
    <row r="19284" ht="12.75" hidden="1" customHeight="1" x14ac:dyDescent="0.2"/>
    <row r="19285" ht="12.75" hidden="1" customHeight="1" x14ac:dyDescent="0.2"/>
    <row r="19286" ht="12.75" hidden="1" customHeight="1" x14ac:dyDescent="0.2"/>
    <row r="19287" ht="12.75" hidden="1" customHeight="1" x14ac:dyDescent="0.2"/>
    <row r="19288" ht="12.75" hidden="1" customHeight="1" x14ac:dyDescent="0.2"/>
    <row r="19289" ht="12.75" hidden="1" customHeight="1" x14ac:dyDescent="0.2"/>
    <row r="19290" ht="12.75" hidden="1" customHeight="1" x14ac:dyDescent="0.2"/>
    <row r="19291" ht="12.75" hidden="1" customHeight="1" x14ac:dyDescent="0.2"/>
    <row r="19292" ht="12.75" hidden="1" customHeight="1" x14ac:dyDescent="0.2"/>
    <row r="19293" ht="12.75" hidden="1" customHeight="1" x14ac:dyDescent="0.2"/>
    <row r="19294" ht="12.75" hidden="1" customHeight="1" x14ac:dyDescent="0.2"/>
    <row r="19295" ht="12.75" hidden="1" customHeight="1" x14ac:dyDescent="0.2"/>
    <row r="19296" ht="12.75" hidden="1" customHeight="1" x14ac:dyDescent="0.2"/>
    <row r="19297" ht="12.75" hidden="1" customHeight="1" x14ac:dyDescent="0.2"/>
    <row r="19298" ht="12.75" hidden="1" customHeight="1" x14ac:dyDescent="0.2"/>
    <row r="19299" ht="12.75" hidden="1" customHeight="1" x14ac:dyDescent="0.2"/>
    <row r="19300" ht="12.75" hidden="1" customHeight="1" x14ac:dyDescent="0.2"/>
    <row r="19301" ht="12.75" hidden="1" customHeight="1" x14ac:dyDescent="0.2"/>
    <row r="19302" ht="12.75" hidden="1" customHeight="1" x14ac:dyDescent="0.2"/>
    <row r="19303" ht="12.75" hidden="1" customHeight="1" x14ac:dyDescent="0.2"/>
    <row r="19304" ht="12.75" hidden="1" customHeight="1" x14ac:dyDescent="0.2"/>
    <row r="19305" ht="12.75" hidden="1" customHeight="1" x14ac:dyDescent="0.2"/>
    <row r="19306" ht="12.75" hidden="1" customHeight="1" x14ac:dyDescent="0.2"/>
    <row r="19307" ht="12.75" hidden="1" customHeight="1" x14ac:dyDescent="0.2"/>
    <row r="19308" ht="12.75" hidden="1" customHeight="1" x14ac:dyDescent="0.2"/>
    <row r="19309" ht="12.75" hidden="1" customHeight="1" x14ac:dyDescent="0.2"/>
    <row r="19310" ht="12.75" hidden="1" customHeight="1" x14ac:dyDescent="0.2"/>
    <row r="19311" ht="12.75" hidden="1" customHeight="1" x14ac:dyDescent="0.2"/>
    <row r="19312" ht="12.75" hidden="1" customHeight="1" x14ac:dyDescent="0.2"/>
    <row r="19313" ht="12.75" hidden="1" customHeight="1" x14ac:dyDescent="0.2"/>
    <row r="19314" ht="12.75" hidden="1" customHeight="1" x14ac:dyDescent="0.2"/>
    <row r="19315" ht="12.75" hidden="1" customHeight="1" x14ac:dyDescent="0.2"/>
    <row r="19316" ht="12.75" hidden="1" customHeight="1" x14ac:dyDescent="0.2"/>
    <row r="19317" ht="12.75" hidden="1" customHeight="1" x14ac:dyDescent="0.2"/>
    <row r="19318" ht="12.75" hidden="1" customHeight="1" x14ac:dyDescent="0.2"/>
    <row r="19319" ht="12.75" hidden="1" customHeight="1" x14ac:dyDescent="0.2"/>
    <row r="19320" ht="12.75" hidden="1" customHeight="1" x14ac:dyDescent="0.2"/>
    <row r="19321" ht="12.75" hidden="1" customHeight="1" x14ac:dyDescent="0.2"/>
    <row r="19322" ht="12.75" hidden="1" customHeight="1" x14ac:dyDescent="0.2"/>
    <row r="19323" ht="12.75" hidden="1" customHeight="1" x14ac:dyDescent="0.2"/>
    <row r="19324" ht="12.75" hidden="1" customHeight="1" x14ac:dyDescent="0.2"/>
    <row r="19325" ht="12.75" hidden="1" customHeight="1" x14ac:dyDescent="0.2"/>
    <row r="19326" ht="12.75" hidden="1" customHeight="1" x14ac:dyDescent="0.2"/>
    <row r="19327" ht="12.75" hidden="1" customHeight="1" x14ac:dyDescent="0.2"/>
    <row r="19328" ht="12.75" hidden="1" customHeight="1" x14ac:dyDescent="0.2"/>
    <row r="19329" ht="12.75" hidden="1" customHeight="1" x14ac:dyDescent="0.2"/>
    <row r="19330" ht="12.75" hidden="1" customHeight="1" x14ac:dyDescent="0.2"/>
    <row r="19331" ht="12.75" hidden="1" customHeight="1" x14ac:dyDescent="0.2"/>
    <row r="19332" ht="12.75" hidden="1" customHeight="1" x14ac:dyDescent="0.2"/>
    <row r="19333" ht="12.75" hidden="1" customHeight="1" x14ac:dyDescent="0.2"/>
    <row r="19334" ht="12.75" hidden="1" customHeight="1" x14ac:dyDescent="0.2"/>
    <row r="19335" ht="12.75" hidden="1" customHeight="1" x14ac:dyDescent="0.2"/>
    <row r="19336" ht="12.75" hidden="1" customHeight="1" x14ac:dyDescent="0.2"/>
    <row r="19337" ht="12.75" hidden="1" customHeight="1" x14ac:dyDescent="0.2"/>
    <row r="19338" ht="12.75" hidden="1" customHeight="1" x14ac:dyDescent="0.2"/>
    <row r="19339" ht="12.75" hidden="1" customHeight="1" x14ac:dyDescent="0.2"/>
    <row r="19340" ht="12.75" hidden="1" customHeight="1" x14ac:dyDescent="0.2"/>
    <row r="19341" ht="12.75" hidden="1" customHeight="1" x14ac:dyDescent="0.2"/>
    <row r="19342" ht="12.75" hidden="1" customHeight="1" x14ac:dyDescent="0.2"/>
    <row r="19343" ht="12.75" hidden="1" customHeight="1" x14ac:dyDescent="0.2"/>
    <row r="19344" ht="12.75" hidden="1" customHeight="1" x14ac:dyDescent="0.2"/>
    <row r="19345" ht="12.75" hidden="1" customHeight="1" x14ac:dyDescent="0.2"/>
    <row r="19346" ht="12.75" hidden="1" customHeight="1" x14ac:dyDescent="0.2"/>
    <row r="19347" ht="12.75" hidden="1" customHeight="1" x14ac:dyDescent="0.2"/>
    <row r="19348" ht="12.75" hidden="1" customHeight="1" x14ac:dyDescent="0.2"/>
    <row r="19349" ht="12.75" hidden="1" customHeight="1" x14ac:dyDescent="0.2"/>
    <row r="19350" ht="12.75" hidden="1" customHeight="1" x14ac:dyDescent="0.2"/>
    <row r="19351" ht="12.75" hidden="1" customHeight="1" x14ac:dyDescent="0.2"/>
    <row r="19352" ht="12.75" hidden="1" customHeight="1" x14ac:dyDescent="0.2"/>
    <row r="19353" ht="12.75" hidden="1" customHeight="1" x14ac:dyDescent="0.2"/>
    <row r="19354" ht="12.75" hidden="1" customHeight="1" x14ac:dyDescent="0.2"/>
    <row r="19355" ht="12.75" hidden="1" customHeight="1" x14ac:dyDescent="0.2"/>
    <row r="19356" ht="12.75" hidden="1" customHeight="1" x14ac:dyDescent="0.2"/>
    <row r="19357" ht="12.75" hidden="1" customHeight="1" x14ac:dyDescent="0.2"/>
    <row r="19358" ht="12.75" hidden="1" customHeight="1" x14ac:dyDescent="0.2"/>
    <row r="19359" ht="12.75" hidden="1" customHeight="1" x14ac:dyDescent="0.2"/>
    <row r="19360" ht="12.75" hidden="1" customHeight="1" x14ac:dyDescent="0.2"/>
    <row r="19361" ht="12.75" hidden="1" customHeight="1" x14ac:dyDescent="0.2"/>
    <row r="19362" ht="12.75" hidden="1" customHeight="1" x14ac:dyDescent="0.2"/>
    <row r="19363" ht="12.75" hidden="1" customHeight="1" x14ac:dyDescent="0.2"/>
    <row r="19364" ht="12.75" hidden="1" customHeight="1" x14ac:dyDescent="0.2"/>
    <row r="19365" ht="12.75" hidden="1" customHeight="1" x14ac:dyDescent="0.2"/>
    <row r="19366" ht="12.75" hidden="1" customHeight="1" x14ac:dyDescent="0.2"/>
    <row r="19367" ht="12.75" hidden="1" customHeight="1" x14ac:dyDescent="0.2"/>
    <row r="19368" ht="12.75" hidden="1" customHeight="1" x14ac:dyDescent="0.2"/>
    <row r="19369" ht="12.75" hidden="1" customHeight="1" x14ac:dyDescent="0.2"/>
    <row r="19370" ht="12.75" hidden="1" customHeight="1" x14ac:dyDescent="0.2"/>
    <row r="19371" ht="12.75" hidden="1" customHeight="1" x14ac:dyDescent="0.2"/>
    <row r="19372" ht="12.75" hidden="1" customHeight="1" x14ac:dyDescent="0.2"/>
    <row r="19373" ht="12.75" hidden="1" customHeight="1" x14ac:dyDescent="0.2"/>
    <row r="19374" ht="12.75" hidden="1" customHeight="1" x14ac:dyDescent="0.2"/>
    <row r="19375" ht="12.75" hidden="1" customHeight="1" x14ac:dyDescent="0.2"/>
    <row r="19376" ht="12.75" hidden="1" customHeight="1" x14ac:dyDescent="0.2"/>
    <row r="19377" ht="12.75" hidden="1" customHeight="1" x14ac:dyDescent="0.2"/>
    <row r="19378" ht="12.75" hidden="1" customHeight="1" x14ac:dyDescent="0.2"/>
    <row r="19379" ht="12.75" hidden="1" customHeight="1" x14ac:dyDescent="0.2"/>
    <row r="19380" ht="12.75" hidden="1" customHeight="1" x14ac:dyDescent="0.2"/>
    <row r="19381" ht="12.75" hidden="1" customHeight="1" x14ac:dyDescent="0.2"/>
    <row r="19382" ht="12.75" hidden="1" customHeight="1" x14ac:dyDescent="0.2"/>
    <row r="19383" ht="12.75" hidden="1" customHeight="1" x14ac:dyDescent="0.2"/>
    <row r="19384" ht="12.75" hidden="1" customHeight="1" x14ac:dyDescent="0.2"/>
    <row r="19385" ht="12.75" hidden="1" customHeight="1" x14ac:dyDescent="0.2"/>
    <row r="19386" ht="12.75" hidden="1" customHeight="1" x14ac:dyDescent="0.2"/>
    <row r="19387" ht="12.75" hidden="1" customHeight="1" x14ac:dyDescent="0.2"/>
    <row r="19388" ht="12.75" hidden="1" customHeight="1" x14ac:dyDescent="0.2"/>
    <row r="19389" ht="12.75" hidden="1" customHeight="1" x14ac:dyDescent="0.2"/>
    <row r="19390" ht="12.75" hidden="1" customHeight="1" x14ac:dyDescent="0.2"/>
    <row r="19391" ht="12.75" hidden="1" customHeight="1" x14ac:dyDescent="0.2"/>
    <row r="19392" ht="12.75" hidden="1" customHeight="1" x14ac:dyDescent="0.2"/>
    <row r="19393" ht="12.75" hidden="1" customHeight="1" x14ac:dyDescent="0.2"/>
    <row r="19394" ht="12.75" hidden="1" customHeight="1" x14ac:dyDescent="0.2"/>
    <row r="19395" ht="12.75" hidden="1" customHeight="1" x14ac:dyDescent="0.2"/>
    <row r="19396" ht="12.75" hidden="1" customHeight="1" x14ac:dyDescent="0.2"/>
    <row r="19397" ht="12.75" hidden="1" customHeight="1" x14ac:dyDescent="0.2"/>
    <row r="19398" ht="12.75" hidden="1" customHeight="1" x14ac:dyDescent="0.2"/>
    <row r="19399" ht="12.75" hidden="1" customHeight="1" x14ac:dyDescent="0.2"/>
    <row r="19400" ht="12.75" hidden="1" customHeight="1" x14ac:dyDescent="0.2"/>
    <row r="19401" ht="12.75" hidden="1" customHeight="1" x14ac:dyDescent="0.2"/>
    <row r="19402" ht="12.75" hidden="1" customHeight="1" x14ac:dyDescent="0.2"/>
    <row r="19403" ht="12.75" hidden="1" customHeight="1" x14ac:dyDescent="0.2"/>
    <row r="19404" ht="12.75" hidden="1" customHeight="1" x14ac:dyDescent="0.2"/>
    <row r="19405" ht="12.75" hidden="1" customHeight="1" x14ac:dyDescent="0.2"/>
    <row r="19406" ht="12.75" hidden="1" customHeight="1" x14ac:dyDescent="0.2"/>
    <row r="19407" ht="12.75" hidden="1" customHeight="1" x14ac:dyDescent="0.2"/>
    <row r="19408" ht="12.75" hidden="1" customHeight="1" x14ac:dyDescent="0.2"/>
    <row r="19409" ht="12.75" hidden="1" customHeight="1" x14ac:dyDescent="0.2"/>
    <row r="19410" ht="12.75" hidden="1" customHeight="1" x14ac:dyDescent="0.2"/>
    <row r="19411" ht="12.75" hidden="1" customHeight="1" x14ac:dyDescent="0.2"/>
    <row r="19412" ht="12.75" hidden="1" customHeight="1" x14ac:dyDescent="0.2"/>
    <row r="19413" ht="12.75" hidden="1" customHeight="1" x14ac:dyDescent="0.2"/>
    <row r="19414" ht="12.75" hidden="1" customHeight="1" x14ac:dyDescent="0.2"/>
    <row r="19415" ht="12.75" hidden="1" customHeight="1" x14ac:dyDescent="0.2"/>
    <row r="19416" ht="12.75" hidden="1" customHeight="1" x14ac:dyDescent="0.2"/>
    <row r="19417" ht="12.75" hidden="1" customHeight="1" x14ac:dyDescent="0.2"/>
    <row r="19418" ht="12.75" hidden="1" customHeight="1" x14ac:dyDescent="0.2"/>
    <row r="19419" ht="12.75" hidden="1" customHeight="1" x14ac:dyDescent="0.2"/>
    <row r="19420" ht="12.75" hidden="1" customHeight="1" x14ac:dyDescent="0.2"/>
    <row r="19421" ht="12.75" hidden="1" customHeight="1" x14ac:dyDescent="0.2"/>
    <row r="19422" ht="12.75" hidden="1" customHeight="1" x14ac:dyDescent="0.2"/>
    <row r="19423" ht="12.75" hidden="1" customHeight="1" x14ac:dyDescent="0.2"/>
    <row r="19424" ht="12.75" hidden="1" customHeight="1" x14ac:dyDescent="0.2"/>
    <row r="19425" ht="12.75" hidden="1" customHeight="1" x14ac:dyDescent="0.2"/>
    <row r="19426" ht="12.75" hidden="1" customHeight="1" x14ac:dyDescent="0.2"/>
    <row r="19427" ht="12.75" hidden="1" customHeight="1" x14ac:dyDescent="0.2"/>
    <row r="19428" ht="12.75" hidden="1" customHeight="1" x14ac:dyDescent="0.2"/>
    <row r="19429" ht="12.75" hidden="1" customHeight="1" x14ac:dyDescent="0.2"/>
    <row r="19430" ht="12.75" hidden="1" customHeight="1" x14ac:dyDescent="0.2"/>
    <row r="19431" ht="12.75" hidden="1" customHeight="1" x14ac:dyDescent="0.2"/>
    <row r="19432" ht="12.75" hidden="1" customHeight="1" x14ac:dyDescent="0.2"/>
    <row r="19433" ht="12.75" hidden="1" customHeight="1" x14ac:dyDescent="0.2"/>
    <row r="19434" ht="12.75" hidden="1" customHeight="1" x14ac:dyDescent="0.2"/>
    <row r="19435" ht="12.75" hidden="1" customHeight="1" x14ac:dyDescent="0.2"/>
    <row r="19436" ht="12.75" hidden="1" customHeight="1" x14ac:dyDescent="0.2"/>
    <row r="19437" ht="12.75" hidden="1" customHeight="1" x14ac:dyDescent="0.2"/>
    <row r="19438" ht="12.75" hidden="1" customHeight="1" x14ac:dyDescent="0.2"/>
    <row r="19439" ht="12.75" hidden="1" customHeight="1" x14ac:dyDescent="0.2"/>
    <row r="19440" ht="12.75" hidden="1" customHeight="1" x14ac:dyDescent="0.2"/>
    <row r="19441" ht="12.75" hidden="1" customHeight="1" x14ac:dyDescent="0.2"/>
    <row r="19442" ht="12.75" hidden="1" customHeight="1" x14ac:dyDescent="0.2"/>
    <row r="19443" ht="12.75" hidden="1" customHeight="1" x14ac:dyDescent="0.2"/>
    <row r="19444" ht="12.75" hidden="1" customHeight="1" x14ac:dyDescent="0.2"/>
    <row r="19445" ht="12.75" hidden="1" customHeight="1" x14ac:dyDescent="0.2"/>
    <row r="19446" ht="12.75" hidden="1" customHeight="1" x14ac:dyDescent="0.2"/>
    <row r="19447" ht="12.75" hidden="1" customHeight="1" x14ac:dyDescent="0.2"/>
    <row r="19448" ht="12.75" hidden="1" customHeight="1" x14ac:dyDescent="0.2"/>
    <row r="19449" ht="12.75" hidden="1" customHeight="1" x14ac:dyDescent="0.2"/>
    <row r="19450" ht="12.75" hidden="1" customHeight="1" x14ac:dyDescent="0.2"/>
    <row r="19451" ht="12.75" hidden="1" customHeight="1" x14ac:dyDescent="0.2"/>
    <row r="19452" ht="12.75" hidden="1" customHeight="1" x14ac:dyDescent="0.2"/>
    <row r="19453" ht="12.75" hidden="1" customHeight="1" x14ac:dyDescent="0.2"/>
    <row r="19454" ht="12.75" hidden="1" customHeight="1" x14ac:dyDescent="0.2"/>
    <row r="19455" ht="12.75" hidden="1" customHeight="1" x14ac:dyDescent="0.2"/>
    <row r="19456" ht="12.75" hidden="1" customHeight="1" x14ac:dyDescent="0.2"/>
    <row r="19457" ht="12.75" hidden="1" customHeight="1" x14ac:dyDescent="0.2"/>
    <row r="19458" ht="12.75" hidden="1" customHeight="1" x14ac:dyDescent="0.2"/>
    <row r="19459" ht="12.75" hidden="1" customHeight="1" x14ac:dyDescent="0.2"/>
    <row r="19460" ht="12.75" hidden="1" customHeight="1" x14ac:dyDescent="0.2"/>
    <row r="19461" ht="12.75" hidden="1" customHeight="1" x14ac:dyDescent="0.2"/>
    <row r="19462" ht="12.75" hidden="1" customHeight="1" x14ac:dyDescent="0.2"/>
    <row r="19463" ht="12.75" hidden="1" customHeight="1" x14ac:dyDescent="0.2"/>
    <row r="19464" ht="12.75" hidden="1" customHeight="1" x14ac:dyDescent="0.2"/>
    <row r="19465" ht="12.75" hidden="1" customHeight="1" x14ac:dyDescent="0.2"/>
    <row r="19466" ht="12.75" hidden="1" customHeight="1" x14ac:dyDescent="0.2"/>
    <row r="19467" ht="12.75" hidden="1" customHeight="1" x14ac:dyDescent="0.2"/>
    <row r="19468" ht="12.75" hidden="1" customHeight="1" x14ac:dyDescent="0.2"/>
    <row r="19469" ht="12.75" hidden="1" customHeight="1" x14ac:dyDescent="0.2"/>
    <row r="19470" ht="12.75" hidden="1" customHeight="1" x14ac:dyDescent="0.2"/>
    <row r="19471" ht="12.75" hidden="1" customHeight="1" x14ac:dyDescent="0.2"/>
    <row r="19472" ht="12.75" hidden="1" customHeight="1" x14ac:dyDescent="0.2"/>
    <row r="19473" ht="12.75" hidden="1" customHeight="1" x14ac:dyDescent="0.2"/>
    <row r="19474" ht="12.75" hidden="1" customHeight="1" x14ac:dyDescent="0.2"/>
    <row r="19475" ht="12.75" hidden="1" customHeight="1" x14ac:dyDescent="0.2"/>
    <row r="19476" ht="12.75" hidden="1" customHeight="1" x14ac:dyDescent="0.2"/>
    <row r="19477" ht="12.75" hidden="1" customHeight="1" x14ac:dyDescent="0.2"/>
    <row r="19478" ht="12.75" hidden="1" customHeight="1" x14ac:dyDescent="0.2"/>
    <row r="19479" ht="12.75" hidden="1" customHeight="1" x14ac:dyDescent="0.2"/>
    <row r="19480" ht="12.75" hidden="1" customHeight="1" x14ac:dyDescent="0.2"/>
    <row r="19481" ht="12.75" hidden="1" customHeight="1" x14ac:dyDescent="0.2"/>
    <row r="19482" ht="12.75" hidden="1" customHeight="1" x14ac:dyDescent="0.2"/>
    <row r="19483" ht="12.75" hidden="1" customHeight="1" x14ac:dyDescent="0.2"/>
    <row r="19484" ht="12.75" hidden="1" customHeight="1" x14ac:dyDescent="0.2"/>
    <row r="19485" ht="12.75" hidden="1" customHeight="1" x14ac:dyDescent="0.2"/>
    <row r="19486" ht="12.75" hidden="1" customHeight="1" x14ac:dyDescent="0.2"/>
    <row r="19487" ht="12.75" hidden="1" customHeight="1" x14ac:dyDescent="0.2"/>
    <row r="19488" ht="12.75" hidden="1" customHeight="1" x14ac:dyDescent="0.2"/>
    <row r="19489" ht="12.75" hidden="1" customHeight="1" x14ac:dyDescent="0.2"/>
    <row r="19490" ht="12.75" hidden="1" customHeight="1" x14ac:dyDescent="0.2"/>
    <row r="19491" ht="12.75" hidden="1" customHeight="1" x14ac:dyDescent="0.2"/>
    <row r="19492" ht="12.75" hidden="1" customHeight="1" x14ac:dyDescent="0.2"/>
    <row r="19493" ht="12.75" hidden="1" customHeight="1" x14ac:dyDescent="0.2"/>
    <row r="19494" ht="12.75" hidden="1" customHeight="1" x14ac:dyDescent="0.2"/>
    <row r="19495" ht="12.75" hidden="1" customHeight="1" x14ac:dyDescent="0.2"/>
    <row r="19496" ht="12.75" hidden="1" customHeight="1" x14ac:dyDescent="0.2"/>
    <row r="19497" ht="12.75" hidden="1" customHeight="1" x14ac:dyDescent="0.2"/>
    <row r="19498" ht="12.75" hidden="1" customHeight="1" x14ac:dyDescent="0.2"/>
    <row r="19499" ht="12.75" hidden="1" customHeight="1" x14ac:dyDescent="0.2"/>
    <row r="19500" ht="12.75" hidden="1" customHeight="1" x14ac:dyDescent="0.2"/>
    <row r="19501" ht="12.75" hidden="1" customHeight="1" x14ac:dyDescent="0.2"/>
    <row r="19502" ht="12.75" hidden="1" customHeight="1" x14ac:dyDescent="0.2"/>
    <row r="19503" ht="12.75" hidden="1" customHeight="1" x14ac:dyDescent="0.2"/>
    <row r="19504" ht="12.75" hidden="1" customHeight="1" x14ac:dyDescent="0.2"/>
    <row r="19505" ht="12.75" hidden="1" customHeight="1" x14ac:dyDescent="0.2"/>
    <row r="19506" ht="12.75" hidden="1" customHeight="1" x14ac:dyDescent="0.2"/>
    <row r="19507" ht="12.75" hidden="1" customHeight="1" x14ac:dyDescent="0.2"/>
    <row r="19508" ht="12.75" hidden="1" customHeight="1" x14ac:dyDescent="0.2"/>
    <row r="19509" ht="12.75" hidden="1" customHeight="1" x14ac:dyDescent="0.2"/>
    <row r="19510" ht="12.75" hidden="1" customHeight="1" x14ac:dyDescent="0.2"/>
    <row r="19511" ht="12.75" hidden="1" customHeight="1" x14ac:dyDescent="0.2"/>
    <row r="19512" ht="12.75" hidden="1" customHeight="1" x14ac:dyDescent="0.2"/>
    <row r="19513" ht="12.75" hidden="1" customHeight="1" x14ac:dyDescent="0.2"/>
    <row r="19514" ht="12.75" hidden="1" customHeight="1" x14ac:dyDescent="0.2"/>
    <row r="19515" ht="12.75" hidden="1" customHeight="1" x14ac:dyDescent="0.2"/>
    <row r="19516" ht="12.75" hidden="1" customHeight="1" x14ac:dyDescent="0.2"/>
    <row r="19517" ht="12.75" hidden="1" customHeight="1" x14ac:dyDescent="0.2"/>
    <row r="19518" ht="12.75" hidden="1" customHeight="1" x14ac:dyDescent="0.2"/>
    <row r="19519" ht="12.75" hidden="1" customHeight="1" x14ac:dyDescent="0.2"/>
    <row r="19520" ht="12.75" hidden="1" customHeight="1" x14ac:dyDescent="0.2"/>
    <row r="19521" ht="12.75" hidden="1" customHeight="1" x14ac:dyDescent="0.2"/>
    <row r="19522" ht="12.75" hidden="1" customHeight="1" x14ac:dyDescent="0.2"/>
    <row r="19523" ht="12.75" hidden="1" customHeight="1" x14ac:dyDescent="0.2"/>
    <row r="19524" ht="12.75" hidden="1" customHeight="1" x14ac:dyDescent="0.2"/>
    <row r="19525" ht="12.75" hidden="1" customHeight="1" x14ac:dyDescent="0.2"/>
    <row r="19526" ht="12.75" hidden="1" customHeight="1" x14ac:dyDescent="0.2"/>
    <row r="19527" ht="12.75" hidden="1" customHeight="1" x14ac:dyDescent="0.2"/>
    <row r="19528" ht="12.75" hidden="1" customHeight="1" x14ac:dyDescent="0.2"/>
    <row r="19529" ht="12.75" hidden="1" customHeight="1" x14ac:dyDescent="0.2"/>
    <row r="19530" ht="12.75" hidden="1" customHeight="1" x14ac:dyDescent="0.2"/>
    <row r="19531" ht="12.75" hidden="1" customHeight="1" x14ac:dyDescent="0.2"/>
    <row r="19532" ht="12.75" hidden="1" customHeight="1" x14ac:dyDescent="0.2"/>
    <row r="19533" ht="12.75" hidden="1" customHeight="1" x14ac:dyDescent="0.2"/>
    <row r="19534" ht="12.75" hidden="1" customHeight="1" x14ac:dyDescent="0.2"/>
    <row r="19535" ht="12.75" hidden="1" customHeight="1" x14ac:dyDescent="0.2"/>
    <row r="19536" ht="12.75" hidden="1" customHeight="1" x14ac:dyDescent="0.2"/>
    <row r="19537" ht="12.75" hidden="1" customHeight="1" x14ac:dyDescent="0.2"/>
    <row r="19538" ht="12.75" hidden="1" customHeight="1" x14ac:dyDescent="0.2"/>
    <row r="19539" ht="12.75" hidden="1" customHeight="1" x14ac:dyDescent="0.2"/>
    <row r="19540" ht="12.75" hidden="1" customHeight="1" x14ac:dyDescent="0.2"/>
    <row r="19541" ht="12.75" hidden="1" customHeight="1" x14ac:dyDescent="0.2"/>
    <row r="19542" ht="12.75" hidden="1" customHeight="1" x14ac:dyDescent="0.2"/>
    <row r="19543" ht="12.75" hidden="1" customHeight="1" x14ac:dyDescent="0.2"/>
    <row r="19544" ht="12.75" hidden="1" customHeight="1" x14ac:dyDescent="0.2"/>
    <row r="19545" ht="12.75" hidden="1" customHeight="1" x14ac:dyDescent="0.2"/>
    <row r="19546" ht="12.75" hidden="1" customHeight="1" x14ac:dyDescent="0.2"/>
    <row r="19547" ht="12.75" hidden="1" customHeight="1" x14ac:dyDescent="0.2"/>
    <row r="19548" ht="12.75" hidden="1" customHeight="1" x14ac:dyDescent="0.2"/>
    <row r="19549" ht="12.75" hidden="1" customHeight="1" x14ac:dyDescent="0.2"/>
    <row r="19550" ht="12.75" hidden="1" customHeight="1" x14ac:dyDescent="0.2"/>
    <row r="19551" ht="12.75" hidden="1" customHeight="1" x14ac:dyDescent="0.2"/>
    <row r="19552" ht="12.75" hidden="1" customHeight="1" x14ac:dyDescent="0.2"/>
    <row r="19553" ht="12.75" hidden="1" customHeight="1" x14ac:dyDescent="0.2"/>
    <row r="19554" ht="12.75" hidden="1" customHeight="1" x14ac:dyDescent="0.2"/>
    <row r="19555" ht="12.75" hidden="1" customHeight="1" x14ac:dyDescent="0.2"/>
    <row r="19556" ht="12.75" hidden="1" customHeight="1" x14ac:dyDescent="0.2"/>
    <row r="19557" ht="12.75" hidden="1" customHeight="1" x14ac:dyDescent="0.2"/>
    <row r="19558" ht="12.75" hidden="1" customHeight="1" x14ac:dyDescent="0.2"/>
    <row r="19559" ht="12.75" hidden="1" customHeight="1" x14ac:dyDescent="0.2"/>
    <row r="19560" ht="12.75" hidden="1" customHeight="1" x14ac:dyDescent="0.2"/>
    <row r="19561" ht="12.75" hidden="1" customHeight="1" x14ac:dyDescent="0.2"/>
    <row r="19562" ht="12.75" hidden="1" customHeight="1" x14ac:dyDescent="0.2"/>
    <row r="19563" ht="12.75" hidden="1" customHeight="1" x14ac:dyDescent="0.2"/>
    <row r="19564" ht="12.75" hidden="1" customHeight="1" x14ac:dyDescent="0.2"/>
    <row r="19565" ht="12.75" hidden="1" customHeight="1" x14ac:dyDescent="0.2"/>
    <row r="19566" ht="12.75" hidden="1" customHeight="1" x14ac:dyDescent="0.2"/>
    <row r="19567" ht="12.75" hidden="1" customHeight="1" x14ac:dyDescent="0.2"/>
    <row r="19568" ht="12.75" hidden="1" customHeight="1" x14ac:dyDescent="0.2"/>
    <row r="19569" ht="12.75" hidden="1" customHeight="1" x14ac:dyDescent="0.2"/>
    <row r="19570" ht="12.75" hidden="1" customHeight="1" x14ac:dyDescent="0.2"/>
    <row r="19571" ht="12.75" hidden="1" customHeight="1" x14ac:dyDescent="0.2"/>
    <row r="19572" ht="12.75" hidden="1" customHeight="1" x14ac:dyDescent="0.2"/>
    <row r="19573" ht="12.75" hidden="1" customHeight="1" x14ac:dyDescent="0.2"/>
    <row r="19574" ht="12.75" hidden="1" customHeight="1" x14ac:dyDescent="0.2"/>
    <row r="19575" ht="12.75" hidden="1" customHeight="1" x14ac:dyDescent="0.2"/>
    <row r="19576" ht="12.75" hidden="1" customHeight="1" x14ac:dyDescent="0.2"/>
    <row r="19577" ht="12.75" hidden="1" customHeight="1" x14ac:dyDescent="0.2"/>
    <row r="19578" ht="12.75" hidden="1" customHeight="1" x14ac:dyDescent="0.2"/>
    <row r="19579" ht="12.75" hidden="1" customHeight="1" x14ac:dyDescent="0.2"/>
    <row r="19580" ht="12.75" hidden="1" customHeight="1" x14ac:dyDescent="0.2"/>
    <row r="19581" ht="12.75" hidden="1" customHeight="1" x14ac:dyDescent="0.2"/>
    <row r="19582" ht="12.75" hidden="1" customHeight="1" x14ac:dyDescent="0.2"/>
    <row r="19583" ht="12.75" hidden="1" customHeight="1" x14ac:dyDescent="0.2"/>
    <row r="19584" ht="12.75" hidden="1" customHeight="1" x14ac:dyDescent="0.2"/>
    <row r="19585" ht="12.75" hidden="1" customHeight="1" x14ac:dyDescent="0.2"/>
    <row r="19586" ht="12.75" hidden="1" customHeight="1" x14ac:dyDescent="0.2"/>
    <row r="19587" ht="12.75" hidden="1" customHeight="1" x14ac:dyDescent="0.2"/>
    <row r="19588" ht="12.75" hidden="1" customHeight="1" x14ac:dyDescent="0.2"/>
    <row r="19589" ht="12.75" hidden="1" customHeight="1" x14ac:dyDescent="0.2"/>
    <row r="19590" ht="12.75" hidden="1" customHeight="1" x14ac:dyDescent="0.2"/>
    <row r="19591" ht="12.75" hidden="1" customHeight="1" x14ac:dyDescent="0.2"/>
    <row r="19592" ht="12.75" hidden="1" customHeight="1" x14ac:dyDescent="0.2"/>
    <row r="19593" ht="12.75" hidden="1" customHeight="1" x14ac:dyDescent="0.2"/>
    <row r="19594" ht="12.75" hidden="1" customHeight="1" x14ac:dyDescent="0.2"/>
    <row r="19595" ht="12.75" hidden="1" customHeight="1" x14ac:dyDescent="0.2"/>
    <row r="19596" ht="12.75" hidden="1" customHeight="1" x14ac:dyDescent="0.2"/>
    <row r="19597" ht="12.75" hidden="1" customHeight="1" x14ac:dyDescent="0.2"/>
    <row r="19598" ht="12.75" hidden="1" customHeight="1" x14ac:dyDescent="0.2"/>
    <row r="19599" ht="12.75" hidden="1" customHeight="1" x14ac:dyDescent="0.2"/>
    <row r="19600" ht="12.75" hidden="1" customHeight="1" x14ac:dyDescent="0.2"/>
    <row r="19601" ht="12.75" hidden="1" customHeight="1" x14ac:dyDescent="0.2"/>
    <row r="19602" ht="12.75" hidden="1" customHeight="1" x14ac:dyDescent="0.2"/>
    <row r="19603" ht="12.75" hidden="1" customHeight="1" x14ac:dyDescent="0.2"/>
    <row r="19604" ht="12.75" hidden="1" customHeight="1" x14ac:dyDescent="0.2"/>
    <row r="19605" ht="12.75" hidden="1" customHeight="1" x14ac:dyDescent="0.2"/>
    <row r="19606" ht="12.75" hidden="1" customHeight="1" x14ac:dyDescent="0.2"/>
    <row r="19607" ht="12.75" hidden="1" customHeight="1" x14ac:dyDescent="0.2"/>
    <row r="19608" ht="12.75" hidden="1" customHeight="1" x14ac:dyDescent="0.2"/>
    <row r="19609" ht="12.75" hidden="1" customHeight="1" x14ac:dyDescent="0.2"/>
    <row r="19610" ht="12.75" hidden="1" customHeight="1" x14ac:dyDescent="0.2"/>
    <row r="19611" ht="12.75" hidden="1" customHeight="1" x14ac:dyDescent="0.2"/>
    <row r="19612" ht="12.75" hidden="1" customHeight="1" x14ac:dyDescent="0.2"/>
    <row r="19613" ht="12.75" hidden="1" customHeight="1" x14ac:dyDescent="0.2"/>
    <row r="19614" ht="12.75" hidden="1" customHeight="1" x14ac:dyDescent="0.2"/>
    <row r="19615" ht="12.75" hidden="1" customHeight="1" x14ac:dyDescent="0.2"/>
    <row r="19616" ht="12.75" hidden="1" customHeight="1" x14ac:dyDescent="0.2"/>
    <row r="19617" ht="12.75" hidden="1" customHeight="1" x14ac:dyDescent="0.2"/>
    <row r="19618" ht="12.75" hidden="1" customHeight="1" x14ac:dyDescent="0.2"/>
    <row r="19619" ht="12.75" hidden="1" customHeight="1" x14ac:dyDescent="0.2"/>
    <row r="19620" ht="12.75" hidden="1" customHeight="1" x14ac:dyDescent="0.2"/>
    <row r="19621" ht="12.75" hidden="1" customHeight="1" x14ac:dyDescent="0.2"/>
    <row r="19622" ht="12.75" hidden="1" customHeight="1" x14ac:dyDescent="0.2"/>
    <row r="19623" ht="12.75" hidden="1" customHeight="1" x14ac:dyDescent="0.2"/>
    <row r="19624" ht="12.75" hidden="1" customHeight="1" x14ac:dyDescent="0.2"/>
    <row r="19625" ht="12.75" hidden="1" customHeight="1" x14ac:dyDescent="0.2"/>
    <row r="19626" ht="12.75" hidden="1" customHeight="1" x14ac:dyDescent="0.2"/>
    <row r="19627" ht="12.75" hidden="1" customHeight="1" x14ac:dyDescent="0.2"/>
    <row r="19628" ht="12.75" hidden="1" customHeight="1" x14ac:dyDescent="0.2"/>
    <row r="19629" ht="12.75" hidden="1" customHeight="1" x14ac:dyDescent="0.2"/>
    <row r="19630" ht="12.75" hidden="1" customHeight="1" x14ac:dyDescent="0.2"/>
    <row r="19631" ht="12.75" hidden="1" customHeight="1" x14ac:dyDescent="0.2"/>
    <row r="19632" ht="12.75" hidden="1" customHeight="1" x14ac:dyDescent="0.2"/>
    <row r="19633" ht="12.75" hidden="1" customHeight="1" x14ac:dyDescent="0.2"/>
    <row r="19634" ht="12.75" hidden="1" customHeight="1" x14ac:dyDescent="0.2"/>
    <row r="19635" ht="12.75" hidden="1" customHeight="1" x14ac:dyDescent="0.2"/>
    <row r="19636" ht="12.75" hidden="1" customHeight="1" x14ac:dyDescent="0.2"/>
    <row r="19637" ht="12.75" hidden="1" customHeight="1" x14ac:dyDescent="0.2"/>
    <row r="19638" ht="12.75" hidden="1" customHeight="1" x14ac:dyDescent="0.2"/>
    <row r="19639" ht="12.75" hidden="1" customHeight="1" x14ac:dyDescent="0.2"/>
    <row r="19640" ht="12.75" hidden="1" customHeight="1" x14ac:dyDescent="0.2"/>
    <row r="19641" ht="12.75" hidden="1" customHeight="1" x14ac:dyDescent="0.2"/>
    <row r="19642" ht="12.75" hidden="1" customHeight="1" x14ac:dyDescent="0.2"/>
    <row r="19643" ht="12.75" hidden="1" customHeight="1" x14ac:dyDescent="0.2"/>
    <row r="19644" ht="12.75" hidden="1" customHeight="1" x14ac:dyDescent="0.2"/>
    <row r="19645" ht="12.75" hidden="1" customHeight="1" x14ac:dyDescent="0.2"/>
    <row r="19646" ht="12.75" hidden="1" customHeight="1" x14ac:dyDescent="0.2"/>
    <row r="19647" ht="12.75" hidden="1" customHeight="1" x14ac:dyDescent="0.2"/>
    <row r="19648" ht="12.75" hidden="1" customHeight="1" x14ac:dyDescent="0.2"/>
    <row r="19649" ht="12.75" hidden="1" customHeight="1" x14ac:dyDescent="0.2"/>
    <row r="19650" ht="12.75" hidden="1" customHeight="1" x14ac:dyDescent="0.2"/>
    <row r="19651" ht="12.75" hidden="1" customHeight="1" x14ac:dyDescent="0.2"/>
    <row r="19652" ht="12.75" hidden="1" customHeight="1" x14ac:dyDescent="0.2"/>
    <row r="19653" ht="12.75" hidden="1" customHeight="1" x14ac:dyDescent="0.2"/>
    <row r="19654" ht="12.75" hidden="1" customHeight="1" x14ac:dyDescent="0.2"/>
    <row r="19655" ht="12.75" hidden="1" customHeight="1" x14ac:dyDescent="0.2"/>
    <row r="19656" ht="12.75" hidden="1" customHeight="1" x14ac:dyDescent="0.2"/>
    <row r="19657" ht="12.75" hidden="1" customHeight="1" x14ac:dyDescent="0.2"/>
    <row r="19658" ht="12.75" hidden="1" customHeight="1" x14ac:dyDescent="0.2"/>
    <row r="19659" ht="12.75" hidden="1" customHeight="1" x14ac:dyDescent="0.2"/>
    <row r="19660" ht="12.75" hidden="1" customHeight="1" x14ac:dyDescent="0.2"/>
    <row r="19661" ht="12.75" hidden="1" customHeight="1" x14ac:dyDescent="0.2"/>
    <row r="19662" ht="12.75" hidden="1" customHeight="1" x14ac:dyDescent="0.2"/>
    <row r="19663" ht="12.75" hidden="1" customHeight="1" x14ac:dyDescent="0.2"/>
    <row r="19664" ht="12.75" hidden="1" customHeight="1" x14ac:dyDescent="0.2"/>
    <row r="19665" ht="12.75" hidden="1" customHeight="1" x14ac:dyDescent="0.2"/>
    <row r="19666" ht="12.75" hidden="1" customHeight="1" x14ac:dyDescent="0.2"/>
    <row r="19667" ht="12.75" hidden="1" customHeight="1" x14ac:dyDescent="0.2"/>
    <row r="19668" ht="12.75" hidden="1" customHeight="1" x14ac:dyDescent="0.2"/>
    <row r="19669" ht="12.75" hidden="1" customHeight="1" x14ac:dyDescent="0.2"/>
    <row r="19670" ht="12.75" hidden="1" customHeight="1" x14ac:dyDescent="0.2"/>
    <row r="19671" ht="12.75" hidden="1" customHeight="1" x14ac:dyDescent="0.2"/>
    <row r="19672" ht="12.75" hidden="1" customHeight="1" x14ac:dyDescent="0.2"/>
    <row r="19673" ht="12.75" hidden="1" customHeight="1" x14ac:dyDescent="0.2"/>
    <row r="19674" ht="12.75" hidden="1" customHeight="1" x14ac:dyDescent="0.2"/>
    <row r="19675" ht="12.75" hidden="1" customHeight="1" x14ac:dyDescent="0.2"/>
    <row r="19676" ht="12.75" hidden="1" customHeight="1" x14ac:dyDescent="0.2"/>
    <row r="19677" ht="12.75" hidden="1" customHeight="1" x14ac:dyDescent="0.2"/>
    <row r="19678" ht="12.75" hidden="1" customHeight="1" x14ac:dyDescent="0.2"/>
    <row r="19679" ht="12.75" hidden="1" customHeight="1" x14ac:dyDescent="0.2"/>
    <row r="19680" ht="12.75" hidden="1" customHeight="1" x14ac:dyDescent="0.2"/>
    <row r="19681" ht="12.75" hidden="1" customHeight="1" x14ac:dyDescent="0.2"/>
    <row r="19682" ht="12.75" hidden="1" customHeight="1" x14ac:dyDescent="0.2"/>
    <row r="19683" ht="12.75" hidden="1" customHeight="1" x14ac:dyDescent="0.2"/>
    <row r="19684" ht="12.75" hidden="1" customHeight="1" x14ac:dyDescent="0.2"/>
    <row r="19685" ht="12.75" hidden="1" customHeight="1" x14ac:dyDescent="0.2"/>
    <row r="19686" ht="12.75" hidden="1" customHeight="1" x14ac:dyDescent="0.2"/>
    <row r="19687" ht="12.75" hidden="1" customHeight="1" x14ac:dyDescent="0.2"/>
    <row r="19688" ht="12.75" hidden="1" customHeight="1" x14ac:dyDescent="0.2"/>
    <row r="19689" ht="12.75" hidden="1" customHeight="1" x14ac:dyDescent="0.2"/>
    <row r="19690" ht="12.75" hidden="1" customHeight="1" x14ac:dyDescent="0.2"/>
    <row r="19691" ht="12.75" hidden="1" customHeight="1" x14ac:dyDescent="0.2"/>
    <row r="19692" ht="12.75" hidden="1" customHeight="1" x14ac:dyDescent="0.2"/>
    <row r="19693" ht="12.75" hidden="1" customHeight="1" x14ac:dyDescent="0.2"/>
    <row r="19694" ht="12.75" hidden="1" customHeight="1" x14ac:dyDescent="0.2"/>
    <row r="19695" ht="12.75" hidden="1" customHeight="1" x14ac:dyDescent="0.2"/>
    <row r="19696" ht="12.75" hidden="1" customHeight="1" x14ac:dyDescent="0.2"/>
    <row r="19697" ht="12.75" hidden="1" customHeight="1" x14ac:dyDescent="0.2"/>
    <row r="19698" ht="12.75" hidden="1" customHeight="1" x14ac:dyDescent="0.2"/>
    <row r="19699" ht="12.75" hidden="1" customHeight="1" x14ac:dyDescent="0.2"/>
    <row r="19700" ht="12.75" hidden="1" customHeight="1" x14ac:dyDescent="0.2"/>
    <row r="19701" ht="12.75" hidden="1" customHeight="1" x14ac:dyDescent="0.2"/>
    <row r="19702" ht="12.75" hidden="1" customHeight="1" x14ac:dyDescent="0.2"/>
    <row r="19703" ht="12.75" hidden="1" customHeight="1" x14ac:dyDescent="0.2"/>
    <row r="19704" ht="12.75" hidden="1" customHeight="1" x14ac:dyDescent="0.2"/>
    <row r="19705" ht="12.75" hidden="1" customHeight="1" x14ac:dyDescent="0.2"/>
    <row r="19706" ht="12.75" hidden="1" customHeight="1" x14ac:dyDescent="0.2"/>
    <row r="19707" ht="12.75" hidden="1" customHeight="1" x14ac:dyDescent="0.2"/>
    <row r="19708" ht="12.75" hidden="1" customHeight="1" x14ac:dyDescent="0.2"/>
    <row r="19709" ht="12.75" hidden="1" customHeight="1" x14ac:dyDescent="0.2"/>
    <row r="19710" ht="12.75" hidden="1" customHeight="1" x14ac:dyDescent="0.2"/>
    <row r="19711" ht="12.75" hidden="1" customHeight="1" x14ac:dyDescent="0.2"/>
    <row r="19712" ht="12.75" hidden="1" customHeight="1" x14ac:dyDescent="0.2"/>
    <row r="19713" ht="12.75" hidden="1" customHeight="1" x14ac:dyDescent="0.2"/>
    <row r="19714" ht="12.75" hidden="1" customHeight="1" x14ac:dyDescent="0.2"/>
    <row r="19715" ht="12.75" hidden="1" customHeight="1" x14ac:dyDescent="0.2"/>
    <row r="19716" ht="12.75" hidden="1" customHeight="1" x14ac:dyDescent="0.2"/>
    <row r="19717" ht="12.75" hidden="1" customHeight="1" x14ac:dyDescent="0.2"/>
    <row r="19718" ht="12.75" hidden="1" customHeight="1" x14ac:dyDescent="0.2"/>
    <row r="19719" ht="12.75" hidden="1" customHeight="1" x14ac:dyDescent="0.2"/>
    <row r="19720" ht="12.75" hidden="1" customHeight="1" x14ac:dyDescent="0.2"/>
    <row r="19721" ht="12.75" hidden="1" customHeight="1" x14ac:dyDescent="0.2"/>
    <row r="19722" ht="12.75" hidden="1" customHeight="1" x14ac:dyDescent="0.2"/>
    <row r="19723" ht="12.75" hidden="1" customHeight="1" x14ac:dyDescent="0.2"/>
    <row r="19724" ht="12.75" hidden="1" customHeight="1" x14ac:dyDescent="0.2"/>
    <row r="19725" ht="12.75" hidden="1" customHeight="1" x14ac:dyDescent="0.2"/>
    <row r="19726" ht="12.75" hidden="1" customHeight="1" x14ac:dyDescent="0.2"/>
    <row r="19727" ht="12.75" hidden="1" customHeight="1" x14ac:dyDescent="0.2"/>
    <row r="19728" ht="12.75" hidden="1" customHeight="1" x14ac:dyDescent="0.2"/>
    <row r="19729" ht="12.75" hidden="1" customHeight="1" x14ac:dyDescent="0.2"/>
    <row r="19730" ht="12.75" hidden="1" customHeight="1" x14ac:dyDescent="0.2"/>
    <row r="19731" ht="12.75" hidden="1" customHeight="1" x14ac:dyDescent="0.2"/>
    <row r="19732" ht="12.75" hidden="1" customHeight="1" x14ac:dyDescent="0.2"/>
    <row r="19733" ht="12.75" hidden="1" customHeight="1" x14ac:dyDescent="0.2"/>
    <row r="19734" ht="12.75" hidden="1" customHeight="1" x14ac:dyDescent="0.2"/>
    <row r="19735" ht="12.75" hidden="1" customHeight="1" x14ac:dyDescent="0.2"/>
    <row r="19736" ht="12.75" hidden="1" customHeight="1" x14ac:dyDescent="0.2"/>
    <row r="19737" ht="12.75" hidden="1" customHeight="1" x14ac:dyDescent="0.2"/>
    <row r="19738" ht="12.75" hidden="1" customHeight="1" x14ac:dyDescent="0.2"/>
    <row r="19739" ht="12.75" hidden="1" customHeight="1" x14ac:dyDescent="0.2"/>
    <row r="19740" ht="12.75" hidden="1" customHeight="1" x14ac:dyDescent="0.2"/>
    <row r="19741" ht="12.75" hidden="1" customHeight="1" x14ac:dyDescent="0.2"/>
    <row r="19742" ht="12.75" hidden="1" customHeight="1" x14ac:dyDescent="0.2"/>
    <row r="19743" ht="12.75" hidden="1" customHeight="1" x14ac:dyDescent="0.2"/>
    <row r="19744" ht="12.75" hidden="1" customHeight="1" x14ac:dyDescent="0.2"/>
    <row r="19745" ht="12.75" hidden="1" customHeight="1" x14ac:dyDescent="0.2"/>
    <row r="19746" ht="12.75" hidden="1" customHeight="1" x14ac:dyDescent="0.2"/>
    <row r="19747" ht="12.75" hidden="1" customHeight="1" x14ac:dyDescent="0.2"/>
    <row r="19748" ht="12.75" hidden="1" customHeight="1" x14ac:dyDescent="0.2"/>
    <row r="19749" ht="12.75" hidden="1" customHeight="1" x14ac:dyDescent="0.2"/>
    <row r="19750" ht="12.75" hidden="1" customHeight="1" x14ac:dyDescent="0.2"/>
    <row r="19751" ht="12.75" hidden="1" customHeight="1" x14ac:dyDescent="0.2"/>
    <row r="19752" ht="12.75" hidden="1" customHeight="1" x14ac:dyDescent="0.2"/>
    <row r="19753" ht="12.75" hidden="1" customHeight="1" x14ac:dyDescent="0.2"/>
    <row r="19754" ht="12.75" hidden="1" customHeight="1" x14ac:dyDescent="0.2"/>
    <row r="19755" ht="12.75" hidden="1" customHeight="1" x14ac:dyDescent="0.2"/>
    <row r="19756" ht="12.75" hidden="1" customHeight="1" x14ac:dyDescent="0.2"/>
    <row r="19757" ht="12.75" hidden="1" customHeight="1" x14ac:dyDescent="0.2"/>
    <row r="19758" ht="12.75" hidden="1" customHeight="1" x14ac:dyDescent="0.2"/>
    <row r="19759" ht="12.75" hidden="1" customHeight="1" x14ac:dyDescent="0.2"/>
    <row r="19760" ht="12.75" hidden="1" customHeight="1" x14ac:dyDescent="0.2"/>
    <row r="19761" ht="12.75" hidden="1" customHeight="1" x14ac:dyDescent="0.2"/>
    <row r="19762" ht="12.75" hidden="1" customHeight="1" x14ac:dyDescent="0.2"/>
    <row r="19763" ht="12.75" hidden="1" customHeight="1" x14ac:dyDescent="0.2"/>
    <row r="19764" ht="12.75" hidden="1" customHeight="1" x14ac:dyDescent="0.2"/>
    <row r="19765" ht="12.75" hidden="1" customHeight="1" x14ac:dyDescent="0.2"/>
    <row r="19766" ht="12.75" hidden="1" customHeight="1" x14ac:dyDescent="0.2"/>
    <row r="19767" ht="12.75" hidden="1" customHeight="1" x14ac:dyDescent="0.2"/>
    <row r="19768" ht="12.75" hidden="1" customHeight="1" x14ac:dyDescent="0.2"/>
    <row r="19769" ht="12.75" hidden="1" customHeight="1" x14ac:dyDescent="0.2"/>
    <row r="19770" ht="12.75" hidden="1" customHeight="1" x14ac:dyDescent="0.2"/>
    <row r="19771" ht="12.75" hidden="1" customHeight="1" x14ac:dyDescent="0.2"/>
    <row r="19772" ht="12.75" hidden="1" customHeight="1" x14ac:dyDescent="0.2"/>
    <row r="19773" ht="12.75" hidden="1" customHeight="1" x14ac:dyDescent="0.2"/>
    <row r="19774" ht="12.75" hidden="1" customHeight="1" x14ac:dyDescent="0.2"/>
    <row r="19775" ht="12.75" hidden="1" customHeight="1" x14ac:dyDescent="0.2"/>
    <row r="19776" ht="12.75" hidden="1" customHeight="1" x14ac:dyDescent="0.2"/>
    <row r="19777" ht="12.75" hidden="1" customHeight="1" x14ac:dyDescent="0.2"/>
    <row r="19778" ht="12.75" hidden="1" customHeight="1" x14ac:dyDescent="0.2"/>
    <row r="19779" ht="12.75" hidden="1" customHeight="1" x14ac:dyDescent="0.2"/>
    <row r="19780" ht="12.75" hidden="1" customHeight="1" x14ac:dyDescent="0.2"/>
    <row r="19781" ht="12.75" hidden="1" customHeight="1" x14ac:dyDescent="0.2"/>
    <row r="19782" ht="12.75" hidden="1" customHeight="1" x14ac:dyDescent="0.2"/>
    <row r="19783" ht="12.75" hidden="1" customHeight="1" x14ac:dyDescent="0.2"/>
    <row r="19784" ht="12.75" hidden="1" customHeight="1" x14ac:dyDescent="0.2"/>
    <row r="19785" ht="12.75" hidden="1" customHeight="1" x14ac:dyDescent="0.2"/>
    <row r="19786" ht="12.75" hidden="1" customHeight="1" x14ac:dyDescent="0.2"/>
    <row r="19787" ht="12.75" hidden="1" customHeight="1" x14ac:dyDescent="0.2"/>
    <row r="19788" ht="12.75" hidden="1" customHeight="1" x14ac:dyDescent="0.2"/>
    <row r="19789" ht="12.75" hidden="1" customHeight="1" x14ac:dyDescent="0.2"/>
    <row r="19790" ht="12.75" hidden="1" customHeight="1" x14ac:dyDescent="0.2"/>
    <row r="19791" ht="12.75" hidden="1" customHeight="1" x14ac:dyDescent="0.2"/>
    <row r="19792" ht="12.75" hidden="1" customHeight="1" x14ac:dyDescent="0.2"/>
    <row r="19793" ht="12.75" hidden="1" customHeight="1" x14ac:dyDescent="0.2"/>
    <row r="19794" ht="12.75" hidden="1" customHeight="1" x14ac:dyDescent="0.2"/>
    <row r="19795" ht="12.75" hidden="1" customHeight="1" x14ac:dyDescent="0.2"/>
    <row r="19796" ht="12.75" hidden="1" customHeight="1" x14ac:dyDescent="0.2"/>
    <row r="19797" ht="12.75" hidden="1" customHeight="1" x14ac:dyDescent="0.2"/>
    <row r="19798" ht="12.75" hidden="1" customHeight="1" x14ac:dyDescent="0.2"/>
    <row r="19799" ht="12.75" hidden="1" customHeight="1" x14ac:dyDescent="0.2"/>
    <row r="19800" ht="12.75" hidden="1" customHeight="1" x14ac:dyDescent="0.2"/>
    <row r="19801" ht="12.75" hidden="1" customHeight="1" x14ac:dyDescent="0.2"/>
    <row r="19802" ht="12.75" hidden="1" customHeight="1" x14ac:dyDescent="0.2"/>
    <row r="19803" ht="12.75" hidden="1" customHeight="1" x14ac:dyDescent="0.2"/>
    <row r="19804" ht="12.75" hidden="1" customHeight="1" x14ac:dyDescent="0.2"/>
    <row r="19805" ht="12.75" hidden="1" customHeight="1" x14ac:dyDescent="0.2"/>
    <row r="19806" ht="12.75" hidden="1" customHeight="1" x14ac:dyDescent="0.2"/>
    <row r="19807" ht="12.75" hidden="1" customHeight="1" x14ac:dyDescent="0.2"/>
    <row r="19808" ht="12.75" hidden="1" customHeight="1" x14ac:dyDescent="0.2"/>
    <row r="19809" ht="12.75" hidden="1" customHeight="1" x14ac:dyDescent="0.2"/>
    <row r="19810" ht="12.75" hidden="1" customHeight="1" x14ac:dyDescent="0.2"/>
    <row r="19811" ht="12.75" hidden="1" customHeight="1" x14ac:dyDescent="0.2"/>
    <row r="19812" ht="12.75" hidden="1" customHeight="1" x14ac:dyDescent="0.2"/>
    <row r="19813" ht="12.75" hidden="1" customHeight="1" x14ac:dyDescent="0.2"/>
    <row r="19814" ht="12.75" hidden="1" customHeight="1" x14ac:dyDescent="0.2"/>
    <row r="19815" ht="12.75" hidden="1" customHeight="1" x14ac:dyDescent="0.2"/>
    <row r="19816" ht="12.75" hidden="1" customHeight="1" x14ac:dyDescent="0.2"/>
    <row r="19817" ht="12.75" hidden="1" customHeight="1" x14ac:dyDescent="0.2"/>
    <row r="19818" ht="12.75" hidden="1" customHeight="1" x14ac:dyDescent="0.2"/>
    <row r="19819" ht="12.75" hidden="1" customHeight="1" x14ac:dyDescent="0.2"/>
    <row r="19820" ht="12.75" hidden="1" customHeight="1" x14ac:dyDescent="0.2"/>
    <row r="19821" ht="12.75" hidden="1" customHeight="1" x14ac:dyDescent="0.2"/>
    <row r="19822" ht="12.75" hidden="1" customHeight="1" x14ac:dyDescent="0.2"/>
    <row r="19823" ht="12.75" hidden="1" customHeight="1" x14ac:dyDescent="0.2"/>
    <row r="19824" ht="12.75" hidden="1" customHeight="1" x14ac:dyDescent="0.2"/>
    <row r="19825" ht="12.75" hidden="1" customHeight="1" x14ac:dyDescent="0.2"/>
    <row r="19826" ht="12.75" hidden="1" customHeight="1" x14ac:dyDescent="0.2"/>
    <row r="19827" ht="12.75" hidden="1" customHeight="1" x14ac:dyDescent="0.2"/>
    <row r="19828" ht="12.75" hidden="1" customHeight="1" x14ac:dyDescent="0.2"/>
    <row r="19829" ht="12.75" hidden="1" customHeight="1" x14ac:dyDescent="0.2"/>
    <row r="19830" ht="12.75" hidden="1" customHeight="1" x14ac:dyDescent="0.2"/>
    <row r="19831" ht="12.75" hidden="1" customHeight="1" x14ac:dyDescent="0.2"/>
    <row r="19832" ht="12.75" hidden="1" customHeight="1" x14ac:dyDescent="0.2"/>
    <row r="19833" ht="12.75" hidden="1" customHeight="1" x14ac:dyDescent="0.2"/>
    <row r="19834" ht="12.75" hidden="1" customHeight="1" x14ac:dyDescent="0.2"/>
    <row r="19835" ht="12.75" hidden="1" customHeight="1" x14ac:dyDescent="0.2"/>
    <row r="19836" ht="12.75" hidden="1" customHeight="1" x14ac:dyDescent="0.2"/>
    <row r="19837" ht="12.75" hidden="1" customHeight="1" x14ac:dyDescent="0.2"/>
    <row r="19838" ht="12.75" hidden="1" customHeight="1" x14ac:dyDescent="0.2"/>
    <row r="19839" ht="12.75" hidden="1" customHeight="1" x14ac:dyDescent="0.2"/>
    <row r="19840" ht="12.75" hidden="1" customHeight="1" x14ac:dyDescent="0.2"/>
    <row r="19841" ht="12.75" hidden="1" customHeight="1" x14ac:dyDescent="0.2"/>
    <row r="19842" ht="12.75" hidden="1" customHeight="1" x14ac:dyDescent="0.2"/>
    <row r="19843" ht="12.75" hidden="1" customHeight="1" x14ac:dyDescent="0.2"/>
    <row r="19844" ht="12.75" hidden="1" customHeight="1" x14ac:dyDescent="0.2"/>
    <row r="19845" ht="12.75" hidden="1" customHeight="1" x14ac:dyDescent="0.2"/>
    <row r="19846" ht="12.75" hidden="1" customHeight="1" x14ac:dyDescent="0.2"/>
    <row r="19847" ht="12.75" hidden="1" customHeight="1" x14ac:dyDescent="0.2"/>
    <row r="19848" ht="12.75" hidden="1" customHeight="1" x14ac:dyDescent="0.2"/>
    <row r="19849" ht="12.75" hidden="1" customHeight="1" x14ac:dyDescent="0.2"/>
    <row r="19850" ht="12.75" hidden="1" customHeight="1" x14ac:dyDescent="0.2"/>
    <row r="19851" ht="12.75" hidden="1" customHeight="1" x14ac:dyDescent="0.2"/>
    <row r="19852" ht="12.75" hidden="1" customHeight="1" x14ac:dyDescent="0.2"/>
    <row r="19853" ht="12.75" hidden="1" customHeight="1" x14ac:dyDescent="0.2"/>
    <row r="19854" ht="12.75" hidden="1" customHeight="1" x14ac:dyDescent="0.2"/>
    <row r="19855" ht="12.75" hidden="1" customHeight="1" x14ac:dyDescent="0.2"/>
    <row r="19856" ht="12.75" hidden="1" customHeight="1" x14ac:dyDescent="0.2"/>
    <row r="19857" ht="12.75" hidden="1" customHeight="1" x14ac:dyDescent="0.2"/>
    <row r="19858" ht="12.75" hidden="1" customHeight="1" x14ac:dyDescent="0.2"/>
    <row r="19859" ht="12.75" hidden="1" customHeight="1" x14ac:dyDescent="0.2"/>
    <row r="19860" ht="12.75" hidden="1" customHeight="1" x14ac:dyDescent="0.2"/>
    <row r="19861" ht="12.75" hidden="1" customHeight="1" x14ac:dyDescent="0.2"/>
    <row r="19862" ht="12.75" hidden="1" customHeight="1" x14ac:dyDescent="0.2"/>
    <row r="19863" ht="12.75" hidden="1" customHeight="1" x14ac:dyDescent="0.2"/>
    <row r="19864" ht="12.75" hidden="1" customHeight="1" x14ac:dyDescent="0.2"/>
    <row r="19865" ht="12.75" hidden="1" customHeight="1" x14ac:dyDescent="0.2"/>
    <row r="19866" ht="12.75" hidden="1" customHeight="1" x14ac:dyDescent="0.2"/>
    <row r="19867" ht="12.75" hidden="1" customHeight="1" x14ac:dyDescent="0.2"/>
    <row r="19868" ht="12.75" hidden="1" customHeight="1" x14ac:dyDescent="0.2"/>
    <row r="19869" ht="12.75" hidden="1" customHeight="1" x14ac:dyDescent="0.2"/>
    <row r="19870" ht="12.75" hidden="1" customHeight="1" x14ac:dyDescent="0.2"/>
    <row r="19871" ht="12.75" hidden="1" customHeight="1" x14ac:dyDescent="0.2"/>
    <row r="19872" ht="12.75" hidden="1" customHeight="1" x14ac:dyDescent="0.2"/>
    <row r="19873" ht="12.75" hidden="1" customHeight="1" x14ac:dyDescent="0.2"/>
    <row r="19874" ht="12.75" hidden="1" customHeight="1" x14ac:dyDescent="0.2"/>
    <row r="19875" ht="12.75" hidden="1" customHeight="1" x14ac:dyDescent="0.2"/>
    <row r="19876" ht="12.75" hidden="1" customHeight="1" x14ac:dyDescent="0.2"/>
    <row r="19877" ht="12.75" hidden="1" customHeight="1" x14ac:dyDescent="0.2"/>
    <row r="19878" ht="12.75" hidden="1" customHeight="1" x14ac:dyDescent="0.2"/>
    <row r="19879" ht="12.75" hidden="1" customHeight="1" x14ac:dyDescent="0.2"/>
    <row r="19880" ht="12.75" hidden="1" customHeight="1" x14ac:dyDescent="0.2"/>
    <row r="19881" ht="12.75" hidden="1" customHeight="1" x14ac:dyDescent="0.2"/>
    <row r="19882" ht="12.75" hidden="1" customHeight="1" x14ac:dyDescent="0.2"/>
    <row r="19883" ht="12.75" hidden="1" customHeight="1" x14ac:dyDescent="0.2"/>
    <row r="19884" ht="12.75" hidden="1" customHeight="1" x14ac:dyDescent="0.2"/>
    <row r="19885" ht="12.75" hidden="1" customHeight="1" x14ac:dyDescent="0.2"/>
    <row r="19886" ht="12.75" hidden="1" customHeight="1" x14ac:dyDescent="0.2"/>
    <row r="19887" ht="12.75" hidden="1" customHeight="1" x14ac:dyDescent="0.2"/>
    <row r="19888" ht="12.75" hidden="1" customHeight="1" x14ac:dyDescent="0.2"/>
    <row r="19889" ht="12.75" hidden="1" customHeight="1" x14ac:dyDescent="0.2"/>
    <row r="19890" ht="12.75" hidden="1" customHeight="1" x14ac:dyDescent="0.2"/>
    <row r="19891" ht="12.75" hidden="1" customHeight="1" x14ac:dyDescent="0.2"/>
    <row r="19892" ht="12.75" hidden="1" customHeight="1" x14ac:dyDescent="0.2"/>
    <row r="19893" ht="12.75" hidden="1" customHeight="1" x14ac:dyDescent="0.2"/>
    <row r="19894" ht="12.75" hidden="1" customHeight="1" x14ac:dyDescent="0.2"/>
    <row r="19895" ht="12.75" hidden="1" customHeight="1" x14ac:dyDescent="0.2"/>
    <row r="19896" ht="12.75" hidden="1" customHeight="1" x14ac:dyDescent="0.2"/>
    <row r="19897" ht="12.75" hidden="1" customHeight="1" x14ac:dyDescent="0.2"/>
    <row r="19898" ht="12.75" hidden="1" customHeight="1" x14ac:dyDescent="0.2"/>
    <row r="19899" ht="12.75" hidden="1" customHeight="1" x14ac:dyDescent="0.2"/>
    <row r="19900" ht="12.75" hidden="1" customHeight="1" x14ac:dyDescent="0.2"/>
    <row r="19901" ht="12.75" hidden="1" customHeight="1" x14ac:dyDescent="0.2"/>
    <row r="19902" ht="12.75" hidden="1" customHeight="1" x14ac:dyDescent="0.2"/>
    <row r="19903" ht="12.75" hidden="1" customHeight="1" x14ac:dyDescent="0.2"/>
    <row r="19904" ht="12.75" hidden="1" customHeight="1" x14ac:dyDescent="0.2"/>
    <row r="19905" ht="12.75" hidden="1" customHeight="1" x14ac:dyDescent="0.2"/>
    <row r="19906" ht="12.75" hidden="1" customHeight="1" x14ac:dyDescent="0.2"/>
    <row r="19907" ht="12.75" hidden="1" customHeight="1" x14ac:dyDescent="0.2"/>
    <row r="19908" ht="12.75" hidden="1" customHeight="1" x14ac:dyDescent="0.2"/>
    <row r="19909" ht="12.75" hidden="1" customHeight="1" x14ac:dyDescent="0.2"/>
    <row r="19910" ht="12.75" hidden="1" customHeight="1" x14ac:dyDescent="0.2"/>
    <row r="19911" ht="12.75" hidden="1" customHeight="1" x14ac:dyDescent="0.2"/>
    <row r="19912" ht="12.75" hidden="1" customHeight="1" x14ac:dyDescent="0.2"/>
    <row r="19913" ht="12.75" hidden="1" customHeight="1" x14ac:dyDescent="0.2"/>
    <row r="19914" ht="12.75" hidden="1" customHeight="1" x14ac:dyDescent="0.2"/>
    <row r="19915" ht="12.75" hidden="1" customHeight="1" x14ac:dyDescent="0.2"/>
    <row r="19916" ht="12.75" hidden="1" customHeight="1" x14ac:dyDescent="0.2"/>
    <row r="19917" ht="12.75" hidden="1" customHeight="1" x14ac:dyDescent="0.2"/>
    <row r="19918" ht="12.75" hidden="1" customHeight="1" x14ac:dyDescent="0.2"/>
    <row r="19919" ht="12.75" hidden="1" customHeight="1" x14ac:dyDescent="0.2"/>
    <row r="19920" ht="12.75" hidden="1" customHeight="1" x14ac:dyDescent="0.2"/>
    <row r="19921" ht="12.75" hidden="1" customHeight="1" x14ac:dyDescent="0.2"/>
    <row r="19922" ht="12.75" hidden="1" customHeight="1" x14ac:dyDescent="0.2"/>
    <row r="19923" ht="12.75" hidden="1" customHeight="1" x14ac:dyDescent="0.2"/>
    <row r="19924" ht="12.75" hidden="1" customHeight="1" x14ac:dyDescent="0.2"/>
    <row r="19925" ht="12.75" hidden="1" customHeight="1" x14ac:dyDescent="0.2"/>
    <row r="19926" ht="12.75" hidden="1" customHeight="1" x14ac:dyDescent="0.2"/>
    <row r="19927" ht="12.75" hidden="1" customHeight="1" x14ac:dyDescent="0.2"/>
    <row r="19928" ht="12.75" hidden="1" customHeight="1" x14ac:dyDescent="0.2"/>
    <row r="19929" ht="12.75" hidden="1" customHeight="1" x14ac:dyDescent="0.2"/>
    <row r="19930" ht="12.75" hidden="1" customHeight="1" x14ac:dyDescent="0.2"/>
    <row r="19931" ht="12.75" hidden="1" customHeight="1" x14ac:dyDescent="0.2"/>
    <row r="19932" ht="12.75" hidden="1" customHeight="1" x14ac:dyDescent="0.2"/>
    <row r="19933" ht="12.75" hidden="1" customHeight="1" x14ac:dyDescent="0.2"/>
    <row r="19934" ht="12.75" hidden="1" customHeight="1" x14ac:dyDescent="0.2"/>
    <row r="19935" ht="12.75" hidden="1" customHeight="1" x14ac:dyDescent="0.2"/>
    <row r="19936" ht="12.75" hidden="1" customHeight="1" x14ac:dyDescent="0.2"/>
    <row r="19937" ht="12.75" hidden="1" customHeight="1" x14ac:dyDescent="0.2"/>
    <row r="19938" ht="12.75" hidden="1" customHeight="1" x14ac:dyDescent="0.2"/>
    <row r="19939" ht="12.75" hidden="1" customHeight="1" x14ac:dyDescent="0.2"/>
    <row r="19940" ht="12.75" hidden="1" customHeight="1" x14ac:dyDescent="0.2"/>
    <row r="19941" ht="12.75" hidden="1" customHeight="1" x14ac:dyDescent="0.2"/>
    <row r="19942" ht="12.75" hidden="1" customHeight="1" x14ac:dyDescent="0.2"/>
    <row r="19943" ht="12.75" hidden="1" customHeight="1" x14ac:dyDescent="0.2"/>
    <row r="19944" ht="12.75" hidden="1" customHeight="1" x14ac:dyDescent="0.2"/>
    <row r="19945" ht="12.75" hidden="1" customHeight="1" x14ac:dyDescent="0.2"/>
    <row r="19946" ht="12.75" hidden="1" customHeight="1" x14ac:dyDescent="0.2"/>
    <row r="19947" ht="12.75" hidden="1" customHeight="1" x14ac:dyDescent="0.2"/>
    <row r="19948" ht="12.75" hidden="1" customHeight="1" x14ac:dyDescent="0.2"/>
    <row r="19949" ht="12.75" hidden="1" customHeight="1" x14ac:dyDescent="0.2"/>
    <row r="19950" ht="12.75" hidden="1" customHeight="1" x14ac:dyDescent="0.2"/>
    <row r="19951" ht="12.75" hidden="1" customHeight="1" x14ac:dyDescent="0.2"/>
    <row r="19952" ht="12.75" hidden="1" customHeight="1" x14ac:dyDescent="0.2"/>
    <row r="19953" ht="12.75" hidden="1" customHeight="1" x14ac:dyDescent="0.2"/>
    <row r="19954" ht="12.75" hidden="1" customHeight="1" x14ac:dyDescent="0.2"/>
    <row r="19955" ht="12.75" hidden="1" customHeight="1" x14ac:dyDescent="0.2"/>
    <row r="19956" ht="12.75" hidden="1" customHeight="1" x14ac:dyDescent="0.2"/>
    <row r="19957" ht="12.75" hidden="1" customHeight="1" x14ac:dyDescent="0.2"/>
    <row r="19958" ht="12.75" hidden="1" customHeight="1" x14ac:dyDescent="0.2"/>
    <row r="19959" ht="12.75" hidden="1" customHeight="1" x14ac:dyDescent="0.2"/>
    <row r="19960" ht="12.75" hidden="1" customHeight="1" x14ac:dyDescent="0.2"/>
    <row r="19961" ht="12.75" hidden="1" customHeight="1" x14ac:dyDescent="0.2"/>
    <row r="19962" ht="12.75" hidden="1" customHeight="1" x14ac:dyDescent="0.2"/>
    <row r="19963" ht="12.75" hidden="1" customHeight="1" x14ac:dyDescent="0.2"/>
    <row r="19964" ht="12.75" hidden="1" customHeight="1" x14ac:dyDescent="0.2"/>
    <row r="19965" ht="12.75" hidden="1" customHeight="1" x14ac:dyDescent="0.2"/>
    <row r="19966" ht="12.75" hidden="1" customHeight="1" x14ac:dyDescent="0.2"/>
    <row r="19967" ht="12.75" hidden="1" customHeight="1" x14ac:dyDescent="0.2"/>
    <row r="19968" ht="12.75" hidden="1" customHeight="1" x14ac:dyDescent="0.2"/>
    <row r="19969" ht="12.75" hidden="1" customHeight="1" x14ac:dyDescent="0.2"/>
    <row r="19970" ht="12.75" hidden="1" customHeight="1" x14ac:dyDescent="0.2"/>
    <row r="19971" ht="12.75" hidden="1" customHeight="1" x14ac:dyDescent="0.2"/>
    <row r="19972" ht="12.75" hidden="1" customHeight="1" x14ac:dyDescent="0.2"/>
    <row r="19973" ht="12.75" hidden="1" customHeight="1" x14ac:dyDescent="0.2"/>
    <row r="19974" ht="12.75" hidden="1" customHeight="1" x14ac:dyDescent="0.2"/>
    <row r="19975" ht="12.75" hidden="1" customHeight="1" x14ac:dyDescent="0.2"/>
    <row r="19976" ht="12.75" hidden="1" customHeight="1" x14ac:dyDescent="0.2"/>
    <row r="19977" ht="12.75" hidden="1" customHeight="1" x14ac:dyDescent="0.2"/>
    <row r="19978" ht="12.75" hidden="1" customHeight="1" x14ac:dyDescent="0.2"/>
    <row r="19979" ht="12.75" hidden="1" customHeight="1" x14ac:dyDescent="0.2"/>
    <row r="19980" ht="12.75" hidden="1" customHeight="1" x14ac:dyDescent="0.2"/>
    <row r="19981" ht="12.75" hidden="1" customHeight="1" x14ac:dyDescent="0.2"/>
    <row r="19982" ht="12.75" hidden="1" customHeight="1" x14ac:dyDescent="0.2"/>
    <row r="19983" ht="12.75" hidden="1" customHeight="1" x14ac:dyDescent="0.2"/>
    <row r="19984" ht="12.75" hidden="1" customHeight="1" x14ac:dyDescent="0.2"/>
    <row r="19985" ht="12.75" hidden="1" customHeight="1" x14ac:dyDescent="0.2"/>
    <row r="19986" ht="12.75" hidden="1" customHeight="1" x14ac:dyDescent="0.2"/>
    <row r="19987" ht="12.75" hidden="1" customHeight="1" x14ac:dyDescent="0.2"/>
    <row r="19988" ht="12.75" hidden="1" customHeight="1" x14ac:dyDescent="0.2"/>
    <row r="19989" ht="12.75" hidden="1" customHeight="1" x14ac:dyDescent="0.2"/>
    <row r="19990" ht="12.75" hidden="1" customHeight="1" x14ac:dyDescent="0.2"/>
    <row r="19991" ht="12.75" hidden="1" customHeight="1" x14ac:dyDescent="0.2"/>
    <row r="19992" ht="12.75" hidden="1" customHeight="1" x14ac:dyDescent="0.2"/>
    <row r="19993" ht="12.75" hidden="1" customHeight="1" x14ac:dyDescent="0.2"/>
    <row r="19994" ht="12.75" hidden="1" customHeight="1" x14ac:dyDescent="0.2"/>
    <row r="19995" ht="12.75" hidden="1" customHeight="1" x14ac:dyDescent="0.2"/>
    <row r="19996" ht="12.75" hidden="1" customHeight="1" x14ac:dyDescent="0.2"/>
    <row r="19997" ht="12.75" hidden="1" customHeight="1" x14ac:dyDescent="0.2"/>
    <row r="19998" ht="12.75" hidden="1" customHeight="1" x14ac:dyDescent="0.2"/>
    <row r="19999" ht="12.75" hidden="1" customHeight="1" x14ac:dyDescent="0.2"/>
    <row r="20000" ht="12.75" hidden="1" customHeight="1" x14ac:dyDescent="0.2"/>
    <row r="20001" ht="12.75" hidden="1" customHeight="1" x14ac:dyDescent="0.2"/>
    <row r="20002" ht="12.75" hidden="1" customHeight="1" x14ac:dyDescent="0.2"/>
    <row r="20003" ht="12.75" hidden="1" customHeight="1" x14ac:dyDescent="0.2"/>
    <row r="20004" ht="12.75" hidden="1" customHeight="1" x14ac:dyDescent="0.2"/>
    <row r="20005" ht="12.75" hidden="1" customHeight="1" x14ac:dyDescent="0.2"/>
    <row r="20006" ht="12.75" hidden="1" customHeight="1" x14ac:dyDescent="0.2"/>
    <row r="20007" ht="12.75" hidden="1" customHeight="1" x14ac:dyDescent="0.2"/>
    <row r="20008" ht="12.75" hidden="1" customHeight="1" x14ac:dyDescent="0.2"/>
    <row r="20009" ht="12.75" hidden="1" customHeight="1" x14ac:dyDescent="0.2"/>
    <row r="20010" ht="12.75" hidden="1" customHeight="1" x14ac:dyDescent="0.2"/>
    <row r="20011" ht="12.75" hidden="1" customHeight="1" x14ac:dyDescent="0.2"/>
    <row r="20012" ht="12.75" hidden="1" customHeight="1" x14ac:dyDescent="0.2"/>
    <row r="20013" ht="12.75" hidden="1" customHeight="1" x14ac:dyDescent="0.2"/>
    <row r="20014" ht="12.75" hidden="1" customHeight="1" x14ac:dyDescent="0.2"/>
    <row r="20015" ht="12.75" hidden="1" customHeight="1" x14ac:dyDescent="0.2"/>
    <row r="20016" ht="12.75" hidden="1" customHeight="1" x14ac:dyDescent="0.2"/>
    <row r="20017" ht="12.75" hidden="1" customHeight="1" x14ac:dyDescent="0.2"/>
    <row r="20018" ht="12.75" hidden="1" customHeight="1" x14ac:dyDescent="0.2"/>
    <row r="20019" ht="12.75" hidden="1" customHeight="1" x14ac:dyDescent="0.2"/>
    <row r="20020" ht="12.75" hidden="1" customHeight="1" x14ac:dyDescent="0.2"/>
    <row r="20021" ht="12.75" hidden="1" customHeight="1" x14ac:dyDescent="0.2"/>
    <row r="20022" ht="12.75" hidden="1" customHeight="1" x14ac:dyDescent="0.2"/>
    <row r="20023" ht="12.75" hidden="1" customHeight="1" x14ac:dyDescent="0.2"/>
    <row r="20024" ht="12.75" hidden="1" customHeight="1" x14ac:dyDescent="0.2"/>
    <row r="20025" ht="12.75" hidden="1" customHeight="1" x14ac:dyDescent="0.2"/>
    <row r="20026" ht="12.75" hidden="1" customHeight="1" x14ac:dyDescent="0.2"/>
    <row r="20027" ht="12.75" hidden="1" customHeight="1" x14ac:dyDescent="0.2"/>
    <row r="20028" ht="12.75" hidden="1" customHeight="1" x14ac:dyDescent="0.2"/>
    <row r="20029" ht="12.75" hidden="1" customHeight="1" x14ac:dyDescent="0.2"/>
    <row r="20030" ht="12.75" hidden="1" customHeight="1" x14ac:dyDescent="0.2"/>
    <row r="20031" ht="12.75" hidden="1" customHeight="1" x14ac:dyDescent="0.2"/>
    <row r="20032" ht="12.75" hidden="1" customHeight="1" x14ac:dyDescent="0.2"/>
    <row r="20033" ht="12.75" hidden="1" customHeight="1" x14ac:dyDescent="0.2"/>
    <row r="20034" ht="12.75" hidden="1" customHeight="1" x14ac:dyDescent="0.2"/>
    <row r="20035" ht="12.75" hidden="1" customHeight="1" x14ac:dyDescent="0.2"/>
    <row r="20036" ht="12.75" hidden="1" customHeight="1" x14ac:dyDescent="0.2"/>
    <row r="20037" ht="12.75" hidden="1" customHeight="1" x14ac:dyDescent="0.2"/>
    <row r="20038" ht="12.75" hidden="1" customHeight="1" x14ac:dyDescent="0.2"/>
    <row r="20039" ht="12.75" hidden="1" customHeight="1" x14ac:dyDescent="0.2"/>
    <row r="20040" ht="12.75" hidden="1" customHeight="1" x14ac:dyDescent="0.2"/>
    <row r="20041" ht="12.75" hidden="1" customHeight="1" x14ac:dyDescent="0.2"/>
    <row r="20042" ht="12.75" hidden="1" customHeight="1" x14ac:dyDescent="0.2"/>
    <row r="20043" ht="12.75" hidden="1" customHeight="1" x14ac:dyDescent="0.2"/>
    <row r="20044" ht="12.75" hidden="1" customHeight="1" x14ac:dyDescent="0.2"/>
    <row r="20045" ht="12.75" hidden="1" customHeight="1" x14ac:dyDescent="0.2"/>
    <row r="20046" ht="12.75" hidden="1" customHeight="1" x14ac:dyDescent="0.2"/>
    <row r="20047" ht="12.75" hidden="1" customHeight="1" x14ac:dyDescent="0.2"/>
    <row r="20048" ht="12.75" hidden="1" customHeight="1" x14ac:dyDescent="0.2"/>
    <row r="20049" ht="12.75" hidden="1" customHeight="1" x14ac:dyDescent="0.2"/>
    <row r="20050" ht="12.75" hidden="1" customHeight="1" x14ac:dyDescent="0.2"/>
    <row r="20051" ht="12.75" hidden="1" customHeight="1" x14ac:dyDescent="0.2"/>
    <row r="20052" ht="12.75" hidden="1" customHeight="1" x14ac:dyDescent="0.2"/>
    <row r="20053" ht="12.75" hidden="1" customHeight="1" x14ac:dyDescent="0.2"/>
    <row r="20054" ht="12.75" hidden="1" customHeight="1" x14ac:dyDescent="0.2"/>
    <row r="20055" ht="12.75" hidden="1" customHeight="1" x14ac:dyDescent="0.2"/>
    <row r="20056" ht="12.75" hidden="1" customHeight="1" x14ac:dyDescent="0.2"/>
    <row r="20057" ht="12.75" hidden="1" customHeight="1" x14ac:dyDescent="0.2"/>
    <row r="20058" ht="12.75" hidden="1" customHeight="1" x14ac:dyDescent="0.2"/>
    <row r="20059" ht="12.75" hidden="1" customHeight="1" x14ac:dyDescent="0.2"/>
    <row r="20060" ht="12.75" hidden="1" customHeight="1" x14ac:dyDescent="0.2"/>
    <row r="20061" ht="12.75" hidden="1" customHeight="1" x14ac:dyDescent="0.2"/>
    <row r="20062" ht="12.75" hidden="1" customHeight="1" x14ac:dyDescent="0.2"/>
    <row r="20063" ht="12.75" hidden="1" customHeight="1" x14ac:dyDescent="0.2"/>
    <row r="20064" ht="12.75" hidden="1" customHeight="1" x14ac:dyDescent="0.2"/>
    <row r="20065" ht="12.75" hidden="1" customHeight="1" x14ac:dyDescent="0.2"/>
    <row r="20066" ht="12.75" hidden="1" customHeight="1" x14ac:dyDescent="0.2"/>
    <row r="20067" ht="12.75" hidden="1" customHeight="1" x14ac:dyDescent="0.2"/>
    <row r="20068" ht="12.75" hidden="1" customHeight="1" x14ac:dyDescent="0.2"/>
    <row r="20069" ht="12.75" hidden="1" customHeight="1" x14ac:dyDescent="0.2"/>
    <row r="20070" ht="12.75" hidden="1" customHeight="1" x14ac:dyDescent="0.2"/>
    <row r="20071" ht="12.75" hidden="1" customHeight="1" x14ac:dyDescent="0.2"/>
    <row r="20072" ht="12.75" hidden="1" customHeight="1" x14ac:dyDescent="0.2"/>
    <row r="20073" ht="12.75" hidden="1" customHeight="1" x14ac:dyDescent="0.2"/>
    <row r="20074" ht="12.75" hidden="1" customHeight="1" x14ac:dyDescent="0.2"/>
    <row r="20075" ht="12.75" hidden="1" customHeight="1" x14ac:dyDescent="0.2"/>
    <row r="20076" ht="12.75" hidden="1" customHeight="1" x14ac:dyDescent="0.2"/>
    <row r="20077" ht="12.75" hidden="1" customHeight="1" x14ac:dyDescent="0.2"/>
    <row r="20078" ht="12.75" hidden="1" customHeight="1" x14ac:dyDescent="0.2"/>
    <row r="20079" ht="12.75" hidden="1" customHeight="1" x14ac:dyDescent="0.2"/>
    <row r="20080" ht="12.75" hidden="1" customHeight="1" x14ac:dyDescent="0.2"/>
    <row r="20081" ht="12.75" hidden="1" customHeight="1" x14ac:dyDescent="0.2"/>
    <row r="20082" ht="12.75" hidden="1" customHeight="1" x14ac:dyDescent="0.2"/>
    <row r="20083" ht="12.75" hidden="1" customHeight="1" x14ac:dyDescent="0.2"/>
    <row r="20084" ht="12.75" hidden="1" customHeight="1" x14ac:dyDescent="0.2"/>
    <row r="20085" ht="12.75" hidden="1" customHeight="1" x14ac:dyDescent="0.2"/>
    <row r="20086" ht="12.75" hidden="1" customHeight="1" x14ac:dyDescent="0.2"/>
    <row r="20087" ht="12.75" hidden="1" customHeight="1" x14ac:dyDescent="0.2"/>
    <row r="20088" ht="12.75" hidden="1" customHeight="1" x14ac:dyDescent="0.2"/>
    <row r="20089" ht="12.75" hidden="1" customHeight="1" x14ac:dyDescent="0.2"/>
    <row r="20090" ht="12.75" hidden="1" customHeight="1" x14ac:dyDescent="0.2"/>
    <row r="20091" ht="12.75" hidden="1" customHeight="1" x14ac:dyDescent="0.2"/>
    <row r="20092" ht="12.75" hidden="1" customHeight="1" x14ac:dyDescent="0.2"/>
    <row r="20093" ht="12.75" hidden="1" customHeight="1" x14ac:dyDescent="0.2"/>
    <row r="20094" ht="12.75" hidden="1" customHeight="1" x14ac:dyDescent="0.2"/>
    <row r="20095" ht="12.75" hidden="1" customHeight="1" x14ac:dyDescent="0.2"/>
    <row r="20096" ht="12.75" hidden="1" customHeight="1" x14ac:dyDescent="0.2"/>
    <row r="20097" ht="12.75" hidden="1" customHeight="1" x14ac:dyDescent="0.2"/>
    <row r="20098" ht="12.75" hidden="1" customHeight="1" x14ac:dyDescent="0.2"/>
    <row r="20099" ht="12.75" hidden="1" customHeight="1" x14ac:dyDescent="0.2"/>
    <row r="20100" ht="12.75" hidden="1" customHeight="1" x14ac:dyDescent="0.2"/>
    <row r="20101" ht="12.75" hidden="1" customHeight="1" x14ac:dyDescent="0.2"/>
    <row r="20102" ht="12.75" hidden="1" customHeight="1" x14ac:dyDescent="0.2"/>
    <row r="20103" ht="12.75" hidden="1" customHeight="1" x14ac:dyDescent="0.2"/>
    <row r="20104" ht="12.75" hidden="1" customHeight="1" x14ac:dyDescent="0.2"/>
    <row r="20105" ht="12.75" hidden="1" customHeight="1" x14ac:dyDescent="0.2"/>
    <row r="20106" ht="12.75" hidden="1" customHeight="1" x14ac:dyDescent="0.2"/>
    <row r="20107" ht="12.75" hidden="1" customHeight="1" x14ac:dyDescent="0.2"/>
    <row r="20108" ht="12.75" hidden="1" customHeight="1" x14ac:dyDescent="0.2"/>
    <row r="20109" ht="12.75" hidden="1" customHeight="1" x14ac:dyDescent="0.2"/>
    <row r="20110" ht="12.75" hidden="1" customHeight="1" x14ac:dyDescent="0.2"/>
    <row r="20111" ht="12.75" hidden="1" customHeight="1" x14ac:dyDescent="0.2"/>
    <row r="20112" ht="12.75" hidden="1" customHeight="1" x14ac:dyDescent="0.2"/>
    <row r="20113" ht="12.75" hidden="1" customHeight="1" x14ac:dyDescent="0.2"/>
    <row r="20114" ht="12.75" hidden="1" customHeight="1" x14ac:dyDescent="0.2"/>
    <row r="20115" ht="12.75" hidden="1" customHeight="1" x14ac:dyDescent="0.2"/>
    <row r="20116" ht="12.75" hidden="1" customHeight="1" x14ac:dyDescent="0.2"/>
    <row r="20117" ht="12.75" hidden="1" customHeight="1" x14ac:dyDescent="0.2"/>
    <row r="20118" ht="12.75" hidden="1" customHeight="1" x14ac:dyDescent="0.2"/>
    <row r="20119" ht="12.75" hidden="1" customHeight="1" x14ac:dyDescent="0.2"/>
    <row r="20120" ht="12.75" hidden="1" customHeight="1" x14ac:dyDescent="0.2"/>
    <row r="20121" ht="12.75" hidden="1" customHeight="1" x14ac:dyDescent="0.2"/>
    <row r="20122" ht="12.75" hidden="1" customHeight="1" x14ac:dyDescent="0.2"/>
    <row r="20123" ht="12.75" hidden="1" customHeight="1" x14ac:dyDescent="0.2"/>
    <row r="20124" ht="12.75" hidden="1" customHeight="1" x14ac:dyDescent="0.2"/>
    <row r="20125" ht="12.75" hidden="1" customHeight="1" x14ac:dyDescent="0.2"/>
    <row r="20126" ht="12.75" hidden="1" customHeight="1" x14ac:dyDescent="0.2"/>
    <row r="20127" ht="12.75" hidden="1" customHeight="1" x14ac:dyDescent="0.2"/>
    <row r="20128" ht="12.75" hidden="1" customHeight="1" x14ac:dyDescent="0.2"/>
    <row r="20129" ht="12.75" hidden="1" customHeight="1" x14ac:dyDescent="0.2"/>
    <row r="20130" ht="12.75" hidden="1" customHeight="1" x14ac:dyDescent="0.2"/>
    <row r="20131" ht="12.75" hidden="1" customHeight="1" x14ac:dyDescent="0.2"/>
    <row r="20132" ht="12.75" hidden="1" customHeight="1" x14ac:dyDescent="0.2"/>
    <row r="20133" ht="12.75" hidden="1" customHeight="1" x14ac:dyDescent="0.2"/>
    <row r="20134" ht="12.75" hidden="1" customHeight="1" x14ac:dyDescent="0.2"/>
    <row r="20135" ht="12.75" hidden="1" customHeight="1" x14ac:dyDescent="0.2"/>
    <row r="20136" ht="12.75" hidden="1" customHeight="1" x14ac:dyDescent="0.2"/>
    <row r="20137" ht="12.75" hidden="1" customHeight="1" x14ac:dyDescent="0.2"/>
    <row r="20138" ht="12.75" hidden="1" customHeight="1" x14ac:dyDescent="0.2"/>
    <row r="20139" ht="12.75" hidden="1" customHeight="1" x14ac:dyDescent="0.2"/>
    <row r="20140" ht="12.75" hidden="1" customHeight="1" x14ac:dyDescent="0.2"/>
    <row r="20141" ht="12.75" hidden="1" customHeight="1" x14ac:dyDescent="0.2"/>
    <row r="20142" ht="12.75" hidden="1" customHeight="1" x14ac:dyDescent="0.2"/>
    <row r="20143" ht="12.75" hidden="1" customHeight="1" x14ac:dyDescent="0.2"/>
    <row r="20144" ht="12.75" hidden="1" customHeight="1" x14ac:dyDescent="0.2"/>
    <row r="20145" ht="12.75" hidden="1" customHeight="1" x14ac:dyDescent="0.2"/>
    <row r="20146" ht="12.75" hidden="1" customHeight="1" x14ac:dyDescent="0.2"/>
    <row r="20147" ht="12.75" hidden="1" customHeight="1" x14ac:dyDescent="0.2"/>
    <row r="20148" ht="12.75" hidden="1" customHeight="1" x14ac:dyDescent="0.2"/>
    <row r="20149" ht="12.75" hidden="1" customHeight="1" x14ac:dyDescent="0.2"/>
    <row r="20150" ht="12.75" hidden="1" customHeight="1" x14ac:dyDescent="0.2"/>
    <row r="20151" ht="12.75" hidden="1" customHeight="1" x14ac:dyDescent="0.2"/>
    <row r="20152" ht="12.75" hidden="1" customHeight="1" x14ac:dyDescent="0.2"/>
    <row r="20153" ht="12.75" hidden="1" customHeight="1" x14ac:dyDescent="0.2"/>
    <row r="20154" ht="12.75" hidden="1" customHeight="1" x14ac:dyDescent="0.2"/>
    <row r="20155" ht="12.75" hidden="1" customHeight="1" x14ac:dyDescent="0.2"/>
    <row r="20156" ht="12.75" hidden="1" customHeight="1" x14ac:dyDescent="0.2"/>
    <row r="20157" ht="12.75" hidden="1" customHeight="1" x14ac:dyDescent="0.2"/>
    <row r="20158" ht="12.75" hidden="1" customHeight="1" x14ac:dyDescent="0.2"/>
    <row r="20159" ht="12.75" hidden="1" customHeight="1" x14ac:dyDescent="0.2"/>
    <row r="20160" ht="12.75" hidden="1" customHeight="1" x14ac:dyDescent="0.2"/>
    <row r="20161" ht="12.75" hidden="1" customHeight="1" x14ac:dyDescent="0.2"/>
    <row r="20162" ht="12.75" hidden="1" customHeight="1" x14ac:dyDescent="0.2"/>
    <row r="20163" ht="12.75" hidden="1" customHeight="1" x14ac:dyDescent="0.2"/>
    <row r="20164" ht="12.75" hidden="1" customHeight="1" x14ac:dyDescent="0.2"/>
    <row r="20165" ht="12.75" hidden="1" customHeight="1" x14ac:dyDescent="0.2"/>
    <row r="20166" ht="12.75" hidden="1" customHeight="1" x14ac:dyDescent="0.2"/>
    <row r="20167" ht="12.75" hidden="1" customHeight="1" x14ac:dyDescent="0.2"/>
    <row r="20168" ht="12.75" hidden="1" customHeight="1" x14ac:dyDescent="0.2"/>
    <row r="20169" ht="12.75" hidden="1" customHeight="1" x14ac:dyDescent="0.2"/>
    <row r="20170" ht="12.75" hidden="1" customHeight="1" x14ac:dyDescent="0.2"/>
    <row r="20171" ht="12.75" hidden="1" customHeight="1" x14ac:dyDescent="0.2"/>
    <row r="20172" ht="12.75" hidden="1" customHeight="1" x14ac:dyDescent="0.2"/>
    <row r="20173" ht="12.75" hidden="1" customHeight="1" x14ac:dyDescent="0.2"/>
    <row r="20174" ht="12.75" hidden="1" customHeight="1" x14ac:dyDescent="0.2"/>
    <row r="20175" ht="12.75" hidden="1" customHeight="1" x14ac:dyDescent="0.2"/>
    <row r="20176" ht="12.75" hidden="1" customHeight="1" x14ac:dyDescent="0.2"/>
    <row r="20177" ht="12.75" hidden="1" customHeight="1" x14ac:dyDescent="0.2"/>
    <row r="20178" ht="12.75" hidden="1" customHeight="1" x14ac:dyDescent="0.2"/>
    <row r="20179" ht="12.75" hidden="1" customHeight="1" x14ac:dyDescent="0.2"/>
    <row r="20180" ht="12.75" hidden="1" customHeight="1" x14ac:dyDescent="0.2"/>
    <row r="20181" ht="12.75" hidden="1" customHeight="1" x14ac:dyDescent="0.2"/>
    <row r="20182" ht="12.75" hidden="1" customHeight="1" x14ac:dyDescent="0.2"/>
    <row r="20183" ht="12.75" hidden="1" customHeight="1" x14ac:dyDescent="0.2"/>
    <row r="20184" ht="12.75" hidden="1" customHeight="1" x14ac:dyDescent="0.2"/>
    <row r="20185" ht="12.75" hidden="1" customHeight="1" x14ac:dyDescent="0.2"/>
    <row r="20186" ht="12.75" hidden="1" customHeight="1" x14ac:dyDescent="0.2"/>
    <row r="20187" ht="12.75" hidden="1" customHeight="1" x14ac:dyDescent="0.2"/>
    <row r="20188" ht="12.75" hidden="1" customHeight="1" x14ac:dyDescent="0.2"/>
    <row r="20189" ht="12.75" hidden="1" customHeight="1" x14ac:dyDescent="0.2"/>
    <row r="20190" ht="12.75" hidden="1" customHeight="1" x14ac:dyDescent="0.2"/>
    <row r="20191" ht="12.75" hidden="1" customHeight="1" x14ac:dyDescent="0.2"/>
    <row r="20192" ht="12.75" hidden="1" customHeight="1" x14ac:dyDescent="0.2"/>
    <row r="20193" ht="12.75" hidden="1" customHeight="1" x14ac:dyDescent="0.2"/>
    <row r="20194" ht="12.75" hidden="1" customHeight="1" x14ac:dyDescent="0.2"/>
    <row r="20195" ht="12.75" hidden="1" customHeight="1" x14ac:dyDescent="0.2"/>
    <row r="20196" ht="12.75" hidden="1" customHeight="1" x14ac:dyDescent="0.2"/>
    <row r="20197" ht="12.75" hidden="1" customHeight="1" x14ac:dyDescent="0.2"/>
    <row r="20198" ht="12.75" hidden="1" customHeight="1" x14ac:dyDescent="0.2"/>
    <row r="20199" ht="12.75" hidden="1" customHeight="1" x14ac:dyDescent="0.2"/>
    <row r="20200" ht="12.75" hidden="1" customHeight="1" x14ac:dyDescent="0.2"/>
    <row r="20201" ht="12.75" hidden="1" customHeight="1" x14ac:dyDescent="0.2"/>
    <row r="20202" ht="12.75" hidden="1" customHeight="1" x14ac:dyDescent="0.2"/>
    <row r="20203" ht="12.75" hidden="1" customHeight="1" x14ac:dyDescent="0.2"/>
    <row r="20204" ht="12.75" hidden="1" customHeight="1" x14ac:dyDescent="0.2"/>
    <row r="20205" ht="12.75" hidden="1" customHeight="1" x14ac:dyDescent="0.2"/>
    <row r="20206" ht="12.75" hidden="1" customHeight="1" x14ac:dyDescent="0.2"/>
    <row r="20207" ht="12.75" hidden="1" customHeight="1" x14ac:dyDescent="0.2"/>
    <row r="20208" ht="12.75" hidden="1" customHeight="1" x14ac:dyDescent="0.2"/>
    <row r="20209" ht="12.75" hidden="1" customHeight="1" x14ac:dyDescent="0.2"/>
    <row r="20210" ht="12.75" hidden="1" customHeight="1" x14ac:dyDescent="0.2"/>
    <row r="20211" ht="12.75" hidden="1" customHeight="1" x14ac:dyDescent="0.2"/>
    <row r="20212" ht="12.75" hidden="1" customHeight="1" x14ac:dyDescent="0.2"/>
    <row r="20213" ht="12.75" hidden="1" customHeight="1" x14ac:dyDescent="0.2"/>
    <row r="20214" ht="12.75" hidden="1" customHeight="1" x14ac:dyDescent="0.2"/>
    <row r="20215" ht="12.75" hidden="1" customHeight="1" x14ac:dyDescent="0.2"/>
    <row r="20216" ht="12.75" hidden="1" customHeight="1" x14ac:dyDescent="0.2"/>
    <row r="20217" ht="12.75" hidden="1" customHeight="1" x14ac:dyDescent="0.2"/>
    <row r="20218" ht="12.75" hidden="1" customHeight="1" x14ac:dyDescent="0.2"/>
    <row r="20219" ht="12.75" hidden="1" customHeight="1" x14ac:dyDescent="0.2"/>
    <row r="20220" ht="12.75" hidden="1" customHeight="1" x14ac:dyDescent="0.2"/>
    <row r="20221" ht="12.75" hidden="1" customHeight="1" x14ac:dyDescent="0.2"/>
    <row r="20222" ht="12.75" hidden="1" customHeight="1" x14ac:dyDescent="0.2"/>
    <row r="20223" ht="12.75" hidden="1" customHeight="1" x14ac:dyDescent="0.2"/>
    <row r="20224" ht="12.75" hidden="1" customHeight="1" x14ac:dyDescent="0.2"/>
    <row r="20225" ht="12.75" hidden="1" customHeight="1" x14ac:dyDescent="0.2"/>
    <row r="20226" ht="12.75" hidden="1" customHeight="1" x14ac:dyDescent="0.2"/>
    <row r="20227" ht="12.75" hidden="1" customHeight="1" x14ac:dyDescent="0.2"/>
    <row r="20228" ht="12.75" hidden="1" customHeight="1" x14ac:dyDescent="0.2"/>
    <row r="20229" ht="12.75" hidden="1" customHeight="1" x14ac:dyDescent="0.2"/>
    <row r="20230" ht="12.75" hidden="1" customHeight="1" x14ac:dyDescent="0.2"/>
    <row r="20231" ht="12.75" hidden="1" customHeight="1" x14ac:dyDescent="0.2"/>
    <row r="20232" ht="12.75" hidden="1" customHeight="1" x14ac:dyDescent="0.2"/>
    <row r="20233" ht="12.75" hidden="1" customHeight="1" x14ac:dyDescent="0.2"/>
    <row r="20234" ht="12.75" hidden="1" customHeight="1" x14ac:dyDescent="0.2"/>
    <row r="20235" ht="12.75" hidden="1" customHeight="1" x14ac:dyDescent="0.2"/>
    <row r="20236" ht="12.75" hidden="1" customHeight="1" x14ac:dyDescent="0.2"/>
    <row r="20237" ht="12.75" hidden="1" customHeight="1" x14ac:dyDescent="0.2"/>
    <row r="20238" ht="12.75" hidden="1" customHeight="1" x14ac:dyDescent="0.2"/>
    <row r="20239" ht="12.75" hidden="1" customHeight="1" x14ac:dyDescent="0.2"/>
    <row r="20240" ht="12.75" hidden="1" customHeight="1" x14ac:dyDescent="0.2"/>
    <row r="20241" ht="12.75" hidden="1" customHeight="1" x14ac:dyDescent="0.2"/>
    <row r="20242" ht="12.75" hidden="1" customHeight="1" x14ac:dyDescent="0.2"/>
    <row r="20243" ht="12.75" hidden="1" customHeight="1" x14ac:dyDescent="0.2"/>
    <row r="20244" ht="12.75" hidden="1" customHeight="1" x14ac:dyDescent="0.2"/>
    <row r="20245" ht="12.75" hidden="1" customHeight="1" x14ac:dyDescent="0.2"/>
    <row r="20246" ht="12.75" hidden="1" customHeight="1" x14ac:dyDescent="0.2"/>
    <row r="20247" ht="12.75" hidden="1" customHeight="1" x14ac:dyDescent="0.2"/>
    <row r="20248" ht="12.75" hidden="1" customHeight="1" x14ac:dyDescent="0.2"/>
    <row r="20249" ht="12.75" hidden="1" customHeight="1" x14ac:dyDescent="0.2"/>
    <row r="20250" ht="12.75" hidden="1" customHeight="1" x14ac:dyDescent="0.2"/>
    <row r="20251" ht="12.75" hidden="1" customHeight="1" x14ac:dyDescent="0.2"/>
    <row r="20252" ht="12.75" hidden="1" customHeight="1" x14ac:dyDescent="0.2"/>
    <row r="20253" ht="12.75" hidden="1" customHeight="1" x14ac:dyDescent="0.2"/>
    <row r="20254" ht="12.75" hidden="1" customHeight="1" x14ac:dyDescent="0.2"/>
    <row r="20255" ht="12.75" hidden="1" customHeight="1" x14ac:dyDescent="0.2"/>
    <row r="20256" ht="12.75" hidden="1" customHeight="1" x14ac:dyDescent="0.2"/>
    <row r="20257" ht="12.75" hidden="1" customHeight="1" x14ac:dyDescent="0.2"/>
    <row r="20258" ht="12.75" hidden="1" customHeight="1" x14ac:dyDescent="0.2"/>
    <row r="20259" ht="12.75" hidden="1" customHeight="1" x14ac:dyDescent="0.2"/>
    <row r="20260" ht="12.75" hidden="1" customHeight="1" x14ac:dyDescent="0.2"/>
    <row r="20261" ht="12.75" hidden="1" customHeight="1" x14ac:dyDescent="0.2"/>
    <row r="20262" ht="12.75" hidden="1" customHeight="1" x14ac:dyDescent="0.2"/>
    <row r="20263" ht="12.75" hidden="1" customHeight="1" x14ac:dyDescent="0.2"/>
    <row r="20264" ht="12.75" hidden="1" customHeight="1" x14ac:dyDescent="0.2"/>
    <row r="20265" ht="12.75" hidden="1" customHeight="1" x14ac:dyDescent="0.2"/>
    <row r="20266" ht="12.75" hidden="1" customHeight="1" x14ac:dyDescent="0.2"/>
    <row r="20267" ht="12.75" hidden="1" customHeight="1" x14ac:dyDescent="0.2"/>
    <row r="20268" ht="12.75" hidden="1" customHeight="1" x14ac:dyDescent="0.2"/>
    <row r="20269" ht="12.75" hidden="1" customHeight="1" x14ac:dyDescent="0.2"/>
    <row r="20270" ht="12.75" hidden="1" customHeight="1" x14ac:dyDescent="0.2"/>
    <row r="20271" ht="12.75" hidden="1" customHeight="1" x14ac:dyDescent="0.2"/>
    <row r="20272" ht="12.75" hidden="1" customHeight="1" x14ac:dyDescent="0.2"/>
    <row r="20273" ht="12.75" hidden="1" customHeight="1" x14ac:dyDescent="0.2"/>
    <row r="20274" ht="12.75" hidden="1" customHeight="1" x14ac:dyDescent="0.2"/>
    <row r="20275" ht="12.75" hidden="1" customHeight="1" x14ac:dyDescent="0.2"/>
    <row r="20276" ht="12.75" hidden="1" customHeight="1" x14ac:dyDescent="0.2"/>
    <row r="20277" ht="12.75" hidden="1" customHeight="1" x14ac:dyDescent="0.2"/>
    <row r="20278" ht="12.75" hidden="1" customHeight="1" x14ac:dyDescent="0.2"/>
    <row r="20279" ht="12.75" hidden="1" customHeight="1" x14ac:dyDescent="0.2"/>
    <row r="20280" ht="12.75" hidden="1" customHeight="1" x14ac:dyDescent="0.2"/>
    <row r="20281" ht="12.75" hidden="1" customHeight="1" x14ac:dyDescent="0.2"/>
    <row r="20282" ht="12.75" hidden="1" customHeight="1" x14ac:dyDescent="0.2"/>
    <row r="20283" ht="12.75" hidden="1" customHeight="1" x14ac:dyDescent="0.2"/>
    <row r="20284" ht="12.75" hidden="1" customHeight="1" x14ac:dyDescent="0.2"/>
    <row r="20285" ht="12.75" hidden="1" customHeight="1" x14ac:dyDescent="0.2"/>
    <row r="20286" ht="12.75" hidden="1" customHeight="1" x14ac:dyDescent="0.2"/>
    <row r="20287" ht="12.75" hidden="1" customHeight="1" x14ac:dyDescent="0.2"/>
    <row r="20288" ht="12.75" hidden="1" customHeight="1" x14ac:dyDescent="0.2"/>
    <row r="20289" ht="12.75" hidden="1" customHeight="1" x14ac:dyDescent="0.2"/>
    <row r="20290" ht="12.75" hidden="1" customHeight="1" x14ac:dyDescent="0.2"/>
    <row r="20291" ht="12.75" hidden="1" customHeight="1" x14ac:dyDescent="0.2"/>
    <row r="20292" ht="12.75" hidden="1" customHeight="1" x14ac:dyDescent="0.2"/>
    <row r="20293" ht="12.75" hidden="1" customHeight="1" x14ac:dyDescent="0.2"/>
    <row r="20294" ht="12.75" hidden="1" customHeight="1" x14ac:dyDescent="0.2"/>
    <row r="20295" ht="12.75" hidden="1" customHeight="1" x14ac:dyDescent="0.2"/>
    <row r="20296" ht="12.75" hidden="1" customHeight="1" x14ac:dyDescent="0.2"/>
    <row r="20297" ht="12.75" hidden="1" customHeight="1" x14ac:dyDescent="0.2"/>
    <row r="20298" ht="12.75" hidden="1" customHeight="1" x14ac:dyDescent="0.2"/>
    <row r="20299" ht="12.75" hidden="1" customHeight="1" x14ac:dyDescent="0.2"/>
    <row r="20300" ht="12.75" hidden="1" customHeight="1" x14ac:dyDescent="0.2"/>
    <row r="20301" ht="12.75" hidden="1" customHeight="1" x14ac:dyDescent="0.2"/>
    <row r="20302" ht="12.75" hidden="1" customHeight="1" x14ac:dyDescent="0.2"/>
    <row r="20303" ht="12.75" hidden="1" customHeight="1" x14ac:dyDescent="0.2"/>
    <row r="20304" ht="12.75" hidden="1" customHeight="1" x14ac:dyDescent="0.2"/>
    <row r="20305" ht="12.75" hidden="1" customHeight="1" x14ac:dyDescent="0.2"/>
    <row r="20306" ht="12.75" hidden="1" customHeight="1" x14ac:dyDescent="0.2"/>
    <row r="20307" ht="12.75" hidden="1" customHeight="1" x14ac:dyDescent="0.2"/>
    <row r="20308" ht="12.75" hidden="1" customHeight="1" x14ac:dyDescent="0.2"/>
    <row r="20309" ht="12.75" hidden="1" customHeight="1" x14ac:dyDescent="0.2"/>
    <row r="20310" ht="12.75" hidden="1" customHeight="1" x14ac:dyDescent="0.2"/>
    <row r="20311" ht="12.75" hidden="1" customHeight="1" x14ac:dyDescent="0.2"/>
    <row r="20312" ht="12.75" hidden="1" customHeight="1" x14ac:dyDescent="0.2"/>
    <row r="20313" ht="12.75" hidden="1" customHeight="1" x14ac:dyDescent="0.2"/>
    <row r="20314" ht="12.75" hidden="1" customHeight="1" x14ac:dyDescent="0.2"/>
    <row r="20315" ht="12.75" hidden="1" customHeight="1" x14ac:dyDescent="0.2"/>
    <row r="20316" ht="12.75" hidden="1" customHeight="1" x14ac:dyDescent="0.2"/>
    <row r="20317" ht="12.75" hidden="1" customHeight="1" x14ac:dyDescent="0.2"/>
    <row r="20318" ht="12.75" hidden="1" customHeight="1" x14ac:dyDescent="0.2"/>
    <row r="20319" ht="12.75" hidden="1" customHeight="1" x14ac:dyDescent="0.2"/>
    <row r="20320" ht="12.75" hidden="1" customHeight="1" x14ac:dyDescent="0.2"/>
    <row r="20321" ht="12.75" hidden="1" customHeight="1" x14ac:dyDescent="0.2"/>
    <row r="20322" ht="12.75" hidden="1" customHeight="1" x14ac:dyDescent="0.2"/>
    <row r="20323" ht="12.75" hidden="1" customHeight="1" x14ac:dyDescent="0.2"/>
    <row r="20324" ht="12.75" hidden="1" customHeight="1" x14ac:dyDescent="0.2"/>
    <row r="20325" ht="12.75" hidden="1" customHeight="1" x14ac:dyDescent="0.2"/>
    <row r="20326" ht="12.75" hidden="1" customHeight="1" x14ac:dyDescent="0.2"/>
    <row r="20327" ht="12.75" hidden="1" customHeight="1" x14ac:dyDescent="0.2"/>
    <row r="20328" ht="12.75" hidden="1" customHeight="1" x14ac:dyDescent="0.2"/>
    <row r="20329" ht="12.75" hidden="1" customHeight="1" x14ac:dyDescent="0.2"/>
    <row r="20330" ht="12.75" hidden="1" customHeight="1" x14ac:dyDescent="0.2"/>
    <row r="20331" ht="12.75" hidden="1" customHeight="1" x14ac:dyDescent="0.2"/>
    <row r="20332" ht="12.75" hidden="1" customHeight="1" x14ac:dyDescent="0.2"/>
    <row r="20333" ht="12.75" hidden="1" customHeight="1" x14ac:dyDescent="0.2"/>
    <row r="20334" ht="12.75" hidden="1" customHeight="1" x14ac:dyDescent="0.2"/>
    <row r="20335" ht="12.75" hidden="1" customHeight="1" x14ac:dyDescent="0.2"/>
    <row r="20336" ht="12.75" hidden="1" customHeight="1" x14ac:dyDescent="0.2"/>
    <row r="20337" ht="12.75" hidden="1" customHeight="1" x14ac:dyDescent="0.2"/>
    <row r="20338" ht="12.75" hidden="1" customHeight="1" x14ac:dyDescent="0.2"/>
    <row r="20339" ht="12.75" hidden="1" customHeight="1" x14ac:dyDescent="0.2"/>
    <row r="20340" ht="12.75" hidden="1" customHeight="1" x14ac:dyDescent="0.2"/>
    <row r="20341" ht="12.75" hidden="1" customHeight="1" x14ac:dyDescent="0.2"/>
    <row r="20342" ht="12.75" hidden="1" customHeight="1" x14ac:dyDescent="0.2"/>
    <row r="20343" ht="12.75" hidden="1" customHeight="1" x14ac:dyDescent="0.2"/>
    <row r="20344" ht="12.75" hidden="1" customHeight="1" x14ac:dyDescent="0.2"/>
    <row r="20345" ht="12.75" hidden="1" customHeight="1" x14ac:dyDescent="0.2"/>
    <row r="20346" ht="12.75" hidden="1" customHeight="1" x14ac:dyDescent="0.2"/>
    <row r="20347" ht="12.75" hidden="1" customHeight="1" x14ac:dyDescent="0.2"/>
    <row r="20348" ht="12.75" hidden="1" customHeight="1" x14ac:dyDescent="0.2"/>
    <row r="20349" ht="12.75" hidden="1" customHeight="1" x14ac:dyDescent="0.2"/>
    <row r="20350" ht="12.75" hidden="1" customHeight="1" x14ac:dyDescent="0.2"/>
    <row r="20351" ht="12.75" hidden="1" customHeight="1" x14ac:dyDescent="0.2"/>
    <row r="20352" ht="12.75" hidden="1" customHeight="1" x14ac:dyDescent="0.2"/>
    <row r="20353" ht="12.75" hidden="1" customHeight="1" x14ac:dyDescent="0.2"/>
    <row r="20354" ht="12.75" hidden="1" customHeight="1" x14ac:dyDescent="0.2"/>
    <row r="20355" ht="12.75" hidden="1" customHeight="1" x14ac:dyDescent="0.2"/>
    <row r="20356" ht="12.75" hidden="1" customHeight="1" x14ac:dyDescent="0.2"/>
    <row r="20357" ht="12.75" hidden="1" customHeight="1" x14ac:dyDescent="0.2"/>
    <row r="20358" ht="12.75" hidden="1" customHeight="1" x14ac:dyDescent="0.2"/>
    <row r="20359" ht="12.75" hidden="1" customHeight="1" x14ac:dyDescent="0.2"/>
    <row r="20360" ht="12.75" hidden="1" customHeight="1" x14ac:dyDescent="0.2"/>
    <row r="20361" ht="12.75" hidden="1" customHeight="1" x14ac:dyDescent="0.2"/>
    <row r="20362" ht="12.75" hidden="1" customHeight="1" x14ac:dyDescent="0.2"/>
    <row r="20363" ht="12.75" hidden="1" customHeight="1" x14ac:dyDescent="0.2"/>
    <row r="20364" ht="12.75" hidden="1" customHeight="1" x14ac:dyDescent="0.2"/>
    <row r="20365" ht="12.75" hidden="1" customHeight="1" x14ac:dyDescent="0.2"/>
    <row r="20366" ht="12.75" hidden="1" customHeight="1" x14ac:dyDescent="0.2"/>
    <row r="20367" ht="12.75" hidden="1" customHeight="1" x14ac:dyDescent="0.2"/>
    <row r="20368" ht="12.75" hidden="1" customHeight="1" x14ac:dyDescent="0.2"/>
    <row r="20369" ht="12.75" hidden="1" customHeight="1" x14ac:dyDescent="0.2"/>
    <row r="20370" ht="12.75" hidden="1" customHeight="1" x14ac:dyDescent="0.2"/>
    <row r="20371" ht="12.75" hidden="1" customHeight="1" x14ac:dyDescent="0.2"/>
    <row r="20372" ht="12.75" hidden="1" customHeight="1" x14ac:dyDescent="0.2"/>
    <row r="20373" ht="12.75" hidden="1" customHeight="1" x14ac:dyDescent="0.2"/>
    <row r="20374" ht="12.75" hidden="1" customHeight="1" x14ac:dyDescent="0.2"/>
    <row r="20375" ht="12.75" hidden="1" customHeight="1" x14ac:dyDescent="0.2"/>
    <row r="20376" ht="12.75" hidden="1" customHeight="1" x14ac:dyDescent="0.2"/>
    <row r="20377" ht="12.75" hidden="1" customHeight="1" x14ac:dyDescent="0.2"/>
    <row r="20378" ht="12.75" hidden="1" customHeight="1" x14ac:dyDescent="0.2"/>
    <row r="20379" ht="12.75" hidden="1" customHeight="1" x14ac:dyDescent="0.2"/>
    <row r="20380" ht="12.75" hidden="1" customHeight="1" x14ac:dyDescent="0.2"/>
    <row r="20381" ht="12.75" hidden="1" customHeight="1" x14ac:dyDescent="0.2"/>
    <row r="20382" ht="12.75" hidden="1" customHeight="1" x14ac:dyDescent="0.2"/>
    <row r="20383" ht="12.75" hidden="1" customHeight="1" x14ac:dyDescent="0.2"/>
    <row r="20384" ht="12.75" hidden="1" customHeight="1" x14ac:dyDescent="0.2"/>
    <row r="20385" ht="12.75" hidden="1" customHeight="1" x14ac:dyDescent="0.2"/>
    <row r="20386" ht="12.75" hidden="1" customHeight="1" x14ac:dyDescent="0.2"/>
    <row r="20387" ht="12.75" hidden="1" customHeight="1" x14ac:dyDescent="0.2"/>
    <row r="20388" ht="12.75" hidden="1" customHeight="1" x14ac:dyDescent="0.2"/>
    <row r="20389" ht="12.75" hidden="1" customHeight="1" x14ac:dyDescent="0.2"/>
    <row r="20390" ht="12.75" hidden="1" customHeight="1" x14ac:dyDescent="0.2"/>
    <row r="20391" ht="12.75" hidden="1" customHeight="1" x14ac:dyDescent="0.2"/>
    <row r="20392" ht="12.75" hidden="1" customHeight="1" x14ac:dyDescent="0.2"/>
    <row r="20393" ht="12.75" hidden="1" customHeight="1" x14ac:dyDescent="0.2"/>
    <row r="20394" ht="12.75" hidden="1" customHeight="1" x14ac:dyDescent="0.2"/>
    <row r="20395" ht="12.75" hidden="1" customHeight="1" x14ac:dyDescent="0.2"/>
    <row r="20396" ht="12.75" hidden="1" customHeight="1" x14ac:dyDescent="0.2"/>
    <row r="20397" ht="12.75" hidden="1" customHeight="1" x14ac:dyDescent="0.2"/>
    <row r="20398" ht="12.75" hidden="1" customHeight="1" x14ac:dyDescent="0.2"/>
    <row r="20399" ht="12.75" hidden="1" customHeight="1" x14ac:dyDescent="0.2"/>
    <row r="20400" ht="12.75" hidden="1" customHeight="1" x14ac:dyDescent="0.2"/>
    <row r="20401" ht="12.75" hidden="1" customHeight="1" x14ac:dyDescent="0.2"/>
    <row r="20402" ht="12.75" hidden="1" customHeight="1" x14ac:dyDescent="0.2"/>
    <row r="20403" ht="12.75" hidden="1" customHeight="1" x14ac:dyDescent="0.2"/>
    <row r="20404" ht="12.75" hidden="1" customHeight="1" x14ac:dyDescent="0.2"/>
    <row r="20405" ht="12.75" hidden="1" customHeight="1" x14ac:dyDescent="0.2"/>
    <row r="20406" ht="12.75" hidden="1" customHeight="1" x14ac:dyDescent="0.2"/>
    <row r="20407" ht="12.75" hidden="1" customHeight="1" x14ac:dyDescent="0.2"/>
    <row r="20408" ht="12.75" hidden="1" customHeight="1" x14ac:dyDescent="0.2"/>
    <row r="20409" ht="12.75" hidden="1" customHeight="1" x14ac:dyDescent="0.2"/>
    <row r="20410" ht="12.75" hidden="1" customHeight="1" x14ac:dyDescent="0.2"/>
    <row r="20411" ht="12.75" hidden="1" customHeight="1" x14ac:dyDescent="0.2"/>
    <row r="20412" ht="12.75" hidden="1" customHeight="1" x14ac:dyDescent="0.2"/>
    <row r="20413" ht="12.75" hidden="1" customHeight="1" x14ac:dyDescent="0.2"/>
    <row r="20414" ht="12.75" hidden="1" customHeight="1" x14ac:dyDescent="0.2"/>
    <row r="20415" ht="12.75" hidden="1" customHeight="1" x14ac:dyDescent="0.2"/>
    <row r="20416" ht="12.75" hidden="1" customHeight="1" x14ac:dyDescent="0.2"/>
    <row r="20417" ht="12.75" hidden="1" customHeight="1" x14ac:dyDescent="0.2"/>
    <row r="20418" ht="12.75" hidden="1" customHeight="1" x14ac:dyDescent="0.2"/>
    <row r="20419" ht="12.75" hidden="1" customHeight="1" x14ac:dyDescent="0.2"/>
    <row r="20420" ht="12.75" hidden="1" customHeight="1" x14ac:dyDescent="0.2"/>
    <row r="20421" ht="12.75" hidden="1" customHeight="1" x14ac:dyDescent="0.2"/>
    <row r="20422" ht="12.75" hidden="1" customHeight="1" x14ac:dyDescent="0.2"/>
    <row r="20423" ht="12.75" hidden="1" customHeight="1" x14ac:dyDescent="0.2"/>
    <row r="20424" ht="12.75" hidden="1" customHeight="1" x14ac:dyDescent="0.2"/>
    <row r="20425" ht="12.75" hidden="1" customHeight="1" x14ac:dyDescent="0.2"/>
    <row r="20426" ht="12.75" hidden="1" customHeight="1" x14ac:dyDescent="0.2"/>
    <row r="20427" ht="12.75" hidden="1" customHeight="1" x14ac:dyDescent="0.2"/>
    <row r="20428" ht="12.75" hidden="1" customHeight="1" x14ac:dyDescent="0.2"/>
    <row r="20429" ht="12.75" hidden="1" customHeight="1" x14ac:dyDescent="0.2"/>
    <row r="20430" ht="12.75" hidden="1" customHeight="1" x14ac:dyDescent="0.2"/>
    <row r="20431" ht="12.75" hidden="1" customHeight="1" x14ac:dyDescent="0.2"/>
    <row r="20432" ht="12.75" hidden="1" customHeight="1" x14ac:dyDescent="0.2"/>
    <row r="20433" ht="12.75" hidden="1" customHeight="1" x14ac:dyDescent="0.2"/>
    <row r="20434" ht="12.75" hidden="1" customHeight="1" x14ac:dyDescent="0.2"/>
    <row r="20435" ht="12.75" hidden="1" customHeight="1" x14ac:dyDescent="0.2"/>
    <row r="20436" ht="12.75" hidden="1" customHeight="1" x14ac:dyDescent="0.2"/>
    <row r="20437" ht="12.75" hidden="1" customHeight="1" x14ac:dyDescent="0.2"/>
    <row r="20438" ht="12.75" hidden="1" customHeight="1" x14ac:dyDescent="0.2"/>
    <row r="20439" ht="12.75" hidden="1" customHeight="1" x14ac:dyDescent="0.2"/>
    <row r="20440" ht="12.75" hidden="1" customHeight="1" x14ac:dyDescent="0.2"/>
    <row r="20441" ht="12.75" hidden="1" customHeight="1" x14ac:dyDescent="0.2"/>
    <row r="20442" ht="12.75" hidden="1" customHeight="1" x14ac:dyDescent="0.2"/>
    <row r="20443" ht="12.75" hidden="1" customHeight="1" x14ac:dyDescent="0.2"/>
    <row r="20444" ht="12.75" hidden="1" customHeight="1" x14ac:dyDescent="0.2"/>
    <row r="20445" ht="12.75" hidden="1" customHeight="1" x14ac:dyDescent="0.2"/>
    <row r="20446" ht="12.75" hidden="1" customHeight="1" x14ac:dyDescent="0.2"/>
    <row r="20447" ht="12.75" hidden="1" customHeight="1" x14ac:dyDescent="0.2"/>
    <row r="20448" ht="12.75" hidden="1" customHeight="1" x14ac:dyDescent="0.2"/>
    <row r="20449" ht="12.75" hidden="1" customHeight="1" x14ac:dyDescent="0.2"/>
    <row r="20450" ht="12.75" hidden="1" customHeight="1" x14ac:dyDescent="0.2"/>
    <row r="20451" ht="12.75" hidden="1" customHeight="1" x14ac:dyDescent="0.2"/>
    <row r="20452" ht="12.75" hidden="1" customHeight="1" x14ac:dyDescent="0.2"/>
    <row r="20453" ht="12.75" hidden="1" customHeight="1" x14ac:dyDescent="0.2"/>
    <row r="20454" ht="12.75" hidden="1" customHeight="1" x14ac:dyDescent="0.2"/>
    <row r="20455" ht="12.75" hidden="1" customHeight="1" x14ac:dyDescent="0.2"/>
    <row r="20456" ht="12.75" hidden="1" customHeight="1" x14ac:dyDescent="0.2"/>
    <row r="20457" ht="12.75" hidden="1" customHeight="1" x14ac:dyDescent="0.2"/>
    <row r="20458" ht="12.75" hidden="1" customHeight="1" x14ac:dyDescent="0.2"/>
    <row r="20459" ht="12.75" hidden="1" customHeight="1" x14ac:dyDescent="0.2"/>
    <row r="20460" ht="12.75" hidden="1" customHeight="1" x14ac:dyDescent="0.2"/>
    <row r="20461" ht="12.75" hidden="1" customHeight="1" x14ac:dyDescent="0.2"/>
    <row r="20462" ht="12.75" hidden="1" customHeight="1" x14ac:dyDescent="0.2"/>
    <row r="20463" ht="12.75" hidden="1" customHeight="1" x14ac:dyDescent="0.2"/>
    <row r="20464" ht="12.75" hidden="1" customHeight="1" x14ac:dyDescent="0.2"/>
    <row r="20465" ht="12.75" hidden="1" customHeight="1" x14ac:dyDescent="0.2"/>
    <row r="20466" ht="12.75" hidden="1" customHeight="1" x14ac:dyDescent="0.2"/>
    <row r="20467" ht="12.75" hidden="1" customHeight="1" x14ac:dyDescent="0.2"/>
    <row r="20468" ht="12.75" hidden="1" customHeight="1" x14ac:dyDescent="0.2"/>
    <row r="20469" ht="12.75" hidden="1" customHeight="1" x14ac:dyDescent="0.2"/>
    <row r="20470" ht="12.75" hidden="1" customHeight="1" x14ac:dyDescent="0.2"/>
    <row r="20471" ht="12.75" hidden="1" customHeight="1" x14ac:dyDescent="0.2"/>
    <row r="20472" ht="12.75" hidden="1" customHeight="1" x14ac:dyDescent="0.2"/>
    <row r="20473" ht="12.75" hidden="1" customHeight="1" x14ac:dyDescent="0.2"/>
    <row r="20474" ht="12.75" hidden="1" customHeight="1" x14ac:dyDescent="0.2"/>
    <row r="20475" ht="12.75" hidden="1" customHeight="1" x14ac:dyDescent="0.2"/>
    <row r="20476" ht="12.75" hidden="1" customHeight="1" x14ac:dyDescent="0.2"/>
    <row r="20477" ht="12.75" hidden="1" customHeight="1" x14ac:dyDescent="0.2"/>
    <row r="20478" ht="12.75" hidden="1" customHeight="1" x14ac:dyDescent="0.2"/>
    <row r="20479" ht="12.75" hidden="1" customHeight="1" x14ac:dyDescent="0.2"/>
    <row r="20480" ht="12.75" hidden="1" customHeight="1" x14ac:dyDescent="0.2"/>
    <row r="20481" ht="12.75" hidden="1" customHeight="1" x14ac:dyDescent="0.2"/>
    <row r="20482" ht="12.75" hidden="1" customHeight="1" x14ac:dyDescent="0.2"/>
    <row r="20483" ht="12.75" hidden="1" customHeight="1" x14ac:dyDescent="0.2"/>
    <row r="20484" ht="12.75" hidden="1" customHeight="1" x14ac:dyDescent="0.2"/>
    <row r="20485" ht="12.75" hidden="1" customHeight="1" x14ac:dyDescent="0.2"/>
    <row r="20486" ht="12.75" hidden="1" customHeight="1" x14ac:dyDescent="0.2"/>
    <row r="20487" ht="12.75" hidden="1" customHeight="1" x14ac:dyDescent="0.2"/>
    <row r="20488" ht="12.75" hidden="1" customHeight="1" x14ac:dyDescent="0.2"/>
    <row r="20489" ht="12.75" hidden="1" customHeight="1" x14ac:dyDescent="0.2"/>
    <row r="20490" ht="12.75" hidden="1" customHeight="1" x14ac:dyDescent="0.2"/>
    <row r="20491" ht="12.75" hidden="1" customHeight="1" x14ac:dyDescent="0.2"/>
    <row r="20492" ht="12.75" hidden="1" customHeight="1" x14ac:dyDescent="0.2"/>
    <row r="20493" ht="12.75" hidden="1" customHeight="1" x14ac:dyDescent="0.2"/>
    <row r="20494" ht="12.75" hidden="1" customHeight="1" x14ac:dyDescent="0.2"/>
    <row r="20495" ht="12.75" hidden="1" customHeight="1" x14ac:dyDescent="0.2"/>
    <row r="20496" ht="12.75" hidden="1" customHeight="1" x14ac:dyDescent="0.2"/>
    <row r="20497" ht="12.75" hidden="1" customHeight="1" x14ac:dyDescent="0.2"/>
    <row r="20498" ht="12.75" hidden="1" customHeight="1" x14ac:dyDescent="0.2"/>
    <row r="20499" ht="12.75" hidden="1" customHeight="1" x14ac:dyDescent="0.2"/>
    <row r="20500" ht="12.75" hidden="1" customHeight="1" x14ac:dyDescent="0.2"/>
    <row r="20501" ht="12.75" hidden="1" customHeight="1" x14ac:dyDescent="0.2"/>
    <row r="20502" ht="12.75" hidden="1" customHeight="1" x14ac:dyDescent="0.2"/>
    <row r="20503" ht="12.75" hidden="1" customHeight="1" x14ac:dyDescent="0.2"/>
    <row r="20504" ht="12.75" hidden="1" customHeight="1" x14ac:dyDescent="0.2"/>
    <row r="20505" ht="12.75" hidden="1" customHeight="1" x14ac:dyDescent="0.2"/>
    <row r="20506" ht="12.75" hidden="1" customHeight="1" x14ac:dyDescent="0.2"/>
    <row r="20507" ht="12.75" hidden="1" customHeight="1" x14ac:dyDescent="0.2"/>
    <row r="20508" ht="12.75" hidden="1" customHeight="1" x14ac:dyDescent="0.2"/>
    <row r="20509" ht="12.75" hidden="1" customHeight="1" x14ac:dyDescent="0.2"/>
    <row r="20510" ht="12.75" hidden="1" customHeight="1" x14ac:dyDescent="0.2"/>
    <row r="20511" ht="12.75" hidden="1" customHeight="1" x14ac:dyDescent="0.2"/>
    <row r="20512" ht="12.75" hidden="1" customHeight="1" x14ac:dyDescent="0.2"/>
    <row r="20513" ht="12.75" hidden="1" customHeight="1" x14ac:dyDescent="0.2"/>
    <row r="20514" ht="12.75" hidden="1" customHeight="1" x14ac:dyDescent="0.2"/>
    <row r="20515" ht="12.75" hidden="1" customHeight="1" x14ac:dyDescent="0.2"/>
    <row r="20516" ht="12.75" hidden="1" customHeight="1" x14ac:dyDescent="0.2"/>
    <row r="20517" ht="12.75" hidden="1" customHeight="1" x14ac:dyDescent="0.2"/>
    <row r="20518" ht="12.75" hidden="1" customHeight="1" x14ac:dyDescent="0.2"/>
    <row r="20519" ht="12.75" hidden="1" customHeight="1" x14ac:dyDescent="0.2"/>
    <row r="20520" ht="12.75" hidden="1" customHeight="1" x14ac:dyDescent="0.2"/>
    <row r="20521" ht="12.75" hidden="1" customHeight="1" x14ac:dyDescent="0.2"/>
    <row r="20522" ht="12.75" hidden="1" customHeight="1" x14ac:dyDescent="0.2"/>
    <row r="20523" ht="12.75" hidden="1" customHeight="1" x14ac:dyDescent="0.2"/>
    <row r="20524" ht="12.75" hidden="1" customHeight="1" x14ac:dyDescent="0.2"/>
    <row r="20525" ht="12.75" hidden="1" customHeight="1" x14ac:dyDescent="0.2"/>
    <row r="20526" ht="12.75" hidden="1" customHeight="1" x14ac:dyDescent="0.2"/>
    <row r="20527" ht="12.75" hidden="1" customHeight="1" x14ac:dyDescent="0.2"/>
    <row r="20528" ht="12.75" hidden="1" customHeight="1" x14ac:dyDescent="0.2"/>
    <row r="20529" ht="12.75" hidden="1" customHeight="1" x14ac:dyDescent="0.2"/>
    <row r="20530" ht="12.75" hidden="1" customHeight="1" x14ac:dyDescent="0.2"/>
    <row r="20531" ht="12.75" hidden="1" customHeight="1" x14ac:dyDescent="0.2"/>
    <row r="20532" ht="12.75" hidden="1" customHeight="1" x14ac:dyDescent="0.2"/>
    <row r="20533" ht="12.75" hidden="1" customHeight="1" x14ac:dyDescent="0.2"/>
    <row r="20534" ht="12.75" hidden="1" customHeight="1" x14ac:dyDescent="0.2"/>
    <row r="20535" ht="12.75" hidden="1" customHeight="1" x14ac:dyDescent="0.2"/>
    <row r="20536" ht="12.75" hidden="1" customHeight="1" x14ac:dyDescent="0.2"/>
    <row r="20537" ht="12.75" hidden="1" customHeight="1" x14ac:dyDescent="0.2"/>
    <row r="20538" ht="12.75" hidden="1" customHeight="1" x14ac:dyDescent="0.2"/>
    <row r="20539" ht="12.75" hidden="1" customHeight="1" x14ac:dyDescent="0.2"/>
    <row r="20540" ht="12.75" hidden="1" customHeight="1" x14ac:dyDescent="0.2"/>
    <row r="20541" ht="12.75" hidden="1" customHeight="1" x14ac:dyDescent="0.2"/>
    <row r="20542" ht="12.75" hidden="1" customHeight="1" x14ac:dyDescent="0.2"/>
    <row r="20543" ht="12.75" hidden="1" customHeight="1" x14ac:dyDescent="0.2"/>
    <row r="20544" ht="12.75" hidden="1" customHeight="1" x14ac:dyDescent="0.2"/>
    <row r="20545" ht="12.75" hidden="1" customHeight="1" x14ac:dyDescent="0.2"/>
    <row r="20546" ht="12.75" hidden="1" customHeight="1" x14ac:dyDescent="0.2"/>
    <row r="20547" ht="12.75" hidden="1" customHeight="1" x14ac:dyDescent="0.2"/>
    <row r="20548" ht="12.75" hidden="1" customHeight="1" x14ac:dyDescent="0.2"/>
    <row r="20549" ht="12.75" hidden="1" customHeight="1" x14ac:dyDescent="0.2"/>
    <row r="20550" ht="12.75" hidden="1" customHeight="1" x14ac:dyDescent="0.2"/>
    <row r="20551" ht="12.75" hidden="1" customHeight="1" x14ac:dyDescent="0.2"/>
    <row r="20552" ht="12.75" hidden="1" customHeight="1" x14ac:dyDescent="0.2"/>
    <row r="20553" ht="12.75" hidden="1" customHeight="1" x14ac:dyDescent="0.2"/>
    <row r="20554" ht="12.75" hidden="1" customHeight="1" x14ac:dyDescent="0.2"/>
    <row r="20555" ht="12.75" hidden="1" customHeight="1" x14ac:dyDescent="0.2"/>
    <row r="20556" ht="12.75" hidden="1" customHeight="1" x14ac:dyDescent="0.2"/>
    <row r="20557" ht="12.75" hidden="1" customHeight="1" x14ac:dyDescent="0.2"/>
    <row r="20558" ht="12.75" hidden="1" customHeight="1" x14ac:dyDescent="0.2"/>
    <row r="20559" ht="12.75" hidden="1" customHeight="1" x14ac:dyDescent="0.2"/>
    <row r="20560" ht="12.75" hidden="1" customHeight="1" x14ac:dyDescent="0.2"/>
    <row r="20561" ht="12.75" hidden="1" customHeight="1" x14ac:dyDescent="0.2"/>
    <row r="20562" ht="12.75" hidden="1" customHeight="1" x14ac:dyDescent="0.2"/>
    <row r="20563" ht="12.75" hidden="1" customHeight="1" x14ac:dyDescent="0.2"/>
    <row r="20564" ht="12.75" hidden="1" customHeight="1" x14ac:dyDescent="0.2"/>
    <row r="20565" ht="12.75" hidden="1" customHeight="1" x14ac:dyDescent="0.2"/>
    <row r="20566" ht="12.75" hidden="1" customHeight="1" x14ac:dyDescent="0.2"/>
    <row r="20567" ht="12.75" hidden="1" customHeight="1" x14ac:dyDescent="0.2"/>
    <row r="20568" ht="12.75" hidden="1" customHeight="1" x14ac:dyDescent="0.2"/>
    <row r="20569" ht="12.75" hidden="1" customHeight="1" x14ac:dyDescent="0.2"/>
    <row r="20570" ht="12.75" hidden="1" customHeight="1" x14ac:dyDescent="0.2"/>
    <row r="20571" ht="12.75" hidden="1" customHeight="1" x14ac:dyDescent="0.2"/>
    <row r="20572" ht="12.75" hidden="1" customHeight="1" x14ac:dyDescent="0.2"/>
    <row r="20573" ht="12.75" hidden="1" customHeight="1" x14ac:dyDescent="0.2"/>
    <row r="20574" ht="12.75" hidden="1" customHeight="1" x14ac:dyDescent="0.2"/>
    <row r="20575" ht="12.75" hidden="1" customHeight="1" x14ac:dyDescent="0.2"/>
    <row r="20576" ht="12.75" hidden="1" customHeight="1" x14ac:dyDescent="0.2"/>
    <row r="20577" ht="12.75" hidden="1" customHeight="1" x14ac:dyDescent="0.2"/>
    <row r="20578" ht="12.75" hidden="1" customHeight="1" x14ac:dyDescent="0.2"/>
    <row r="20579" ht="12.75" hidden="1" customHeight="1" x14ac:dyDescent="0.2"/>
    <row r="20580" ht="12.75" hidden="1" customHeight="1" x14ac:dyDescent="0.2"/>
    <row r="20581" ht="12.75" hidden="1" customHeight="1" x14ac:dyDescent="0.2"/>
    <row r="20582" ht="12.75" hidden="1" customHeight="1" x14ac:dyDescent="0.2"/>
    <row r="20583" ht="12.75" hidden="1" customHeight="1" x14ac:dyDescent="0.2"/>
    <row r="20584" ht="12.75" hidden="1" customHeight="1" x14ac:dyDescent="0.2"/>
    <row r="20585" ht="12.75" hidden="1" customHeight="1" x14ac:dyDescent="0.2"/>
    <row r="20586" ht="12.75" hidden="1" customHeight="1" x14ac:dyDescent="0.2"/>
    <row r="20587" ht="12.75" hidden="1" customHeight="1" x14ac:dyDescent="0.2"/>
    <row r="20588" ht="12.75" hidden="1" customHeight="1" x14ac:dyDescent="0.2"/>
    <row r="20589" ht="12.75" hidden="1" customHeight="1" x14ac:dyDescent="0.2"/>
    <row r="20590" ht="12.75" hidden="1" customHeight="1" x14ac:dyDescent="0.2"/>
    <row r="20591" ht="12.75" hidden="1" customHeight="1" x14ac:dyDescent="0.2"/>
    <row r="20592" ht="12.75" hidden="1" customHeight="1" x14ac:dyDescent="0.2"/>
    <row r="20593" ht="12.75" hidden="1" customHeight="1" x14ac:dyDescent="0.2"/>
    <row r="20594" ht="12.75" hidden="1" customHeight="1" x14ac:dyDescent="0.2"/>
    <row r="20595" ht="12.75" hidden="1" customHeight="1" x14ac:dyDescent="0.2"/>
    <row r="20596" ht="12.75" hidden="1" customHeight="1" x14ac:dyDescent="0.2"/>
    <row r="20597" ht="12.75" hidden="1" customHeight="1" x14ac:dyDescent="0.2"/>
    <row r="20598" ht="12.75" hidden="1" customHeight="1" x14ac:dyDescent="0.2"/>
    <row r="20599" ht="12.75" hidden="1" customHeight="1" x14ac:dyDescent="0.2"/>
    <row r="20600" ht="12.75" hidden="1" customHeight="1" x14ac:dyDescent="0.2"/>
    <row r="20601" ht="12.75" hidden="1" customHeight="1" x14ac:dyDescent="0.2"/>
    <row r="20602" ht="12.75" hidden="1" customHeight="1" x14ac:dyDescent="0.2"/>
    <row r="20603" ht="12.75" hidden="1" customHeight="1" x14ac:dyDescent="0.2"/>
    <row r="20604" ht="12.75" hidden="1" customHeight="1" x14ac:dyDescent="0.2"/>
    <row r="20605" ht="12.75" hidden="1" customHeight="1" x14ac:dyDescent="0.2"/>
    <row r="20606" ht="12.75" hidden="1" customHeight="1" x14ac:dyDescent="0.2"/>
    <row r="20607" ht="12.75" hidden="1" customHeight="1" x14ac:dyDescent="0.2"/>
    <row r="20608" ht="12.75" hidden="1" customHeight="1" x14ac:dyDescent="0.2"/>
    <row r="20609" ht="12.75" hidden="1" customHeight="1" x14ac:dyDescent="0.2"/>
    <row r="20610" ht="12.75" hidden="1" customHeight="1" x14ac:dyDescent="0.2"/>
    <row r="20611" ht="12.75" hidden="1" customHeight="1" x14ac:dyDescent="0.2"/>
    <row r="20612" ht="12.75" hidden="1" customHeight="1" x14ac:dyDescent="0.2"/>
    <row r="20613" ht="12.75" hidden="1" customHeight="1" x14ac:dyDescent="0.2"/>
    <row r="20614" ht="12.75" hidden="1" customHeight="1" x14ac:dyDescent="0.2"/>
    <row r="20615" ht="12.75" hidden="1" customHeight="1" x14ac:dyDescent="0.2"/>
    <row r="20616" ht="12.75" hidden="1" customHeight="1" x14ac:dyDescent="0.2"/>
    <row r="20617" ht="12.75" hidden="1" customHeight="1" x14ac:dyDescent="0.2"/>
    <row r="20618" ht="12.75" hidden="1" customHeight="1" x14ac:dyDescent="0.2"/>
    <row r="20619" ht="12.75" hidden="1" customHeight="1" x14ac:dyDescent="0.2"/>
    <row r="20620" ht="12.75" hidden="1" customHeight="1" x14ac:dyDescent="0.2"/>
    <row r="20621" ht="12.75" hidden="1" customHeight="1" x14ac:dyDescent="0.2"/>
    <row r="20622" ht="12.75" hidden="1" customHeight="1" x14ac:dyDescent="0.2"/>
    <row r="20623" ht="12.75" hidden="1" customHeight="1" x14ac:dyDescent="0.2"/>
    <row r="20624" ht="12.75" hidden="1" customHeight="1" x14ac:dyDescent="0.2"/>
    <row r="20625" ht="12.75" hidden="1" customHeight="1" x14ac:dyDescent="0.2"/>
    <row r="20626" ht="12.75" hidden="1" customHeight="1" x14ac:dyDescent="0.2"/>
    <row r="20627" ht="12.75" hidden="1" customHeight="1" x14ac:dyDescent="0.2"/>
    <row r="20628" ht="12.75" hidden="1" customHeight="1" x14ac:dyDescent="0.2"/>
    <row r="20629" ht="12.75" hidden="1" customHeight="1" x14ac:dyDescent="0.2"/>
    <row r="20630" ht="12.75" hidden="1" customHeight="1" x14ac:dyDescent="0.2"/>
    <row r="20631" ht="12.75" hidden="1" customHeight="1" x14ac:dyDescent="0.2"/>
    <row r="20632" ht="12.75" hidden="1" customHeight="1" x14ac:dyDescent="0.2"/>
    <row r="20633" ht="12.75" hidden="1" customHeight="1" x14ac:dyDescent="0.2"/>
    <row r="20634" ht="12.75" hidden="1" customHeight="1" x14ac:dyDescent="0.2"/>
    <row r="20635" ht="12.75" hidden="1" customHeight="1" x14ac:dyDescent="0.2"/>
    <row r="20636" ht="12.75" hidden="1" customHeight="1" x14ac:dyDescent="0.2"/>
    <row r="20637" ht="12.75" hidden="1" customHeight="1" x14ac:dyDescent="0.2"/>
    <row r="20638" ht="12.75" hidden="1" customHeight="1" x14ac:dyDescent="0.2"/>
    <row r="20639" ht="12.75" hidden="1" customHeight="1" x14ac:dyDescent="0.2"/>
    <row r="20640" ht="12.75" hidden="1" customHeight="1" x14ac:dyDescent="0.2"/>
    <row r="20641" ht="12.75" hidden="1" customHeight="1" x14ac:dyDescent="0.2"/>
    <row r="20642" ht="12.75" hidden="1" customHeight="1" x14ac:dyDescent="0.2"/>
    <row r="20643" ht="12.75" hidden="1" customHeight="1" x14ac:dyDescent="0.2"/>
    <row r="20644" ht="12.75" hidden="1" customHeight="1" x14ac:dyDescent="0.2"/>
    <row r="20645" ht="12.75" hidden="1" customHeight="1" x14ac:dyDescent="0.2"/>
    <row r="20646" ht="12.75" hidden="1" customHeight="1" x14ac:dyDescent="0.2"/>
    <row r="20647" ht="12.75" hidden="1" customHeight="1" x14ac:dyDescent="0.2"/>
    <row r="20648" ht="12.75" hidden="1" customHeight="1" x14ac:dyDescent="0.2"/>
    <row r="20649" ht="12.75" hidden="1" customHeight="1" x14ac:dyDescent="0.2"/>
    <row r="20650" ht="12.75" hidden="1" customHeight="1" x14ac:dyDescent="0.2"/>
    <row r="20651" ht="12.75" hidden="1" customHeight="1" x14ac:dyDescent="0.2"/>
    <row r="20652" ht="12.75" hidden="1" customHeight="1" x14ac:dyDescent="0.2"/>
    <row r="20653" ht="12.75" hidden="1" customHeight="1" x14ac:dyDescent="0.2"/>
    <row r="20654" ht="12.75" hidden="1" customHeight="1" x14ac:dyDescent="0.2"/>
    <row r="20655" ht="12.75" hidden="1" customHeight="1" x14ac:dyDescent="0.2"/>
    <row r="20656" ht="12.75" hidden="1" customHeight="1" x14ac:dyDescent="0.2"/>
    <row r="20657" ht="12.75" hidden="1" customHeight="1" x14ac:dyDescent="0.2"/>
    <row r="20658" ht="12.75" hidden="1" customHeight="1" x14ac:dyDescent="0.2"/>
    <row r="20659" ht="12.75" hidden="1" customHeight="1" x14ac:dyDescent="0.2"/>
    <row r="20660" ht="12.75" hidden="1" customHeight="1" x14ac:dyDescent="0.2"/>
    <row r="20661" ht="12.75" hidden="1" customHeight="1" x14ac:dyDescent="0.2"/>
    <row r="20662" ht="12.75" hidden="1" customHeight="1" x14ac:dyDescent="0.2"/>
    <row r="20663" ht="12.75" hidden="1" customHeight="1" x14ac:dyDescent="0.2"/>
    <row r="20664" ht="12.75" hidden="1" customHeight="1" x14ac:dyDescent="0.2"/>
    <row r="20665" ht="12.75" hidden="1" customHeight="1" x14ac:dyDescent="0.2"/>
    <row r="20666" ht="12.75" hidden="1" customHeight="1" x14ac:dyDescent="0.2"/>
    <row r="20667" ht="12.75" hidden="1" customHeight="1" x14ac:dyDescent="0.2"/>
    <row r="20668" ht="12.75" hidden="1" customHeight="1" x14ac:dyDescent="0.2"/>
    <row r="20669" ht="12.75" hidden="1" customHeight="1" x14ac:dyDescent="0.2"/>
    <row r="20670" ht="12.75" hidden="1" customHeight="1" x14ac:dyDescent="0.2"/>
    <row r="20671" ht="12.75" hidden="1" customHeight="1" x14ac:dyDescent="0.2"/>
    <row r="20672" ht="12.75" hidden="1" customHeight="1" x14ac:dyDescent="0.2"/>
    <row r="20673" ht="12.75" hidden="1" customHeight="1" x14ac:dyDescent="0.2"/>
    <row r="20674" ht="12.75" hidden="1" customHeight="1" x14ac:dyDescent="0.2"/>
    <row r="20675" ht="12.75" hidden="1" customHeight="1" x14ac:dyDescent="0.2"/>
    <row r="20676" ht="12.75" hidden="1" customHeight="1" x14ac:dyDescent="0.2"/>
    <row r="20677" ht="12.75" hidden="1" customHeight="1" x14ac:dyDescent="0.2"/>
    <row r="20678" ht="12.75" hidden="1" customHeight="1" x14ac:dyDescent="0.2"/>
    <row r="20679" ht="12.75" hidden="1" customHeight="1" x14ac:dyDescent="0.2"/>
    <row r="20680" ht="12.75" hidden="1" customHeight="1" x14ac:dyDescent="0.2"/>
    <row r="20681" ht="12.75" hidden="1" customHeight="1" x14ac:dyDescent="0.2"/>
    <row r="20682" ht="12.75" hidden="1" customHeight="1" x14ac:dyDescent="0.2"/>
    <row r="20683" ht="12.75" hidden="1" customHeight="1" x14ac:dyDescent="0.2"/>
    <row r="20684" ht="12.75" hidden="1" customHeight="1" x14ac:dyDescent="0.2"/>
    <row r="20685" ht="12.75" hidden="1" customHeight="1" x14ac:dyDescent="0.2"/>
    <row r="20686" ht="12.75" hidden="1" customHeight="1" x14ac:dyDescent="0.2"/>
    <row r="20687" ht="12.75" hidden="1" customHeight="1" x14ac:dyDescent="0.2"/>
    <row r="20688" ht="12.75" hidden="1" customHeight="1" x14ac:dyDescent="0.2"/>
    <row r="20689" ht="12.75" hidden="1" customHeight="1" x14ac:dyDescent="0.2"/>
    <row r="20690" ht="12.75" hidden="1" customHeight="1" x14ac:dyDescent="0.2"/>
    <row r="20691" ht="12.75" hidden="1" customHeight="1" x14ac:dyDescent="0.2"/>
    <row r="20692" ht="12.75" hidden="1" customHeight="1" x14ac:dyDescent="0.2"/>
    <row r="20693" ht="12.75" hidden="1" customHeight="1" x14ac:dyDescent="0.2"/>
    <row r="20694" ht="12.75" hidden="1" customHeight="1" x14ac:dyDescent="0.2"/>
    <row r="20695" ht="12.75" hidden="1" customHeight="1" x14ac:dyDescent="0.2"/>
    <row r="20696" ht="12.75" hidden="1" customHeight="1" x14ac:dyDescent="0.2"/>
    <row r="20697" ht="12.75" hidden="1" customHeight="1" x14ac:dyDescent="0.2"/>
    <row r="20698" ht="12.75" hidden="1" customHeight="1" x14ac:dyDescent="0.2"/>
    <row r="20699" ht="12.75" hidden="1" customHeight="1" x14ac:dyDescent="0.2"/>
    <row r="20700" ht="12.75" hidden="1" customHeight="1" x14ac:dyDescent="0.2"/>
    <row r="20701" ht="12.75" hidden="1" customHeight="1" x14ac:dyDescent="0.2"/>
    <row r="20702" ht="12.75" hidden="1" customHeight="1" x14ac:dyDescent="0.2"/>
    <row r="20703" ht="12.75" hidden="1" customHeight="1" x14ac:dyDescent="0.2"/>
    <row r="20704" ht="12.75" hidden="1" customHeight="1" x14ac:dyDescent="0.2"/>
    <row r="20705" ht="12.75" hidden="1" customHeight="1" x14ac:dyDescent="0.2"/>
    <row r="20706" ht="12.75" hidden="1" customHeight="1" x14ac:dyDescent="0.2"/>
    <row r="20707" ht="12.75" hidden="1" customHeight="1" x14ac:dyDescent="0.2"/>
    <row r="20708" ht="12.75" hidden="1" customHeight="1" x14ac:dyDescent="0.2"/>
    <row r="20709" ht="12.75" hidden="1" customHeight="1" x14ac:dyDescent="0.2"/>
    <row r="20710" ht="12.75" hidden="1" customHeight="1" x14ac:dyDescent="0.2"/>
    <row r="20711" ht="12.75" hidden="1" customHeight="1" x14ac:dyDescent="0.2"/>
    <row r="20712" ht="12.75" hidden="1" customHeight="1" x14ac:dyDescent="0.2"/>
    <row r="20713" ht="12.75" hidden="1" customHeight="1" x14ac:dyDescent="0.2"/>
    <row r="20714" ht="12.75" hidden="1" customHeight="1" x14ac:dyDescent="0.2"/>
    <row r="20715" ht="12.75" hidden="1" customHeight="1" x14ac:dyDescent="0.2"/>
    <row r="20716" ht="12.75" hidden="1" customHeight="1" x14ac:dyDescent="0.2"/>
    <row r="20717" ht="12.75" hidden="1" customHeight="1" x14ac:dyDescent="0.2"/>
    <row r="20718" ht="12.75" hidden="1" customHeight="1" x14ac:dyDescent="0.2"/>
    <row r="20719" ht="12.75" hidden="1" customHeight="1" x14ac:dyDescent="0.2"/>
    <row r="20720" ht="12.75" hidden="1" customHeight="1" x14ac:dyDescent="0.2"/>
    <row r="20721" ht="12.75" hidden="1" customHeight="1" x14ac:dyDescent="0.2"/>
    <row r="20722" ht="12.75" hidden="1" customHeight="1" x14ac:dyDescent="0.2"/>
    <row r="20723" ht="12.75" hidden="1" customHeight="1" x14ac:dyDescent="0.2"/>
    <row r="20724" ht="12.75" hidden="1" customHeight="1" x14ac:dyDescent="0.2"/>
    <row r="20725" ht="12.75" hidden="1" customHeight="1" x14ac:dyDescent="0.2"/>
    <row r="20726" ht="12.75" hidden="1" customHeight="1" x14ac:dyDescent="0.2"/>
    <row r="20727" ht="12.75" hidden="1" customHeight="1" x14ac:dyDescent="0.2"/>
    <row r="20728" ht="12.75" hidden="1" customHeight="1" x14ac:dyDescent="0.2"/>
    <row r="20729" ht="12.75" hidden="1" customHeight="1" x14ac:dyDescent="0.2"/>
    <row r="20730" ht="12.75" hidden="1" customHeight="1" x14ac:dyDescent="0.2"/>
    <row r="20731" ht="12.75" hidden="1" customHeight="1" x14ac:dyDescent="0.2"/>
    <row r="20732" ht="12.75" hidden="1" customHeight="1" x14ac:dyDescent="0.2"/>
    <row r="20733" ht="12.75" hidden="1" customHeight="1" x14ac:dyDescent="0.2"/>
    <row r="20734" ht="12.75" hidden="1" customHeight="1" x14ac:dyDescent="0.2"/>
    <row r="20735" ht="12.75" hidden="1" customHeight="1" x14ac:dyDescent="0.2"/>
    <row r="20736" ht="12.75" hidden="1" customHeight="1" x14ac:dyDescent="0.2"/>
    <row r="20737" ht="12.75" hidden="1" customHeight="1" x14ac:dyDescent="0.2"/>
    <row r="20738" ht="12.75" hidden="1" customHeight="1" x14ac:dyDescent="0.2"/>
    <row r="20739" ht="12.75" hidden="1" customHeight="1" x14ac:dyDescent="0.2"/>
    <row r="20740" ht="12.75" hidden="1" customHeight="1" x14ac:dyDescent="0.2"/>
    <row r="20741" ht="12.75" hidden="1" customHeight="1" x14ac:dyDescent="0.2"/>
    <row r="20742" ht="12.75" hidden="1" customHeight="1" x14ac:dyDescent="0.2"/>
    <row r="20743" ht="12.75" hidden="1" customHeight="1" x14ac:dyDescent="0.2"/>
    <row r="20744" ht="12.75" hidden="1" customHeight="1" x14ac:dyDescent="0.2"/>
    <row r="20745" ht="12.75" hidden="1" customHeight="1" x14ac:dyDescent="0.2"/>
    <row r="20746" ht="12.75" hidden="1" customHeight="1" x14ac:dyDescent="0.2"/>
    <row r="20747" ht="12.75" hidden="1" customHeight="1" x14ac:dyDescent="0.2"/>
    <row r="20748" ht="12.75" hidden="1" customHeight="1" x14ac:dyDescent="0.2"/>
    <row r="20749" ht="12.75" hidden="1" customHeight="1" x14ac:dyDescent="0.2"/>
    <row r="20750" ht="12.75" hidden="1" customHeight="1" x14ac:dyDescent="0.2"/>
    <row r="20751" ht="12.75" hidden="1" customHeight="1" x14ac:dyDescent="0.2"/>
    <row r="20752" ht="12.75" hidden="1" customHeight="1" x14ac:dyDescent="0.2"/>
    <row r="20753" ht="12.75" hidden="1" customHeight="1" x14ac:dyDescent="0.2"/>
    <row r="20754" ht="12.75" hidden="1" customHeight="1" x14ac:dyDescent="0.2"/>
    <row r="20755" ht="12.75" hidden="1" customHeight="1" x14ac:dyDescent="0.2"/>
    <row r="20756" ht="12.75" hidden="1" customHeight="1" x14ac:dyDescent="0.2"/>
    <row r="20757" ht="12.75" hidden="1" customHeight="1" x14ac:dyDescent="0.2"/>
    <row r="20758" ht="12.75" hidden="1" customHeight="1" x14ac:dyDescent="0.2"/>
    <row r="20759" ht="12.75" hidden="1" customHeight="1" x14ac:dyDescent="0.2"/>
    <row r="20760" ht="12.75" hidden="1" customHeight="1" x14ac:dyDescent="0.2"/>
    <row r="20761" ht="12.75" hidden="1" customHeight="1" x14ac:dyDescent="0.2"/>
    <row r="20762" ht="12.75" hidden="1" customHeight="1" x14ac:dyDescent="0.2"/>
    <row r="20763" ht="12.75" hidden="1" customHeight="1" x14ac:dyDescent="0.2"/>
    <row r="20764" ht="12.75" hidden="1" customHeight="1" x14ac:dyDescent="0.2"/>
    <row r="20765" ht="12.75" hidden="1" customHeight="1" x14ac:dyDescent="0.2"/>
    <row r="20766" ht="12.75" hidden="1" customHeight="1" x14ac:dyDescent="0.2"/>
    <row r="20767" ht="12.75" hidden="1" customHeight="1" x14ac:dyDescent="0.2"/>
    <row r="20768" ht="12.75" hidden="1" customHeight="1" x14ac:dyDescent="0.2"/>
    <row r="20769" ht="12.75" hidden="1" customHeight="1" x14ac:dyDescent="0.2"/>
    <row r="20770" ht="12.75" hidden="1" customHeight="1" x14ac:dyDescent="0.2"/>
    <row r="20771" ht="12.75" hidden="1" customHeight="1" x14ac:dyDescent="0.2"/>
    <row r="20772" ht="12.75" hidden="1" customHeight="1" x14ac:dyDescent="0.2"/>
    <row r="20773" ht="12.75" hidden="1" customHeight="1" x14ac:dyDescent="0.2"/>
    <row r="20774" ht="12.75" hidden="1" customHeight="1" x14ac:dyDescent="0.2"/>
    <row r="20775" ht="12.75" hidden="1" customHeight="1" x14ac:dyDescent="0.2"/>
    <row r="20776" ht="12.75" hidden="1" customHeight="1" x14ac:dyDescent="0.2"/>
    <row r="20777" ht="12.75" hidden="1" customHeight="1" x14ac:dyDescent="0.2"/>
    <row r="20778" ht="12.75" hidden="1" customHeight="1" x14ac:dyDescent="0.2"/>
    <row r="20779" ht="12.75" hidden="1" customHeight="1" x14ac:dyDescent="0.2"/>
    <row r="20780" ht="12.75" hidden="1" customHeight="1" x14ac:dyDescent="0.2"/>
    <row r="20781" ht="12.75" hidden="1" customHeight="1" x14ac:dyDescent="0.2"/>
    <row r="20782" ht="12.75" hidden="1" customHeight="1" x14ac:dyDescent="0.2"/>
    <row r="20783" ht="12.75" hidden="1" customHeight="1" x14ac:dyDescent="0.2"/>
    <row r="20784" ht="12.75" hidden="1" customHeight="1" x14ac:dyDescent="0.2"/>
    <row r="20785" ht="12.75" hidden="1" customHeight="1" x14ac:dyDescent="0.2"/>
    <row r="20786" ht="12.75" hidden="1" customHeight="1" x14ac:dyDescent="0.2"/>
    <row r="20787" ht="12.75" hidden="1" customHeight="1" x14ac:dyDescent="0.2"/>
    <row r="20788" ht="12.75" hidden="1" customHeight="1" x14ac:dyDescent="0.2"/>
    <row r="20789" ht="12.75" hidden="1" customHeight="1" x14ac:dyDescent="0.2"/>
    <row r="20790" ht="12.75" hidden="1" customHeight="1" x14ac:dyDescent="0.2"/>
    <row r="20791" ht="12.75" hidden="1" customHeight="1" x14ac:dyDescent="0.2"/>
    <row r="20792" ht="12.75" hidden="1" customHeight="1" x14ac:dyDescent="0.2"/>
    <row r="20793" ht="12.75" hidden="1" customHeight="1" x14ac:dyDescent="0.2"/>
    <row r="20794" ht="12.75" hidden="1" customHeight="1" x14ac:dyDescent="0.2"/>
    <row r="20795" ht="12.75" hidden="1" customHeight="1" x14ac:dyDescent="0.2"/>
    <row r="20796" ht="12.75" hidden="1" customHeight="1" x14ac:dyDescent="0.2"/>
    <row r="20797" ht="12.75" hidden="1" customHeight="1" x14ac:dyDescent="0.2"/>
    <row r="20798" ht="12.75" hidden="1" customHeight="1" x14ac:dyDescent="0.2"/>
    <row r="20799" ht="12.75" hidden="1" customHeight="1" x14ac:dyDescent="0.2"/>
    <row r="20800" ht="12.75" hidden="1" customHeight="1" x14ac:dyDescent="0.2"/>
    <row r="20801" ht="12.75" hidden="1" customHeight="1" x14ac:dyDescent="0.2"/>
    <row r="20802" ht="12.75" hidden="1" customHeight="1" x14ac:dyDescent="0.2"/>
    <row r="20803" ht="12.75" hidden="1" customHeight="1" x14ac:dyDescent="0.2"/>
    <row r="20804" ht="12.75" hidden="1" customHeight="1" x14ac:dyDescent="0.2"/>
    <row r="20805" ht="12.75" hidden="1" customHeight="1" x14ac:dyDescent="0.2"/>
    <row r="20806" ht="12.75" hidden="1" customHeight="1" x14ac:dyDescent="0.2"/>
    <row r="20807" ht="12.75" hidden="1" customHeight="1" x14ac:dyDescent="0.2"/>
    <row r="20808" ht="12.75" hidden="1" customHeight="1" x14ac:dyDescent="0.2"/>
    <row r="20809" ht="12.75" hidden="1" customHeight="1" x14ac:dyDescent="0.2"/>
    <row r="20810" ht="12.75" hidden="1" customHeight="1" x14ac:dyDescent="0.2"/>
    <row r="20811" ht="12.75" hidden="1" customHeight="1" x14ac:dyDescent="0.2"/>
    <row r="20812" ht="12.75" hidden="1" customHeight="1" x14ac:dyDescent="0.2"/>
    <row r="20813" ht="12.75" hidden="1" customHeight="1" x14ac:dyDescent="0.2"/>
    <row r="20814" ht="12.75" hidden="1" customHeight="1" x14ac:dyDescent="0.2"/>
    <row r="20815" ht="12.75" hidden="1" customHeight="1" x14ac:dyDescent="0.2"/>
    <row r="20816" ht="12.75" hidden="1" customHeight="1" x14ac:dyDescent="0.2"/>
    <row r="20817" ht="12.75" hidden="1" customHeight="1" x14ac:dyDescent="0.2"/>
    <row r="20818" ht="12.75" hidden="1" customHeight="1" x14ac:dyDescent="0.2"/>
    <row r="20819" ht="12.75" hidden="1" customHeight="1" x14ac:dyDescent="0.2"/>
    <row r="20820" ht="12.75" hidden="1" customHeight="1" x14ac:dyDescent="0.2"/>
    <row r="20821" ht="12.75" hidden="1" customHeight="1" x14ac:dyDescent="0.2"/>
    <row r="20822" ht="12.75" hidden="1" customHeight="1" x14ac:dyDescent="0.2"/>
    <row r="20823" ht="12.75" hidden="1" customHeight="1" x14ac:dyDescent="0.2"/>
    <row r="20824" ht="12.75" hidden="1" customHeight="1" x14ac:dyDescent="0.2"/>
    <row r="20825" ht="12.75" hidden="1" customHeight="1" x14ac:dyDescent="0.2"/>
    <row r="20826" ht="12.75" hidden="1" customHeight="1" x14ac:dyDescent="0.2"/>
    <row r="20827" ht="12.75" hidden="1" customHeight="1" x14ac:dyDescent="0.2"/>
    <row r="20828" ht="12.75" hidden="1" customHeight="1" x14ac:dyDescent="0.2"/>
    <row r="20829" ht="12.75" hidden="1" customHeight="1" x14ac:dyDescent="0.2"/>
    <row r="20830" ht="12.75" hidden="1" customHeight="1" x14ac:dyDescent="0.2"/>
    <row r="20831" ht="12.75" hidden="1" customHeight="1" x14ac:dyDescent="0.2"/>
    <row r="20832" ht="12.75" hidden="1" customHeight="1" x14ac:dyDescent="0.2"/>
    <row r="20833" ht="12.75" hidden="1" customHeight="1" x14ac:dyDescent="0.2"/>
    <row r="20834" ht="12.75" hidden="1" customHeight="1" x14ac:dyDescent="0.2"/>
    <row r="20835" ht="12.75" hidden="1" customHeight="1" x14ac:dyDescent="0.2"/>
    <row r="20836" ht="12.75" hidden="1" customHeight="1" x14ac:dyDescent="0.2"/>
    <row r="20837" ht="12.75" hidden="1" customHeight="1" x14ac:dyDescent="0.2"/>
    <row r="20838" ht="12.75" hidden="1" customHeight="1" x14ac:dyDescent="0.2"/>
    <row r="20839" ht="12.75" hidden="1" customHeight="1" x14ac:dyDescent="0.2"/>
    <row r="20840" ht="12.75" hidden="1" customHeight="1" x14ac:dyDescent="0.2"/>
    <row r="20841" ht="12.75" hidden="1" customHeight="1" x14ac:dyDescent="0.2"/>
    <row r="20842" ht="12.75" hidden="1" customHeight="1" x14ac:dyDescent="0.2"/>
    <row r="20843" ht="12.75" hidden="1" customHeight="1" x14ac:dyDescent="0.2"/>
    <row r="20844" ht="12.75" hidden="1" customHeight="1" x14ac:dyDescent="0.2"/>
    <row r="20845" ht="12.75" hidden="1" customHeight="1" x14ac:dyDescent="0.2"/>
    <row r="20846" ht="12.75" hidden="1" customHeight="1" x14ac:dyDescent="0.2"/>
    <row r="20847" ht="12.75" hidden="1" customHeight="1" x14ac:dyDescent="0.2"/>
    <row r="20848" ht="12.75" hidden="1" customHeight="1" x14ac:dyDescent="0.2"/>
    <row r="20849" ht="12.75" hidden="1" customHeight="1" x14ac:dyDescent="0.2"/>
    <row r="20850" ht="12.75" hidden="1" customHeight="1" x14ac:dyDescent="0.2"/>
    <row r="20851" ht="12.75" hidden="1" customHeight="1" x14ac:dyDescent="0.2"/>
    <row r="20852" ht="12.75" hidden="1" customHeight="1" x14ac:dyDescent="0.2"/>
    <row r="20853" ht="12.75" hidden="1" customHeight="1" x14ac:dyDescent="0.2"/>
    <row r="20854" ht="12.75" hidden="1" customHeight="1" x14ac:dyDescent="0.2"/>
    <row r="20855" ht="12.75" hidden="1" customHeight="1" x14ac:dyDescent="0.2"/>
    <row r="20856" ht="12.75" hidden="1" customHeight="1" x14ac:dyDescent="0.2"/>
    <row r="20857" ht="12.75" hidden="1" customHeight="1" x14ac:dyDescent="0.2"/>
    <row r="20858" ht="12.75" hidden="1" customHeight="1" x14ac:dyDescent="0.2"/>
    <row r="20859" ht="12.75" hidden="1" customHeight="1" x14ac:dyDescent="0.2"/>
    <row r="20860" ht="12.75" hidden="1" customHeight="1" x14ac:dyDescent="0.2"/>
    <row r="20861" ht="12.75" hidden="1" customHeight="1" x14ac:dyDescent="0.2"/>
    <row r="20862" ht="12.75" hidden="1" customHeight="1" x14ac:dyDescent="0.2"/>
    <row r="20863" ht="12.75" hidden="1" customHeight="1" x14ac:dyDescent="0.2"/>
    <row r="20864" ht="12.75" hidden="1" customHeight="1" x14ac:dyDescent="0.2"/>
    <row r="20865" ht="12.75" hidden="1" customHeight="1" x14ac:dyDescent="0.2"/>
    <row r="20866" ht="12.75" hidden="1" customHeight="1" x14ac:dyDescent="0.2"/>
    <row r="20867" ht="12.75" hidden="1" customHeight="1" x14ac:dyDescent="0.2"/>
    <row r="20868" ht="12.75" hidden="1" customHeight="1" x14ac:dyDescent="0.2"/>
    <row r="20869" ht="12.75" hidden="1" customHeight="1" x14ac:dyDescent="0.2"/>
    <row r="20870" ht="12.75" hidden="1" customHeight="1" x14ac:dyDescent="0.2"/>
    <row r="20871" ht="12.75" hidden="1" customHeight="1" x14ac:dyDescent="0.2"/>
    <row r="20872" ht="12.75" hidden="1" customHeight="1" x14ac:dyDescent="0.2"/>
    <row r="20873" ht="12.75" hidden="1" customHeight="1" x14ac:dyDescent="0.2"/>
    <row r="20874" ht="12.75" hidden="1" customHeight="1" x14ac:dyDescent="0.2"/>
    <row r="20875" ht="12.75" hidden="1" customHeight="1" x14ac:dyDescent="0.2"/>
    <row r="20876" ht="12.75" hidden="1" customHeight="1" x14ac:dyDescent="0.2"/>
    <row r="20877" ht="12.75" hidden="1" customHeight="1" x14ac:dyDescent="0.2"/>
    <row r="20878" ht="12.75" hidden="1" customHeight="1" x14ac:dyDescent="0.2"/>
    <row r="20879" ht="12.75" hidden="1" customHeight="1" x14ac:dyDescent="0.2"/>
    <row r="20880" ht="12.75" hidden="1" customHeight="1" x14ac:dyDescent="0.2"/>
    <row r="20881" ht="12.75" hidden="1" customHeight="1" x14ac:dyDescent="0.2"/>
    <row r="20882" ht="12.75" hidden="1" customHeight="1" x14ac:dyDescent="0.2"/>
    <row r="20883" ht="12.75" hidden="1" customHeight="1" x14ac:dyDescent="0.2"/>
    <row r="20884" ht="12.75" hidden="1" customHeight="1" x14ac:dyDescent="0.2"/>
    <row r="20885" ht="12.75" hidden="1" customHeight="1" x14ac:dyDescent="0.2"/>
    <row r="20886" ht="12.75" hidden="1" customHeight="1" x14ac:dyDescent="0.2"/>
    <row r="20887" ht="12.75" hidden="1" customHeight="1" x14ac:dyDescent="0.2"/>
    <row r="20888" ht="12.75" hidden="1" customHeight="1" x14ac:dyDescent="0.2"/>
    <row r="20889" ht="12.75" hidden="1" customHeight="1" x14ac:dyDescent="0.2"/>
    <row r="20890" ht="12.75" hidden="1" customHeight="1" x14ac:dyDescent="0.2"/>
    <row r="20891" ht="12.75" hidden="1" customHeight="1" x14ac:dyDescent="0.2"/>
    <row r="20892" ht="12.75" hidden="1" customHeight="1" x14ac:dyDescent="0.2"/>
    <row r="20893" ht="12.75" hidden="1" customHeight="1" x14ac:dyDescent="0.2"/>
    <row r="20894" ht="12.75" hidden="1" customHeight="1" x14ac:dyDescent="0.2"/>
    <row r="20895" ht="12.75" hidden="1" customHeight="1" x14ac:dyDescent="0.2"/>
    <row r="20896" ht="12.75" hidden="1" customHeight="1" x14ac:dyDescent="0.2"/>
    <row r="20897" ht="12.75" hidden="1" customHeight="1" x14ac:dyDescent="0.2"/>
    <row r="20898" ht="12.75" hidden="1" customHeight="1" x14ac:dyDescent="0.2"/>
    <row r="20899" ht="12.75" hidden="1" customHeight="1" x14ac:dyDescent="0.2"/>
    <row r="20900" ht="12.75" hidden="1" customHeight="1" x14ac:dyDescent="0.2"/>
    <row r="20901" ht="12.75" hidden="1" customHeight="1" x14ac:dyDescent="0.2"/>
    <row r="20902" ht="12.75" hidden="1" customHeight="1" x14ac:dyDescent="0.2"/>
    <row r="20903" ht="12.75" hidden="1" customHeight="1" x14ac:dyDescent="0.2"/>
    <row r="20904" ht="12.75" hidden="1" customHeight="1" x14ac:dyDescent="0.2"/>
    <row r="20905" ht="12.75" hidden="1" customHeight="1" x14ac:dyDescent="0.2"/>
    <row r="20906" ht="12.75" hidden="1" customHeight="1" x14ac:dyDescent="0.2"/>
    <row r="20907" ht="12.75" hidden="1" customHeight="1" x14ac:dyDescent="0.2"/>
    <row r="20908" ht="12.75" hidden="1" customHeight="1" x14ac:dyDescent="0.2"/>
    <row r="20909" ht="12.75" hidden="1" customHeight="1" x14ac:dyDescent="0.2"/>
    <row r="20910" ht="12.75" hidden="1" customHeight="1" x14ac:dyDescent="0.2"/>
    <row r="20911" ht="12.75" hidden="1" customHeight="1" x14ac:dyDescent="0.2"/>
    <row r="20912" ht="12.75" hidden="1" customHeight="1" x14ac:dyDescent="0.2"/>
    <row r="20913" ht="12.75" hidden="1" customHeight="1" x14ac:dyDescent="0.2"/>
    <row r="20914" ht="12.75" hidden="1" customHeight="1" x14ac:dyDescent="0.2"/>
    <row r="20915" ht="12.75" hidden="1" customHeight="1" x14ac:dyDescent="0.2"/>
    <row r="20916" ht="12.75" hidden="1" customHeight="1" x14ac:dyDescent="0.2"/>
    <row r="20917" ht="12.75" hidden="1" customHeight="1" x14ac:dyDescent="0.2"/>
    <row r="20918" ht="12.75" hidden="1" customHeight="1" x14ac:dyDescent="0.2"/>
    <row r="20919" ht="12.75" hidden="1" customHeight="1" x14ac:dyDescent="0.2"/>
    <row r="20920" ht="12.75" hidden="1" customHeight="1" x14ac:dyDescent="0.2"/>
    <row r="20921" ht="12.75" hidden="1" customHeight="1" x14ac:dyDescent="0.2"/>
    <row r="20922" ht="12.75" hidden="1" customHeight="1" x14ac:dyDescent="0.2"/>
    <row r="20923" ht="12.75" hidden="1" customHeight="1" x14ac:dyDescent="0.2"/>
    <row r="20924" ht="12.75" hidden="1" customHeight="1" x14ac:dyDescent="0.2"/>
    <row r="20925" ht="12.75" hidden="1" customHeight="1" x14ac:dyDescent="0.2"/>
    <row r="20926" ht="12.75" hidden="1" customHeight="1" x14ac:dyDescent="0.2"/>
    <row r="20927" ht="12.75" hidden="1" customHeight="1" x14ac:dyDescent="0.2"/>
    <row r="20928" ht="12.75" hidden="1" customHeight="1" x14ac:dyDescent="0.2"/>
    <row r="20929" ht="12.75" hidden="1" customHeight="1" x14ac:dyDescent="0.2"/>
    <row r="20930" ht="12.75" hidden="1" customHeight="1" x14ac:dyDescent="0.2"/>
    <row r="20931" ht="12.75" hidden="1" customHeight="1" x14ac:dyDescent="0.2"/>
    <row r="20932" ht="12.75" hidden="1" customHeight="1" x14ac:dyDescent="0.2"/>
    <row r="20933" ht="12.75" hidden="1" customHeight="1" x14ac:dyDescent="0.2"/>
    <row r="20934" ht="12.75" hidden="1" customHeight="1" x14ac:dyDescent="0.2"/>
    <row r="20935" ht="12.75" hidden="1" customHeight="1" x14ac:dyDescent="0.2"/>
    <row r="20936" ht="12.75" hidden="1" customHeight="1" x14ac:dyDescent="0.2"/>
    <row r="20937" ht="12.75" hidden="1" customHeight="1" x14ac:dyDescent="0.2"/>
    <row r="20938" ht="12.75" hidden="1" customHeight="1" x14ac:dyDescent="0.2"/>
    <row r="20939" ht="12.75" hidden="1" customHeight="1" x14ac:dyDescent="0.2"/>
    <row r="20940" ht="12.75" hidden="1" customHeight="1" x14ac:dyDescent="0.2"/>
    <row r="20941" ht="12.75" hidden="1" customHeight="1" x14ac:dyDescent="0.2"/>
    <row r="20942" ht="12.75" hidden="1" customHeight="1" x14ac:dyDescent="0.2"/>
    <row r="20943" ht="12.75" hidden="1" customHeight="1" x14ac:dyDescent="0.2"/>
    <row r="20944" ht="12.75" hidden="1" customHeight="1" x14ac:dyDescent="0.2"/>
    <row r="20945" ht="12.75" hidden="1" customHeight="1" x14ac:dyDescent="0.2"/>
    <row r="20946" ht="12.75" hidden="1" customHeight="1" x14ac:dyDescent="0.2"/>
    <row r="20947" ht="12.75" hidden="1" customHeight="1" x14ac:dyDescent="0.2"/>
    <row r="20948" ht="12.75" hidden="1" customHeight="1" x14ac:dyDescent="0.2"/>
    <row r="20949" ht="12.75" hidden="1" customHeight="1" x14ac:dyDescent="0.2"/>
    <row r="20950" ht="12.75" hidden="1" customHeight="1" x14ac:dyDescent="0.2"/>
    <row r="20951" ht="12.75" hidden="1" customHeight="1" x14ac:dyDescent="0.2"/>
    <row r="20952" ht="12.75" hidden="1" customHeight="1" x14ac:dyDescent="0.2"/>
    <row r="20953" ht="12.75" hidden="1" customHeight="1" x14ac:dyDescent="0.2"/>
    <row r="20954" ht="12.75" hidden="1" customHeight="1" x14ac:dyDescent="0.2"/>
    <row r="20955" ht="12.75" hidden="1" customHeight="1" x14ac:dyDescent="0.2"/>
    <row r="20956" ht="12.75" hidden="1" customHeight="1" x14ac:dyDescent="0.2"/>
    <row r="20957" ht="12.75" hidden="1" customHeight="1" x14ac:dyDescent="0.2"/>
    <row r="20958" ht="12.75" hidden="1" customHeight="1" x14ac:dyDescent="0.2"/>
    <row r="20959" ht="12.75" hidden="1" customHeight="1" x14ac:dyDescent="0.2"/>
    <row r="20960" ht="12.75" hidden="1" customHeight="1" x14ac:dyDescent="0.2"/>
    <row r="20961" ht="12.75" hidden="1" customHeight="1" x14ac:dyDescent="0.2"/>
    <row r="20962" ht="12.75" hidden="1" customHeight="1" x14ac:dyDescent="0.2"/>
    <row r="20963" ht="12.75" hidden="1" customHeight="1" x14ac:dyDescent="0.2"/>
    <row r="20964" ht="12.75" hidden="1" customHeight="1" x14ac:dyDescent="0.2"/>
    <row r="20965" ht="12.75" hidden="1" customHeight="1" x14ac:dyDescent="0.2"/>
    <row r="20966" ht="12.75" hidden="1" customHeight="1" x14ac:dyDescent="0.2"/>
    <row r="20967" ht="12.75" hidden="1" customHeight="1" x14ac:dyDescent="0.2"/>
    <row r="20968" ht="12.75" hidden="1" customHeight="1" x14ac:dyDescent="0.2"/>
    <row r="20969" ht="12.75" hidden="1" customHeight="1" x14ac:dyDescent="0.2"/>
    <row r="20970" ht="12.75" hidden="1" customHeight="1" x14ac:dyDescent="0.2"/>
    <row r="20971" ht="12.75" hidden="1" customHeight="1" x14ac:dyDescent="0.2"/>
    <row r="20972" ht="12.75" hidden="1" customHeight="1" x14ac:dyDescent="0.2"/>
    <row r="20973" ht="12.75" hidden="1" customHeight="1" x14ac:dyDescent="0.2"/>
    <row r="20974" ht="12.75" hidden="1" customHeight="1" x14ac:dyDescent="0.2"/>
    <row r="20975" ht="12.75" hidden="1" customHeight="1" x14ac:dyDescent="0.2"/>
    <row r="20976" ht="12.75" hidden="1" customHeight="1" x14ac:dyDescent="0.2"/>
    <row r="20977" ht="12.75" hidden="1" customHeight="1" x14ac:dyDescent="0.2"/>
    <row r="20978" ht="12.75" hidden="1" customHeight="1" x14ac:dyDescent="0.2"/>
    <row r="20979" ht="12.75" hidden="1" customHeight="1" x14ac:dyDescent="0.2"/>
    <row r="20980" ht="12.75" hidden="1" customHeight="1" x14ac:dyDescent="0.2"/>
    <row r="20981" ht="12.75" hidden="1" customHeight="1" x14ac:dyDescent="0.2"/>
    <row r="20982" ht="12.75" hidden="1" customHeight="1" x14ac:dyDescent="0.2"/>
    <row r="20983" ht="12.75" hidden="1" customHeight="1" x14ac:dyDescent="0.2"/>
    <row r="20984" ht="12.75" hidden="1" customHeight="1" x14ac:dyDescent="0.2"/>
    <row r="20985" ht="12.75" hidden="1" customHeight="1" x14ac:dyDescent="0.2"/>
    <row r="20986" ht="12.75" hidden="1" customHeight="1" x14ac:dyDescent="0.2"/>
    <row r="20987" ht="12.75" hidden="1" customHeight="1" x14ac:dyDescent="0.2"/>
    <row r="20988" ht="12.75" hidden="1" customHeight="1" x14ac:dyDescent="0.2"/>
    <row r="20989" ht="12.75" hidden="1" customHeight="1" x14ac:dyDescent="0.2"/>
    <row r="20990" ht="12.75" hidden="1" customHeight="1" x14ac:dyDescent="0.2"/>
    <row r="20991" ht="12.75" hidden="1" customHeight="1" x14ac:dyDescent="0.2"/>
    <row r="20992" ht="12.75" hidden="1" customHeight="1" x14ac:dyDescent="0.2"/>
    <row r="20993" ht="12.75" hidden="1" customHeight="1" x14ac:dyDescent="0.2"/>
    <row r="20994" ht="12.75" hidden="1" customHeight="1" x14ac:dyDescent="0.2"/>
    <row r="20995" ht="12.75" hidden="1" customHeight="1" x14ac:dyDescent="0.2"/>
    <row r="20996" ht="12.75" hidden="1" customHeight="1" x14ac:dyDescent="0.2"/>
    <row r="20997" ht="12.75" hidden="1" customHeight="1" x14ac:dyDescent="0.2"/>
    <row r="20998" ht="12.75" hidden="1" customHeight="1" x14ac:dyDescent="0.2"/>
    <row r="20999" ht="12.75" hidden="1" customHeight="1" x14ac:dyDescent="0.2"/>
    <row r="21000" ht="12.75" hidden="1" customHeight="1" x14ac:dyDescent="0.2"/>
    <row r="21001" ht="12.75" hidden="1" customHeight="1" x14ac:dyDescent="0.2"/>
    <row r="21002" ht="12.75" hidden="1" customHeight="1" x14ac:dyDescent="0.2"/>
    <row r="21003" ht="12.75" hidden="1" customHeight="1" x14ac:dyDescent="0.2"/>
    <row r="21004" ht="12.75" hidden="1" customHeight="1" x14ac:dyDescent="0.2"/>
    <row r="21005" ht="12.75" hidden="1" customHeight="1" x14ac:dyDescent="0.2"/>
    <row r="21006" ht="12.75" hidden="1" customHeight="1" x14ac:dyDescent="0.2"/>
    <row r="21007" ht="12.75" hidden="1" customHeight="1" x14ac:dyDescent="0.2"/>
    <row r="21008" ht="12.75" hidden="1" customHeight="1" x14ac:dyDescent="0.2"/>
    <row r="21009" ht="12.75" hidden="1" customHeight="1" x14ac:dyDescent="0.2"/>
    <row r="21010" ht="12.75" hidden="1" customHeight="1" x14ac:dyDescent="0.2"/>
    <row r="21011" ht="12.75" hidden="1" customHeight="1" x14ac:dyDescent="0.2"/>
    <row r="21012" ht="12.75" hidden="1" customHeight="1" x14ac:dyDescent="0.2"/>
    <row r="21013" ht="12.75" hidden="1" customHeight="1" x14ac:dyDescent="0.2"/>
    <row r="21014" ht="12.75" hidden="1" customHeight="1" x14ac:dyDescent="0.2"/>
    <row r="21015" ht="12.75" hidden="1" customHeight="1" x14ac:dyDescent="0.2"/>
    <row r="21016" ht="12.75" hidden="1" customHeight="1" x14ac:dyDescent="0.2"/>
    <row r="21017" ht="12.75" hidden="1" customHeight="1" x14ac:dyDescent="0.2"/>
    <row r="21018" ht="12.75" hidden="1" customHeight="1" x14ac:dyDescent="0.2"/>
    <row r="21019" ht="12.75" hidden="1" customHeight="1" x14ac:dyDescent="0.2"/>
    <row r="21020" ht="12.75" hidden="1" customHeight="1" x14ac:dyDescent="0.2"/>
    <row r="21021" ht="12.75" hidden="1" customHeight="1" x14ac:dyDescent="0.2"/>
    <row r="21022" ht="12.75" hidden="1" customHeight="1" x14ac:dyDescent="0.2"/>
    <row r="21023" ht="12.75" hidden="1" customHeight="1" x14ac:dyDescent="0.2"/>
    <row r="21024" ht="12.75" hidden="1" customHeight="1" x14ac:dyDescent="0.2"/>
    <row r="21025" ht="12.75" hidden="1" customHeight="1" x14ac:dyDescent="0.2"/>
    <row r="21026" ht="12.75" hidden="1" customHeight="1" x14ac:dyDescent="0.2"/>
    <row r="21027" ht="12.75" hidden="1" customHeight="1" x14ac:dyDescent="0.2"/>
    <row r="21028" ht="12.75" hidden="1" customHeight="1" x14ac:dyDescent="0.2"/>
    <row r="21029" ht="12.75" hidden="1" customHeight="1" x14ac:dyDescent="0.2"/>
    <row r="21030" ht="12.75" hidden="1" customHeight="1" x14ac:dyDescent="0.2"/>
    <row r="21031" ht="12.75" hidden="1" customHeight="1" x14ac:dyDescent="0.2"/>
    <row r="21032" ht="12.75" hidden="1" customHeight="1" x14ac:dyDescent="0.2"/>
    <row r="21033" ht="12.75" hidden="1" customHeight="1" x14ac:dyDescent="0.2"/>
    <row r="21034" ht="12.75" hidden="1" customHeight="1" x14ac:dyDescent="0.2"/>
    <row r="21035" ht="12.75" hidden="1" customHeight="1" x14ac:dyDescent="0.2"/>
    <row r="21036" ht="12.75" hidden="1" customHeight="1" x14ac:dyDescent="0.2"/>
    <row r="21037" ht="12.75" hidden="1" customHeight="1" x14ac:dyDescent="0.2"/>
    <row r="21038" ht="12.75" hidden="1" customHeight="1" x14ac:dyDescent="0.2"/>
    <row r="21039" ht="12.75" hidden="1" customHeight="1" x14ac:dyDescent="0.2"/>
    <row r="21040" ht="12.75" hidden="1" customHeight="1" x14ac:dyDescent="0.2"/>
    <row r="21041" ht="12.75" hidden="1" customHeight="1" x14ac:dyDescent="0.2"/>
    <row r="21042" ht="12.75" hidden="1" customHeight="1" x14ac:dyDescent="0.2"/>
    <row r="21043" ht="12.75" hidden="1" customHeight="1" x14ac:dyDescent="0.2"/>
    <row r="21044" ht="12.75" hidden="1" customHeight="1" x14ac:dyDescent="0.2"/>
    <row r="21045" ht="12.75" hidden="1" customHeight="1" x14ac:dyDescent="0.2"/>
    <row r="21046" ht="12.75" hidden="1" customHeight="1" x14ac:dyDescent="0.2"/>
    <row r="21047" ht="12.75" hidden="1" customHeight="1" x14ac:dyDescent="0.2"/>
    <row r="21048" ht="12.75" hidden="1" customHeight="1" x14ac:dyDescent="0.2"/>
    <row r="21049" ht="12.75" hidden="1" customHeight="1" x14ac:dyDescent="0.2"/>
    <row r="21050" ht="12.75" hidden="1" customHeight="1" x14ac:dyDescent="0.2"/>
    <row r="21051" ht="12.75" hidden="1" customHeight="1" x14ac:dyDescent="0.2"/>
    <row r="21052" ht="12.75" hidden="1" customHeight="1" x14ac:dyDescent="0.2"/>
    <row r="21053" ht="12.75" hidden="1" customHeight="1" x14ac:dyDescent="0.2"/>
    <row r="21054" ht="12.75" hidden="1" customHeight="1" x14ac:dyDescent="0.2"/>
    <row r="21055" ht="12.75" hidden="1" customHeight="1" x14ac:dyDescent="0.2"/>
    <row r="21056" ht="12.75" hidden="1" customHeight="1" x14ac:dyDescent="0.2"/>
    <row r="21057" ht="12.75" hidden="1" customHeight="1" x14ac:dyDescent="0.2"/>
    <row r="21058" ht="12.75" hidden="1" customHeight="1" x14ac:dyDescent="0.2"/>
    <row r="21059" ht="12.75" hidden="1" customHeight="1" x14ac:dyDescent="0.2"/>
    <row r="21060" ht="12.75" hidden="1" customHeight="1" x14ac:dyDescent="0.2"/>
    <row r="21061" ht="12.75" hidden="1" customHeight="1" x14ac:dyDescent="0.2"/>
    <row r="21062" ht="12.75" hidden="1" customHeight="1" x14ac:dyDescent="0.2"/>
    <row r="21063" ht="12.75" hidden="1" customHeight="1" x14ac:dyDescent="0.2"/>
    <row r="21064" ht="12.75" hidden="1" customHeight="1" x14ac:dyDescent="0.2"/>
    <row r="21065" ht="12.75" hidden="1" customHeight="1" x14ac:dyDescent="0.2"/>
    <row r="21066" ht="12.75" hidden="1" customHeight="1" x14ac:dyDescent="0.2"/>
    <row r="21067" ht="12.75" hidden="1" customHeight="1" x14ac:dyDescent="0.2"/>
    <row r="21068" ht="12.75" hidden="1" customHeight="1" x14ac:dyDescent="0.2"/>
    <row r="21069" ht="12.75" hidden="1" customHeight="1" x14ac:dyDescent="0.2"/>
    <row r="21070" ht="12.75" hidden="1" customHeight="1" x14ac:dyDescent="0.2"/>
    <row r="21071" ht="12.75" hidden="1" customHeight="1" x14ac:dyDescent="0.2"/>
    <row r="21072" ht="12.75" hidden="1" customHeight="1" x14ac:dyDescent="0.2"/>
    <row r="21073" ht="12.75" hidden="1" customHeight="1" x14ac:dyDescent="0.2"/>
    <row r="21074" ht="12.75" hidden="1" customHeight="1" x14ac:dyDescent="0.2"/>
    <row r="21075" ht="12.75" hidden="1" customHeight="1" x14ac:dyDescent="0.2"/>
    <row r="21076" ht="12.75" hidden="1" customHeight="1" x14ac:dyDescent="0.2"/>
    <row r="21077" ht="12.75" hidden="1" customHeight="1" x14ac:dyDescent="0.2"/>
    <row r="21078" ht="12.75" hidden="1" customHeight="1" x14ac:dyDescent="0.2"/>
    <row r="21079" ht="12.75" hidden="1" customHeight="1" x14ac:dyDescent="0.2"/>
    <row r="21080" ht="12.75" hidden="1" customHeight="1" x14ac:dyDescent="0.2"/>
    <row r="21081" ht="12.75" hidden="1" customHeight="1" x14ac:dyDescent="0.2"/>
    <row r="21082" ht="12.75" hidden="1" customHeight="1" x14ac:dyDescent="0.2"/>
    <row r="21083" ht="12.75" hidden="1" customHeight="1" x14ac:dyDescent="0.2"/>
    <row r="21084" ht="12.75" hidden="1" customHeight="1" x14ac:dyDescent="0.2"/>
    <row r="21085" ht="12.75" hidden="1" customHeight="1" x14ac:dyDescent="0.2"/>
    <row r="21086" ht="12.75" hidden="1" customHeight="1" x14ac:dyDescent="0.2"/>
    <row r="21087" ht="12.75" hidden="1" customHeight="1" x14ac:dyDescent="0.2"/>
    <row r="21088" ht="12.75" hidden="1" customHeight="1" x14ac:dyDescent="0.2"/>
    <row r="21089" ht="12.75" hidden="1" customHeight="1" x14ac:dyDescent="0.2"/>
    <row r="21090" ht="12.75" hidden="1" customHeight="1" x14ac:dyDescent="0.2"/>
    <row r="21091" ht="12.75" hidden="1" customHeight="1" x14ac:dyDescent="0.2"/>
    <row r="21092" ht="12.75" hidden="1" customHeight="1" x14ac:dyDescent="0.2"/>
    <row r="21093" ht="12.75" hidden="1" customHeight="1" x14ac:dyDescent="0.2"/>
    <row r="21094" ht="12.75" hidden="1" customHeight="1" x14ac:dyDescent="0.2"/>
    <row r="21095" ht="12.75" hidden="1" customHeight="1" x14ac:dyDescent="0.2"/>
    <row r="21096" ht="12.75" hidden="1" customHeight="1" x14ac:dyDescent="0.2"/>
    <row r="21097" ht="12.75" hidden="1" customHeight="1" x14ac:dyDescent="0.2"/>
    <row r="21098" ht="12.75" hidden="1" customHeight="1" x14ac:dyDescent="0.2"/>
    <row r="21099" ht="12.75" hidden="1" customHeight="1" x14ac:dyDescent="0.2"/>
    <row r="21100" ht="12.75" hidden="1" customHeight="1" x14ac:dyDescent="0.2"/>
    <row r="21101" ht="12.75" hidden="1" customHeight="1" x14ac:dyDescent="0.2"/>
    <row r="21102" ht="12.75" hidden="1" customHeight="1" x14ac:dyDescent="0.2"/>
    <row r="21103" ht="12.75" hidden="1" customHeight="1" x14ac:dyDescent="0.2"/>
    <row r="21104" ht="12.75" hidden="1" customHeight="1" x14ac:dyDescent="0.2"/>
    <row r="21105" ht="12.75" hidden="1" customHeight="1" x14ac:dyDescent="0.2"/>
    <row r="21106" ht="12.75" hidden="1" customHeight="1" x14ac:dyDescent="0.2"/>
    <row r="21107" ht="12.75" hidden="1" customHeight="1" x14ac:dyDescent="0.2"/>
    <row r="21108" ht="12.75" hidden="1" customHeight="1" x14ac:dyDescent="0.2"/>
    <row r="21109" ht="12.75" hidden="1" customHeight="1" x14ac:dyDescent="0.2"/>
    <row r="21110" ht="12.75" hidden="1" customHeight="1" x14ac:dyDescent="0.2"/>
    <row r="21111" ht="12.75" hidden="1" customHeight="1" x14ac:dyDescent="0.2"/>
    <row r="21112" ht="12.75" hidden="1" customHeight="1" x14ac:dyDescent="0.2"/>
    <row r="21113" ht="12.75" hidden="1" customHeight="1" x14ac:dyDescent="0.2"/>
    <row r="21114" ht="12.75" hidden="1" customHeight="1" x14ac:dyDescent="0.2"/>
    <row r="21115" ht="12.75" hidden="1" customHeight="1" x14ac:dyDescent="0.2"/>
    <row r="21116" ht="12.75" hidden="1" customHeight="1" x14ac:dyDescent="0.2"/>
    <row r="21117" ht="12.75" hidden="1" customHeight="1" x14ac:dyDescent="0.2"/>
    <row r="21118" ht="12.75" hidden="1" customHeight="1" x14ac:dyDescent="0.2"/>
    <row r="21119" ht="12.75" hidden="1" customHeight="1" x14ac:dyDescent="0.2"/>
    <row r="21120" ht="12.75" hidden="1" customHeight="1" x14ac:dyDescent="0.2"/>
    <row r="21121" ht="12.75" hidden="1" customHeight="1" x14ac:dyDescent="0.2"/>
    <row r="21122" ht="12.75" hidden="1" customHeight="1" x14ac:dyDescent="0.2"/>
    <row r="21123" ht="12.75" hidden="1" customHeight="1" x14ac:dyDescent="0.2"/>
    <row r="21124" ht="12.75" hidden="1" customHeight="1" x14ac:dyDescent="0.2"/>
    <row r="21125" ht="12.75" hidden="1" customHeight="1" x14ac:dyDescent="0.2"/>
    <row r="21126" ht="12.75" hidden="1" customHeight="1" x14ac:dyDescent="0.2"/>
    <row r="21127" ht="12.75" hidden="1" customHeight="1" x14ac:dyDescent="0.2"/>
    <row r="21128" ht="12.75" hidden="1" customHeight="1" x14ac:dyDescent="0.2"/>
    <row r="21129" ht="12.75" hidden="1" customHeight="1" x14ac:dyDescent="0.2"/>
    <row r="21130" ht="12.75" hidden="1" customHeight="1" x14ac:dyDescent="0.2"/>
    <row r="21131" ht="12.75" hidden="1" customHeight="1" x14ac:dyDescent="0.2"/>
    <row r="21132" ht="12.75" hidden="1" customHeight="1" x14ac:dyDescent="0.2"/>
    <row r="21133" ht="12.75" hidden="1" customHeight="1" x14ac:dyDescent="0.2"/>
    <row r="21134" ht="12.75" hidden="1" customHeight="1" x14ac:dyDescent="0.2"/>
    <row r="21135" ht="12.75" hidden="1" customHeight="1" x14ac:dyDescent="0.2"/>
    <row r="21136" ht="12.75" hidden="1" customHeight="1" x14ac:dyDescent="0.2"/>
    <row r="21137" ht="12.75" hidden="1" customHeight="1" x14ac:dyDescent="0.2"/>
    <row r="21138" ht="12.75" hidden="1" customHeight="1" x14ac:dyDescent="0.2"/>
    <row r="21139" ht="12.75" hidden="1" customHeight="1" x14ac:dyDescent="0.2"/>
    <row r="21140" ht="12.75" hidden="1" customHeight="1" x14ac:dyDescent="0.2"/>
    <row r="21141" ht="12.75" hidden="1" customHeight="1" x14ac:dyDescent="0.2"/>
    <row r="21142" ht="12.75" hidden="1" customHeight="1" x14ac:dyDescent="0.2"/>
    <row r="21143" ht="12.75" hidden="1" customHeight="1" x14ac:dyDescent="0.2"/>
    <row r="21144" ht="12.75" hidden="1" customHeight="1" x14ac:dyDescent="0.2"/>
    <row r="21145" ht="12.75" hidden="1" customHeight="1" x14ac:dyDescent="0.2"/>
    <row r="21146" ht="12.75" hidden="1" customHeight="1" x14ac:dyDescent="0.2"/>
    <row r="21147" ht="12.75" hidden="1" customHeight="1" x14ac:dyDescent="0.2"/>
    <row r="21148" ht="12.75" hidden="1" customHeight="1" x14ac:dyDescent="0.2"/>
    <row r="21149" ht="12.75" hidden="1" customHeight="1" x14ac:dyDescent="0.2"/>
    <row r="21150" ht="12.75" hidden="1" customHeight="1" x14ac:dyDescent="0.2"/>
    <row r="21151" ht="12.75" hidden="1" customHeight="1" x14ac:dyDescent="0.2"/>
    <row r="21152" ht="12.75" hidden="1" customHeight="1" x14ac:dyDescent="0.2"/>
    <row r="21153" ht="12.75" hidden="1" customHeight="1" x14ac:dyDescent="0.2"/>
    <row r="21154" ht="12.75" hidden="1" customHeight="1" x14ac:dyDescent="0.2"/>
    <row r="21155" ht="12.75" hidden="1" customHeight="1" x14ac:dyDescent="0.2"/>
    <row r="21156" ht="12.75" hidden="1" customHeight="1" x14ac:dyDescent="0.2"/>
    <row r="21157" ht="12.75" hidden="1" customHeight="1" x14ac:dyDescent="0.2"/>
    <row r="21158" ht="12.75" hidden="1" customHeight="1" x14ac:dyDescent="0.2"/>
    <row r="21159" ht="12.75" hidden="1" customHeight="1" x14ac:dyDescent="0.2"/>
    <row r="21160" ht="12.75" hidden="1" customHeight="1" x14ac:dyDescent="0.2"/>
    <row r="21161" ht="12.75" hidden="1" customHeight="1" x14ac:dyDescent="0.2"/>
    <row r="21162" ht="12.75" hidden="1" customHeight="1" x14ac:dyDescent="0.2"/>
    <row r="21163" ht="12.75" hidden="1" customHeight="1" x14ac:dyDescent="0.2"/>
    <row r="21164" ht="12.75" hidden="1" customHeight="1" x14ac:dyDescent="0.2"/>
    <row r="21165" ht="12.75" hidden="1" customHeight="1" x14ac:dyDescent="0.2"/>
    <row r="21166" ht="12.75" hidden="1" customHeight="1" x14ac:dyDescent="0.2"/>
    <row r="21167" ht="12.75" hidden="1" customHeight="1" x14ac:dyDescent="0.2"/>
    <row r="21168" ht="12.75" hidden="1" customHeight="1" x14ac:dyDescent="0.2"/>
    <row r="21169" ht="12.75" hidden="1" customHeight="1" x14ac:dyDescent="0.2"/>
    <row r="21170" ht="12.75" hidden="1" customHeight="1" x14ac:dyDescent="0.2"/>
    <row r="21171" ht="12.75" hidden="1" customHeight="1" x14ac:dyDescent="0.2"/>
    <row r="21172" ht="12.75" hidden="1" customHeight="1" x14ac:dyDescent="0.2"/>
    <row r="21173" ht="12.75" hidden="1" customHeight="1" x14ac:dyDescent="0.2"/>
    <row r="21174" ht="12.75" hidden="1" customHeight="1" x14ac:dyDescent="0.2"/>
    <row r="21175" ht="12.75" hidden="1" customHeight="1" x14ac:dyDescent="0.2"/>
    <row r="21176" ht="12.75" hidden="1" customHeight="1" x14ac:dyDescent="0.2"/>
    <row r="21177" ht="12.75" hidden="1" customHeight="1" x14ac:dyDescent="0.2"/>
    <row r="21178" ht="12.75" hidden="1" customHeight="1" x14ac:dyDescent="0.2"/>
    <row r="21179" ht="12.75" hidden="1" customHeight="1" x14ac:dyDescent="0.2"/>
    <row r="21180" ht="12.75" hidden="1" customHeight="1" x14ac:dyDescent="0.2"/>
    <row r="21181" ht="12.75" hidden="1" customHeight="1" x14ac:dyDescent="0.2"/>
    <row r="21182" ht="12.75" hidden="1" customHeight="1" x14ac:dyDescent="0.2"/>
    <row r="21183" ht="12.75" hidden="1" customHeight="1" x14ac:dyDescent="0.2"/>
    <row r="21184" ht="12.75" hidden="1" customHeight="1" x14ac:dyDescent="0.2"/>
    <row r="21185" ht="12.75" hidden="1" customHeight="1" x14ac:dyDescent="0.2"/>
    <row r="21186" ht="12.75" hidden="1" customHeight="1" x14ac:dyDescent="0.2"/>
    <row r="21187" ht="12.75" hidden="1" customHeight="1" x14ac:dyDescent="0.2"/>
    <row r="21188" ht="12.75" hidden="1" customHeight="1" x14ac:dyDescent="0.2"/>
    <row r="21189" ht="12.75" hidden="1" customHeight="1" x14ac:dyDescent="0.2"/>
    <row r="21190" ht="12.75" hidden="1" customHeight="1" x14ac:dyDescent="0.2"/>
    <row r="21191" ht="12.75" hidden="1" customHeight="1" x14ac:dyDescent="0.2"/>
    <row r="21192" ht="12.75" hidden="1" customHeight="1" x14ac:dyDescent="0.2"/>
    <row r="21193" ht="12.75" hidden="1" customHeight="1" x14ac:dyDescent="0.2"/>
    <row r="21194" ht="12.75" hidden="1" customHeight="1" x14ac:dyDescent="0.2"/>
    <row r="21195" ht="12.75" hidden="1" customHeight="1" x14ac:dyDescent="0.2"/>
    <row r="21196" ht="12.75" hidden="1" customHeight="1" x14ac:dyDescent="0.2"/>
    <row r="21197" ht="12.75" hidden="1" customHeight="1" x14ac:dyDescent="0.2"/>
    <row r="21198" ht="12.75" hidden="1" customHeight="1" x14ac:dyDescent="0.2"/>
    <row r="21199" ht="12.75" hidden="1" customHeight="1" x14ac:dyDescent="0.2"/>
    <row r="21200" ht="12.75" hidden="1" customHeight="1" x14ac:dyDescent="0.2"/>
    <row r="21201" ht="12.75" hidden="1" customHeight="1" x14ac:dyDescent="0.2"/>
    <row r="21202" ht="12.75" hidden="1" customHeight="1" x14ac:dyDescent="0.2"/>
    <row r="21203" ht="12.75" hidden="1" customHeight="1" x14ac:dyDescent="0.2"/>
    <row r="21204" ht="12.75" hidden="1" customHeight="1" x14ac:dyDescent="0.2"/>
    <row r="21205" ht="12.75" hidden="1" customHeight="1" x14ac:dyDescent="0.2"/>
    <row r="21206" ht="12.75" hidden="1" customHeight="1" x14ac:dyDescent="0.2"/>
    <row r="21207" ht="12.75" hidden="1" customHeight="1" x14ac:dyDescent="0.2"/>
    <row r="21208" ht="12.75" hidden="1" customHeight="1" x14ac:dyDescent="0.2"/>
    <row r="21209" ht="12.75" hidden="1" customHeight="1" x14ac:dyDescent="0.2"/>
    <row r="21210" ht="12.75" hidden="1" customHeight="1" x14ac:dyDescent="0.2"/>
    <row r="21211" ht="12.75" hidden="1" customHeight="1" x14ac:dyDescent="0.2"/>
    <row r="21212" ht="12.75" hidden="1" customHeight="1" x14ac:dyDescent="0.2"/>
    <row r="21213" ht="12.75" hidden="1" customHeight="1" x14ac:dyDescent="0.2"/>
    <row r="21214" ht="12.75" hidden="1" customHeight="1" x14ac:dyDescent="0.2"/>
    <row r="21215" ht="12.75" hidden="1" customHeight="1" x14ac:dyDescent="0.2"/>
    <row r="21216" ht="12.75" hidden="1" customHeight="1" x14ac:dyDescent="0.2"/>
    <row r="21217" ht="12.75" hidden="1" customHeight="1" x14ac:dyDescent="0.2"/>
    <row r="21218" ht="12.75" hidden="1" customHeight="1" x14ac:dyDescent="0.2"/>
    <row r="21219" ht="12.75" hidden="1" customHeight="1" x14ac:dyDescent="0.2"/>
    <row r="21220" ht="12.75" hidden="1" customHeight="1" x14ac:dyDescent="0.2"/>
    <row r="21221" ht="12.75" hidden="1" customHeight="1" x14ac:dyDescent="0.2"/>
    <row r="21222" ht="12.75" hidden="1" customHeight="1" x14ac:dyDescent="0.2"/>
    <row r="21223" ht="12.75" hidden="1" customHeight="1" x14ac:dyDescent="0.2"/>
    <row r="21224" ht="12.75" hidden="1" customHeight="1" x14ac:dyDescent="0.2"/>
    <row r="21225" ht="12.75" hidden="1" customHeight="1" x14ac:dyDescent="0.2"/>
    <row r="21226" ht="12.75" hidden="1" customHeight="1" x14ac:dyDescent="0.2"/>
    <row r="21227" ht="12.75" hidden="1" customHeight="1" x14ac:dyDescent="0.2"/>
    <row r="21228" ht="12.75" hidden="1" customHeight="1" x14ac:dyDescent="0.2"/>
    <row r="21229" ht="12.75" hidden="1" customHeight="1" x14ac:dyDescent="0.2"/>
    <row r="21230" ht="12.75" hidden="1" customHeight="1" x14ac:dyDescent="0.2"/>
    <row r="21231" ht="12.75" hidden="1" customHeight="1" x14ac:dyDescent="0.2"/>
    <row r="21232" ht="12.75" hidden="1" customHeight="1" x14ac:dyDescent="0.2"/>
    <row r="21233" ht="12.75" hidden="1" customHeight="1" x14ac:dyDescent="0.2"/>
    <row r="21234" ht="12.75" hidden="1" customHeight="1" x14ac:dyDescent="0.2"/>
    <row r="21235" ht="12.75" hidden="1" customHeight="1" x14ac:dyDescent="0.2"/>
    <row r="21236" ht="12.75" hidden="1" customHeight="1" x14ac:dyDescent="0.2"/>
    <row r="21237" ht="12.75" hidden="1" customHeight="1" x14ac:dyDescent="0.2"/>
    <row r="21238" ht="12.75" hidden="1" customHeight="1" x14ac:dyDescent="0.2"/>
    <row r="21239" ht="12.75" hidden="1" customHeight="1" x14ac:dyDescent="0.2"/>
    <row r="21240" ht="12.75" hidden="1" customHeight="1" x14ac:dyDescent="0.2"/>
    <row r="21241" ht="12.75" hidden="1" customHeight="1" x14ac:dyDescent="0.2"/>
    <row r="21242" ht="12.75" hidden="1" customHeight="1" x14ac:dyDescent="0.2"/>
    <row r="21243" ht="12.75" hidden="1" customHeight="1" x14ac:dyDescent="0.2"/>
    <row r="21244" ht="12.75" hidden="1" customHeight="1" x14ac:dyDescent="0.2"/>
    <row r="21245" ht="12.75" hidden="1" customHeight="1" x14ac:dyDescent="0.2"/>
    <row r="21246" ht="12.75" hidden="1" customHeight="1" x14ac:dyDescent="0.2"/>
    <row r="21247" ht="12.75" hidden="1" customHeight="1" x14ac:dyDescent="0.2"/>
    <row r="21248" ht="12.75" hidden="1" customHeight="1" x14ac:dyDescent="0.2"/>
    <row r="21249" ht="12.75" hidden="1" customHeight="1" x14ac:dyDescent="0.2"/>
    <row r="21250" ht="12.75" hidden="1" customHeight="1" x14ac:dyDescent="0.2"/>
    <row r="21251" ht="12.75" hidden="1" customHeight="1" x14ac:dyDescent="0.2"/>
    <row r="21252" ht="12.75" hidden="1" customHeight="1" x14ac:dyDescent="0.2"/>
    <row r="21253" ht="12.75" hidden="1" customHeight="1" x14ac:dyDescent="0.2"/>
    <row r="21254" ht="12.75" hidden="1" customHeight="1" x14ac:dyDescent="0.2"/>
    <row r="21255" ht="12.75" hidden="1" customHeight="1" x14ac:dyDescent="0.2"/>
    <row r="21256" ht="12.75" hidden="1" customHeight="1" x14ac:dyDescent="0.2"/>
    <row r="21257" ht="12.75" hidden="1" customHeight="1" x14ac:dyDescent="0.2"/>
    <row r="21258" ht="12.75" hidden="1" customHeight="1" x14ac:dyDescent="0.2"/>
    <row r="21259" ht="12.75" hidden="1" customHeight="1" x14ac:dyDescent="0.2"/>
    <row r="21260" ht="12.75" hidden="1" customHeight="1" x14ac:dyDescent="0.2"/>
    <row r="21261" ht="12.75" hidden="1" customHeight="1" x14ac:dyDescent="0.2"/>
    <row r="21262" ht="12.75" hidden="1" customHeight="1" x14ac:dyDescent="0.2"/>
    <row r="21263" ht="12.75" hidden="1" customHeight="1" x14ac:dyDescent="0.2"/>
    <row r="21264" ht="12.75" hidden="1" customHeight="1" x14ac:dyDescent="0.2"/>
    <row r="21265" ht="12.75" hidden="1" customHeight="1" x14ac:dyDescent="0.2"/>
    <row r="21266" ht="12.75" hidden="1" customHeight="1" x14ac:dyDescent="0.2"/>
    <row r="21267" ht="12.75" hidden="1" customHeight="1" x14ac:dyDescent="0.2"/>
    <row r="21268" ht="12.75" hidden="1" customHeight="1" x14ac:dyDescent="0.2"/>
    <row r="21269" ht="12.75" hidden="1" customHeight="1" x14ac:dyDescent="0.2"/>
    <row r="21270" ht="12.75" hidden="1" customHeight="1" x14ac:dyDescent="0.2"/>
    <row r="21271" ht="12.75" hidden="1" customHeight="1" x14ac:dyDescent="0.2"/>
    <row r="21272" ht="12.75" hidden="1" customHeight="1" x14ac:dyDescent="0.2"/>
    <row r="21273" ht="12.75" hidden="1" customHeight="1" x14ac:dyDescent="0.2"/>
    <row r="21274" ht="12.75" hidden="1" customHeight="1" x14ac:dyDescent="0.2"/>
    <row r="21275" ht="12.75" hidden="1" customHeight="1" x14ac:dyDescent="0.2"/>
    <row r="21276" ht="12.75" hidden="1" customHeight="1" x14ac:dyDescent="0.2"/>
    <row r="21277" ht="12.75" hidden="1" customHeight="1" x14ac:dyDescent="0.2"/>
    <row r="21278" ht="12.75" hidden="1" customHeight="1" x14ac:dyDescent="0.2"/>
    <row r="21279" ht="12.75" hidden="1" customHeight="1" x14ac:dyDescent="0.2"/>
    <row r="21280" ht="12.75" hidden="1" customHeight="1" x14ac:dyDescent="0.2"/>
    <row r="21281" ht="12.75" hidden="1" customHeight="1" x14ac:dyDescent="0.2"/>
    <row r="21282" ht="12.75" hidden="1" customHeight="1" x14ac:dyDescent="0.2"/>
    <row r="21283" ht="12.75" hidden="1" customHeight="1" x14ac:dyDescent="0.2"/>
    <row r="21284" ht="12.75" hidden="1" customHeight="1" x14ac:dyDescent="0.2"/>
    <row r="21285" ht="12.75" hidden="1" customHeight="1" x14ac:dyDescent="0.2"/>
    <row r="21286" ht="12.75" hidden="1" customHeight="1" x14ac:dyDescent="0.2"/>
    <row r="21287" ht="12.75" hidden="1" customHeight="1" x14ac:dyDescent="0.2"/>
    <row r="21288" ht="12.75" hidden="1" customHeight="1" x14ac:dyDescent="0.2"/>
    <row r="21289" ht="12.75" hidden="1" customHeight="1" x14ac:dyDescent="0.2"/>
    <row r="21290" ht="12.75" hidden="1" customHeight="1" x14ac:dyDescent="0.2"/>
    <row r="21291" ht="12.75" hidden="1" customHeight="1" x14ac:dyDescent="0.2"/>
    <row r="21292" ht="12.75" hidden="1" customHeight="1" x14ac:dyDescent="0.2"/>
    <row r="21293" ht="12.75" hidden="1" customHeight="1" x14ac:dyDescent="0.2"/>
    <row r="21294" ht="12.75" hidden="1" customHeight="1" x14ac:dyDescent="0.2"/>
    <row r="21295" ht="12.75" hidden="1" customHeight="1" x14ac:dyDescent="0.2"/>
    <row r="21296" ht="12.75" hidden="1" customHeight="1" x14ac:dyDescent="0.2"/>
    <row r="21297" ht="12.75" hidden="1" customHeight="1" x14ac:dyDescent="0.2"/>
    <row r="21298" ht="12.75" hidden="1" customHeight="1" x14ac:dyDescent="0.2"/>
    <row r="21299" ht="12.75" hidden="1" customHeight="1" x14ac:dyDescent="0.2"/>
    <row r="21300" ht="12.75" hidden="1" customHeight="1" x14ac:dyDescent="0.2"/>
    <row r="21301" ht="12.75" hidden="1" customHeight="1" x14ac:dyDescent="0.2"/>
    <row r="21302" ht="12.75" hidden="1" customHeight="1" x14ac:dyDescent="0.2"/>
    <row r="21303" ht="12.75" hidden="1" customHeight="1" x14ac:dyDescent="0.2"/>
    <row r="21304" ht="12.75" hidden="1" customHeight="1" x14ac:dyDescent="0.2"/>
    <row r="21305" ht="12.75" hidden="1" customHeight="1" x14ac:dyDescent="0.2"/>
    <row r="21306" ht="12.75" hidden="1" customHeight="1" x14ac:dyDescent="0.2"/>
    <row r="21307" ht="12.75" hidden="1" customHeight="1" x14ac:dyDescent="0.2"/>
    <row r="21308" ht="12.75" hidden="1" customHeight="1" x14ac:dyDescent="0.2"/>
    <row r="21309" ht="12.75" hidden="1" customHeight="1" x14ac:dyDescent="0.2"/>
    <row r="21310" ht="12.75" hidden="1" customHeight="1" x14ac:dyDescent="0.2"/>
    <row r="21311" ht="12.75" hidden="1" customHeight="1" x14ac:dyDescent="0.2"/>
    <row r="21312" ht="12.75" hidden="1" customHeight="1" x14ac:dyDescent="0.2"/>
    <row r="21313" ht="12.75" hidden="1" customHeight="1" x14ac:dyDescent="0.2"/>
    <row r="21314" ht="12.75" hidden="1" customHeight="1" x14ac:dyDescent="0.2"/>
    <row r="21315" ht="12.75" hidden="1" customHeight="1" x14ac:dyDescent="0.2"/>
    <row r="21316" ht="12.75" hidden="1" customHeight="1" x14ac:dyDescent="0.2"/>
    <row r="21317" ht="12.75" hidden="1" customHeight="1" x14ac:dyDescent="0.2"/>
    <row r="21318" ht="12.75" hidden="1" customHeight="1" x14ac:dyDescent="0.2"/>
    <row r="21319" ht="12.75" hidden="1" customHeight="1" x14ac:dyDescent="0.2"/>
    <row r="21320" ht="12.75" hidden="1" customHeight="1" x14ac:dyDescent="0.2"/>
    <row r="21321" ht="12.75" hidden="1" customHeight="1" x14ac:dyDescent="0.2"/>
    <row r="21322" ht="12.75" hidden="1" customHeight="1" x14ac:dyDescent="0.2"/>
    <row r="21323" ht="12.75" hidden="1" customHeight="1" x14ac:dyDescent="0.2"/>
    <row r="21324" ht="12.75" hidden="1" customHeight="1" x14ac:dyDescent="0.2"/>
    <row r="21325" ht="12.75" hidden="1" customHeight="1" x14ac:dyDescent="0.2"/>
    <row r="21326" ht="12.75" hidden="1" customHeight="1" x14ac:dyDescent="0.2"/>
    <row r="21327" ht="12.75" hidden="1" customHeight="1" x14ac:dyDescent="0.2"/>
    <row r="21328" ht="12.75" hidden="1" customHeight="1" x14ac:dyDescent="0.2"/>
    <row r="21329" ht="12.75" hidden="1" customHeight="1" x14ac:dyDescent="0.2"/>
    <row r="21330" ht="12.75" hidden="1" customHeight="1" x14ac:dyDescent="0.2"/>
    <row r="21331" ht="12.75" hidden="1" customHeight="1" x14ac:dyDescent="0.2"/>
    <row r="21332" ht="12.75" hidden="1" customHeight="1" x14ac:dyDescent="0.2"/>
    <row r="21333" ht="12.75" hidden="1" customHeight="1" x14ac:dyDescent="0.2"/>
    <row r="21334" ht="12.75" hidden="1" customHeight="1" x14ac:dyDescent="0.2"/>
    <row r="21335" ht="12.75" hidden="1" customHeight="1" x14ac:dyDescent="0.2"/>
    <row r="21336" ht="12.75" hidden="1" customHeight="1" x14ac:dyDescent="0.2"/>
    <row r="21337" ht="12.75" hidden="1" customHeight="1" x14ac:dyDescent="0.2"/>
    <row r="21338" ht="12.75" hidden="1" customHeight="1" x14ac:dyDescent="0.2"/>
    <row r="21339" ht="12.75" hidden="1" customHeight="1" x14ac:dyDescent="0.2"/>
    <row r="21340" ht="12.75" hidden="1" customHeight="1" x14ac:dyDescent="0.2"/>
    <row r="21341" ht="12.75" hidden="1" customHeight="1" x14ac:dyDescent="0.2"/>
    <row r="21342" ht="12.75" hidden="1" customHeight="1" x14ac:dyDescent="0.2"/>
    <row r="21343" ht="12.75" hidden="1" customHeight="1" x14ac:dyDescent="0.2"/>
    <row r="21344" ht="12.75" hidden="1" customHeight="1" x14ac:dyDescent="0.2"/>
    <row r="21345" ht="12.75" hidden="1" customHeight="1" x14ac:dyDescent="0.2"/>
    <row r="21346" ht="12.75" hidden="1" customHeight="1" x14ac:dyDescent="0.2"/>
    <row r="21347" ht="12.75" hidden="1" customHeight="1" x14ac:dyDescent="0.2"/>
    <row r="21348" ht="12.75" hidden="1" customHeight="1" x14ac:dyDescent="0.2"/>
    <row r="21349" ht="12.75" hidden="1" customHeight="1" x14ac:dyDescent="0.2"/>
    <row r="21350" ht="12.75" hidden="1" customHeight="1" x14ac:dyDescent="0.2"/>
    <row r="21351" ht="12.75" hidden="1" customHeight="1" x14ac:dyDescent="0.2"/>
    <row r="21352" ht="12.75" hidden="1" customHeight="1" x14ac:dyDescent="0.2"/>
    <row r="21353" ht="12.75" hidden="1" customHeight="1" x14ac:dyDescent="0.2"/>
    <row r="21354" ht="12.75" hidden="1" customHeight="1" x14ac:dyDescent="0.2"/>
    <row r="21355" ht="12.75" hidden="1" customHeight="1" x14ac:dyDescent="0.2"/>
    <row r="21356" ht="12.75" hidden="1" customHeight="1" x14ac:dyDescent="0.2"/>
    <row r="21357" ht="12.75" hidden="1" customHeight="1" x14ac:dyDescent="0.2"/>
    <row r="21358" ht="12.75" hidden="1" customHeight="1" x14ac:dyDescent="0.2"/>
    <row r="21359" ht="12.75" hidden="1" customHeight="1" x14ac:dyDescent="0.2"/>
    <row r="21360" ht="12.75" hidden="1" customHeight="1" x14ac:dyDescent="0.2"/>
    <row r="21361" ht="12.75" hidden="1" customHeight="1" x14ac:dyDescent="0.2"/>
    <row r="21362" ht="12.75" hidden="1" customHeight="1" x14ac:dyDescent="0.2"/>
    <row r="21363" ht="12.75" hidden="1" customHeight="1" x14ac:dyDescent="0.2"/>
    <row r="21364" ht="12.75" hidden="1" customHeight="1" x14ac:dyDescent="0.2"/>
    <row r="21365" ht="12.75" hidden="1" customHeight="1" x14ac:dyDescent="0.2"/>
    <row r="21366" ht="12.75" hidden="1" customHeight="1" x14ac:dyDescent="0.2"/>
    <row r="21367" ht="12.75" hidden="1" customHeight="1" x14ac:dyDescent="0.2"/>
    <row r="21368" ht="12.75" hidden="1" customHeight="1" x14ac:dyDescent="0.2"/>
    <row r="21369" ht="12.75" hidden="1" customHeight="1" x14ac:dyDescent="0.2"/>
    <row r="21370" ht="12.75" hidden="1" customHeight="1" x14ac:dyDescent="0.2"/>
    <row r="21371" ht="12.75" hidden="1" customHeight="1" x14ac:dyDescent="0.2"/>
    <row r="21372" ht="12.75" hidden="1" customHeight="1" x14ac:dyDescent="0.2"/>
    <row r="21373" ht="12.75" hidden="1" customHeight="1" x14ac:dyDescent="0.2"/>
    <row r="21374" ht="12.75" hidden="1" customHeight="1" x14ac:dyDescent="0.2"/>
    <row r="21375" ht="12.75" hidden="1" customHeight="1" x14ac:dyDescent="0.2"/>
    <row r="21376" ht="12.75" hidden="1" customHeight="1" x14ac:dyDescent="0.2"/>
    <row r="21377" ht="12.75" hidden="1" customHeight="1" x14ac:dyDescent="0.2"/>
    <row r="21378" ht="12.75" hidden="1" customHeight="1" x14ac:dyDescent="0.2"/>
    <row r="21379" ht="12.75" hidden="1" customHeight="1" x14ac:dyDescent="0.2"/>
    <row r="21380" ht="12.75" hidden="1" customHeight="1" x14ac:dyDescent="0.2"/>
    <row r="21381" ht="12.75" hidden="1" customHeight="1" x14ac:dyDescent="0.2"/>
    <row r="21382" ht="12.75" hidden="1" customHeight="1" x14ac:dyDescent="0.2"/>
    <row r="21383" ht="12.75" hidden="1" customHeight="1" x14ac:dyDescent="0.2"/>
    <row r="21384" ht="12.75" hidden="1" customHeight="1" x14ac:dyDescent="0.2"/>
    <row r="21385" ht="12.75" hidden="1" customHeight="1" x14ac:dyDescent="0.2"/>
    <row r="21386" ht="12.75" hidden="1" customHeight="1" x14ac:dyDescent="0.2"/>
    <row r="21387" ht="12.75" hidden="1" customHeight="1" x14ac:dyDescent="0.2"/>
    <row r="21388" ht="12.75" hidden="1" customHeight="1" x14ac:dyDescent="0.2"/>
    <row r="21389" ht="12.75" hidden="1" customHeight="1" x14ac:dyDescent="0.2"/>
    <row r="21390" ht="12.75" hidden="1" customHeight="1" x14ac:dyDescent="0.2"/>
    <row r="21391" ht="12.75" hidden="1" customHeight="1" x14ac:dyDescent="0.2"/>
    <row r="21392" ht="12.75" hidden="1" customHeight="1" x14ac:dyDescent="0.2"/>
    <row r="21393" ht="12.75" hidden="1" customHeight="1" x14ac:dyDescent="0.2"/>
    <row r="21394" ht="12.75" hidden="1" customHeight="1" x14ac:dyDescent="0.2"/>
    <row r="21395" ht="12.75" hidden="1" customHeight="1" x14ac:dyDescent="0.2"/>
    <row r="21396" ht="12.75" hidden="1" customHeight="1" x14ac:dyDescent="0.2"/>
    <row r="21397" ht="12.75" hidden="1" customHeight="1" x14ac:dyDescent="0.2"/>
    <row r="21398" ht="12.75" hidden="1" customHeight="1" x14ac:dyDescent="0.2"/>
    <row r="21399" ht="12.75" hidden="1" customHeight="1" x14ac:dyDescent="0.2"/>
    <row r="21400" ht="12.75" hidden="1" customHeight="1" x14ac:dyDescent="0.2"/>
    <row r="21401" ht="12.75" hidden="1" customHeight="1" x14ac:dyDescent="0.2"/>
    <row r="21402" ht="12.75" hidden="1" customHeight="1" x14ac:dyDescent="0.2"/>
    <row r="21403" ht="12.75" hidden="1" customHeight="1" x14ac:dyDescent="0.2"/>
    <row r="21404" ht="12.75" hidden="1" customHeight="1" x14ac:dyDescent="0.2"/>
    <row r="21405" ht="12.75" hidden="1" customHeight="1" x14ac:dyDescent="0.2"/>
    <row r="21406" ht="12.75" hidden="1" customHeight="1" x14ac:dyDescent="0.2"/>
    <row r="21407" ht="12.75" hidden="1" customHeight="1" x14ac:dyDescent="0.2"/>
    <row r="21408" ht="12.75" hidden="1" customHeight="1" x14ac:dyDescent="0.2"/>
    <row r="21409" ht="12.75" hidden="1" customHeight="1" x14ac:dyDescent="0.2"/>
    <row r="21410" ht="12.75" hidden="1" customHeight="1" x14ac:dyDescent="0.2"/>
    <row r="21411" ht="12.75" hidden="1" customHeight="1" x14ac:dyDescent="0.2"/>
    <row r="21412" ht="12.75" hidden="1" customHeight="1" x14ac:dyDescent="0.2"/>
    <row r="21413" ht="12.75" hidden="1" customHeight="1" x14ac:dyDescent="0.2"/>
    <row r="21414" ht="12.75" hidden="1" customHeight="1" x14ac:dyDescent="0.2"/>
    <row r="21415" ht="12.75" hidden="1" customHeight="1" x14ac:dyDescent="0.2"/>
    <row r="21416" ht="12.75" hidden="1" customHeight="1" x14ac:dyDescent="0.2"/>
    <row r="21417" ht="12.75" hidden="1" customHeight="1" x14ac:dyDescent="0.2"/>
    <row r="21418" ht="12.75" hidden="1" customHeight="1" x14ac:dyDescent="0.2"/>
    <row r="21419" ht="12.75" hidden="1" customHeight="1" x14ac:dyDescent="0.2"/>
    <row r="21420" ht="12.75" hidden="1" customHeight="1" x14ac:dyDescent="0.2"/>
    <row r="21421" ht="12.75" hidden="1" customHeight="1" x14ac:dyDescent="0.2"/>
    <row r="21422" ht="12.75" hidden="1" customHeight="1" x14ac:dyDescent="0.2"/>
    <row r="21423" ht="12.75" hidden="1" customHeight="1" x14ac:dyDescent="0.2"/>
    <row r="21424" ht="12.75" hidden="1" customHeight="1" x14ac:dyDescent="0.2"/>
    <row r="21425" ht="12.75" hidden="1" customHeight="1" x14ac:dyDescent="0.2"/>
    <row r="21426" ht="12.75" hidden="1" customHeight="1" x14ac:dyDescent="0.2"/>
    <row r="21427" ht="12.75" hidden="1" customHeight="1" x14ac:dyDescent="0.2"/>
    <row r="21428" ht="12.75" hidden="1" customHeight="1" x14ac:dyDescent="0.2"/>
    <row r="21429" ht="12.75" hidden="1" customHeight="1" x14ac:dyDescent="0.2"/>
    <row r="21430" ht="12.75" hidden="1" customHeight="1" x14ac:dyDescent="0.2"/>
    <row r="21431" ht="12.75" hidden="1" customHeight="1" x14ac:dyDescent="0.2"/>
    <row r="21432" ht="12.75" hidden="1" customHeight="1" x14ac:dyDescent="0.2"/>
    <row r="21433" ht="12.75" hidden="1" customHeight="1" x14ac:dyDescent="0.2"/>
    <row r="21434" ht="12.75" hidden="1" customHeight="1" x14ac:dyDescent="0.2"/>
    <row r="21435" ht="12.75" hidden="1" customHeight="1" x14ac:dyDescent="0.2"/>
    <row r="21436" ht="12.75" hidden="1" customHeight="1" x14ac:dyDescent="0.2"/>
    <row r="21437" ht="12.75" hidden="1" customHeight="1" x14ac:dyDescent="0.2"/>
    <row r="21438" ht="12.75" hidden="1" customHeight="1" x14ac:dyDescent="0.2"/>
    <row r="21439" ht="12.75" hidden="1" customHeight="1" x14ac:dyDescent="0.2"/>
    <row r="21440" ht="12.75" hidden="1" customHeight="1" x14ac:dyDescent="0.2"/>
    <row r="21441" ht="12.75" hidden="1" customHeight="1" x14ac:dyDescent="0.2"/>
    <row r="21442" ht="12.75" hidden="1" customHeight="1" x14ac:dyDescent="0.2"/>
    <row r="21443" ht="12.75" hidden="1" customHeight="1" x14ac:dyDescent="0.2"/>
    <row r="21444" ht="12.75" hidden="1" customHeight="1" x14ac:dyDescent="0.2"/>
    <row r="21445" ht="12.75" hidden="1" customHeight="1" x14ac:dyDescent="0.2"/>
    <row r="21446" ht="12.75" hidden="1" customHeight="1" x14ac:dyDescent="0.2"/>
    <row r="21447" ht="12.75" hidden="1" customHeight="1" x14ac:dyDescent="0.2"/>
    <row r="21448" ht="12.75" hidden="1" customHeight="1" x14ac:dyDescent="0.2"/>
    <row r="21449" ht="12.75" hidden="1" customHeight="1" x14ac:dyDescent="0.2"/>
    <row r="21450" ht="12.75" hidden="1" customHeight="1" x14ac:dyDescent="0.2"/>
    <row r="21451" ht="12.75" hidden="1" customHeight="1" x14ac:dyDescent="0.2"/>
    <row r="21452" ht="12.75" hidden="1" customHeight="1" x14ac:dyDescent="0.2"/>
    <row r="21453" ht="12.75" hidden="1" customHeight="1" x14ac:dyDescent="0.2"/>
    <row r="21454" ht="12.75" hidden="1" customHeight="1" x14ac:dyDescent="0.2"/>
    <row r="21455" ht="12.75" hidden="1" customHeight="1" x14ac:dyDescent="0.2"/>
    <row r="21456" ht="12.75" hidden="1" customHeight="1" x14ac:dyDescent="0.2"/>
    <row r="21457" ht="12.75" hidden="1" customHeight="1" x14ac:dyDescent="0.2"/>
    <row r="21458" ht="12.75" hidden="1" customHeight="1" x14ac:dyDescent="0.2"/>
    <row r="21459" ht="12.75" hidden="1" customHeight="1" x14ac:dyDescent="0.2"/>
    <row r="21460" ht="12.75" hidden="1" customHeight="1" x14ac:dyDescent="0.2"/>
    <row r="21461" ht="12.75" hidden="1" customHeight="1" x14ac:dyDescent="0.2"/>
    <row r="21462" ht="12.75" hidden="1" customHeight="1" x14ac:dyDescent="0.2"/>
    <row r="21463" ht="12.75" hidden="1" customHeight="1" x14ac:dyDescent="0.2"/>
    <row r="21464" ht="12.75" hidden="1" customHeight="1" x14ac:dyDescent="0.2"/>
    <row r="21465" ht="12.75" hidden="1" customHeight="1" x14ac:dyDescent="0.2"/>
    <row r="21466" ht="12.75" hidden="1" customHeight="1" x14ac:dyDescent="0.2"/>
    <row r="21467" ht="12.75" hidden="1" customHeight="1" x14ac:dyDescent="0.2"/>
    <row r="21468" ht="12.75" hidden="1" customHeight="1" x14ac:dyDescent="0.2"/>
    <row r="21469" ht="12.75" hidden="1" customHeight="1" x14ac:dyDescent="0.2"/>
    <row r="21470" ht="12.75" hidden="1" customHeight="1" x14ac:dyDescent="0.2"/>
    <row r="21471" ht="12.75" hidden="1" customHeight="1" x14ac:dyDescent="0.2"/>
    <row r="21472" ht="12.75" hidden="1" customHeight="1" x14ac:dyDescent="0.2"/>
    <row r="21473" ht="12.75" hidden="1" customHeight="1" x14ac:dyDescent="0.2"/>
    <row r="21474" ht="12.75" hidden="1" customHeight="1" x14ac:dyDescent="0.2"/>
    <row r="21475" ht="12.75" hidden="1" customHeight="1" x14ac:dyDescent="0.2"/>
    <row r="21476" ht="12.75" hidden="1" customHeight="1" x14ac:dyDescent="0.2"/>
    <row r="21477" ht="12.75" hidden="1" customHeight="1" x14ac:dyDescent="0.2"/>
    <row r="21478" ht="12.75" hidden="1" customHeight="1" x14ac:dyDescent="0.2"/>
    <row r="21479" ht="12.75" hidden="1" customHeight="1" x14ac:dyDescent="0.2"/>
    <row r="21480" ht="12.75" hidden="1" customHeight="1" x14ac:dyDescent="0.2"/>
    <row r="21481" ht="12.75" hidden="1" customHeight="1" x14ac:dyDescent="0.2"/>
    <row r="21482" ht="12.75" hidden="1" customHeight="1" x14ac:dyDescent="0.2"/>
    <row r="21483" ht="12.75" hidden="1" customHeight="1" x14ac:dyDescent="0.2"/>
    <row r="21484" ht="12.75" hidden="1" customHeight="1" x14ac:dyDescent="0.2"/>
    <row r="21485" ht="12.75" hidden="1" customHeight="1" x14ac:dyDescent="0.2"/>
    <row r="21486" ht="12.75" hidden="1" customHeight="1" x14ac:dyDescent="0.2"/>
    <row r="21487" ht="12.75" hidden="1" customHeight="1" x14ac:dyDescent="0.2"/>
    <row r="21488" ht="12.75" hidden="1" customHeight="1" x14ac:dyDescent="0.2"/>
    <row r="21489" ht="12.75" hidden="1" customHeight="1" x14ac:dyDescent="0.2"/>
    <row r="21490" ht="12.75" hidden="1" customHeight="1" x14ac:dyDescent="0.2"/>
    <row r="21491" ht="12.75" hidden="1" customHeight="1" x14ac:dyDescent="0.2"/>
    <row r="21492" ht="12.75" hidden="1" customHeight="1" x14ac:dyDescent="0.2"/>
    <row r="21493" ht="12.75" hidden="1" customHeight="1" x14ac:dyDescent="0.2"/>
    <row r="21494" ht="12.75" hidden="1" customHeight="1" x14ac:dyDescent="0.2"/>
    <row r="21495" ht="12.75" hidden="1" customHeight="1" x14ac:dyDescent="0.2"/>
    <row r="21496" ht="12.75" hidden="1" customHeight="1" x14ac:dyDescent="0.2"/>
    <row r="21497" ht="12.75" hidden="1" customHeight="1" x14ac:dyDescent="0.2"/>
    <row r="21498" ht="12.75" hidden="1" customHeight="1" x14ac:dyDescent="0.2"/>
    <row r="21499" ht="12.75" hidden="1" customHeight="1" x14ac:dyDescent="0.2"/>
    <row r="21500" ht="12.75" hidden="1" customHeight="1" x14ac:dyDescent="0.2"/>
    <row r="21501" ht="12.75" hidden="1" customHeight="1" x14ac:dyDescent="0.2"/>
    <row r="21502" ht="12.75" hidden="1" customHeight="1" x14ac:dyDescent="0.2"/>
    <row r="21503" ht="12.75" hidden="1" customHeight="1" x14ac:dyDescent="0.2"/>
    <row r="21504" ht="12.75" hidden="1" customHeight="1" x14ac:dyDescent="0.2"/>
    <row r="21505" ht="12.75" hidden="1" customHeight="1" x14ac:dyDescent="0.2"/>
    <row r="21506" ht="12.75" hidden="1" customHeight="1" x14ac:dyDescent="0.2"/>
    <row r="21507" ht="12.75" hidden="1" customHeight="1" x14ac:dyDescent="0.2"/>
    <row r="21508" ht="12.75" hidden="1" customHeight="1" x14ac:dyDescent="0.2"/>
    <row r="21509" ht="12.75" hidden="1" customHeight="1" x14ac:dyDescent="0.2"/>
    <row r="21510" ht="12.75" hidden="1" customHeight="1" x14ac:dyDescent="0.2"/>
    <row r="21511" ht="12.75" hidden="1" customHeight="1" x14ac:dyDescent="0.2"/>
    <row r="21512" ht="12.75" hidden="1" customHeight="1" x14ac:dyDescent="0.2"/>
    <row r="21513" ht="12.75" hidden="1" customHeight="1" x14ac:dyDescent="0.2"/>
    <row r="21514" ht="12.75" hidden="1" customHeight="1" x14ac:dyDescent="0.2"/>
    <row r="21515" ht="12.75" hidden="1" customHeight="1" x14ac:dyDescent="0.2"/>
    <row r="21516" ht="12.75" hidden="1" customHeight="1" x14ac:dyDescent="0.2"/>
    <row r="21517" ht="12.75" hidden="1" customHeight="1" x14ac:dyDescent="0.2"/>
    <row r="21518" ht="12.75" hidden="1" customHeight="1" x14ac:dyDescent="0.2"/>
    <row r="21519" ht="12.75" hidden="1" customHeight="1" x14ac:dyDescent="0.2"/>
    <row r="21520" ht="12.75" hidden="1" customHeight="1" x14ac:dyDescent="0.2"/>
    <row r="21521" ht="12.75" hidden="1" customHeight="1" x14ac:dyDescent="0.2"/>
    <row r="21522" ht="12.75" hidden="1" customHeight="1" x14ac:dyDescent="0.2"/>
    <row r="21523" ht="12.75" hidden="1" customHeight="1" x14ac:dyDescent="0.2"/>
    <row r="21524" ht="12.75" hidden="1" customHeight="1" x14ac:dyDescent="0.2"/>
    <row r="21525" ht="12.75" hidden="1" customHeight="1" x14ac:dyDescent="0.2"/>
    <row r="21526" ht="12.75" hidden="1" customHeight="1" x14ac:dyDescent="0.2"/>
    <row r="21527" ht="12.75" hidden="1" customHeight="1" x14ac:dyDescent="0.2"/>
    <row r="21528" ht="12.75" hidden="1" customHeight="1" x14ac:dyDescent="0.2"/>
    <row r="21529" ht="12.75" hidden="1" customHeight="1" x14ac:dyDescent="0.2"/>
    <row r="21530" ht="12.75" hidden="1" customHeight="1" x14ac:dyDescent="0.2"/>
    <row r="21531" ht="12.75" hidden="1" customHeight="1" x14ac:dyDescent="0.2"/>
    <row r="21532" ht="12.75" hidden="1" customHeight="1" x14ac:dyDescent="0.2"/>
    <row r="21533" ht="12.75" hidden="1" customHeight="1" x14ac:dyDescent="0.2"/>
    <row r="21534" ht="12.75" hidden="1" customHeight="1" x14ac:dyDescent="0.2"/>
    <row r="21535" ht="12.75" hidden="1" customHeight="1" x14ac:dyDescent="0.2"/>
    <row r="21536" ht="12.75" hidden="1" customHeight="1" x14ac:dyDescent="0.2"/>
    <row r="21537" ht="12.75" hidden="1" customHeight="1" x14ac:dyDescent="0.2"/>
    <row r="21538" ht="12.75" hidden="1" customHeight="1" x14ac:dyDescent="0.2"/>
    <row r="21539" ht="12.75" hidden="1" customHeight="1" x14ac:dyDescent="0.2"/>
    <row r="21540" ht="12.75" hidden="1" customHeight="1" x14ac:dyDescent="0.2"/>
    <row r="21541" ht="12.75" hidden="1" customHeight="1" x14ac:dyDescent="0.2"/>
    <row r="21542" ht="12.75" hidden="1" customHeight="1" x14ac:dyDescent="0.2"/>
    <row r="21543" ht="12.75" hidden="1" customHeight="1" x14ac:dyDescent="0.2"/>
    <row r="21544" ht="12.75" hidden="1" customHeight="1" x14ac:dyDescent="0.2"/>
    <row r="21545" ht="12.75" hidden="1" customHeight="1" x14ac:dyDescent="0.2"/>
    <row r="21546" ht="12.75" hidden="1" customHeight="1" x14ac:dyDescent="0.2"/>
    <row r="21547" ht="12.75" hidden="1" customHeight="1" x14ac:dyDescent="0.2"/>
    <row r="21548" ht="12.75" hidden="1" customHeight="1" x14ac:dyDescent="0.2"/>
    <row r="21549" ht="12.75" hidden="1" customHeight="1" x14ac:dyDescent="0.2"/>
    <row r="21550" ht="12.75" hidden="1" customHeight="1" x14ac:dyDescent="0.2"/>
    <row r="21551" ht="12.75" hidden="1" customHeight="1" x14ac:dyDescent="0.2"/>
    <row r="21552" ht="12.75" hidden="1" customHeight="1" x14ac:dyDescent="0.2"/>
    <row r="21553" ht="12.75" hidden="1" customHeight="1" x14ac:dyDescent="0.2"/>
    <row r="21554" ht="12.75" hidden="1" customHeight="1" x14ac:dyDescent="0.2"/>
    <row r="21555" ht="12.75" hidden="1" customHeight="1" x14ac:dyDescent="0.2"/>
    <row r="21556" ht="12.75" hidden="1" customHeight="1" x14ac:dyDescent="0.2"/>
    <row r="21557" ht="12.75" hidden="1" customHeight="1" x14ac:dyDescent="0.2"/>
    <row r="21558" ht="12.75" hidden="1" customHeight="1" x14ac:dyDescent="0.2"/>
    <row r="21559" ht="12.75" hidden="1" customHeight="1" x14ac:dyDescent="0.2"/>
    <row r="21560" ht="12.75" hidden="1" customHeight="1" x14ac:dyDescent="0.2"/>
    <row r="21561" ht="12.75" hidden="1" customHeight="1" x14ac:dyDescent="0.2"/>
    <row r="21562" ht="12.75" hidden="1" customHeight="1" x14ac:dyDescent="0.2"/>
    <row r="21563" ht="12.75" hidden="1" customHeight="1" x14ac:dyDescent="0.2"/>
    <row r="21564" ht="12.75" hidden="1" customHeight="1" x14ac:dyDescent="0.2"/>
    <row r="21565" ht="12.75" hidden="1" customHeight="1" x14ac:dyDescent="0.2"/>
    <row r="21566" ht="12.75" hidden="1" customHeight="1" x14ac:dyDescent="0.2"/>
    <row r="21567" ht="12.75" hidden="1" customHeight="1" x14ac:dyDescent="0.2"/>
    <row r="21568" ht="12.75" hidden="1" customHeight="1" x14ac:dyDescent="0.2"/>
    <row r="21569" ht="12.75" hidden="1" customHeight="1" x14ac:dyDescent="0.2"/>
    <row r="21570" ht="12.75" hidden="1" customHeight="1" x14ac:dyDescent="0.2"/>
    <row r="21571" ht="12.75" hidden="1" customHeight="1" x14ac:dyDescent="0.2"/>
    <row r="21572" ht="12.75" hidden="1" customHeight="1" x14ac:dyDescent="0.2"/>
    <row r="21573" ht="12.75" hidden="1" customHeight="1" x14ac:dyDescent="0.2"/>
    <row r="21574" ht="12.75" hidden="1" customHeight="1" x14ac:dyDescent="0.2"/>
    <row r="21575" ht="12.75" hidden="1" customHeight="1" x14ac:dyDescent="0.2"/>
    <row r="21576" ht="12.75" hidden="1" customHeight="1" x14ac:dyDescent="0.2"/>
    <row r="21577" ht="12.75" hidden="1" customHeight="1" x14ac:dyDescent="0.2"/>
    <row r="21578" ht="12.75" hidden="1" customHeight="1" x14ac:dyDescent="0.2"/>
    <row r="21579" ht="12.75" hidden="1" customHeight="1" x14ac:dyDescent="0.2"/>
    <row r="21580" ht="12.75" hidden="1" customHeight="1" x14ac:dyDescent="0.2"/>
    <row r="21581" ht="12.75" hidden="1" customHeight="1" x14ac:dyDescent="0.2"/>
    <row r="21582" ht="12.75" hidden="1" customHeight="1" x14ac:dyDescent="0.2"/>
    <row r="21583" ht="12.75" hidden="1" customHeight="1" x14ac:dyDescent="0.2"/>
    <row r="21584" ht="12.75" hidden="1" customHeight="1" x14ac:dyDescent="0.2"/>
    <row r="21585" ht="12.75" hidden="1" customHeight="1" x14ac:dyDescent="0.2"/>
    <row r="21586" ht="12.75" hidden="1" customHeight="1" x14ac:dyDescent="0.2"/>
    <row r="21587" ht="12.75" hidden="1" customHeight="1" x14ac:dyDescent="0.2"/>
    <row r="21588" ht="12.75" hidden="1" customHeight="1" x14ac:dyDescent="0.2"/>
    <row r="21589" ht="12.75" hidden="1" customHeight="1" x14ac:dyDescent="0.2"/>
    <row r="21590" ht="12.75" hidden="1" customHeight="1" x14ac:dyDescent="0.2"/>
    <row r="21591" ht="12.75" hidden="1" customHeight="1" x14ac:dyDescent="0.2"/>
    <row r="21592" ht="12.75" hidden="1" customHeight="1" x14ac:dyDescent="0.2"/>
    <row r="21593" ht="12.75" hidden="1" customHeight="1" x14ac:dyDescent="0.2"/>
    <row r="21594" ht="12.75" hidden="1" customHeight="1" x14ac:dyDescent="0.2"/>
    <row r="21595" ht="12.75" hidden="1" customHeight="1" x14ac:dyDescent="0.2"/>
    <row r="21596" ht="12.75" hidden="1" customHeight="1" x14ac:dyDescent="0.2"/>
    <row r="21597" ht="12.75" hidden="1" customHeight="1" x14ac:dyDescent="0.2"/>
    <row r="21598" ht="12.75" hidden="1" customHeight="1" x14ac:dyDescent="0.2"/>
    <row r="21599" ht="12.75" hidden="1" customHeight="1" x14ac:dyDescent="0.2"/>
    <row r="21600" ht="12.75" hidden="1" customHeight="1" x14ac:dyDescent="0.2"/>
    <row r="21601" ht="12.75" hidden="1" customHeight="1" x14ac:dyDescent="0.2"/>
    <row r="21602" ht="12.75" hidden="1" customHeight="1" x14ac:dyDescent="0.2"/>
    <row r="21603" ht="12.75" hidden="1" customHeight="1" x14ac:dyDescent="0.2"/>
    <row r="21604" ht="12.75" hidden="1" customHeight="1" x14ac:dyDescent="0.2"/>
    <row r="21605" ht="12.75" hidden="1" customHeight="1" x14ac:dyDescent="0.2"/>
    <row r="21606" ht="12.75" hidden="1" customHeight="1" x14ac:dyDescent="0.2"/>
    <row r="21607" ht="12.75" hidden="1" customHeight="1" x14ac:dyDescent="0.2"/>
    <row r="21608" ht="12.75" hidden="1" customHeight="1" x14ac:dyDescent="0.2"/>
    <row r="21609" ht="12.75" hidden="1" customHeight="1" x14ac:dyDescent="0.2"/>
    <row r="21610" ht="12.75" hidden="1" customHeight="1" x14ac:dyDescent="0.2"/>
    <row r="21611" ht="12.75" hidden="1" customHeight="1" x14ac:dyDescent="0.2"/>
    <row r="21612" ht="12.75" hidden="1" customHeight="1" x14ac:dyDescent="0.2"/>
    <row r="21613" ht="12.75" hidden="1" customHeight="1" x14ac:dyDescent="0.2"/>
    <row r="21614" ht="12.75" hidden="1" customHeight="1" x14ac:dyDescent="0.2"/>
    <row r="21615" ht="12.75" hidden="1" customHeight="1" x14ac:dyDescent="0.2"/>
    <row r="21616" ht="12.75" hidden="1" customHeight="1" x14ac:dyDescent="0.2"/>
    <row r="21617" ht="12.75" hidden="1" customHeight="1" x14ac:dyDescent="0.2"/>
    <row r="21618" ht="12.75" hidden="1" customHeight="1" x14ac:dyDescent="0.2"/>
    <row r="21619" ht="12.75" hidden="1" customHeight="1" x14ac:dyDescent="0.2"/>
    <row r="21620" ht="12.75" hidden="1" customHeight="1" x14ac:dyDescent="0.2"/>
    <row r="21621" ht="12.75" hidden="1" customHeight="1" x14ac:dyDescent="0.2"/>
    <row r="21622" ht="12.75" hidden="1" customHeight="1" x14ac:dyDescent="0.2"/>
    <row r="21623" ht="12.75" hidden="1" customHeight="1" x14ac:dyDescent="0.2"/>
    <row r="21624" ht="12.75" hidden="1" customHeight="1" x14ac:dyDescent="0.2"/>
    <row r="21625" ht="12.75" hidden="1" customHeight="1" x14ac:dyDescent="0.2"/>
    <row r="21626" ht="12.75" hidden="1" customHeight="1" x14ac:dyDescent="0.2"/>
    <row r="21627" ht="12.75" hidden="1" customHeight="1" x14ac:dyDescent="0.2"/>
    <row r="21628" ht="12.75" hidden="1" customHeight="1" x14ac:dyDescent="0.2"/>
    <row r="21629" ht="12.75" hidden="1" customHeight="1" x14ac:dyDescent="0.2"/>
    <row r="21630" ht="12.75" hidden="1" customHeight="1" x14ac:dyDescent="0.2"/>
    <row r="21631" ht="12.75" hidden="1" customHeight="1" x14ac:dyDescent="0.2"/>
    <row r="21632" ht="12.75" hidden="1" customHeight="1" x14ac:dyDescent="0.2"/>
    <row r="21633" ht="12.75" hidden="1" customHeight="1" x14ac:dyDescent="0.2"/>
    <row r="21634" ht="12.75" hidden="1" customHeight="1" x14ac:dyDescent="0.2"/>
    <row r="21635" ht="12.75" hidden="1" customHeight="1" x14ac:dyDescent="0.2"/>
    <row r="21636" ht="12.75" hidden="1" customHeight="1" x14ac:dyDescent="0.2"/>
    <row r="21637" ht="12.75" hidden="1" customHeight="1" x14ac:dyDescent="0.2"/>
    <row r="21638" ht="12.75" hidden="1" customHeight="1" x14ac:dyDescent="0.2"/>
    <row r="21639" ht="12.75" hidden="1" customHeight="1" x14ac:dyDescent="0.2"/>
    <row r="21640" ht="12.75" hidden="1" customHeight="1" x14ac:dyDescent="0.2"/>
    <row r="21641" ht="12.75" hidden="1" customHeight="1" x14ac:dyDescent="0.2"/>
    <row r="21642" ht="12.75" hidden="1" customHeight="1" x14ac:dyDescent="0.2"/>
    <row r="21643" ht="12.75" hidden="1" customHeight="1" x14ac:dyDescent="0.2"/>
    <row r="21644" ht="12.75" hidden="1" customHeight="1" x14ac:dyDescent="0.2"/>
    <row r="21645" ht="12.75" hidden="1" customHeight="1" x14ac:dyDescent="0.2"/>
    <row r="21646" ht="12.75" hidden="1" customHeight="1" x14ac:dyDescent="0.2"/>
    <row r="21647" ht="12.75" hidden="1" customHeight="1" x14ac:dyDescent="0.2"/>
    <row r="21648" ht="12.75" hidden="1" customHeight="1" x14ac:dyDescent="0.2"/>
    <row r="21649" ht="12.75" hidden="1" customHeight="1" x14ac:dyDescent="0.2"/>
    <row r="21650" ht="12.75" hidden="1" customHeight="1" x14ac:dyDescent="0.2"/>
    <row r="21651" ht="12.75" hidden="1" customHeight="1" x14ac:dyDescent="0.2"/>
    <row r="21652" ht="12.75" hidden="1" customHeight="1" x14ac:dyDescent="0.2"/>
    <row r="21653" ht="12.75" hidden="1" customHeight="1" x14ac:dyDescent="0.2"/>
    <row r="21654" ht="12.75" hidden="1" customHeight="1" x14ac:dyDescent="0.2"/>
    <row r="21655" ht="12.75" hidden="1" customHeight="1" x14ac:dyDescent="0.2"/>
    <row r="21656" ht="12.75" hidden="1" customHeight="1" x14ac:dyDescent="0.2"/>
    <row r="21657" ht="12.75" hidden="1" customHeight="1" x14ac:dyDescent="0.2"/>
    <row r="21658" ht="12.75" hidden="1" customHeight="1" x14ac:dyDescent="0.2"/>
    <row r="21659" ht="12.75" hidden="1" customHeight="1" x14ac:dyDescent="0.2"/>
    <row r="21660" ht="12.75" hidden="1" customHeight="1" x14ac:dyDescent="0.2"/>
    <row r="21661" ht="12.75" hidden="1" customHeight="1" x14ac:dyDescent="0.2"/>
    <row r="21662" ht="12.75" hidden="1" customHeight="1" x14ac:dyDescent="0.2"/>
    <row r="21663" ht="12.75" hidden="1" customHeight="1" x14ac:dyDescent="0.2"/>
    <row r="21664" ht="12.75" hidden="1" customHeight="1" x14ac:dyDescent="0.2"/>
    <row r="21665" ht="12.75" hidden="1" customHeight="1" x14ac:dyDescent="0.2"/>
    <row r="21666" ht="12.75" hidden="1" customHeight="1" x14ac:dyDescent="0.2"/>
    <row r="21667" ht="12.75" hidden="1" customHeight="1" x14ac:dyDescent="0.2"/>
    <row r="21668" ht="12.75" hidden="1" customHeight="1" x14ac:dyDescent="0.2"/>
    <row r="21669" ht="12.75" hidden="1" customHeight="1" x14ac:dyDescent="0.2"/>
    <row r="21670" ht="12.75" hidden="1" customHeight="1" x14ac:dyDescent="0.2"/>
    <row r="21671" ht="12.75" hidden="1" customHeight="1" x14ac:dyDescent="0.2"/>
    <row r="21672" ht="12.75" hidden="1" customHeight="1" x14ac:dyDescent="0.2"/>
    <row r="21673" ht="12.75" hidden="1" customHeight="1" x14ac:dyDescent="0.2"/>
    <row r="21674" ht="12.75" hidden="1" customHeight="1" x14ac:dyDescent="0.2"/>
    <row r="21675" ht="12.75" hidden="1" customHeight="1" x14ac:dyDescent="0.2"/>
    <row r="21676" ht="12.75" hidden="1" customHeight="1" x14ac:dyDescent="0.2"/>
    <row r="21677" ht="12.75" hidden="1" customHeight="1" x14ac:dyDescent="0.2"/>
    <row r="21678" ht="12.75" hidden="1" customHeight="1" x14ac:dyDescent="0.2"/>
    <row r="21679" ht="12.75" hidden="1" customHeight="1" x14ac:dyDescent="0.2"/>
    <row r="21680" ht="12.75" hidden="1" customHeight="1" x14ac:dyDescent="0.2"/>
    <row r="21681" ht="12.75" hidden="1" customHeight="1" x14ac:dyDescent="0.2"/>
    <row r="21682" ht="12.75" hidden="1" customHeight="1" x14ac:dyDescent="0.2"/>
    <row r="21683" ht="12.75" hidden="1" customHeight="1" x14ac:dyDescent="0.2"/>
    <row r="21684" ht="12.75" hidden="1" customHeight="1" x14ac:dyDescent="0.2"/>
    <row r="21685" ht="12.75" hidden="1" customHeight="1" x14ac:dyDescent="0.2"/>
    <row r="21686" ht="12.75" hidden="1" customHeight="1" x14ac:dyDescent="0.2"/>
    <row r="21687" ht="12.75" hidden="1" customHeight="1" x14ac:dyDescent="0.2"/>
    <row r="21688" ht="12.75" hidden="1" customHeight="1" x14ac:dyDescent="0.2"/>
    <row r="21689" ht="12.75" hidden="1" customHeight="1" x14ac:dyDescent="0.2"/>
    <row r="21690" ht="12.75" hidden="1" customHeight="1" x14ac:dyDescent="0.2"/>
    <row r="21691" ht="12.75" hidden="1" customHeight="1" x14ac:dyDescent="0.2"/>
    <row r="21692" ht="12.75" hidden="1" customHeight="1" x14ac:dyDescent="0.2"/>
    <row r="21693" ht="12.75" hidden="1" customHeight="1" x14ac:dyDescent="0.2"/>
    <row r="21694" ht="12.75" hidden="1" customHeight="1" x14ac:dyDescent="0.2"/>
    <row r="21695" ht="12.75" hidden="1" customHeight="1" x14ac:dyDescent="0.2"/>
    <row r="21696" ht="12.75" hidden="1" customHeight="1" x14ac:dyDescent="0.2"/>
    <row r="21697" ht="12.75" hidden="1" customHeight="1" x14ac:dyDescent="0.2"/>
    <row r="21698" ht="12.75" hidden="1" customHeight="1" x14ac:dyDescent="0.2"/>
    <row r="21699" ht="12.75" hidden="1" customHeight="1" x14ac:dyDescent="0.2"/>
    <row r="21700" ht="12.75" hidden="1" customHeight="1" x14ac:dyDescent="0.2"/>
    <row r="21701" ht="12.75" hidden="1" customHeight="1" x14ac:dyDescent="0.2"/>
    <row r="21702" ht="12.75" hidden="1" customHeight="1" x14ac:dyDescent="0.2"/>
    <row r="21703" ht="12.75" hidden="1" customHeight="1" x14ac:dyDescent="0.2"/>
    <row r="21704" ht="12.75" hidden="1" customHeight="1" x14ac:dyDescent="0.2"/>
    <row r="21705" ht="12.75" hidden="1" customHeight="1" x14ac:dyDescent="0.2"/>
    <row r="21706" ht="12.75" hidden="1" customHeight="1" x14ac:dyDescent="0.2"/>
    <row r="21707" ht="12.75" hidden="1" customHeight="1" x14ac:dyDescent="0.2"/>
    <row r="21708" ht="12.75" hidden="1" customHeight="1" x14ac:dyDescent="0.2"/>
    <row r="21709" ht="12.75" hidden="1" customHeight="1" x14ac:dyDescent="0.2"/>
    <row r="21710" ht="12.75" hidden="1" customHeight="1" x14ac:dyDescent="0.2"/>
    <row r="21711" ht="12.75" hidden="1" customHeight="1" x14ac:dyDescent="0.2"/>
    <row r="21712" ht="12.75" hidden="1" customHeight="1" x14ac:dyDescent="0.2"/>
    <row r="21713" ht="12.75" hidden="1" customHeight="1" x14ac:dyDescent="0.2"/>
    <row r="21714" ht="12.75" hidden="1" customHeight="1" x14ac:dyDescent="0.2"/>
    <row r="21715" ht="12.75" hidden="1" customHeight="1" x14ac:dyDescent="0.2"/>
    <row r="21716" ht="12.75" hidden="1" customHeight="1" x14ac:dyDescent="0.2"/>
    <row r="21717" ht="12.75" hidden="1" customHeight="1" x14ac:dyDescent="0.2"/>
    <row r="21718" ht="12.75" hidden="1" customHeight="1" x14ac:dyDescent="0.2"/>
    <row r="21719" ht="12.75" hidden="1" customHeight="1" x14ac:dyDescent="0.2"/>
    <row r="21720" ht="12.75" hidden="1" customHeight="1" x14ac:dyDescent="0.2"/>
    <row r="21721" ht="12.75" hidden="1" customHeight="1" x14ac:dyDescent="0.2"/>
    <row r="21722" ht="12.75" hidden="1" customHeight="1" x14ac:dyDescent="0.2"/>
    <row r="21723" ht="12.75" hidden="1" customHeight="1" x14ac:dyDescent="0.2"/>
    <row r="21724" ht="12.75" hidden="1" customHeight="1" x14ac:dyDescent="0.2"/>
    <row r="21725" ht="12.75" hidden="1" customHeight="1" x14ac:dyDescent="0.2"/>
    <row r="21726" ht="12.75" hidden="1" customHeight="1" x14ac:dyDescent="0.2"/>
    <row r="21727" ht="12.75" hidden="1" customHeight="1" x14ac:dyDescent="0.2"/>
    <row r="21728" ht="12.75" hidden="1" customHeight="1" x14ac:dyDescent="0.2"/>
    <row r="21729" ht="12.75" hidden="1" customHeight="1" x14ac:dyDescent="0.2"/>
    <row r="21730" ht="12.75" hidden="1" customHeight="1" x14ac:dyDescent="0.2"/>
    <row r="21731" ht="12.75" hidden="1" customHeight="1" x14ac:dyDescent="0.2"/>
    <row r="21732" ht="12.75" hidden="1" customHeight="1" x14ac:dyDescent="0.2"/>
    <row r="21733" ht="12.75" hidden="1" customHeight="1" x14ac:dyDescent="0.2"/>
    <row r="21734" ht="12.75" hidden="1" customHeight="1" x14ac:dyDescent="0.2"/>
    <row r="21735" ht="12.75" hidden="1" customHeight="1" x14ac:dyDescent="0.2"/>
    <row r="21736" ht="12.75" hidden="1" customHeight="1" x14ac:dyDescent="0.2"/>
    <row r="21737" ht="12.75" hidden="1" customHeight="1" x14ac:dyDescent="0.2"/>
    <row r="21738" ht="12.75" hidden="1" customHeight="1" x14ac:dyDescent="0.2"/>
    <row r="21739" ht="12.75" hidden="1" customHeight="1" x14ac:dyDescent="0.2"/>
    <row r="21740" ht="12.75" hidden="1" customHeight="1" x14ac:dyDescent="0.2"/>
    <row r="21741" ht="12.75" hidden="1" customHeight="1" x14ac:dyDescent="0.2"/>
    <row r="21742" ht="12.75" hidden="1" customHeight="1" x14ac:dyDescent="0.2"/>
    <row r="21743" ht="12.75" hidden="1" customHeight="1" x14ac:dyDescent="0.2"/>
    <row r="21744" ht="12.75" hidden="1" customHeight="1" x14ac:dyDescent="0.2"/>
    <row r="21745" ht="12.75" hidden="1" customHeight="1" x14ac:dyDescent="0.2"/>
    <row r="21746" ht="12.75" hidden="1" customHeight="1" x14ac:dyDescent="0.2"/>
    <row r="21747" ht="12.75" hidden="1" customHeight="1" x14ac:dyDescent="0.2"/>
    <row r="21748" ht="12.75" hidden="1" customHeight="1" x14ac:dyDescent="0.2"/>
    <row r="21749" ht="12.75" hidden="1" customHeight="1" x14ac:dyDescent="0.2"/>
    <row r="21750" ht="12.75" hidden="1" customHeight="1" x14ac:dyDescent="0.2"/>
    <row r="21751" ht="12.75" hidden="1" customHeight="1" x14ac:dyDescent="0.2"/>
    <row r="21752" ht="12.75" hidden="1" customHeight="1" x14ac:dyDescent="0.2"/>
    <row r="21753" ht="12.75" hidden="1" customHeight="1" x14ac:dyDescent="0.2"/>
    <row r="21754" ht="12.75" hidden="1" customHeight="1" x14ac:dyDescent="0.2"/>
    <row r="21755" ht="12.75" hidden="1" customHeight="1" x14ac:dyDescent="0.2"/>
    <row r="21756" ht="12.75" hidden="1" customHeight="1" x14ac:dyDescent="0.2"/>
    <row r="21757" ht="12.75" hidden="1" customHeight="1" x14ac:dyDescent="0.2"/>
    <row r="21758" ht="12.75" hidden="1" customHeight="1" x14ac:dyDescent="0.2"/>
    <row r="21759" ht="12.75" hidden="1" customHeight="1" x14ac:dyDescent="0.2"/>
    <row r="21760" ht="12.75" hidden="1" customHeight="1" x14ac:dyDescent="0.2"/>
    <row r="21761" ht="12.75" hidden="1" customHeight="1" x14ac:dyDescent="0.2"/>
    <row r="21762" ht="12.75" hidden="1" customHeight="1" x14ac:dyDescent="0.2"/>
    <row r="21763" ht="12.75" hidden="1" customHeight="1" x14ac:dyDescent="0.2"/>
    <row r="21764" ht="12.75" hidden="1" customHeight="1" x14ac:dyDescent="0.2"/>
    <row r="21765" ht="12.75" hidden="1" customHeight="1" x14ac:dyDescent="0.2"/>
    <row r="21766" ht="12.75" hidden="1" customHeight="1" x14ac:dyDescent="0.2"/>
    <row r="21767" ht="12.75" hidden="1" customHeight="1" x14ac:dyDescent="0.2"/>
    <row r="21768" ht="12.75" hidden="1" customHeight="1" x14ac:dyDescent="0.2"/>
    <row r="21769" ht="12.75" hidden="1" customHeight="1" x14ac:dyDescent="0.2"/>
    <row r="21770" ht="12.75" hidden="1" customHeight="1" x14ac:dyDescent="0.2"/>
    <row r="21771" ht="12.75" hidden="1" customHeight="1" x14ac:dyDescent="0.2"/>
    <row r="21772" ht="12.75" hidden="1" customHeight="1" x14ac:dyDescent="0.2"/>
    <row r="21773" ht="12.75" hidden="1" customHeight="1" x14ac:dyDescent="0.2"/>
    <row r="21774" ht="12.75" hidden="1" customHeight="1" x14ac:dyDescent="0.2"/>
    <row r="21775" ht="12.75" hidden="1" customHeight="1" x14ac:dyDescent="0.2"/>
    <row r="21776" ht="12.75" hidden="1" customHeight="1" x14ac:dyDescent="0.2"/>
    <row r="21777" ht="12.75" hidden="1" customHeight="1" x14ac:dyDescent="0.2"/>
    <row r="21778" ht="12.75" hidden="1" customHeight="1" x14ac:dyDescent="0.2"/>
    <row r="21779" ht="12.75" hidden="1" customHeight="1" x14ac:dyDescent="0.2"/>
    <row r="21780" ht="12.75" hidden="1" customHeight="1" x14ac:dyDescent="0.2"/>
    <row r="21781" ht="12.75" hidden="1" customHeight="1" x14ac:dyDescent="0.2"/>
    <row r="21782" ht="12.75" hidden="1" customHeight="1" x14ac:dyDescent="0.2"/>
    <row r="21783" ht="12.75" hidden="1" customHeight="1" x14ac:dyDescent="0.2"/>
    <row r="21784" ht="12.75" hidden="1" customHeight="1" x14ac:dyDescent="0.2"/>
    <row r="21785" ht="12.75" hidden="1" customHeight="1" x14ac:dyDescent="0.2"/>
    <row r="21786" ht="12.75" hidden="1" customHeight="1" x14ac:dyDescent="0.2"/>
    <row r="21787" ht="12.75" hidden="1" customHeight="1" x14ac:dyDescent="0.2"/>
    <row r="21788" ht="12.75" hidden="1" customHeight="1" x14ac:dyDescent="0.2"/>
    <row r="21789" ht="12.75" hidden="1" customHeight="1" x14ac:dyDescent="0.2"/>
    <row r="21790" ht="12.75" hidden="1" customHeight="1" x14ac:dyDescent="0.2"/>
    <row r="21791" ht="12.75" hidden="1" customHeight="1" x14ac:dyDescent="0.2"/>
    <row r="21792" ht="12.75" hidden="1" customHeight="1" x14ac:dyDescent="0.2"/>
    <row r="21793" ht="12.75" hidden="1" customHeight="1" x14ac:dyDescent="0.2"/>
    <row r="21794" ht="12.75" hidden="1" customHeight="1" x14ac:dyDescent="0.2"/>
    <row r="21795" ht="12.75" hidden="1" customHeight="1" x14ac:dyDescent="0.2"/>
    <row r="21796" ht="12.75" hidden="1" customHeight="1" x14ac:dyDescent="0.2"/>
    <row r="21797" ht="12.75" hidden="1" customHeight="1" x14ac:dyDescent="0.2"/>
    <row r="21798" ht="12.75" hidden="1" customHeight="1" x14ac:dyDescent="0.2"/>
    <row r="21799" ht="12.75" hidden="1" customHeight="1" x14ac:dyDescent="0.2"/>
    <row r="21800" ht="12.75" hidden="1" customHeight="1" x14ac:dyDescent="0.2"/>
    <row r="21801" ht="12.75" hidden="1" customHeight="1" x14ac:dyDescent="0.2"/>
    <row r="21802" ht="12.75" hidden="1" customHeight="1" x14ac:dyDescent="0.2"/>
    <row r="21803" ht="12.75" hidden="1" customHeight="1" x14ac:dyDescent="0.2"/>
    <row r="21804" ht="12.75" hidden="1" customHeight="1" x14ac:dyDescent="0.2"/>
    <row r="21805" ht="12.75" hidden="1" customHeight="1" x14ac:dyDescent="0.2"/>
    <row r="21806" ht="12.75" hidden="1" customHeight="1" x14ac:dyDescent="0.2"/>
    <row r="21807" ht="12.75" hidden="1" customHeight="1" x14ac:dyDescent="0.2"/>
    <row r="21808" ht="12.75" hidden="1" customHeight="1" x14ac:dyDescent="0.2"/>
    <row r="21809" ht="12.75" hidden="1" customHeight="1" x14ac:dyDescent="0.2"/>
    <row r="21810" ht="12.75" hidden="1" customHeight="1" x14ac:dyDescent="0.2"/>
    <row r="21811" ht="12.75" hidden="1" customHeight="1" x14ac:dyDescent="0.2"/>
    <row r="21812" ht="12.75" hidden="1" customHeight="1" x14ac:dyDescent="0.2"/>
    <row r="21813" ht="12.75" hidden="1" customHeight="1" x14ac:dyDescent="0.2"/>
    <row r="21814" ht="12.75" hidden="1" customHeight="1" x14ac:dyDescent="0.2"/>
    <row r="21815" ht="12.75" hidden="1" customHeight="1" x14ac:dyDescent="0.2"/>
    <row r="21816" ht="12.75" hidden="1" customHeight="1" x14ac:dyDescent="0.2"/>
    <row r="21817" ht="12.75" hidden="1" customHeight="1" x14ac:dyDescent="0.2"/>
    <row r="21818" ht="12.75" hidden="1" customHeight="1" x14ac:dyDescent="0.2"/>
    <row r="21819" ht="12.75" hidden="1" customHeight="1" x14ac:dyDescent="0.2"/>
    <row r="21820" ht="12.75" hidden="1" customHeight="1" x14ac:dyDescent="0.2"/>
    <row r="21821" ht="12.75" hidden="1" customHeight="1" x14ac:dyDescent="0.2"/>
    <row r="21822" ht="12.75" hidden="1" customHeight="1" x14ac:dyDescent="0.2"/>
    <row r="21823" ht="12.75" hidden="1" customHeight="1" x14ac:dyDescent="0.2"/>
    <row r="21824" ht="12.75" hidden="1" customHeight="1" x14ac:dyDescent="0.2"/>
    <row r="21825" ht="12.75" hidden="1" customHeight="1" x14ac:dyDescent="0.2"/>
    <row r="21826" ht="12.75" hidden="1" customHeight="1" x14ac:dyDescent="0.2"/>
    <row r="21827" ht="12.75" hidden="1" customHeight="1" x14ac:dyDescent="0.2"/>
    <row r="21828" ht="12.75" hidden="1" customHeight="1" x14ac:dyDescent="0.2"/>
    <row r="21829" ht="12.75" hidden="1" customHeight="1" x14ac:dyDescent="0.2"/>
    <row r="21830" ht="12.75" hidden="1" customHeight="1" x14ac:dyDescent="0.2"/>
    <row r="21831" ht="12.75" hidden="1" customHeight="1" x14ac:dyDescent="0.2"/>
    <row r="21832" ht="12.75" hidden="1" customHeight="1" x14ac:dyDescent="0.2"/>
    <row r="21833" ht="12.75" hidden="1" customHeight="1" x14ac:dyDescent="0.2"/>
    <row r="21834" ht="12.75" hidden="1" customHeight="1" x14ac:dyDescent="0.2"/>
    <row r="21835" ht="12.75" hidden="1" customHeight="1" x14ac:dyDescent="0.2"/>
    <row r="21836" ht="12.75" hidden="1" customHeight="1" x14ac:dyDescent="0.2"/>
    <row r="21837" ht="12.75" hidden="1" customHeight="1" x14ac:dyDescent="0.2"/>
    <row r="21838" ht="12.75" hidden="1" customHeight="1" x14ac:dyDescent="0.2"/>
    <row r="21839" ht="12.75" hidden="1" customHeight="1" x14ac:dyDescent="0.2"/>
    <row r="21840" ht="12.75" hidden="1" customHeight="1" x14ac:dyDescent="0.2"/>
    <row r="21841" ht="12.75" hidden="1" customHeight="1" x14ac:dyDescent="0.2"/>
    <row r="21842" ht="12.75" hidden="1" customHeight="1" x14ac:dyDescent="0.2"/>
    <row r="21843" ht="12.75" hidden="1" customHeight="1" x14ac:dyDescent="0.2"/>
    <row r="21844" ht="12.75" hidden="1" customHeight="1" x14ac:dyDescent="0.2"/>
    <row r="21845" ht="12.75" hidden="1" customHeight="1" x14ac:dyDescent="0.2"/>
    <row r="21846" ht="12.75" hidden="1" customHeight="1" x14ac:dyDescent="0.2"/>
    <row r="21847" ht="12.75" hidden="1" customHeight="1" x14ac:dyDescent="0.2"/>
    <row r="21848" ht="12.75" hidden="1" customHeight="1" x14ac:dyDescent="0.2"/>
    <row r="21849" ht="12.75" hidden="1" customHeight="1" x14ac:dyDescent="0.2"/>
    <row r="21850" ht="12.75" hidden="1" customHeight="1" x14ac:dyDescent="0.2"/>
    <row r="21851" ht="12.75" hidden="1" customHeight="1" x14ac:dyDescent="0.2"/>
    <row r="21852" ht="12.75" hidden="1" customHeight="1" x14ac:dyDescent="0.2"/>
    <row r="21853" ht="12.75" hidden="1" customHeight="1" x14ac:dyDescent="0.2"/>
    <row r="21854" ht="12.75" hidden="1" customHeight="1" x14ac:dyDescent="0.2"/>
    <row r="21855" ht="12.75" hidden="1" customHeight="1" x14ac:dyDescent="0.2"/>
    <row r="21856" ht="12.75" hidden="1" customHeight="1" x14ac:dyDescent="0.2"/>
    <row r="21857" ht="12.75" hidden="1" customHeight="1" x14ac:dyDescent="0.2"/>
    <row r="21858" ht="12.75" hidden="1" customHeight="1" x14ac:dyDescent="0.2"/>
    <row r="21859" ht="12.75" hidden="1" customHeight="1" x14ac:dyDescent="0.2"/>
    <row r="21860" ht="12.75" hidden="1" customHeight="1" x14ac:dyDescent="0.2"/>
    <row r="21861" ht="12.75" hidden="1" customHeight="1" x14ac:dyDescent="0.2"/>
    <row r="21862" ht="12.75" hidden="1" customHeight="1" x14ac:dyDescent="0.2"/>
    <row r="21863" ht="12.75" hidden="1" customHeight="1" x14ac:dyDescent="0.2"/>
    <row r="21864" ht="12.75" hidden="1" customHeight="1" x14ac:dyDescent="0.2"/>
    <row r="21865" ht="12.75" hidden="1" customHeight="1" x14ac:dyDescent="0.2"/>
    <row r="21866" ht="12.75" hidden="1" customHeight="1" x14ac:dyDescent="0.2"/>
    <row r="21867" ht="12.75" hidden="1" customHeight="1" x14ac:dyDescent="0.2"/>
    <row r="21868" ht="12.75" hidden="1" customHeight="1" x14ac:dyDescent="0.2"/>
    <row r="21869" ht="12.75" hidden="1" customHeight="1" x14ac:dyDescent="0.2"/>
    <row r="21870" ht="12.75" hidden="1" customHeight="1" x14ac:dyDescent="0.2"/>
    <row r="21871" ht="12.75" hidden="1" customHeight="1" x14ac:dyDescent="0.2"/>
    <row r="21872" ht="12.75" hidden="1" customHeight="1" x14ac:dyDescent="0.2"/>
    <row r="21873" ht="12.75" hidden="1" customHeight="1" x14ac:dyDescent="0.2"/>
    <row r="21874" ht="12.75" hidden="1" customHeight="1" x14ac:dyDescent="0.2"/>
    <row r="21875" ht="12.75" hidden="1" customHeight="1" x14ac:dyDescent="0.2"/>
    <row r="21876" ht="12.75" hidden="1" customHeight="1" x14ac:dyDescent="0.2"/>
    <row r="21877" ht="12.75" hidden="1" customHeight="1" x14ac:dyDescent="0.2"/>
    <row r="21878" ht="12.75" hidden="1" customHeight="1" x14ac:dyDescent="0.2"/>
    <row r="21879" ht="12.75" hidden="1" customHeight="1" x14ac:dyDescent="0.2"/>
    <row r="21880" ht="12.75" hidden="1" customHeight="1" x14ac:dyDescent="0.2"/>
    <row r="21881" ht="12.75" hidden="1" customHeight="1" x14ac:dyDescent="0.2"/>
    <row r="21882" ht="12.75" hidden="1" customHeight="1" x14ac:dyDescent="0.2"/>
    <row r="21883" ht="12.75" hidden="1" customHeight="1" x14ac:dyDescent="0.2"/>
    <row r="21884" ht="12.75" hidden="1" customHeight="1" x14ac:dyDescent="0.2"/>
    <row r="21885" ht="12.75" hidden="1" customHeight="1" x14ac:dyDescent="0.2"/>
    <row r="21886" ht="12.75" hidden="1" customHeight="1" x14ac:dyDescent="0.2"/>
    <row r="21887" ht="12.75" hidden="1" customHeight="1" x14ac:dyDescent="0.2"/>
    <row r="21888" ht="12.75" hidden="1" customHeight="1" x14ac:dyDescent="0.2"/>
    <row r="21889" ht="12.75" hidden="1" customHeight="1" x14ac:dyDescent="0.2"/>
    <row r="21890" ht="12.75" hidden="1" customHeight="1" x14ac:dyDescent="0.2"/>
    <row r="21891" ht="12.75" hidden="1" customHeight="1" x14ac:dyDescent="0.2"/>
    <row r="21892" ht="12.75" hidden="1" customHeight="1" x14ac:dyDescent="0.2"/>
    <row r="21893" ht="12.75" hidden="1" customHeight="1" x14ac:dyDescent="0.2"/>
    <row r="21894" ht="12.75" hidden="1" customHeight="1" x14ac:dyDescent="0.2"/>
    <row r="21895" ht="12.75" hidden="1" customHeight="1" x14ac:dyDescent="0.2"/>
    <row r="21896" ht="12.75" hidden="1" customHeight="1" x14ac:dyDescent="0.2"/>
    <row r="21897" ht="12.75" hidden="1" customHeight="1" x14ac:dyDescent="0.2"/>
    <row r="21898" ht="12.75" hidden="1" customHeight="1" x14ac:dyDescent="0.2"/>
    <row r="21899" ht="12.75" hidden="1" customHeight="1" x14ac:dyDescent="0.2"/>
    <row r="21900" ht="12.75" hidden="1" customHeight="1" x14ac:dyDescent="0.2"/>
    <row r="21901" ht="12.75" hidden="1" customHeight="1" x14ac:dyDescent="0.2"/>
    <row r="21902" ht="12.75" hidden="1" customHeight="1" x14ac:dyDescent="0.2"/>
    <row r="21903" ht="12.75" hidden="1" customHeight="1" x14ac:dyDescent="0.2"/>
    <row r="21904" ht="12.75" hidden="1" customHeight="1" x14ac:dyDescent="0.2"/>
    <row r="21905" ht="12.75" hidden="1" customHeight="1" x14ac:dyDescent="0.2"/>
    <row r="21906" ht="12.75" hidden="1" customHeight="1" x14ac:dyDescent="0.2"/>
    <row r="21907" ht="12.75" hidden="1" customHeight="1" x14ac:dyDescent="0.2"/>
    <row r="21908" ht="12.75" hidden="1" customHeight="1" x14ac:dyDescent="0.2"/>
    <row r="21909" ht="12.75" hidden="1" customHeight="1" x14ac:dyDescent="0.2"/>
    <row r="21910" ht="12.75" hidden="1" customHeight="1" x14ac:dyDescent="0.2"/>
    <row r="21911" ht="12.75" hidden="1" customHeight="1" x14ac:dyDescent="0.2"/>
    <row r="21912" ht="12.75" hidden="1" customHeight="1" x14ac:dyDescent="0.2"/>
    <row r="21913" ht="12.75" hidden="1" customHeight="1" x14ac:dyDescent="0.2"/>
    <row r="21914" ht="12.75" hidden="1" customHeight="1" x14ac:dyDescent="0.2"/>
    <row r="21915" ht="12.75" hidden="1" customHeight="1" x14ac:dyDescent="0.2"/>
    <row r="21916" ht="12.75" hidden="1" customHeight="1" x14ac:dyDescent="0.2"/>
    <row r="21917" ht="12.75" hidden="1" customHeight="1" x14ac:dyDescent="0.2"/>
    <row r="21918" ht="12.75" hidden="1" customHeight="1" x14ac:dyDescent="0.2"/>
    <row r="21919" ht="12.75" hidden="1" customHeight="1" x14ac:dyDescent="0.2"/>
    <row r="21920" ht="12.75" hidden="1" customHeight="1" x14ac:dyDescent="0.2"/>
    <row r="21921" ht="12.75" hidden="1" customHeight="1" x14ac:dyDescent="0.2"/>
    <row r="21922" ht="12.75" hidden="1" customHeight="1" x14ac:dyDescent="0.2"/>
    <row r="21923" ht="12.75" hidden="1" customHeight="1" x14ac:dyDescent="0.2"/>
    <row r="21924" ht="12.75" hidden="1" customHeight="1" x14ac:dyDescent="0.2"/>
    <row r="21925" ht="12.75" hidden="1" customHeight="1" x14ac:dyDescent="0.2"/>
    <row r="21926" ht="12.75" hidden="1" customHeight="1" x14ac:dyDescent="0.2"/>
    <row r="21927" ht="12.75" hidden="1" customHeight="1" x14ac:dyDescent="0.2"/>
    <row r="21928" ht="12.75" hidden="1" customHeight="1" x14ac:dyDescent="0.2"/>
    <row r="21929" ht="12.75" hidden="1" customHeight="1" x14ac:dyDescent="0.2"/>
    <row r="21930" ht="12.75" hidden="1" customHeight="1" x14ac:dyDescent="0.2"/>
    <row r="21931" ht="12.75" hidden="1" customHeight="1" x14ac:dyDescent="0.2"/>
    <row r="21932" ht="12.75" hidden="1" customHeight="1" x14ac:dyDescent="0.2"/>
    <row r="21933" ht="12.75" hidden="1" customHeight="1" x14ac:dyDescent="0.2"/>
    <row r="21934" ht="12.75" hidden="1" customHeight="1" x14ac:dyDescent="0.2"/>
    <row r="21935" ht="12.75" hidden="1" customHeight="1" x14ac:dyDescent="0.2"/>
    <row r="21936" ht="12.75" hidden="1" customHeight="1" x14ac:dyDescent="0.2"/>
    <row r="21937" ht="12.75" hidden="1" customHeight="1" x14ac:dyDescent="0.2"/>
    <row r="21938" ht="12.75" hidden="1" customHeight="1" x14ac:dyDescent="0.2"/>
    <row r="21939" ht="12.75" hidden="1" customHeight="1" x14ac:dyDescent="0.2"/>
    <row r="21940" ht="12.75" hidden="1" customHeight="1" x14ac:dyDescent="0.2"/>
    <row r="21941" ht="12.75" hidden="1" customHeight="1" x14ac:dyDescent="0.2"/>
    <row r="21942" ht="12.75" hidden="1" customHeight="1" x14ac:dyDescent="0.2"/>
    <row r="21943" ht="12.75" hidden="1" customHeight="1" x14ac:dyDescent="0.2"/>
    <row r="21944" ht="12.75" hidden="1" customHeight="1" x14ac:dyDescent="0.2"/>
    <row r="21945" ht="12.75" hidden="1" customHeight="1" x14ac:dyDescent="0.2"/>
    <row r="21946" ht="12.75" hidden="1" customHeight="1" x14ac:dyDescent="0.2"/>
    <row r="21947" ht="12.75" hidden="1" customHeight="1" x14ac:dyDescent="0.2"/>
    <row r="21948" ht="12.75" hidden="1" customHeight="1" x14ac:dyDescent="0.2"/>
    <row r="21949" ht="12.75" hidden="1" customHeight="1" x14ac:dyDescent="0.2"/>
    <row r="21950" ht="12.75" hidden="1" customHeight="1" x14ac:dyDescent="0.2"/>
    <row r="21951" ht="12.75" hidden="1" customHeight="1" x14ac:dyDescent="0.2"/>
    <row r="21952" ht="12.75" hidden="1" customHeight="1" x14ac:dyDescent="0.2"/>
    <row r="21953" ht="12.75" hidden="1" customHeight="1" x14ac:dyDescent="0.2"/>
    <row r="21954" ht="12.75" hidden="1" customHeight="1" x14ac:dyDescent="0.2"/>
    <row r="21955" ht="12.75" hidden="1" customHeight="1" x14ac:dyDescent="0.2"/>
    <row r="21956" ht="12.75" hidden="1" customHeight="1" x14ac:dyDescent="0.2"/>
    <row r="21957" ht="12.75" hidden="1" customHeight="1" x14ac:dyDescent="0.2"/>
    <row r="21958" ht="12.75" hidden="1" customHeight="1" x14ac:dyDescent="0.2"/>
    <row r="21959" ht="12.75" hidden="1" customHeight="1" x14ac:dyDescent="0.2"/>
    <row r="21960" ht="12.75" hidden="1" customHeight="1" x14ac:dyDescent="0.2"/>
    <row r="21961" ht="12.75" hidden="1" customHeight="1" x14ac:dyDescent="0.2"/>
    <row r="21962" ht="12.75" hidden="1" customHeight="1" x14ac:dyDescent="0.2"/>
    <row r="21963" ht="12.75" hidden="1" customHeight="1" x14ac:dyDescent="0.2"/>
    <row r="21964" ht="12.75" hidden="1" customHeight="1" x14ac:dyDescent="0.2"/>
    <row r="21965" ht="12.75" hidden="1" customHeight="1" x14ac:dyDescent="0.2"/>
    <row r="21966" ht="12.75" hidden="1" customHeight="1" x14ac:dyDescent="0.2"/>
    <row r="21967" ht="12.75" hidden="1" customHeight="1" x14ac:dyDescent="0.2"/>
    <row r="21968" ht="12.75" hidden="1" customHeight="1" x14ac:dyDescent="0.2"/>
    <row r="21969" ht="12.75" hidden="1" customHeight="1" x14ac:dyDescent="0.2"/>
    <row r="21970" ht="12.75" hidden="1" customHeight="1" x14ac:dyDescent="0.2"/>
    <row r="21971" ht="12.75" hidden="1" customHeight="1" x14ac:dyDescent="0.2"/>
    <row r="21972" ht="12.75" hidden="1" customHeight="1" x14ac:dyDescent="0.2"/>
    <row r="21973" ht="12.75" hidden="1" customHeight="1" x14ac:dyDescent="0.2"/>
    <row r="21974" ht="12.75" hidden="1" customHeight="1" x14ac:dyDescent="0.2"/>
    <row r="21975" ht="12.75" hidden="1" customHeight="1" x14ac:dyDescent="0.2"/>
    <row r="21976" ht="12.75" hidden="1" customHeight="1" x14ac:dyDescent="0.2"/>
    <row r="21977" ht="12.75" hidden="1" customHeight="1" x14ac:dyDescent="0.2"/>
    <row r="21978" ht="12.75" hidden="1" customHeight="1" x14ac:dyDescent="0.2"/>
    <row r="21979" ht="12.75" hidden="1" customHeight="1" x14ac:dyDescent="0.2"/>
    <row r="21980" ht="12.75" hidden="1" customHeight="1" x14ac:dyDescent="0.2"/>
    <row r="21981" ht="12.75" hidden="1" customHeight="1" x14ac:dyDescent="0.2"/>
    <row r="21982" ht="12.75" hidden="1" customHeight="1" x14ac:dyDescent="0.2"/>
    <row r="21983" ht="12.75" hidden="1" customHeight="1" x14ac:dyDescent="0.2"/>
    <row r="21984" ht="12.75" hidden="1" customHeight="1" x14ac:dyDescent="0.2"/>
    <row r="21985" ht="12.75" hidden="1" customHeight="1" x14ac:dyDescent="0.2"/>
    <row r="21986" ht="12.75" hidden="1" customHeight="1" x14ac:dyDescent="0.2"/>
    <row r="21987" ht="12.75" hidden="1" customHeight="1" x14ac:dyDescent="0.2"/>
    <row r="21988" ht="12.75" hidden="1" customHeight="1" x14ac:dyDescent="0.2"/>
    <row r="21989" ht="12.75" hidden="1" customHeight="1" x14ac:dyDescent="0.2"/>
    <row r="21990" ht="12.75" hidden="1" customHeight="1" x14ac:dyDescent="0.2"/>
    <row r="21991" ht="12.75" hidden="1" customHeight="1" x14ac:dyDescent="0.2"/>
    <row r="21992" ht="12.75" hidden="1" customHeight="1" x14ac:dyDescent="0.2"/>
    <row r="21993" ht="12.75" hidden="1" customHeight="1" x14ac:dyDescent="0.2"/>
    <row r="21994" ht="12.75" hidden="1" customHeight="1" x14ac:dyDescent="0.2"/>
    <row r="21995" ht="12.75" hidden="1" customHeight="1" x14ac:dyDescent="0.2"/>
    <row r="21996" ht="12.75" hidden="1" customHeight="1" x14ac:dyDescent="0.2"/>
    <row r="21997" ht="12.75" hidden="1" customHeight="1" x14ac:dyDescent="0.2"/>
    <row r="21998" ht="12.75" hidden="1" customHeight="1" x14ac:dyDescent="0.2"/>
    <row r="21999" ht="12.75" hidden="1" customHeight="1" x14ac:dyDescent="0.2"/>
    <row r="22000" ht="12.75" hidden="1" customHeight="1" x14ac:dyDescent="0.2"/>
    <row r="22001" ht="12.75" hidden="1" customHeight="1" x14ac:dyDescent="0.2"/>
    <row r="22002" ht="12.75" hidden="1" customHeight="1" x14ac:dyDescent="0.2"/>
    <row r="22003" ht="12.75" hidden="1" customHeight="1" x14ac:dyDescent="0.2"/>
    <row r="22004" ht="12.75" hidden="1" customHeight="1" x14ac:dyDescent="0.2"/>
    <row r="22005" ht="12.75" hidden="1" customHeight="1" x14ac:dyDescent="0.2"/>
    <row r="22006" ht="12.75" hidden="1" customHeight="1" x14ac:dyDescent="0.2"/>
    <row r="22007" ht="12.75" hidden="1" customHeight="1" x14ac:dyDescent="0.2"/>
    <row r="22008" ht="12.75" hidden="1" customHeight="1" x14ac:dyDescent="0.2"/>
    <row r="22009" ht="12.75" hidden="1" customHeight="1" x14ac:dyDescent="0.2"/>
    <row r="22010" ht="12.75" hidden="1" customHeight="1" x14ac:dyDescent="0.2"/>
    <row r="22011" ht="12.75" hidden="1" customHeight="1" x14ac:dyDescent="0.2"/>
    <row r="22012" ht="12.75" hidden="1" customHeight="1" x14ac:dyDescent="0.2"/>
    <row r="22013" ht="12.75" hidden="1" customHeight="1" x14ac:dyDescent="0.2"/>
    <row r="22014" ht="12.75" hidden="1" customHeight="1" x14ac:dyDescent="0.2"/>
    <row r="22015" ht="12.75" hidden="1" customHeight="1" x14ac:dyDescent="0.2"/>
    <row r="22016" ht="12.75" hidden="1" customHeight="1" x14ac:dyDescent="0.2"/>
    <row r="22017" ht="12.75" hidden="1" customHeight="1" x14ac:dyDescent="0.2"/>
    <row r="22018" ht="12.75" hidden="1" customHeight="1" x14ac:dyDescent="0.2"/>
    <row r="22019" ht="12.75" hidden="1" customHeight="1" x14ac:dyDescent="0.2"/>
    <row r="22020" ht="12.75" hidden="1" customHeight="1" x14ac:dyDescent="0.2"/>
    <row r="22021" ht="12.75" hidden="1" customHeight="1" x14ac:dyDescent="0.2"/>
    <row r="22022" ht="12.75" hidden="1" customHeight="1" x14ac:dyDescent="0.2"/>
    <row r="22023" ht="12.75" hidden="1" customHeight="1" x14ac:dyDescent="0.2"/>
    <row r="22024" ht="12.75" hidden="1" customHeight="1" x14ac:dyDescent="0.2"/>
    <row r="22025" ht="12.75" hidden="1" customHeight="1" x14ac:dyDescent="0.2"/>
    <row r="22026" ht="12.75" hidden="1" customHeight="1" x14ac:dyDescent="0.2"/>
    <row r="22027" ht="12.75" hidden="1" customHeight="1" x14ac:dyDescent="0.2"/>
    <row r="22028" ht="12.75" hidden="1" customHeight="1" x14ac:dyDescent="0.2"/>
    <row r="22029" ht="12.75" hidden="1" customHeight="1" x14ac:dyDescent="0.2"/>
    <row r="22030" ht="12.75" hidden="1" customHeight="1" x14ac:dyDescent="0.2"/>
    <row r="22031" ht="12.75" hidden="1" customHeight="1" x14ac:dyDescent="0.2"/>
    <row r="22032" ht="12.75" hidden="1" customHeight="1" x14ac:dyDescent="0.2"/>
    <row r="22033" ht="12.75" hidden="1" customHeight="1" x14ac:dyDescent="0.2"/>
    <row r="22034" ht="12.75" hidden="1" customHeight="1" x14ac:dyDescent="0.2"/>
    <row r="22035" ht="12.75" hidden="1" customHeight="1" x14ac:dyDescent="0.2"/>
    <row r="22036" ht="12.75" hidden="1" customHeight="1" x14ac:dyDescent="0.2"/>
    <row r="22037" ht="12.75" hidden="1" customHeight="1" x14ac:dyDescent="0.2"/>
    <row r="22038" ht="12.75" hidden="1" customHeight="1" x14ac:dyDescent="0.2"/>
    <row r="22039" ht="12.75" hidden="1" customHeight="1" x14ac:dyDescent="0.2"/>
    <row r="22040" ht="12.75" hidden="1" customHeight="1" x14ac:dyDescent="0.2"/>
    <row r="22041" ht="12.75" hidden="1" customHeight="1" x14ac:dyDescent="0.2"/>
    <row r="22042" ht="12.75" hidden="1" customHeight="1" x14ac:dyDescent="0.2"/>
    <row r="22043" ht="12.75" hidden="1" customHeight="1" x14ac:dyDescent="0.2"/>
    <row r="22044" ht="12.75" hidden="1" customHeight="1" x14ac:dyDescent="0.2"/>
    <row r="22045" ht="12.75" hidden="1" customHeight="1" x14ac:dyDescent="0.2"/>
    <row r="22046" ht="12.75" hidden="1" customHeight="1" x14ac:dyDescent="0.2"/>
    <row r="22047" ht="12.75" hidden="1" customHeight="1" x14ac:dyDescent="0.2"/>
    <row r="22048" ht="12.75" hidden="1" customHeight="1" x14ac:dyDescent="0.2"/>
    <row r="22049" ht="12.75" hidden="1" customHeight="1" x14ac:dyDescent="0.2"/>
    <row r="22050" ht="12.75" hidden="1" customHeight="1" x14ac:dyDescent="0.2"/>
    <row r="22051" ht="12.75" hidden="1" customHeight="1" x14ac:dyDescent="0.2"/>
    <row r="22052" ht="12.75" hidden="1" customHeight="1" x14ac:dyDescent="0.2"/>
    <row r="22053" ht="12.75" hidden="1" customHeight="1" x14ac:dyDescent="0.2"/>
    <row r="22054" ht="12.75" hidden="1" customHeight="1" x14ac:dyDescent="0.2"/>
    <row r="22055" ht="12.75" hidden="1" customHeight="1" x14ac:dyDescent="0.2"/>
    <row r="22056" ht="12.75" hidden="1" customHeight="1" x14ac:dyDescent="0.2"/>
    <row r="22057" ht="12.75" hidden="1" customHeight="1" x14ac:dyDescent="0.2"/>
    <row r="22058" ht="12.75" hidden="1" customHeight="1" x14ac:dyDescent="0.2"/>
    <row r="22059" ht="12.75" hidden="1" customHeight="1" x14ac:dyDescent="0.2"/>
    <row r="22060" ht="12.75" hidden="1" customHeight="1" x14ac:dyDescent="0.2"/>
    <row r="22061" ht="12.75" hidden="1" customHeight="1" x14ac:dyDescent="0.2"/>
    <row r="22062" ht="12.75" hidden="1" customHeight="1" x14ac:dyDescent="0.2"/>
    <row r="22063" ht="12.75" hidden="1" customHeight="1" x14ac:dyDescent="0.2"/>
    <row r="22064" ht="12.75" hidden="1" customHeight="1" x14ac:dyDescent="0.2"/>
    <row r="22065" ht="12.75" hidden="1" customHeight="1" x14ac:dyDescent="0.2"/>
    <row r="22066" ht="12.75" hidden="1" customHeight="1" x14ac:dyDescent="0.2"/>
    <row r="22067" ht="12.75" hidden="1" customHeight="1" x14ac:dyDescent="0.2"/>
    <row r="22068" ht="12.75" hidden="1" customHeight="1" x14ac:dyDescent="0.2"/>
    <row r="22069" ht="12.75" hidden="1" customHeight="1" x14ac:dyDescent="0.2"/>
    <row r="22070" ht="12.75" hidden="1" customHeight="1" x14ac:dyDescent="0.2"/>
    <row r="22071" ht="12.75" hidden="1" customHeight="1" x14ac:dyDescent="0.2"/>
    <row r="22072" ht="12.75" hidden="1" customHeight="1" x14ac:dyDescent="0.2"/>
    <row r="22073" ht="12.75" hidden="1" customHeight="1" x14ac:dyDescent="0.2"/>
    <row r="22074" ht="12.75" hidden="1" customHeight="1" x14ac:dyDescent="0.2"/>
    <row r="22075" ht="12.75" hidden="1" customHeight="1" x14ac:dyDescent="0.2"/>
    <row r="22076" ht="12.75" hidden="1" customHeight="1" x14ac:dyDescent="0.2"/>
    <row r="22077" ht="12.75" hidden="1" customHeight="1" x14ac:dyDescent="0.2"/>
    <row r="22078" ht="12.75" hidden="1" customHeight="1" x14ac:dyDescent="0.2"/>
    <row r="22079" ht="12.75" hidden="1" customHeight="1" x14ac:dyDescent="0.2"/>
    <row r="22080" ht="12.75" hidden="1" customHeight="1" x14ac:dyDescent="0.2"/>
    <row r="22081" ht="12.75" hidden="1" customHeight="1" x14ac:dyDescent="0.2"/>
    <row r="22082" ht="12.75" hidden="1" customHeight="1" x14ac:dyDescent="0.2"/>
    <row r="22083" ht="12.75" hidden="1" customHeight="1" x14ac:dyDescent="0.2"/>
    <row r="22084" ht="12.75" hidden="1" customHeight="1" x14ac:dyDescent="0.2"/>
    <row r="22085" ht="12.75" hidden="1" customHeight="1" x14ac:dyDescent="0.2"/>
    <row r="22086" ht="12.75" hidden="1" customHeight="1" x14ac:dyDescent="0.2"/>
    <row r="22087" ht="12.75" hidden="1" customHeight="1" x14ac:dyDescent="0.2"/>
    <row r="22088" ht="12.75" hidden="1" customHeight="1" x14ac:dyDescent="0.2"/>
    <row r="22089" ht="12.75" hidden="1" customHeight="1" x14ac:dyDescent="0.2"/>
    <row r="22090" ht="12.75" hidden="1" customHeight="1" x14ac:dyDescent="0.2"/>
    <row r="22091" ht="12.75" hidden="1" customHeight="1" x14ac:dyDescent="0.2"/>
    <row r="22092" ht="12.75" hidden="1" customHeight="1" x14ac:dyDescent="0.2"/>
    <row r="22093" ht="12.75" hidden="1" customHeight="1" x14ac:dyDescent="0.2"/>
    <row r="22094" ht="12.75" hidden="1" customHeight="1" x14ac:dyDescent="0.2"/>
    <row r="22095" ht="12.75" hidden="1" customHeight="1" x14ac:dyDescent="0.2"/>
    <row r="22096" ht="12.75" hidden="1" customHeight="1" x14ac:dyDescent="0.2"/>
    <row r="22097" ht="12.75" hidden="1" customHeight="1" x14ac:dyDescent="0.2"/>
    <row r="22098" ht="12.75" hidden="1" customHeight="1" x14ac:dyDescent="0.2"/>
    <row r="22099" ht="12.75" hidden="1" customHeight="1" x14ac:dyDescent="0.2"/>
    <row r="22100" ht="12.75" hidden="1" customHeight="1" x14ac:dyDescent="0.2"/>
    <row r="22101" ht="12.75" hidden="1" customHeight="1" x14ac:dyDescent="0.2"/>
    <row r="22102" ht="12.75" hidden="1" customHeight="1" x14ac:dyDescent="0.2"/>
    <row r="22103" ht="12.75" hidden="1" customHeight="1" x14ac:dyDescent="0.2"/>
    <row r="22104" ht="12.75" hidden="1" customHeight="1" x14ac:dyDescent="0.2"/>
    <row r="22105" ht="12.75" hidden="1" customHeight="1" x14ac:dyDescent="0.2"/>
    <row r="22106" ht="12.75" hidden="1" customHeight="1" x14ac:dyDescent="0.2"/>
    <row r="22107" ht="12.75" hidden="1" customHeight="1" x14ac:dyDescent="0.2"/>
    <row r="22108" ht="12.75" hidden="1" customHeight="1" x14ac:dyDescent="0.2"/>
    <row r="22109" ht="12.75" hidden="1" customHeight="1" x14ac:dyDescent="0.2"/>
    <row r="22110" ht="12.75" hidden="1" customHeight="1" x14ac:dyDescent="0.2"/>
    <row r="22111" ht="12.75" hidden="1" customHeight="1" x14ac:dyDescent="0.2"/>
    <row r="22112" ht="12.75" hidden="1" customHeight="1" x14ac:dyDescent="0.2"/>
    <row r="22113" ht="12.75" hidden="1" customHeight="1" x14ac:dyDescent="0.2"/>
    <row r="22114" ht="12.75" hidden="1" customHeight="1" x14ac:dyDescent="0.2"/>
    <row r="22115" ht="12.75" hidden="1" customHeight="1" x14ac:dyDescent="0.2"/>
    <row r="22116" ht="12.75" hidden="1" customHeight="1" x14ac:dyDescent="0.2"/>
    <row r="22117" ht="12.75" hidden="1" customHeight="1" x14ac:dyDescent="0.2"/>
    <row r="22118" ht="12.75" hidden="1" customHeight="1" x14ac:dyDescent="0.2"/>
    <row r="22119" ht="12.75" hidden="1" customHeight="1" x14ac:dyDescent="0.2"/>
    <row r="22120" ht="12.75" hidden="1" customHeight="1" x14ac:dyDescent="0.2"/>
    <row r="22121" ht="12.75" hidden="1" customHeight="1" x14ac:dyDescent="0.2"/>
    <row r="22122" ht="12.75" hidden="1" customHeight="1" x14ac:dyDescent="0.2"/>
    <row r="22123" ht="12.75" hidden="1" customHeight="1" x14ac:dyDescent="0.2"/>
    <row r="22124" ht="12.75" hidden="1" customHeight="1" x14ac:dyDescent="0.2"/>
    <row r="22125" ht="12.75" hidden="1" customHeight="1" x14ac:dyDescent="0.2"/>
    <row r="22126" ht="12.75" hidden="1" customHeight="1" x14ac:dyDescent="0.2"/>
    <row r="22127" ht="12.75" hidden="1" customHeight="1" x14ac:dyDescent="0.2"/>
    <row r="22128" ht="12.75" hidden="1" customHeight="1" x14ac:dyDescent="0.2"/>
    <row r="22129" ht="12.75" hidden="1" customHeight="1" x14ac:dyDescent="0.2"/>
    <row r="22130" ht="12.75" hidden="1" customHeight="1" x14ac:dyDescent="0.2"/>
    <row r="22131" ht="12.75" hidden="1" customHeight="1" x14ac:dyDescent="0.2"/>
    <row r="22132" ht="12.75" hidden="1" customHeight="1" x14ac:dyDescent="0.2"/>
    <row r="22133" ht="12.75" hidden="1" customHeight="1" x14ac:dyDescent="0.2"/>
    <row r="22134" ht="12.75" hidden="1" customHeight="1" x14ac:dyDescent="0.2"/>
    <row r="22135" ht="12.75" hidden="1" customHeight="1" x14ac:dyDescent="0.2"/>
    <row r="22136" ht="12.75" hidden="1" customHeight="1" x14ac:dyDescent="0.2"/>
    <row r="22137" ht="12.75" hidden="1" customHeight="1" x14ac:dyDescent="0.2"/>
    <row r="22138" ht="12.75" hidden="1" customHeight="1" x14ac:dyDescent="0.2"/>
    <row r="22139" ht="12.75" hidden="1" customHeight="1" x14ac:dyDescent="0.2"/>
    <row r="22140" ht="12.75" hidden="1" customHeight="1" x14ac:dyDescent="0.2"/>
    <row r="22141" ht="12.75" hidden="1" customHeight="1" x14ac:dyDescent="0.2"/>
    <row r="22142" ht="12.75" hidden="1" customHeight="1" x14ac:dyDescent="0.2"/>
    <row r="22143" ht="12.75" hidden="1" customHeight="1" x14ac:dyDescent="0.2"/>
    <row r="22144" ht="12.75" hidden="1" customHeight="1" x14ac:dyDescent="0.2"/>
    <row r="22145" ht="12.75" hidden="1" customHeight="1" x14ac:dyDescent="0.2"/>
    <row r="22146" ht="12.75" hidden="1" customHeight="1" x14ac:dyDescent="0.2"/>
    <row r="22147" ht="12.75" hidden="1" customHeight="1" x14ac:dyDescent="0.2"/>
    <row r="22148" ht="12.75" hidden="1" customHeight="1" x14ac:dyDescent="0.2"/>
    <row r="22149" ht="12.75" hidden="1" customHeight="1" x14ac:dyDescent="0.2"/>
    <row r="22150" ht="12.75" hidden="1" customHeight="1" x14ac:dyDescent="0.2"/>
    <row r="22151" ht="12.75" hidden="1" customHeight="1" x14ac:dyDescent="0.2"/>
    <row r="22152" ht="12.75" hidden="1" customHeight="1" x14ac:dyDescent="0.2"/>
    <row r="22153" ht="12.75" hidden="1" customHeight="1" x14ac:dyDescent="0.2"/>
    <row r="22154" ht="12.75" hidden="1" customHeight="1" x14ac:dyDescent="0.2"/>
    <row r="22155" ht="12.75" hidden="1" customHeight="1" x14ac:dyDescent="0.2"/>
    <row r="22156" ht="12.75" hidden="1" customHeight="1" x14ac:dyDescent="0.2"/>
    <row r="22157" ht="12.75" hidden="1" customHeight="1" x14ac:dyDescent="0.2"/>
    <row r="22158" ht="12.75" hidden="1" customHeight="1" x14ac:dyDescent="0.2"/>
    <row r="22159" ht="12.75" hidden="1" customHeight="1" x14ac:dyDescent="0.2"/>
    <row r="22160" ht="12.75" hidden="1" customHeight="1" x14ac:dyDescent="0.2"/>
    <row r="22161" ht="12.75" hidden="1" customHeight="1" x14ac:dyDescent="0.2"/>
    <row r="22162" ht="12.75" hidden="1" customHeight="1" x14ac:dyDescent="0.2"/>
    <row r="22163" ht="12.75" hidden="1" customHeight="1" x14ac:dyDescent="0.2"/>
    <row r="22164" ht="12.75" hidden="1" customHeight="1" x14ac:dyDescent="0.2"/>
    <row r="22165" ht="12.75" hidden="1" customHeight="1" x14ac:dyDescent="0.2"/>
    <row r="22166" ht="12.75" hidden="1" customHeight="1" x14ac:dyDescent="0.2"/>
    <row r="22167" ht="12.75" hidden="1" customHeight="1" x14ac:dyDescent="0.2"/>
    <row r="22168" ht="12.75" hidden="1" customHeight="1" x14ac:dyDescent="0.2"/>
    <row r="22169" ht="12.75" hidden="1" customHeight="1" x14ac:dyDescent="0.2"/>
    <row r="22170" ht="12.75" hidden="1" customHeight="1" x14ac:dyDescent="0.2"/>
    <row r="22171" ht="12.75" hidden="1" customHeight="1" x14ac:dyDescent="0.2"/>
    <row r="22172" ht="12.75" hidden="1" customHeight="1" x14ac:dyDescent="0.2"/>
    <row r="22173" ht="12.75" hidden="1" customHeight="1" x14ac:dyDescent="0.2"/>
    <row r="22174" ht="12.75" hidden="1" customHeight="1" x14ac:dyDescent="0.2"/>
    <row r="22175" ht="12.75" hidden="1" customHeight="1" x14ac:dyDescent="0.2"/>
    <row r="22176" ht="12.75" hidden="1" customHeight="1" x14ac:dyDescent="0.2"/>
    <row r="22177" ht="12.75" hidden="1" customHeight="1" x14ac:dyDescent="0.2"/>
    <row r="22178" ht="12.75" hidden="1" customHeight="1" x14ac:dyDescent="0.2"/>
    <row r="22179" ht="12.75" hidden="1" customHeight="1" x14ac:dyDescent="0.2"/>
    <row r="22180" ht="12.75" hidden="1" customHeight="1" x14ac:dyDescent="0.2"/>
    <row r="22181" ht="12.75" hidden="1" customHeight="1" x14ac:dyDescent="0.2"/>
    <row r="22182" ht="12.75" hidden="1" customHeight="1" x14ac:dyDescent="0.2"/>
    <row r="22183" ht="12.75" hidden="1" customHeight="1" x14ac:dyDescent="0.2"/>
    <row r="22184" ht="12.75" hidden="1" customHeight="1" x14ac:dyDescent="0.2"/>
    <row r="22185" ht="12.75" hidden="1" customHeight="1" x14ac:dyDescent="0.2"/>
    <row r="22186" ht="12.75" hidden="1" customHeight="1" x14ac:dyDescent="0.2"/>
    <row r="22187" ht="12.75" hidden="1" customHeight="1" x14ac:dyDescent="0.2"/>
    <row r="22188" ht="12.75" hidden="1" customHeight="1" x14ac:dyDescent="0.2"/>
    <row r="22189" ht="12.75" hidden="1" customHeight="1" x14ac:dyDescent="0.2"/>
    <row r="22190" ht="12.75" hidden="1" customHeight="1" x14ac:dyDescent="0.2"/>
    <row r="22191" ht="12.75" hidden="1" customHeight="1" x14ac:dyDescent="0.2"/>
    <row r="22192" ht="12.75" hidden="1" customHeight="1" x14ac:dyDescent="0.2"/>
    <row r="22193" ht="12.75" hidden="1" customHeight="1" x14ac:dyDescent="0.2"/>
    <row r="22194" ht="12.75" hidden="1" customHeight="1" x14ac:dyDescent="0.2"/>
    <row r="22195" ht="12.75" hidden="1" customHeight="1" x14ac:dyDescent="0.2"/>
    <row r="22196" ht="12.75" hidden="1" customHeight="1" x14ac:dyDescent="0.2"/>
    <row r="22197" ht="12.75" hidden="1" customHeight="1" x14ac:dyDescent="0.2"/>
    <row r="22198" ht="12.75" hidden="1" customHeight="1" x14ac:dyDescent="0.2"/>
    <row r="22199" ht="12.75" hidden="1" customHeight="1" x14ac:dyDescent="0.2"/>
    <row r="22200" ht="12.75" hidden="1" customHeight="1" x14ac:dyDescent="0.2"/>
    <row r="22201" ht="12.75" hidden="1" customHeight="1" x14ac:dyDescent="0.2"/>
    <row r="22202" ht="12.75" hidden="1" customHeight="1" x14ac:dyDescent="0.2"/>
    <row r="22203" ht="12.75" hidden="1" customHeight="1" x14ac:dyDescent="0.2"/>
    <row r="22204" ht="12.75" hidden="1" customHeight="1" x14ac:dyDescent="0.2"/>
    <row r="22205" ht="12.75" hidden="1" customHeight="1" x14ac:dyDescent="0.2"/>
    <row r="22206" ht="12.75" hidden="1" customHeight="1" x14ac:dyDescent="0.2"/>
    <row r="22207" ht="12.75" hidden="1" customHeight="1" x14ac:dyDescent="0.2"/>
    <row r="22208" ht="12.75" hidden="1" customHeight="1" x14ac:dyDescent="0.2"/>
    <row r="22209" ht="12.75" hidden="1" customHeight="1" x14ac:dyDescent="0.2"/>
    <row r="22210" ht="12.75" hidden="1" customHeight="1" x14ac:dyDescent="0.2"/>
    <row r="22211" ht="12.75" hidden="1" customHeight="1" x14ac:dyDescent="0.2"/>
    <row r="22212" ht="12.75" hidden="1" customHeight="1" x14ac:dyDescent="0.2"/>
    <row r="22213" ht="12.75" hidden="1" customHeight="1" x14ac:dyDescent="0.2"/>
    <row r="22214" ht="12.75" hidden="1" customHeight="1" x14ac:dyDescent="0.2"/>
    <row r="22215" ht="12.75" hidden="1" customHeight="1" x14ac:dyDescent="0.2"/>
    <row r="22216" ht="12.75" hidden="1" customHeight="1" x14ac:dyDescent="0.2"/>
    <row r="22217" ht="12.75" hidden="1" customHeight="1" x14ac:dyDescent="0.2"/>
    <row r="22218" ht="12.75" hidden="1" customHeight="1" x14ac:dyDescent="0.2"/>
    <row r="22219" ht="12.75" hidden="1" customHeight="1" x14ac:dyDescent="0.2"/>
    <row r="22220" ht="12.75" hidden="1" customHeight="1" x14ac:dyDescent="0.2"/>
    <row r="22221" ht="12.75" hidden="1" customHeight="1" x14ac:dyDescent="0.2"/>
    <row r="22222" ht="12.75" hidden="1" customHeight="1" x14ac:dyDescent="0.2"/>
    <row r="22223" ht="12.75" hidden="1" customHeight="1" x14ac:dyDescent="0.2"/>
    <row r="22224" ht="12.75" hidden="1" customHeight="1" x14ac:dyDescent="0.2"/>
    <row r="22225" ht="12.75" hidden="1" customHeight="1" x14ac:dyDescent="0.2"/>
    <row r="22226" ht="12.75" hidden="1" customHeight="1" x14ac:dyDescent="0.2"/>
    <row r="22227" ht="12.75" hidden="1" customHeight="1" x14ac:dyDescent="0.2"/>
    <row r="22228" ht="12.75" hidden="1" customHeight="1" x14ac:dyDescent="0.2"/>
    <row r="22229" ht="12.75" hidden="1" customHeight="1" x14ac:dyDescent="0.2"/>
    <row r="22230" ht="12.75" hidden="1" customHeight="1" x14ac:dyDescent="0.2"/>
    <row r="22231" ht="12.75" hidden="1" customHeight="1" x14ac:dyDescent="0.2"/>
    <row r="22232" ht="12.75" hidden="1" customHeight="1" x14ac:dyDescent="0.2"/>
    <row r="22233" ht="12.75" hidden="1" customHeight="1" x14ac:dyDescent="0.2"/>
    <row r="22234" ht="12.75" hidden="1" customHeight="1" x14ac:dyDescent="0.2"/>
    <row r="22235" ht="12.75" hidden="1" customHeight="1" x14ac:dyDescent="0.2"/>
    <row r="22236" ht="12.75" hidden="1" customHeight="1" x14ac:dyDescent="0.2"/>
    <row r="22237" ht="12.75" hidden="1" customHeight="1" x14ac:dyDescent="0.2"/>
    <row r="22238" ht="12.75" hidden="1" customHeight="1" x14ac:dyDescent="0.2"/>
    <row r="22239" ht="12.75" hidden="1" customHeight="1" x14ac:dyDescent="0.2"/>
    <row r="22240" ht="12.75" hidden="1" customHeight="1" x14ac:dyDescent="0.2"/>
    <row r="22241" ht="12.75" hidden="1" customHeight="1" x14ac:dyDescent="0.2"/>
    <row r="22242" ht="12.75" hidden="1" customHeight="1" x14ac:dyDescent="0.2"/>
    <row r="22243" ht="12.75" hidden="1" customHeight="1" x14ac:dyDescent="0.2"/>
    <row r="22244" ht="12.75" hidden="1" customHeight="1" x14ac:dyDescent="0.2"/>
    <row r="22245" ht="12.75" hidden="1" customHeight="1" x14ac:dyDescent="0.2"/>
    <row r="22246" ht="12.75" hidden="1" customHeight="1" x14ac:dyDescent="0.2"/>
    <row r="22247" ht="12.75" hidden="1" customHeight="1" x14ac:dyDescent="0.2"/>
    <row r="22248" ht="12.75" hidden="1" customHeight="1" x14ac:dyDescent="0.2"/>
    <row r="22249" ht="12.75" hidden="1" customHeight="1" x14ac:dyDescent="0.2"/>
    <row r="22250" ht="12.75" hidden="1" customHeight="1" x14ac:dyDescent="0.2"/>
    <row r="22251" ht="12.75" hidden="1" customHeight="1" x14ac:dyDescent="0.2"/>
    <row r="22252" ht="12.75" hidden="1" customHeight="1" x14ac:dyDescent="0.2"/>
    <row r="22253" ht="12.75" hidden="1" customHeight="1" x14ac:dyDescent="0.2"/>
    <row r="22254" ht="12.75" hidden="1" customHeight="1" x14ac:dyDescent="0.2"/>
    <row r="22255" ht="12.75" hidden="1" customHeight="1" x14ac:dyDescent="0.2"/>
    <row r="22256" ht="12.75" hidden="1" customHeight="1" x14ac:dyDescent="0.2"/>
    <row r="22257" ht="12.75" hidden="1" customHeight="1" x14ac:dyDescent="0.2"/>
    <row r="22258" ht="12.75" hidden="1" customHeight="1" x14ac:dyDescent="0.2"/>
    <row r="22259" ht="12.75" hidden="1" customHeight="1" x14ac:dyDescent="0.2"/>
    <row r="22260" ht="12.75" hidden="1" customHeight="1" x14ac:dyDescent="0.2"/>
    <row r="22261" ht="12.75" hidden="1" customHeight="1" x14ac:dyDescent="0.2"/>
    <row r="22262" ht="12.75" hidden="1" customHeight="1" x14ac:dyDescent="0.2"/>
    <row r="22263" ht="12.75" hidden="1" customHeight="1" x14ac:dyDescent="0.2"/>
    <row r="22264" ht="12.75" hidden="1" customHeight="1" x14ac:dyDescent="0.2"/>
    <row r="22265" ht="12.75" hidden="1" customHeight="1" x14ac:dyDescent="0.2"/>
    <row r="22266" ht="12.75" hidden="1" customHeight="1" x14ac:dyDescent="0.2"/>
    <row r="22267" ht="12.75" hidden="1" customHeight="1" x14ac:dyDescent="0.2"/>
    <row r="22268" ht="12.75" hidden="1" customHeight="1" x14ac:dyDescent="0.2"/>
    <row r="22269" ht="12.75" hidden="1" customHeight="1" x14ac:dyDescent="0.2"/>
    <row r="22270" ht="12.75" hidden="1" customHeight="1" x14ac:dyDescent="0.2"/>
    <row r="22271" ht="12.75" hidden="1" customHeight="1" x14ac:dyDescent="0.2"/>
    <row r="22272" ht="12.75" hidden="1" customHeight="1" x14ac:dyDescent="0.2"/>
    <row r="22273" ht="12.75" hidden="1" customHeight="1" x14ac:dyDescent="0.2"/>
    <row r="22274" ht="12.75" hidden="1" customHeight="1" x14ac:dyDescent="0.2"/>
    <row r="22275" ht="12.75" hidden="1" customHeight="1" x14ac:dyDescent="0.2"/>
    <row r="22276" ht="12.75" hidden="1" customHeight="1" x14ac:dyDescent="0.2"/>
    <row r="22277" ht="12.75" hidden="1" customHeight="1" x14ac:dyDescent="0.2"/>
    <row r="22278" ht="12.75" hidden="1" customHeight="1" x14ac:dyDescent="0.2"/>
    <row r="22279" ht="12.75" hidden="1" customHeight="1" x14ac:dyDescent="0.2"/>
    <row r="22280" ht="12.75" hidden="1" customHeight="1" x14ac:dyDescent="0.2"/>
    <row r="22281" ht="12.75" hidden="1" customHeight="1" x14ac:dyDescent="0.2"/>
    <row r="22282" ht="12.75" hidden="1" customHeight="1" x14ac:dyDescent="0.2"/>
    <row r="22283" ht="12.75" hidden="1" customHeight="1" x14ac:dyDescent="0.2"/>
    <row r="22284" ht="12.75" hidden="1" customHeight="1" x14ac:dyDescent="0.2"/>
    <row r="22285" ht="12.75" hidden="1" customHeight="1" x14ac:dyDescent="0.2"/>
    <row r="22286" ht="12.75" hidden="1" customHeight="1" x14ac:dyDescent="0.2"/>
    <row r="22287" ht="12.75" hidden="1" customHeight="1" x14ac:dyDescent="0.2"/>
    <row r="22288" ht="12.75" hidden="1" customHeight="1" x14ac:dyDescent="0.2"/>
    <row r="22289" ht="12.75" hidden="1" customHeight="1" x14ac:dyDescent="0.2"/>
    <row r="22290" ht="12.75" hidden="1" customHeight="1" x14ac:dyDescent="0.2"/>
    <row r="22291" ht="12.75" hidden="1" customHeight="1" x14ac:dyDescent="0.2"/>
    <row r="22292" ht="12.75" hidden="1" customHeight="1" x14ac:dyDescent="0.2"/>
    <row r="22293" ht="12.75" hidden="1" customHeight="1" x14ac:dyDescent="0.2"/>
    <row r="22294" ht="12.75" hidden="1" customHeight="1" x14ac:dyDescent="0.2"/>
    <row r="22295" ht="12.75" hidden="1" customHeight="1" x14ac:dyDescent="0.2"/>
    <row r="22296" ht="12.75" hidden="1" customHeight="1" x14ac:dyDescent="0.2"/>
    <row r="22297" ht="12.75" hidden="1" customHeight="1" x14ac:dyDescent="0.2"/>
    <row r="22298" ht="12.75" hidden="1" customHeight="1" x14ac:dyDescent="0.2"/>
    <row r="22299" ht="12.75" hidden="1" customHeight="1" x14ac:dyDescent="0.2"/>
    <row r="22300" ht="12.75" hidden="1" customHeight="1" x14ac:dyDescent="0.2"/>
    <row r="22301" ht="12.75" hidden="1" customHeight="1" x14ac:dyDescent="0.2"/>
    <row r="22302" ht="12.75" hidden="1" customHeight="1" x14ac:dyDescent="0.2"/>
    <row r="22303" ht="12.75" hidden="1" customHeight="1" x14ac:dyDescent="0.2"/>
    <row r="22304" ht="12.75" hidden="1" customHeight="1" x14ac:dyDescent="0.2"/>
    <row r="22305" ht="12.75" hidden="1" customHeight="1" x14ac:dyDescent="0.2"/>
    <row r="22306" ht="12.75" hidden="1" customHeight="1" x14ac:dyDescent="0.2"/>
    <row r="22307" ht="12.75" hidden="1" customHeight="1" x14ac:dyDescent="0.2"/>
    <row r="22308" ht="12.75" hidden="1" customHeight="1" x14ac:dyDescent="0.2"/>
    <row r="22309" ht="12.75" hidden="1" customHeight="1" x14ac:dyDescent="0.2"/>
    <row r="22310" ht="12.75" hidden="1" customHeight="1" x14ac:dyDescent="0.2"/>
    <row r="22311" ht="12.75" hidden="1" customHeight="1" x14ac:dyDescent="0.2"/>
    <row r="22312" ht="12.75" hidden="1" customHeight="1" x14ac:dyDescent="0.2"/>
    <row r="22313" ht="12.75" hidden="1" customHeight="1" x14ac:dyDescent="0.2"/>
    <row r="22314" ht="12.75" hidden="1" customHeight="1" x14ac:dyDescent="0.2"/>
    <row r="22315" ht="12.75" hidden="1" customHeight="1" x14ac:dyDescent="0.2"/>
    <row r="22316" ht="12.75" hidden="1" customHeight="1" x14ac:dyDescent="0.2"/>
    <row r="22317" ht="12.75" hidden="1" customHeight="1" x14ac:dyDescent="0.2"/>
    <row r="22318" ht="12.75" hidden="1" customHeight="1" x14ac:dyDescent="0.2"/>
    <row r="22319" ht="12.75" hidden="1" customHeight="1" x14ac:dyDescent="0.2"/>
    <row r="22320" ht="12.75" hidden="1" customHeight="1" x14ac:dyDescent="0.2"/>
    <row r="22321" ht="12.75" hidden="1" customHeight="1" x14ac:dyDescent="0.2"/>
    <row r="22322" ht="12.75" hidden="1" customHeight="1" x14ac:dyDescent="0.2"/>
    <row r="22323" ht="12.75" hidden="1" customHeight="1" x14ac:dyDescent="0.2"/>
    <row r="22324" ht="12.75" hidden="1" customHeight="1" x14ac:dyDescent="0.2"/>
    <row r="22325" ht="12.75" hidden="1" customHeight="1" x14ac:dyDescent="0.2"/>
    <row r="22326" ht="12.75" hidden="1" customHeight="1" x14ac:dyDescent="0.2"/>
    <row r="22327" ht="12.75" hidden="1" customHeight="1" x14ac:dyDescent="0.2"/>
    <row r="22328" ht="12.75" hidden="1" customHeight="1" x14ac:dyDescent="0.2"/>
    <row r="22329" ht="12.75" hidden="1" customHeight="1" x14ac:dyDescent="0.2"/>
    <row r="22330" ht="12.75" hidden="1" customHeight="1" x14ac:dyDescent="0.2"/>
    <row r="22331" ht="12.75" hidden="1" customHeight="1" x14ac:dyDescent="0.2"/>
    <row r="22332" ht="12.75" hidden="1" customHeight="1" x14ac:dyDescent="0.2"/>
    <row r="22333" ht="12.75" hidden="1" customHeight="1" x14ac:dyDescent="0.2"/>
    <row r="22334" ht="12.75" hidden="1" customHeight="1" x14ac:dyDescent="0.2"/>
    <row r="22335" ht="12.75" hidden="1" customHeight="1" x14ac:dyDescent="0.2"/>
    <row r="22336" ht="12.75" hidden="1" customHeight="1" x14ac:dyDescent="0.2"/>
    <row r="22337" ht="12.75" hidden="1" customHeight="1" x14ac:dyDescent="0.2"/>
    <row r="22338" ht="12.75" hidden="1" customHeight="1" x14ac:dyDescent="0.2"/>
    <row r="22339" ht="12.75" hidden="1" customHeight="1" x14ac:dyDescent="0.2"/>
    <row r="22340" ht="12.75" hidden="1" customHeight="1" x14ac:dyDescent="0.2"/>
    <row r="22341" ht="12.75" hidden="1" customHeight="1" x14ac:dyDescent="0.2"/>
    <row r="22342" ht="12.75" hidden="1" customHeight="1" x14ac:dyDescent="0.2"/>
    <row r="22343" ht="12.75" hidden="1" customHeight="1" x14ac:dyDescent="0.2"/>
    <row r="22344" ht="12.75" hidden="1" customHeight="1" x14ac:dyDescent="0.2"/>
    <row r="22345" ht="12.75" hidden="1" customHeight="1" x14ac:dyDescent="0.2"/>
    <row r="22346" ht="12.75" hidden="1" customHeight="1" x14ac:dyDescent="0.2"/>
    <row r="22347" ht="12.75" hidden="1" customHeight="1" x14ac:dyDescent="0.2"/>
    <row r="22348" ht="12.75" hidden="1" customHeight="1" x14ac:dyDescent="0.2"/>
    <row r="22349" ht="12.75" hidden="1" customHeight="1" x14ac:dyDescent="0.2"/>
    <row r="22350" ht="12.75" hidden="1" customHeight="1" x14ac:dyDescent="0.2"/>
    <row r="22351" ht="12.75" hidden="1" customHeight="1" x14ac:dyDescent="0.2"/>
    <row r="22352" ht="12.75" hidden="1" customHeight="1" x14ac:dyDescent="0.2"/>
    <row r="22353" ht="12.75" hidden="1" customHeight="1" x14ac:dyDescent="0.2"/>
    <row r="22354" ht="12.75" hidden="1" customHeight="1" x14ac:dyDescent="0.2"/>
    <row r="22355" ht="12.75" hidden="1" customHeight="1" x14ac:dyDescent="0.2"/>
    <row r="22356" ht="12.75" hidden="1" customHeight="1" x14ac:dyDescent="0.2"/>
    <row r="22357" ht="12.75" hidden="1" customHeight="1" x14ac:dyDescent="0.2"/>
    <row r="22358" ht="12.75" hidden="1" customHeight="1" x14ac:dyDescent="0.2"/>
    <row r="22359" ht="12.75" hidden="1" customHeight="1" x14ac:dyDescent="0.2"/>
    <row r="22360" ht="12.75" hidden="1" customHeight="1" x14ac:dyDescent="0.2"/>
    <row r="22361" ht="12.75" hidden="1" customHeight="1" x14ac:dyDescent="0.2"/>
    <row r="22362" ht="12.75" hidden="1" customHeight="1" x14ac:dyDescent="0.2"/>
    <row r="22363" ht="12.75" hidden="1" customHeight="1" x14ac:dyDescent="0.2"/>
    <row r="22364" ht="12.75" hidden="1" customHeight="1" x14ac:dyDescent="0.2"/>
    <row r="22365" ht="12.75" hidden="1" customHeight="1" x14ac:dyDescent="0.2"/>
    <row r="22366" ht="12.75" hidden="1" customHeight="1" x14ac:dyDescent="0.2"/>
    <row r="22367" ht="12.75" hidden="1" customHeight="1" x14ac:dyDescent="0.2"/>
    <row r="22368" ht="12.75" hidden="1" customHeight="1" x14ac:dyDescent="0.2"/>
    <row r="22369" ht="12.75" hidden="1" customHeight="1" x14ac:dyDescent="0.2"/>
    <row r="22370" ht="12.75" hidden="1" customHeight="1" x14ac:dyDescent="0.2"/>
    <row r="22371" ht="12.75" hidden="1" customHeight="1" x14ac:dyDescent="0.2"/>
    <row r="22372" ht="12.75" hidden="1" customHeight="1" x14ac:dyDescent="0.2"/>
    <row r="22373" ht="12.75" hidden="1" customHeight="1" x14ac:dyDescent="0.2"/>
    <row r="22374" ht="12.75" hidden="1" customHeight="1" x14ac:dyDescent="0.2"/>
    <row r="22375" ht="12.75" hidden="1" customHeight="1" x14ac:dyDescent="0.2"/>
    <row r="22376" ht="12.75" hidden="1" customHeight="1" x14ac:dyDescent="0.2"/>
    <row r="22377" ht="12.75" hidden="1" customHeight="1" x14ac:dyDescent="0.2"/>
    <row r="22378" ht="12.75" hidden="1" customHeight="1" x14ac:dyDescent="0.2"/>
    <row r="22379" ht="12.75" hidden="1" customHeight="1" x14ac:dyDescent="0.2"/>
    <row r="22380" ht="12.75" hidden="1" customHeight="1" x14ac:dyDescent="0.2"/>
    <row r="22381" ht="12.75" hidden="1" customHeight="1" x14ac:dyDescent="0.2"/>
    <row r="22382" ht="12.75" hidden="1" customHeight="1" x14ac:dyDescent="0.2"/>
    <row r="22383" ht="12.75" hidden="1" customHeight="1" x14ac:dyDescent="0.2"/>
    <row r="22384" ht="12.75" hidden="1" customHeight="1" x14ac:dyDescent="0.2"/>
    <row r="22385" ht="12.75" hidden="1" customHeight="1" x14ac:dyDescent="0.2"/>
    <row r="22386" ht="12.75" hidden="1" customHeight="1" x14ac:dyDescent="0.2"/>
    <row r="22387" ht="12.75" hidden="1" customHeight="1" x14ac:dyDescent="0.2"/>
    <row r="22388" ht="12.75" hidden="1" customHeight="1" x14ac:dyDescent="0.2"/>
    <row r="22389" ht="12.75" hidden="1" customHeight="1" x14ac:dyDescent="0.2"/>
    <row r="22390" ht="12.75" hidden="1" customHeight="1" x14ac:dyDescent="0.2"/>
    <row r="22391" ht="12.75" hidden="1" customHeight="1" x14ac:dyDescent="0.2"/>
    <row r="22392" ht="12.75" hidden="1" customHeight="1" x14ac:dyDescent="0.2"/>
    <row r="22393" ht="12.75" hidden="1" customHeight="1" x14ac:dyDescent="0.2"/>
    <row r="22394" ht="12.75" hidden="1" customHeight="1" x14ac:dyDescent="0.2"/>
    <row r="22395" ht="12.75" hidden="1" customHeight="1" x14ac:dyDescent="0.2"/>
    <row r="22396" ht="12.75" hidden="1" customHeight="1" x14ac:dyDescent="0.2"/>
    <row r="22397" ht="12.75" hidden="1" customHeight="1" x14ac:dyDescent="0.2"/>
    <row r="22398" ht="12.75" hidden="1" customHeight="1" x14ac:dyDescent="0.2"/>
    <row r="22399" ht="12.75" hidden="1" customHeight="1" x14ac:dyDescent="0.2"/>
    <row r="22400" ht="12.75" hidden="1" customHeight="1" x14ac:dyDescent="0.2"/>
    <row r="22401" ht="12.75" hidden="1" customHeight="1" x14ac:dyDescent="0.2"/>
    <row r="22402" ht="12.75" hidden="1" customHeight="1" x14ac:dyDescent="0.2"/>
    <row r="22403" ht="12.75" hidden="1" customHeight="1" x14ac:dyDescent="0.2"/>
    <row r="22404" ht="12.75" hidden="1" customHeight="1" x14ac:dyDescent="0.2"/>
    <row r="22405" ht="12.75" hidden="1" customHeight="1" x14ac:dyDescent="0.2"/>
    <row r="22406" ht="12.75" hidden="1" customHeight="1" x14ac:dyDescent="0.2"/>
    <row r="22407" ht="12.75" hidden="1" customHeight="1" x14ac:dyDescent="0.2"/>
    <row r="22408" ht="12.75" hidden="1" customHeight="1" x14ac:dyDescent="0.2"/>
    <row r="22409" ht="12.75" hidden="1" customHeight="1" x14ac:dyDescent="0.2"/>
    <row r="22410" ht="12.75" hidden="1" customHeight="1" x14ac:dyDescent="0.2"/>
    <row r="22411" ht="12.75" hidden="1" customHeight="1" x14ac:dyDescent="0.2"/>
    <row r="22412" ht="12.75" hidden="1" customHeight="1" x14ac:dyDescent="0.2"/>
    <row r="22413" ht="12.75" hidden="1" customHeight="1" x14ac:dyDescent="0.2"/>
    <row r="22414" ht="12.75" hidden="1" customHeight="1" x14ac:dyDescent="0.2"/>
    <row r="22415" ht="12.75" hidden="1" customHeight="1" x14ac:dyDescent="0.2"/>
    <row r="22416" ht="12.75" hidden="1" customHeight="1" x14ac:dyDescent="0.2"/>
    <row r="22417" ht="12.75" hidden="1" customHeight="1" x14ac:dyDescent="0.2"/>
    <row r="22418" ht="12.75" hidden="1" customHeight="1" x14ac:dyDescent="0.2"/>
    <row r="22419" ht="12.75" hidden="1" customHeight="1" x14ac:dyDescent="0.2"/>
    <row r="22420" ht="12.75" hidden="1" customHeight="1" x14ac:dyDescent="0.2"/>
    <row r="22421" ht="12.75" hidden="1" customHeight="1" x14ac:dyDescent="0.2"/>
    <row r="22422" ht="12.75" hidden="1" customHeight="1" x14ac:dyDescent="0.2"/>
    <row r="22423" ht="12.75" hidden="1" customHeight="1" x14ac:dyDescent="0.2"/>
    <row r="22424" ht="12.75" hidden="1" customHeight="1" x14ac:dyDescent="0.2"/>
    <row r="22425" ht="12.75" hidden="1" customHeight="1" x14ac:dyDescent="0.2"/>
    <row r="22426" ht="12.75" hidden="1" customHeight="1" x14ac:dyDescent="0.2"/>
    <row r="22427" ht="12.75" hidden="1" customHeight="1" x14ac:dyDescent="0.2"/>
    <row r="22428" ht="12.75" hidden="1" customHeight="1" x14ac:dyDescent="0.2"/>
    <row r="22429" ht="12.75" hidden="1" customHeight="1" x14ac:dyDescent="0.2"/>
    <row r="22430" ht="12.75" hidden="1" customHeight="1" x14ac:dyDescent="0.2"/>
    <row r="22431" ht="12.75" hidden="1" customHeight="1" x14ac:dyDescent="0.2"/>
    <row r="22432" ht="12.75" hidden="1" customHeight="1" x14ac:dyDescent="0.2"/>
    <row r="22433" ht="12.75" hidden="1" customHeight="1" x14ac:dyDescent="0.2"/>
    <row r="22434" ht="12.75" hidden="1" customHeight="1" x14ac:dyDescent="0.2"/>
    <row r="22435" ht="12.75" hidden="1" customHeight="1" x14ac:dyDescent="0.2"/>
    <row r="22436" ht="12.75" hidden="1" customHeight="1" x14ac:dyDescent="0.2"/>
    <row r="22437" ht="12.75" hidden="1" customHeight="1" x14ac:dyDescent="0.2"/>
    <row r="22438" ht="12.75" hidden="1" customHeight="1" x14ac:dyDescent="0.2"/>
    <row r="22439" ht="12.75" hidden="1" customHeight="1" x14ac:dyDescent="0.2"/>
    <row r="22440" ht="12.75" hidden="1" customHeight="1" x14ac:dyDescent="0.2"/>
    <row r="22441" ht="12.75" hidden="1" customHeight="1" x14ac:dyDescent="0.2"/>
    <row r="22442" ht="12.75" hidden="1" customHeight="1" x14ac:dyDescent="0.2"/>
    <row r="22443" ht="12.75" hidden="1" customHeight="1" x14ac:dyDescent="0.2"/>
    <row r="22444" ht="12.75" hidden="1" customHeight="1" x14ac:dyDescent="0.2"/>
    <row r="22445" ht="12.75" hidden="1" customHeight="1" x14ac:dyDescent="0.2"/>
    <row r="22446" ht="12.75" hidden="1" customHeight="1" x14ac:dyDescent="0.2"/>
    <row r="22447" ht="12.75" hidden="1" customHeight="1" x14ac:dyDescent="0.2"/>
    <row r="22448" ht="12.75" hidden="1" customHeight="1" x14ac:dyDescent="0.2"/>
    <row r="22449" ht="12.75" hidden="1" customHeight="1" x14ac:dyDescent="0.2"/>
    <row r="22450" ht="12.75" hidden="1" customHeight="1" x14ac:dyDescent="0.2"/>
    <row r="22451" ht="12.75" hidden="1" customHeight="1" x14ac:dyDescent="0.2"/>
    <row r="22452" ht="12.75" hidden="1" customHeight="1" x14ac:dyDescent="0.2"/>
    <row r="22453" ht="12.75" hidden="1" customHeight="1" x14ac:dyDescent="0.2"/>
    <row r="22454" ht="12.75" hidden="1" customHeight="1" x14ac:dyDescent="0.2"/>
    <row r="22455" ht="12.75" hidden="1" customHeight="1" x14ac:dyDescent="0.2"/>
    <row r="22456" ht="12.75" hidden="1" customHeight="1" x14ac:dyDescent="0.2"/>
    <row r="22457" ht="12.75" hidden="1" customHeight="1" x14ac:dyDescent="0.2"/>
    <row r="22458" ht="12.75" hidden="1" customHeight="1" x14ac:dyDescent="0.2"/>
    <row r="22459" ht="12.75" hidden="1" customHeight="1" x14ac:dyDescent="0.2"/>
    <row r="22460" ht="12.75" hidden="1" customHeight="1" x14ac:dyDescent="0.2"/>
    <row r="22461" ht="12.75" hidden="1" customHeight="1" x14ac:dyDescent="0.2"/>
    <row r="22462" ht="12.75" hidden="1" customHeight="1" x14ac:dyDescent="0.2"/>
    <row r="22463" ht="12.75" hidden="1" customHeight="1" x14ac:dyDescent="0.2"/>
    <row r="22464" ht="12.75" hidden="1" customHeight="1" x14ac:dyDescent="0.2"/>
    <row r="22465" ht="12.75" hidden="1" customHeight="1" x14ac:dyDescent="0.2"/>
    <row r="22466" ht="12.75" hidden="1" customHeight="1" x14ac:dyDescent="0.2"/>
    <row r="22467" ht="12.75" hidden="1" customHeight="1" x14ac:dyDescent="0.2"/>
    <row r="22468" ht="12.75" hidden="1" customHeight="1" x14ac:dyDescent="0.2"/>
    <row r="22469" ht="12.75" hidden="1" customHeight="1" x14ac:dyDescent="0.2"/>
    <row r="22470" ht="12.75" hidden="1" customHeight="1" x14ac:dyDescent="0.2"/>
    <row r="22471" ht="12.75" hidden="1" customHeight="1" x14ac:dyDescent="0.2"/>
    <row r="22472" ht="12.75" hidden="1" customHeight="1" x14ac:dyDescent="0.2"/>
    <row r="22473" ht="12.75" hidden="1" customHeight="1" x14ac:dyDescent="0.2"/>
    <row r="22474" ht="12.75" hidden="1" customHeight="1" x14ac:dyDescent="0.2"/>
    <row r="22475" ht="12.75" hidden="1" customHeight="1" x14ac:dyDescent="0.2"/>
    <row r="22476" ht="12.75" hidden="1" customHeight="1" x14ac:dyDescent="0.2"/>
    <row r="22477" ht="12.75" hidden="1" customHeight="1" x14ac:dyDescent="0.2"/>
    <row r="22478" ht="12.75" hidden="1" customHeight="1" x14ac:dyDescent="0.2"/>
    <row r="22479" ht="12.75" hidden="1" customHeight="1" x14ac:dyDescent="0.2"/>
    <row r="22480" ht="12.75" hidden="1" customHeight="1" x14ac:dyDescent="0.2"/>
    <row r="22481" ht="12.75" hidden="1" customHeight="1" x14ac:dyDescent="0.2"/>
    <row r="22482" ht="12.75" hidden="1" customHeight="1" x14ac:dyDescent="0.2"/>
    <row r="22483" ht="12.75" hidden="1" customHeight="1" x14ac:dyDescent="0.2"/>
    <row r="22484" ht="12.75" hidden="1" customHeight="1" x14ac:dyDescent="0.2"/>
    <row r="22485" ht="12.75" hidden="1" customHeight="1" x14ac:dyDescent="0.2"/>
    <row r="22486" ht="12.75" hidden="1" customHeight="1" x14ac:dyDescent="0.2"/>
    <row r="22487" ht="12.75" hidden="1" customHeight="1" x14ac:dyDescent="0.2"/>
    <row r="22488" ht="12.75" hidden="1" customHeight="1" x14ac:dyDescent="0.2"/>
    <row r="22489" ht="12.75" hidden="1" customHeight="1" x14ac:dyDescent="0.2"/>
    <row r="22490" ht="12.75" hidden="1" customHeight="1" x14ac:dyDescent="0.2"/>
    <row r="22491" ht="12.75" hidden="1" customHeight="1" x14ac:dyDescent="0.2"/>
    <row r="22492" ht="12.75" hidden="1" customHeight="1" x14ac:dyDescent="0.2"/>
    <row r="22493" ht="12.75" hidden="1" customHeight="1" x14ac:dyDescent="0.2"/>
    <row r="22494" ht="12.75" hidden="1" customHeight="1" x14ac:dyDescent="0.2"/>
    <row r="22495" ht="12.75" hidden="1" customHeight="1" x14ac:dyDescent="0.2"/>
    <row r="22496" ht="12.75" hidden="1" customHeight="1" x14ac:dyDescent="0.2"/>
    <row r="22497" ht="12.75" hidden="1" customHeight="1" x14ac:dyDescent="0.2"/>
    <row r="22498" ht="12.75" hidden="1" customHeight="1" x14ac:dyDescent="0.2"/>
    <row r="22499" ht="12.75" hidden="1" customHeight="1" x14ac:dyDescent="0.2"/>
    <row r="22500" ht="12.75" hidden="1" customHeight="1" x14ac:dyDescent="0.2"/>
    <row r="22501" ht="12.75" hidden="1" customHeight="1" x14ac:dyDescent="0.2"/>
    <row r="22502" ht="12.75" hidden="1" customHeight="1" x14ac:dyDescent="0.2"/>
    <row r="22503" ht="12.75" hidden="1" customHeight="1" x14ac:dyDescent="0.2"/>
    <row r="22504" ht="12.75" hidden="1" customHeight="1" x14ac:dyDescent="0.2"/>
    <row r="22505" ht="12.75" hidden="1" customHeight="1" x14ac:dyDescent="0.2"/>
    <row r="22506" ht="12.75" hidden="1" customHeight="1" x14ac:dyDescent="0.2"/>
    <row r="22507" ht="12.75" hidden="1" customHeight="1" x14ac:dyDescent="0.2"/>
    <row r="22508" ht="12.75" hidden="1" customHeight="1" x14ac:dyDescent="0.2"/>
    <row r="22509" ht="12.75" hidden="1" customHeight="1" x14ac:dyDescent="0.2"/>
    <row r="22510" ht="12.75" hidden="1" customHeight="1" x14ac:dyDescent="0.2"/>
    <row r="22511" ht="12.75" hidden="1" customHeight="1" x14ac:dyDescent="0.2"/>
    <row r="22512" ht="12.75" hidden="1" customHeight="1" x14ac:dyDescent="0.2"/>
    <row r="22513" ht="12.75" hidden="1" customHeight="1" x14ac:dyDescent="0.2"/>
    <row r="22514" ht="12.75" hidden="1" customHeight="1" x14ac:dyDescent="0.2"/>
    <row r="22515" ht="12.75" hidden="1" customHeight="1" x14ac:dyDescent="0.2"/>
    <row r="22516" ht="12.75" hidden="1" customHeight="1" x14ac:dyDescent="0.2"/>
    <row r="22517" ht="12.75" hidden="1" customHeight="1" x14ac:dyDescent="0.2"/>
    <row r="22518" ht="12.75" hidden="1" customHeight="1" x14ac:dyDescent="0.2"/>
    <row r="22519" ht="12.75" hidden="1" customHeight="1" x14ac:dyDescent="0.2"/>
    <row r="22520" ht="12.75" hidden="1" customHeight="1" x14ac:dyDescent="0.2"/>
    <row r="22521" ht="12.75" hidden="1" customHeight="1" x14ac:dyDescent="0.2"/>
    <row r="22522" ht="12.75" hidden="1" customHeight="1" x14ac:dyDescent="0.2"/>
    <row r="22523" ht="12.75" hidden="1" customHeight="1" x14ac:dyDescent="0.2"/>
    <row r="22524" ht="12.75" hidden="1" customHeight="1" x14ac:dyDescent="0.2"/>
    <row r="22525" ht="12.75" hidden="1" customHeight="1" x14ac:dyDescent="0.2"/>
    <row r="22526" ht="12.75" hidden="1" customHeight="1" x14ac:dyDescent="0.2"/>
    <row r="22527" ht="12.75" hidden="1" customHeight="1" x14ac:dyDescent="0.2"/>
    <row r="22528" ht="12.75" hidden="1" customHeight="1" x14ac:dyDescent="0.2"/>
    <row r="22529" ht="12.75" hidden="1" customHeight="1" x14ac:dyDescent="0.2"/>
    <row r="22530" ht="12.75" hidden="1" customHeight="1" x14ac:dyDescent="0.2"/>
    <row r="22531" ht="12.75" hidden="1" customHeight="1" x14ac:dyDescent="0.2"/>
    <row r="22532" ht="12.75" hidden="1" customHeight="1" x14ac:dyDescent="0.2"/>
    <row r="22533" ht="12.75" hidden="1" customHeight="1" x14ac:dyDescent="0.2"/>
    <row r="22534" ht="12.75" hidden="1" customHeight="1" x14ac:dyDescent="0.2"/>
    <row r="22535" ht="12.75" hidden="1" customHeight="1" x14ac:dyDescent="0.2"/>
    <row r="22536" ht="12.75" hidden="1" customHeight="1" x14ac:dyDescent="0.2"/>
    <row r="22537" ht="12.75" hidden="1" customHeight="1" x14ac:dyDescent="0.2"/>
    <row r="22538" ht="12.75" hidden="1" customHeight="1" x14ac:dyDescent="0.2"/>
    <row r="22539" ht="12.75" hidden="1" customHeight="1" x14ac:dyDescent="0.2"/>
    <row r="22540" ht="12.75" hidden="1" customHeight="1" x14ac:dyDescent="0.2"/>
    <row r="22541" ht="12.75" hidden="1" customHeight="1" x14ac:dyDescent="0.2"/>
    <row r="22542" ht="12.75" hidden="1" customHeight="1" x14ac:dyDescent="0.2"/>
    <row r="22543" ht="12.75" hidden="1" customHeight="1" x14ac:dyDescent="0.2"/>
    <row r="22544" ht="12.75" hidden="1" customHeight="1" x14ac:dyDescent="0.2"/>
    <row r="22545" ht="12.75" hidden="1" customHeight="1" x14ac:dyDescent="0.2"/>
    <row r="22546" ht="12.75" hidden="1" customHeight="1" x14ac:dyDescent="0.2"/>
    <row r="22547" ht="12.75" hidden="1" customHeight="1" x14ac:dyDescent="0.2"/>
    <row r="22548" ht="12.75" hidden="1" customHeight="1" x14ac:dyDescent="0.2"/>
    <row r="22549" ht="12.75" hidden="1" customHeight="1" x14ac:dyDescent="0.2"/>
    <row r="22550" ht="12.75" hidden="1" customHeight="1" x14ac:dyDescent="0.2"/>
    <row r="22551" ht="12.75" hidden="1" customHeight="1" x14ac:dyDescent="0.2"/>
    <row r="22552" ht="12.75" hidden="1" customHeight="1" x14ac:dyDescent="0.2"/>
    <row r="22553" ht="12.75" hidden="1" customHeight="1" x14ac:dyDescent="0.2"/>
    <row r="22554" ht="12.75" hidden="1" customHeight="1" x14ac:dyDescent="0.2"/>
    <row r="22555" ht="12.75" hidden="1" customHeight="1" x14ac:dyDescent="0.2"/>
    <row r="22556" ht="12.75" hidden="1" customHeight="1" x14ac:dyDescent="0.2"/>
    <row r="22557" ht="12.75" hidden="1" customHeight="1" x14ac:dyDescent="0.2"/>
    <row r="22558" ht="12.75" hidden="1" customHeight="1" x14ac:dyDescent="0.2"/>
    <row r="22559" ht="12.75" hidden="1" customHeight="1" x14ac:dyDescent="0.2"/>
    <row r="22560" ht="12.75" hidden="1" customHeight="1" x14ac:dyDescent="0.2"/>
    <row r="22561" ht="12.75" hidden="1" customHeight="1" x14ac:dyDescent="0.2"/>
    <row r="22562" ht="12.75" hidden="1" customHeight="1" x14ac:dyDescent="0.2"/>
    <row r="22563" ht="12.75" hidden="1" customHeight="1" x14ac:dyDescent="0.2"/>
    <row r="22564" ht="12.75" hidden="1" customHeight="1" x14ac:dyDescent="0.2"/>
    <row r="22565" ht="12.75" hidden="1" customHeight="1" x14ac:dyDescent="0.2"/>
    <row r="22566" ht="12.75" hidden="1" customHeight="1" x14ac:dyDescent="0.2"/>
    <row r="22567" ht="12.75" hidden="1" customHeight="1" x14ac:dyDescent="0.2"/>
    <row r="22568" ht="12.75" hidden="1" customHeight="1" x14ac:dyDescent="0.2"/>
    <row r="22569" ht="12.75" hidden="1" customHeight="1" x14ac:dyDescent="0.2"/>
    <row r="22570" ht="12.75" hidden="1" customHeight="1" x14ac:dyDescent="0.2"/>
    <row r="22571" ht="12.75" hidden="1" customHeight="1" x14ac:dyDescent="0.2"/>
    <row r="22572" ht="12.75" hidden="1" customHeight="1" x14ac:dyDescent="0.2"/>
    <row r="22573" ht="12.75" hidden="1" customHeight="1" x14ac:dyDescent="0.2"/>
    <row r="22574" ht="12.75" hidden="1" customHeight="1" x14ac:dyDescent="0.2"/>
    <row r="22575" ht="12.75" hidden="1" customHeight="1" x14ac:dyDescent="0.2"/>
    <row r="22576" ht="12.75" hidden="1" customHeight="1" x14ac:dyDescent="0.2"/>
    <row r="22577" ht="12.75" hidden="1" customHeight="1" x14ac:dyDescent="0.2"/>
    <row r="22578" ht="12.75" hidden="1" customHeight="1" x14ac:dyDescent="0.2"/>
    <row r="22579" ht="12.75" hidden="1" customHeight="1" x14ac:dyDescent="0.2"/>
    <row r="22580" ht="12.75" hidden="1" customHeight="1" x14ac:dyDescent="0.2"/>
    <row r="22581" ht="12.75" hidden="1" customHeight="1" x14ac:dyDescent="0.2"/>
    <row r="22582" ht="12.75" hidden="1" customHeight="1" x14ac:dyDescent="0.2"/>
    <row r="22583" ht="12.75" hidden="1" customHeight="1" x14ac:dyDescent="0.2"/>
    <row r="22584" ht="12.75" hidden="1" customHeight="1" x14ac:dyDescent="0.2"/>
    <row r="22585" ht="12.75" hidden="1" customHeight="1" x14ac:dyDescent="0.2"/>
    <row r="22586" ht="12.75" hidden="1" customHeight="1" x14ac:dyDescent="0.2"/>
    <row r="22587" ht="12.75" hidden="1" customHeight="1" x14ac:dyDescent="0.2"/>
    <row r="22588" ht="12.75" hidden="1" customHeight="1" x14ac:dyDescent="0.2"/>
    <row r="22589" ht="12.75" hidden="1" customHeight="1" x14ac:dyDescent="0.2"/>
    <row r="22590" ht="12.75" hidden="1" customHeight="1" x14ac:dyDescent="0.2"/>
    <row r="22591" ht="12.75" hidden="1" customHeight="1" x14ac:dyDescent="0.2"/>
    <row r="22592" ht="12.75" hidden="1" customHeight="1" x14ac:dyDescent="0.2"/>
    <row r="22593" ht="12.75" hidden="1" customHeight="1" x14ac:dyDescent="0.2"/>
    <row r="22594" ht="12.75" hidden="1" customHeight="1" x14ac:dyDescent="0.2"/>
    <row r="22595" ht="12.75" hidden="1" customHeight="1" x14ac:dyDescent="0.2"/>
    <row r="22596" ht="12.75" hidden="1" customHeight="1" x14ac:dyDescent="0.2"/>
    <row r="22597" ht="12.75" hidden="1" customHeight="1" x14ac:dyDescent="0.2"/>
    <row r="22598" ht="12.75" hidden="1" customHeight="1" x14ac:dyDescent="0.2"/>
    <row r="22599" ht="12.75" hidden="1" customHeight="1" x14ac:dyDescent="0.2"/>
    <row r="22600" ht="12.75" hidden="1" customHeight="1" x14ac:dyDescent="0.2"/>
    <row r="22601" ht="12.75" hidden="1" customHeight="1" x14ac:dyDescent="0.2"/>
    <row r="22602" ht="12.75" hidden="1" customHeight="1" x14ac:dyDescent="0.2"/>
    <row r="22603" ht="12.75" hidden="1" customHeight="1" x14ac:dyDescent="0.2"/>
    <row r="22604" ht="12.75" hidden="1" customHeight="1" x14ac:dyDescent="0.2"/>
    <row r="22605" ht="12.75" hidden="1" customHeight="1" x14ac:dyDescent="0.2"/>
    <row r="22606" ht="12.75" hidden="1" customHeight="1" x14ac:dyDescent="0.2"/>
    <row r="22607" ht="12.75" hidden="1" customHeight="1" x14ac:dyDescent="0.2"/>
    <row r="22608" ht="12.75" hidden="1" customHeight="1" x14ac:dyDescent="0.2"/>
    <row r="22609" ht="12.75" hidden="1" customHeight="1" x14ac:dyDescent="0.2"/>
    <row r="22610" ht="12.75" hidden="1" customHeight="1" x14ac:dyDescent="0.2"/>
    <row r="22611" ht="12.75" hidden="1" customHeight="1" x14ac:dyDescent="0.2"/>
    <row r="22612" ht="12.75" hidden="1" customHeight="1" x14ac:dyDescent="0.2"/>
    <row r="22613" ht="12.75" hidden="1" customHeight="1" x14ac:dyDescent="0.2"/>
    <row r="22614" ht="12.75" hidden="1" customHeight="1" x14ac:dyDescent="0.2"/>
    <row r="22615" ht="12.75" hidden="1" customHeight="1" x14ac:dyDescent="0.2"/>
    <row r="22616" ht="12.75" hidden="1" customHeight="1" x14ac:dyDescent="0.2"/>
    <row r="22617" ht="12.75" hidden="1" customHeight="1" x14ac:dyDescent="0.2"/>
    <row r="22618" ht="12.75" hidden="1" customHeight="1" x14ac:dyDescent="0.2"/>
    <row r="22619" ht="12.75" hidden="1" customHeight="1" x14ac:dyDescent="0.2"/>
    <row r="22620" ht="12.75" hidden="1" customHeight="1" x14ac:dyDescent="0.2"/>
    <row r="22621" ht="12.75" hidden="1" customHeight="1" x14ac:dyDescent="0.2"/>
    <row r="22622" ht="12.75" hidden="1" customHeight="1" x14ac:dyDescent="0.2"/>
    <row r="22623" ht="12.75" hidden="1" customHeight="1" x14ac:dyDescent="0.2"/>
    <row r="22624" ht="12.75" hidden="1" customHeight="1" x14ac:dyDescent="0.2"/>
    <row r="22625" ht="12.75" hidden="1" customHeight="1" x14ac:dyDescent="0.2"/>
    <row r="22626" ht="12.75" hidden="1" customHeight="1" x14ac:dyDescent="0.2"/>
    <row r="22627" ht="12.75" hidden="1" customHeight="1" x14ac:dyDescent="0.2"/>
    <row r="22628" ht="12.75" hidden="1" customHeight="1" x14ac:dyDescent="0.2"/>
    <row r="22629" ht="12.75" hidden="1" customHeight="1" x14ac:dyDescent="0.2"/>
    <row r="22630" ht="12.75" hidden="1" customHeight="1" x14ac:dyDescent="0.2"/>
    <row r="22631" ht="12.75" hidden="1" customHeight="1" x14ac:dyDescent="0.2"/>
    <row r="22632" ht="12.75" hidden="1" customHeight="1" x14ac:dyDescent="0.2"/>
    <row r="22633" ht="12.75" hidden="1" customHeight="1" x14ac:dyDescent="0.2"/>
    <row r="22634" ht="12.75" hidden="1" customHeight="1" x14ac:dyDescent="0.2"/>
    <row r="22635" ht="12.75" hidden="1" customHeight="1" x14ac:dyDescent="0.2"/>
    <row r="22636" ht="12.75" hidden="1" customHeight="1" x14ac:dyDescent="0.2"/>
    <row r="22637" ht="12.75" hidden="1" customHeight="1" x14ac:dyDescent="0.2"/>
    <row r="22638" ht="12.75" hidden="1" customHeight="1" x14ac:dyDescent="0.2"/>
    <row r="22639" ht="12.75" hidden="1" customHeight="1" x14ac:dyDescent="0.2"/>
    <row r="22640" ht="12.75" hidden="1" customHeight="1" x14ac:dyDescent="0.2"/>
    <row r="22641" ht="12.75" hidden="1" customHeight="1" x14ac:dyDescent="0.2"/>
    <row r="22642" ht="12.75" hidden="1" customHeight="1" x14ac:dyDescent="0.2"/>
    <row r="22643" ht="12.75" hidden="1" customHeight="1" x14ac:dyDescent="0.2"/>
    <row r="22644" ht="12.75" hidden="1" customHeight="1" x14ac:dyDescent="0.2"/>
    <row r="22645" ht="12.75" hidden="1" customHeight="1" x14ac:dyDescent="0.2"/>
    <row r="22646" ht="12.75" hidden="1" customHeight="1" x14ac:dyDescent="0.2"/>
    <row r="22647" ht="12.75" hidden="1" customHeight="1" x14ac:dyDescent="0.2"/>
    <row r="22648" ht="12.75" hidden="1" customHeight="1" x14ac:dyDescent="0.2"/>
    <row r="22649" ht="12.75" hidden="1" customHeight="1" x14ac:dyDescent="0.2"/>
    <row r="22650" ht="12.75" hidden="1" customHeight="1" x14ac:dyDescent="0.2"/>
    <row r="22651" ht="12.75" hidden="1" customHeight="1" x14ac:dyDescent="0.2"/>
    <row r="22652" ht="12.75" hidden="1" customHeight="1" x14ac:dyDescent="0.2"/>
    <row r="22653" ht="12.75" hidden="1" customHeight="1" x14ac:dyDescent="0.2"/>
    <row r="22654" ht="12.75" hidden="1" customHeight="1" x14ac:dyDescent="0.2"/>
    <row r="22655" ht="12.75" hidden="1" customHeight="1" x14ac:dyDescent="0.2"/>
    <row r="22656" ht="12.75" hidden="1" customHeight="1" x14ac:dyDescent="0.2"/>
    <row r="22657" ht="12.75" hidden="1" customHeight="1" x14ac:dyDescent="0.2"/>
    <row r="22658" ht="12.75" hidden="1" customHeight="1" x14ac:dyDescent="0.2"/>
    <row r="22659" ht="12.75" hidden="1" customHeight="1" x14ac:dyDescent="0.2"/>
    <row r="22660" ht="12.75" hidden="1" customHeight="1" x14ac:dyDescent="0.2"/>
    <row r="22661" ht="12.75" hidden="1" customHeight="1" x14ac:dyDescent="0.2"/>
    <row r="22662" ht="12.75" hidden="1" customHeight="1" x14ac:dyDescent="0.2"/>
    <row r="22663" ht="12.75" hidden="1" customHeight="1" x14ac:dyDescent="0.2"/>
    <row r="22664" ht="12.75" hidden="1" customHeight="1" x14ac:dyDescent="0.2"/>
    <row r="22665" ht="12.75" hidden="1" customHeight="1" x14ac:dyDescent="0.2"/>
    <row r="22666" ht="12.75" hidden="1" customHeight="1" x14ac:dyDescent="0.2"/>
    <row r="22667" ht="12.75" hidden="1" customHeight="1" x14ac:dyDescent="0.2"/>
    <row r="22668" ht="12.75" hidden="1" customHeight="1" x14ac:dyDescent="0.2"/>
    <row r="22669" ht="12.75" hidden="1" customHeight="1" x14ac:dyDescent="0.2"/>
    <row r="22670" ht="12.75" hidden="1" customHeight="1" x14ac:dyDescent="0.2"/>
    <row r="22671" ht="12.75" hidden="1" customHeight="1" x14ac:dyDescent="0.2"/>
    <row r="22672" ht="12.75" hidden="1" customHeight="1" x14ac:dyDescent="0.2"/>
    <row r="22673" ht="12.75" hidden="1" customHeight="1" x14ac:dyDescent="0.2"/>
    <row r="22674" ht="12.75" hidden="1" customHeight="1" x14ac:dyDescent="0.2"/>
    <row r="22675" ht="12.75" hidden="1" customHeight="1" x14ac:dyDescent="0.2"/>
    <row r="22676" ht="12.75" hidden="1" customHeight="1" x14ac:dyDescent="0.2"/>
    <row r="22677" ht="12.75" hidden="1" customHeight="1" x14ac:dyDescent="0.2"/>
    <row r="22678" ht="12.75" hidden="1" customHeight="1" x14ac:dyDescent="0.2"/>
    <row r="22679" ht="12.75" hidden="1" customHeight="1" x14ac:dyDescent="0.2"/>
    <row r="22680" ht="12.75" hidden="1" customHeight="1" x14ac:dyDescent="0.2"/>
    <row r="22681" ht="12.75" hidden="1" customHeight="1" x14ac:dyDescent="0.2"/>
    <row r="22682" ht="12.75" hidden="1" customHeight="1" x14ac:dyDescent="0.2"/>
    <row r="22683" ht="12.75" hidden="1" customHeight="1" x14ac:dyDescent="0.2"/>
    <row r="22684" ht="12.75" hidden="1" customHeight="1" x14ac:dyDescent="0.2"/>
    <row r="22685" ht="12.75" hidden="1" customHeight="1" x14ac:dyDescent="0.2"/>
    <row r="22686" ht="12.75" hidden="1" customHeight="1" x14ac:dyDescent="0.2"/>
    <row r="22687" ht="12.75" hidden="1" customHeight="1" x14ac:dyDescent="0.2"/>
    <row r="22688" ht="12.75" hidden="1" customHeight="1" x14ac:dyDescent="0.2"/>
    <row r="22689" ht="12.75" hidden="1" customHeight="1" x14ac:dyDescent="0.2"/>
    <row r="22690" ht="12.75" hidden="1" customHeight="1" x14ac:dyDescent="0.2"/>
    <row r="22691" ht="12.75" hidden="1" customHeight="1" x14ac:dyDescent="0.2"/>
    <row r="22692" ht="12.75" hidden="1" customHeight="1" x14ac:dyDescent="0.2"/>
    <row r="22693" ht="12.75" hidden="1" customHeight="1" x14ac:dyDescent="0.2"/>
    <row r="22694" ht="12.75" hidden="1" customHeight="1" x14ac:dyDescent="0.2"/>
    <row r="22695" ht="12.75" hidden="1" customHeight="1" x14ac:dyDescent="0.2"/>
    <row r="22696" ht="12.75" hidden="1" customHeight="1" x14ac:dyDescent="0.2"/>
    <row r="22697" ht="12.75" hidden="1" customHeight="1" x14ac:dyDescent="0.2"/>
    <row r="22698" ht="12.75" hidden="1" customHeight="1" x14ac:dyDescent="0.2"/>
    <row r="22699" ht="12.75" hidden="1" customHeight="1" x14ac:dyDescent="0.2"/>
    <row r="22700" ht="12.75" hidden="1" customHeight="1" x14ac:dyDescent="0.2"/>
    <row r="22701" ht="12.75" hidden="1" customHeight="1" x14ac:dyDescent="0.2"/>
    <row r="22702" ht="12.75" hidden="1" customHeight="1" x14ac:dyDescent="0.2"/>
    <row r="22703" ht="12.75" hidden="1" customHeight="1" x14ac:dyDescent="0.2"/>
    <row r="22704" ht="12.75" hidden="1" customHeight="1" x14ac:dyDescent="0.2"/>
    <row r="22705" ht="12.75" hidden="1" customHeight="1" x14ac:dyDescent="0.2"/>
    <row r="22706" ht="12.75" hidden="1" customHeight="1" x14ac:dyDescent="0.2"/>
    <row r="22707" ht="12.75" hidden="1" customHeight="1" x14ac:dyDescent="0.2"/>
    <row r="22708" ht="12.75" hidden="1" customHeight="1" x14ac:dyDescent="0.2"/>
    <row r="22709" ht="12.75" hidden="1" customHeight="1" x14ac:dyDescent="0.2"/>
    <row r="22710" ht="12.75" hidden="1" customHeight="1" x14ac:dyDescent="0.2"/>
    <row r="22711" ht="12.75" hidden="1" customHeight="1" x14ac:dyDescent="0.2"/>
    <row r="22712" ht="12.75" hidden="1" customHeight="1" x14ac:dyDescent="0.2"/>
    <row r="22713" ht="12.75" hidden="1" customHeight="1" x14ac:dyDescent="0.2"/>
    <row r="22714" ht="12.75" hidden="1" customHeight="1" x14ac:dyDescent="0.2"/>
    <row r="22715" ht="12.75" hidden="1" customHeight="1" x14ac:dyDescent="0.2"/>
    <row r="22716" ht="12.75" hidden="1" customHeight="1" x14ac:dyDescent="0.2"/>
    <row r="22717" ht="12.75" hidden="1" customHeight="1" x14ac:dyDescent="0.2"/>
    <row r="22718" ht="12.75" hidden="1" customHeight="1" x14ac:dyDescent="0.2"/>
    <row r="22719" ht="12.75" hidden="1" customHeight="1" x14ac:dyDescent="0.2"/>
    <row r="22720" ht="12.75" hidden="1" customHeight="1" x14ac:dyDescent="0.2"/>
    <row r="22721" ht="12.75" hidden="1" customHeight="1" x14ac:dyDescent="0.2"/>
    <row r="22722" ht="12.75" hidden="1" customHeight="1" x14ac:dyDescent="0.2"/>
    <row r="22723" ht="12.75" hidden="1" customHeight="1" x14ac:dyDescent="0.2"/>
    <row r="22724" ht="12.75" hidden="1" customHeight="1" x14ac:dyDescent="0.2"/>
    <row r="22725" ht="12.75" hidden="1" customHeight="1" x14ac:dyDescent="0.2"/>
    <row r="22726" ht="12.75" hidden="1" customHeight="1" x14ac:dyDescent="0.2"/>
    <row r="22727" ht="12.75" hidden="1" customHeight="1" x14ac:dyDescent="0.2"/>
    <row r="22728" ht="12.75" hidden="1" customHeight="1" x14ac:dyDescent="0.2"/>
    <row r="22729" ht="12.75" hidden="1" customHeight="1" x14ac:dyDescent="0.2"/>
    <row r="22730" ht="12.75" hidden="1" customHeight="1" x14ac:dyDescent="0.2"/>
    <row r="22731" ht="12.75" hidden="1" customHeight="1" x14ac:dyDescent="0.2"/>
    <row r="22732" ht="12.75" hidden="1" customHeight="1" x14ac:dyDescent="0.2"/>
    <row r="22733" ht="12.75" hidden="1" customHeight="1" x14ac:dyDescent="0.2"/>
    <row r="22734" ht="12.75" hidden="1" customHeight="1" x14ac:dyDescent="0.2"/>
    <row r="22735" ht="12.75" hidden="1" customHeight="1" x14ac:dyDescent="0.2"/>
    <row r="22736" ht="12.75" hidden="1" customHeight="1" x14ac:dyDescent="0.2"/>
    <row r="22737" ht="12.75" hidden="1" customHeight="1" x14ac:dyDescent="0.2"/>
    <row r="22738" ht="12.75" hidden="1" customHeight="1" x14ac:dyDescent="0.2"/>
    <row r="22739" ht="12.75" hidden="1" customHeight="1" x14ac:dyDescent="0.2"/>
    <row r="22740" ht="12.75" hidden="1" customHeight="1" x14ac:dyDescent="0.2"/>
    <row r="22741" ht="12.75" hidden="1" customHeight="1" x14ac:dyDescent="0.2"/>
    <row r="22742" ht="12.75" hidden="1" customHeight="1" x14ac:dyDescent="0.2"/>
    <row r="22743" ht="12.75" hidden="1" customHeight="1" x14ac:dyDescent="0.2"/>
    <row r="22744" ht="12.75" hidden="1" customHeight="1" x14ac:dyDescent="0.2"/>
    <row r="22745" ht="12.75" hidden="1" customHeight="1" x14ac:dyDescent="0.2"/>
    <row r="22746" ht="12.75" hidden="1" customHeight="1" x14ac:dyDescent="0.2"/>
    <row r="22747" ht="12.75" hidden="1" customHeight="1" x14ac:dyDescent="0.2"/>
    <row r="22748" ht="12.75" hidden="1" customHeight="1" x14ac:dyDescent="0.2"/>
    <row r="22749" ht="12.75" hidden="1" customHeight="1" x14ac:dyDescent="0.2"/>
    <row r="22750" ht="12.75" hidden="1" customHeight="1" x14ac:dyDescent="0.2"/>
    <row r="22751" ht="12.75" hidden="1" customHeight="1" x14ac:dyDescent="0.2"/>
    <row r="22752" ht="12.75" hidden="1" customHeight="1" x14ac:dyDescent="0.2"/>
    <row r="22753" ht="12.75" hidden="1" customHeight="1" x14ac:dyDescent="0.2"/>
    <row r="22754" ht="12.75" hidden="1" customHeight="1" x14ac:dyDescent="0.2"/>
    <row r="22755" ht="12.75" hidden="1" customHeight="1" x14ac:dyDescent="0.2"/>
    <row r="22756" ht="12.75" hidden="1" customHeight="1" x14ac:dyDescent="0.2"/>
    <row r="22757" ht="12.75" hidden="1" customHeight="1" x14ac:dyDescent="0.2"/>
    <row r="22758" ht="12.75" hidden="1" customHeight="1" x14ac:dyDescent="0.2"/>
    <row r="22759" ht="12.75" hidden="1" customHeight="1" x14ac:dyDescent="0.2"/>
    <row r="22760" ht="12.75" hidden="1" customHeight="1" x14ac:dyDescent="0.2"/>
    <row r="22761" ht="12.75" hidden="1" customHeight="1" x14ac:dyDescent="0.2"/>
    <row r="22762" ht="12.75" hidden="1" customHeight="1" x14ac:dyDescent="0.2"/>
    <row r="22763" ht="12.75" hidden="1" customHeight="1" x14ac:dyDescent="0.2"/>
    <row r="22764" ht="12.75" hidden="1" customHeight="1" x14ac:dyDescent="0.2"/>
    <row r="22765" ht="12.75" hidden="1" customHeight="1" x14ac:dyDescent="0.2"/>
    <row r="22766" ht="12.75" hidden="1" customHeight="1" x14ac:dyDescent="0.2"/>
    <row r="22767" ht="12.75" hidden="1" customHeight="1" x14ac:dyDescent="0.2"/>
    <row r="22768" ht="12.75" hidden="1" customHeight="1" x14ac:dyDescent="0.2"/>
    <row r="22769" ht="12.75" hidden="1" customHeight="1" x14ac:dyDescent="0.2"/>
    <row r="22770" ht="12.75" hidden="1" customHeight="1" x14ac:dyDescent="0.2"/>
    <row r="22771" ht="12.75" hidden="1" customHeight="1" x14ac:dyDescent="0.2"/>
    <row r="22772" ht="12.75" hidden="1" customHeight="1" x14ac:dyDescent="0.2"/>
    <row r="22773" ht="12.75" hidden="1" customHeight="1" x14ac:dyDescent="0.2"/>
    <row r="22774" ht="12.75" hidden="1" customHeight="1" x14ac:dyDescent="0.2"/>
    <row r="22775" ht="12.75" hidden="1" customHeight="1" x14ac:dyDescent="0.2"/>
    <row r="22776" ht="12.75" hidden="1" customHeight="1" x14ac:dyDescent="0.2"/>
    <row r="22777" ht="12.75" hidden="1" customHeight="1" x14ac:dyDescent="0.2"/>
    <row r="22778" ht="12.75" hidden="1" customHeight="1" x14ac:dyDescent="0.2"/>
    <row r="22779" ht="12.75" hidden="1" customHeight="1" x14ac:dyDescent="0.2"/>
    <row r="22780" ht="12.75" hidden="1" customHeight="1" x14ac:dyDescent="0.2"/>
    <row r="22781" ht="12.75" hidden="1" customHeight="1" x14ac:dyDescent="0.2"/>
    <row r="22782" ht="12.75" hidden="1" customHeight="1" x14ac:dyDescent="0.2"/>
    <row r="22783" ht="12.75" hidden="1" customHeight="1" x14ac:dyDescent="0.2"/>
    <row r="22784" ht="12.75" hidden="1" customHeight="1" x14ac:dyDescent="0.2"/>
    <row r="22785" ht="12.75" hidden="1" customHeight="1" x14ac:dyDescent="0.2"/>
    <row r="22786" ht="12.75" hidden="1" customHeight="1" x14ac:dyDescent="0.2"/>
    <row r="22787" ht="12.75" hidden="1" customHeight="1" x14ac:dyDescent="0.2"/>
    <row r="22788" ht="12.75" hidden="1" customHeight="1" x14ac:dyDescent="0.2"/>
    <row r="22789" ht="12.75" hidden="1" customHeight="1" x14ac:dyDescent="0.2"/>
    <row r="22790" ht="12.75" hidden="1" customHeight="1" x14ac:dyDescent="0.2"/>
    <row r="22791" ht="12.75" hidden="1" customHeight="1" x14ac:dyDescent="0.2"/>
    <row r="22792" ht="12.75" hidden="1" customHeight="1" x14ac:dyDescent="0.2"/>
    <row r="22793" ht="12.75" hidden="1" customHeight="1" x14ac:dyDescent="0.2"/>
    <row r="22794" ht="12.75" hidden="1" customHeight="1" x14ac:dyDescent="0.2"/>
    <row r="22795" ht="12.75" hidden="1" customHeight="1" x14ac:dyDescent="0.2"/>
    <row r="22796" ht="12.75" hidden="1" customHeight="1" x14ac:dyDescent="0.2"/>
    <row r="22797" ht="12.75" hidden="1" customHeight="1" x14ac:dyDescent="0.2"/>
    <row r="22798" ht="12.75" hidden="1" customHeight="1" x14ac:dyDescent="0.2"/>
    <row r="22799" ht="12.75" hidden="1" customHeight="1" x14ac:dyDescent="0.2"/>
    <row r="22800" ht="12.75" hidden="1" customHeight="1" x14ac:dyDescent="0.2"/>
    <row r="22801" ht="12.75" hidden="1" customHeight="1" x14ac:dyDescent="0.2"/>
    <row r="22802" ht="12.75" hidden="1" customHeight="1" x14ac:dyDescent="0.2"/>
    <row r="22803" ht="12.75" hidden="1" customHeight="1" x14ac:dyDescent="0.2"/>
    <row r="22804" ht="12.75" hidden="1" customHeight="1" x14ac:dyDescent="0.2"/>
    <row r="22805" ht="12.75" hidden="1" customHeight="1" x14ac:dyDescent="0.2"/>
    <row r="22806" ht="12.75" hidden="1" customHeight="1" x14ac:dyDescent="0.2"/>
    <row r="22807" ht="12.75" hidden="1" customHeight="1" x14ac:dyDescent="0.2"/>
    <row r="22808" ht="12.75" hidden="1" customHeight="1" x14ac:dyDescent="0.2"/>
    <row r="22809" ht="12.75" hidden="1" customHeight="1" x14ac:dyDescent="0.2"/>
    <row r="22810" ht="12.75" hidden="1" customHeight="1" x14ac:dyDescent="0.2"/>
    <row r="22811" ht="12.75" hidden="1" customHeight="1" x14ac:dyDescent="0.2"/>
    <row r="22812" ht="12.75" hidden="1" customHeight="1" x14ac:dyDescent="0.2"/>
    <row r="22813" ht="12.75" hidden="1" customHeight="1" x14ac:dyDescent="0.2"/>
    <row r="22814" ht="12.75" hidden="1" customHeight="1" x14ac:dyDescent="0.2"/>
    <row r="22815" ht="12.75" hidden="1" customHeight="1" x14ac:dyDescent="0.2"/>
    <row r="22816" ht="12.75" hidden="1" customHeight="1" x14ac:dyDescent="0.2"/>
    <row r="22817" ht="12.75" hidden="1" customHeight="1" x14ac:dyDescent="0.2"/>
    <row r="22818" ht="12.75" hidden="1" customHeight="1" x14ac:dyDescent="0.2"/>
    <row r="22819" ht="12.75" hidden="1" customHeight="1" x14ac:dyDescent="0.2"/>
    <row r="22820" ht="12.75" hidden="1" customHeight="1" x14ac:dyDescent="0.2"/>
    <row r="22821" ht="12.75" hidden="1" customHeight="1" x14ac:dyDescent="0.2"/>
    <row r="22822" ht="12.75" hidden="1" customHeight="1" x14ac:dyDescent="0.2"/>
    <row r="22823" ht="12.75" hidden="1" customHeight="1" x14ac:dyDescent="0.2"/>
    <row r="22824" ht="12.75" hidden="1" customHeight="1" x14ac:dyDescent="0.2"/>
    <row r="22825" ht="12.75" hidden="1" customHeight="1" x14ac:dyDescent="0.2"/>
    <row r="22826" ht="12.75" hidden="1" customHeight="1" x14ac:dyDescent="0.2"/>
    <row r="22827" ht="12.75" hidden="1" customHeight="1" x14ac:dyDescent="0.2"/>
    <row r="22828" ht="12.75" hidden="1" customHeight="1" x14ac:dyDescent="0.2"/>
    <row r="22829" ht="12.75" hidden="1" customHeight="1" x14ac:dyDescent="0.2"/>
    <row r="22830" ht="12.75" hidden="1" customHeight="1" x14ac:dyDescent="0.2"/>
    <row r="22831" ht="12.75" hidden="1" customHeight="1" x14ac:dyDescent="0.2"/>
    <row r="22832" ht="12.75" hidden="1" customHeight="1" x14ac:dyDescent="0.2"/>
    <row r="22833" ht="12.75" hidden="1" customHeight="1" x14ac:dyDescent="0.2"/>
    <row r="22834" ht="12.75" hidden="1" customHeight="1" x14ac:dyDescent="0.2"/>
    <row r="22835" ht="12.75" hidden="1" customHeight="1" x14ac:dyDescent="0.2"/>
    <row r="22836" ht="12.75" hidden="1" customHeight="1" x14ac:dyDescent="0.2"/>
    <row r="22837" ht="12.75" hidden="1" customHeight="1" x14ac:dyDescent="0.2"/>
    <row r="22838" ht="12.75" hidden="1" customHeight="1" x14ac:dyDescent="0.2"/>
    <row r="22839" ht="12.75" hidden="1" customHeight="1" x14ac:dyDescent="0.2"/>
    <row r="22840" ht="12.75" hidden="1" customHeight="1" x14ac:dyDescent="0.2"/>
    <row r="22841" ht="12.75" hidden="1" customHeight="1" x14ac:dyDescent="0.2"/>
    <row r="22842" ht="12.75" hidden="1" customHeight="1" x14ac:dyDescent="0.2"/>
    <row r="22843" ht="12.75" hidden="1" customHeight="1" x14ac:dyDescent="0.2"/>
    <row r="22844" ht="12.75" hidden="1" customHeight="1" x14ac:dyDescent="0.2"/>
    <row r="22845" ht="12.75" hidden="1" customHeight="1" x14ac:dyDescent="0.2"/>
    <row r="22846" ht="12.75" hidden="1" customHeight="1" x14ac:dyDescent="0.2"/>
    <row r="22847" ht="12.75" hidden="1" customHeight="1" x14ac:dyDescent="0.2"/>
    <row r="22848" ht="12.75" hidden="1" customHeight="1" x14ac:dyDescent="0.2"/>
    <row r="22849" ht="12.75" hidden="1" customHeight="1" x14ac:dyDescent="0.2"/>
    <row r="22850" ht="12.75" hidden="1" customHeight="1" x14ac:dyDescent="0.2"/>
    <row r="22851" ht="12.75" hidden="1" customHeight="1" x14ac:dyDescent="0.2"/>
    <row r="22852" ht="12.75" hidden="1" customHeight="1" x14ac:dyDescent="0.2"/>
    <row r="22853" ht="12.75" hidden="1" customHeight="1" x14ac:dyDescent="0.2"/>
    <row r="22854" ht="12.75" hidden="1" customHeight="1" x14ac:dyDescent="0.2"/>
    <row r="22855" ht="12.75" hidden="1" customHeight="1" x14ac:dyDescent="0.2"/>
    <row r="22856" ht="12.75" hidden="1" customHeight="1" x14ac:dyDescent="0.2"/>
    <row r="22857" ht="12.75" hidden="1" customHeight="1" x14ac:dyDescent="0.2"/>
    <row r="22858" ht="12.75" hidden="1" customHeight="1" x14ac:dyDescent="0.2"/>
    <row r="22859" ht="12.75" hidden="1" customHeight="1" x14ac:dyDescent="0.2"/>
    <row r="22860" ht="12.75" hidden="1" customHeight="1" x14ac:dyDescent="0.2"/>
    <row r="22861" ht="12.75" hidden="1" customHeight="1" x14ac:dyDescent="0.2"/>
    <row r="22862" ht="12.75" hidden="1" customHeight="1" x14ac:dyDescent="0.2"/>
    <row r="22863" ht="12.75" hidden="1" customHeight="1" x14ac:dyDescent="0.2"/>
    <row r="22864" ht="12.75" hidden="1" customHeight="1" x14ac:dyDescent="0.2"/>
    <row r="22865" ht="12.75" hidden="1" customHeight="1" x14ac:dyDescent="0.2"/>
    <row r="22866" ht="12.75" hidden="1" customHeight="1" x14ac:dyDescent="0.2"/>
    <row r="22867" ht="12.75" hidden="1" customHeight="1" x14ac:dyDescent="0.2"/>
    <row r="22868" ht="12.75" hidden="1" customHeight="1" x14ac:dyDescent="0.2"/>
    <row r="22869" ht="12.75" hidden="1" customHeight="1" x14ac:dyDescent="0.2"/>
    <row r="22870" ht="12.75" hidden="1" customHeight="1" x14ac:dyDescent="0.2"/>
    <row r="22871" ht="12.75" hidden="1" customHeight="1" x14ac:dyDescent="0.2"/>
    <row r="22872" ht="12.75" hidden="1" customHeight="1" x14ac:dyDescent="0.2"/>
    <row r="22873" ht="12.75" hidden="1" customHeight="1" x14ac:dyDescent="0.2"/>
    <row r="22874" ht="12.75" hidden="1" customHeight="1" x14ac:dyDescent="0.2"/>
    <row r="22875" ht="12.75" hidden="1" customHeight="1" x14ac:dyDescent="0.2"/>
    <row r="22876" ht="12.75" hidden="1" customHeight="1" x14ac:dyDescent="0.2"/>
    <row r="22877" ht="12.75" hidden="1" customHeight="1" x14ac:dyDescent="0.2"/>
    <row r="22878" ht="12.75" hidden="1" customHeight="1" x14ac:dyDescent="0.2"/>
    <row r="22879" ht="12.75" hidden="1" customHeight="1" x14ac:dyDescent="0.2"/>
    <row r="22880" ht="12.75" hidden="1" customHeight="1" x14ac:dyDescent="0.2"/>
    <row r="22881" ht="12.75" hidden="1" customHeight="1" x14ac:dyDescent="0.2"/>
    <row r="22882" ht="12.75" hidden="1" customHeight="1" x14ac:dyDescent="0.2"/>
    <row r="22883" ht="12.75" hidden="1" customHeight="1" x14ac:dyDescent="0.2"/>
    <row r="22884" ht="12.75" hidden="1" customHeight="1" x14ac:dyDescent="0.2"/>
    <row r="22885" ht="12.75" hidden="1" customHeight="1" x14ac:dyDescent="0.2"/>
    <row r="22886" ht="12.75" hidden="1" customHeight="1" x14ac:dyDescent="0.2"/>
    <row r="22887" ht="12.75" hidden="1" customHeight="1" x14ac:dyDescent="0.2"/>
    <row r="22888" ht="12.75" hidden="1" customHeight="1" x14ac:dyDescent="0.2"/>
    <row r="22889" ht="12.75" hidden="1" customHeight="1" x14ac:dyDescent="0.2"/>
    <row r="22890" ht="12.75" hidden="1" customHeight="1" x14ac:dyDescent="0.2"/>
    <row r="22891" ht="12.75" hidden="1" customHeight="1" x14ac:dyDescent="0.2"/>
    <row r="22892" ht="12.75" hidden="1" customHeight="1" x14ac:dyDescent="0.2"/>
    <row r="22893" ht="12.75" hidden="1" customHeight="1" x14ac:dyDescent="0.2"/>
    <row r="22894" ht="12.75" hidden="1" customHeight="1" x14ac:dyDescent="0.2"/>
    <row r="22895" ht="12.75" hidden="1" customHeight="1" x14ac:dyDescent="0.2"/>
    <row r="22896" ht="12.75" hidden="1" customHeight="1" x14ac:dyDescent="0.2"/>
    <row r="22897" ht="12.75" hidden="1" customHeight="1" x14ac:dyDescent="0.2"/>
    <row r="22898" ht="12.75" hidden="1" customHeight="1" x14ac:dyDescent="0.2"/>
    <row r="22899" ht="12.75" hidden="1" customHeight="1" x14ac:dyDescent="0.2"/>
    <row r="22900" ht="12.75" hidden="1" customHeight="1" x14ac:dyDescent="0.2"/>
    <row r="22901" ht="12.75" hidden="1" customHeight="1" x14ac:dyDescent="0.2"/>
    <row r="22902" ht="12.75" hidden="1" customHeight="1" x14ac:dyDescent="0.2"/>
    <row r="22903" ht="12.75" hidden="1" customHeight="1" x14ac:dyDescent="0.2"/>
    <row r="22904" ht="12.75" hidden="1" customHeight="1" x14ac:dyDescent="0.2"/>
    <row r="22905" ht="12.75" hidden="1" customHeight="1" x14ac:dyDescent="0.2"/>
    <row r="22906" ht="12.75" hidden="1" customHeight="1" x14ac:dyDescent="0.2"/>
    <row r="22907" ht="12.75" hidden="1" customHeight="1" x14ac:dyDescent="0.2"/>
    <row r="22908" ht="12.75" hidden="1" customHeight="1" x14ac:dyDescent="0.2"/>
    <row r="22909" ht="12.75" hidden="1" customHeight="1" x14ac:dyDescent="0.2"/>
    <row r="22910" ht="12.75" hidden="1" customHeight="1" x14ac:dyDescent="0.2"/>
    <row r="22911" ht="12.75" hidden="1" customHeight="1" x14ac:dyDescent="0.2"/>
    <row r="22912" ht="12.75" hidden="1" customHeight="1" x14ac:dyDescent="0.2"/>
    <row r="22913" ht="12.75" hidden="1" customHeight="1" x14ac:dyDescent="0.2"/>
    <row r="22914" ht="12.75" hidden="1" customHeight="1" x14ac:dyDescent="0.2"/>
    <row r="22915" ht="12.75" hidden="1" customHeight="1" x14ac:dyDescent="0.2"/>
    <row r="22916" ht="12.75" hidden="1" customHeight="1" x14ac:dyDescent="0.2"/>
    <row r="22917" ht="12.75" hidden="1" customHeight="1" x14ac:dyDescent="0.2"/>
    <row r="22918" ht="12.75" hidden="1" customHeight="1" x14ac:dyDescent="0.2"/>
    <row r="22919" ht="12.75" hidden="1" customHeight="1" x14ac:dyDescent="0.2"/>
    <row r="22920" ht="12.75" hidden="1" customHeight="1" x14ac:dyDescent="0.2"/>
    <row r="22921" ht="12.75" hidden="1" customHeight="1" x14ac:dyDescent="0.2"/>
    <row r="22922" ht="12.75" hidden="1" customHeight="1" x14ac:dyDescent="0.2"/>
    <row r="22923" ht="12.75" hidden="1" customHeight="1" x14ac:dyDescent="0.2"/>
    <row r="22924" ht="12.75" hidden="1" customHeight="1" x14ac:dyDescent="0.2"/>
    <row r="22925" ht="12.75" hidden="1" customHeight="1" x14ac:dyDescent="0.2"/>
    <row r="22926" ht="12.75" hidden="1" customHeight="1" x14ac:dyDescent="0.2"/>
    <row r="22927" ht="12.75" hidden="1" customHeight="1" x14ac:dyDescent="0.2"/>
    <row r="22928" ht="12.75" hidden="1" customHeight="1" x14ac:dyDescent="0.2"/>
    <row r="22929" ht="12.75" hidden="1" customHeight="1" x14ac:dyDescent="0.2"/>
    <row r="22930" ht="12.75" hidden="1" customHeight="1" x14ac:dyDescent="0.2"/>
    <row r="22931" ht="12.75" hidden="1" customHeight="1" x14ac:dyDescent="0.2"/>
    <row r="22932" ht="12.75" hidden="1" customHeight="1" x14ac:dyDescent="0.2"/>
    <row r="22933" ht="12.75" hidden="1" customHeight="1" x14ac:dyDescent="0.2"/>
    <row r="22934" ht="12.75" hidden="1" customHeight="1" x14ac:dyDescent="0.2"/>
    <row r="22935" ht="12.75" hidden="1" customHeight="1" x14ac:dyDescent="0.2"/>
    <row r="22936" ht="12.75" hidden="1" customHeight="1" x14ac:dyDescent="0.2"/>
    <row r="22937" ht="12.75" hidden="1" customHeight="1" x14ac:dyDescent="0.2"/>
    <row r="22938" ht="12.75" hidden="1" customHeight="1" x14ac:dyDescent="0.2"/>
    <row r="22939" ht="12.75" hidden="1" customHeight="1" x14ac:dyDescent="0.2"/>
    <row r="22940" ht="12.75" hidden="1" customHeight="1" x14ac:dyDescent="0.2"/>
    <row r="22941" ht="12.75" hidden="1" customHeight="1" x14ac:dyDescent="0.2"/>
    <row r="22942" ht="12.75" hidden="1" customHeight="1" x14ac:dyDescent="0.2"/>
    <row r="22943" ht="12.75" hidden="1" customHeight="1" x14ac:dyDescent="0.2"/>
    <row r="22944" ht="12.75" hidden="1" customHeight="1" x14ac:dyDescent="0.2"/>
    <row r="22945" ht="12.75" hidden="1" customHeight="1" x14ac:dyDescent="0.2"/>
    <row r="22946" ht="12.75" hidden="1" customHeight="1" x14ac:dyDescent="0.2"/>
    <row r="22947" ht="12.75" hidden="1" customHeight="1" x14ac:dyDescent="0.2"/>
    <row r="22948" ht="12.75" hidden="1" customHeight="1" x14ac:dyDescent="0.2"/>
    <row r="22949" ht="12.75" hidden="1" customHeight="1" x14ac:dyDescent="0.2"/>
    <row r="22950" ht="12.75" hidden="1" customHeight="1" x14ac:dyDescent="0.2"/>
    <row r="22951" ht="12.75" hidden="1" customHeight="1" x14ac:dyDescent="0.2"/>
    <row r="22952" ht="12.75" hidden="1" customHeight="1" x14ac:dyDescent="0.2"/>
    <row r="22953" ht="12.75" hidden="1" customHeight="1" x14ac:dyDescent="0.2"/>
    <row r="22954" ht="12.75" hidden="1" customHeight="1" x14ac:dyDescent="0.2"/>
    <row r="22955" ht="12.75" hidden="1" customHeight="1" x14ac:dyDescent="0.2"/>
    <row r="22956" ht="12.75" hidden="1" customHeight="1" x14ac:dyDescent="0.2"/>
    <row r="22957" ht="12.75" hidden="1" customHeight="1" x14ac:dyDescent="0.2"/>
    <row r="22958" ht="12.75" hidden="1" customHeight="1" x14ac:dyDescent="0.2"/>
    <row r="22959" ht="12.75" hidden="1" customHeight="1" x14ac:dyDescent="0.2"/>
    <row r="22960" ht="12.75" hidden="1" customHeight="1" x14ac:dyDescent="0.2"/>
    <row r="22961" ht="12.75" hidden="1" customHeight="1" x14ac:dyDescent="0.2"/>
    <row r="22962" ht="12.75" hidden="1" customHeight="1" x14ac:dyDescent="0.2"/>
    <row r="22963" ht="12.75" hidden="1" customHeight="1" x14ac:dyDescent="0.2"/>
    <row r="22964" ht="12.75" hidden="1" customHeight="1" x14ac:dyDescent="0.2"/>
    <row r="22965" ht="12.75" hidden="1" customHeight="1" x14ac:dyDescent="0.2"/>
    <row r="22966" ht="12.75" hidden="1" customHeight="1" x14ac:dyDescent="0.2"/>
    <row r="22967" ht="12.75" hidden="1" customHeight="1" x14ac:dyDescent="0.2"/>
    <row r="22968" ht="12.75" hidden="1" customHeight="1" x14ac:dyDescent="0.2"/>
    <row r="22969" ht="12.75" hidden="1" customHeight="1" x14ac:dyDescent="0.2"/>
    <row r="22970" ht="12.75" hidden="1" customHeight="1" x14ac:dyDescent="0.2"/>
    <row r="22971" ht="12.75" hidden="1" customHeight="1" x14ac:dyDescent="0.2"/>
    <row r="22972" ht="12.75" hidden="1" customHeight="1" x14ac:dyDescent="0.2"/>
    <row r="22973" ht="12.75" hidden="1" customHeight="1" x14ac:dyDescent="0.2"/>
    <row r="22974" ht="12.75" hidden="1" customHeight="1" x14ac:dyDescent="0.2"/>
    <row r="22975" ht="12.75" hidden="1" customHeight="1" x14ac:dyDescent="0.2"/>
    <row r="22976" ht="12.75" hidden="1" customHeight="1" x14ac:dyDescent="0.2"/>
    <row r="22977" ht="12.75" hidden="1" customHeight="1" x14ac:dyDescent="0.2"/>
    <row r="22978" ht="12.75" hidden="1" customHeight="1" x14ac:dyDescent="0.2"/>
    <row r="22979" ht="12.75" hidden="1" customHeight="1" x14ac:dyDescent="0.2"/>
    <row r="22980" ht="12.75" hidden="1" customHeight="1" x14ac:dyDescent="0.2"/>
    <row r="22981" ht="12.75" hidden="1" customHeight="1" x14ac:dyDescent="0.2"/>
    <row r="22982" ht="12.75" hidden="1" customHeight="1" x14ac:dyDescent="0.2"/>
    <row r="22983" ht="12.75" hidden="1" customHeight="1" x14ac:dyDescent="0.2"/>
    <row r="22984" ht="12.75" hidden="1" customHeight="1" x14ac:dyDescent="0.2"/>
    <row r="22985" ht="12.75" hidden="1" customHeight="1" x14ac:dyDescent="0.2"/>
    <row r="22986" ht="12.75" hidden="1" customHeight="1" x14ac:dyDescent="0.2"/>
    <row r="22987" ht="12.75" hidden="1" customHeight="1" x14ac:dyDescent="0.2"/>
    <row r="22988" ht="12.75" hidden="1" customHeight="1" x14ac:dyDescent="0.2"/>
    <row r="22989" ht="12.75" hidden="1" customHeight="1" x14ac:dyDescent="0.2"/>
    <row r="22990" ht="12.75" hidden="1" customHeight="1" x14ac:dyDescent="0.2"/>
    <row r="22991" ht="12.75" hidden="1" customHeight="1" x14ac:dyDescent="0.2"/>
    <row r="22992" ht="12.75" hidden="1" customHeight="1" x14ac:dyDescent="0.2"/>
    <row r="22993" ht="12.75" hidden="1" customHeight="1" x14ac:dyDescent="0.2"/>
    <row r="22994" ht="12.75" hidden="1" customHeight="1" x14ac:dyDescent="0.2"/>
    <row r="22995" ht="12.75" hidden="1" customHeight="1" x14ac:dyDescent="0.2"/>
    <row r="22996" ht="12.75" hidden="1" customHeight="1" x14ac:dyDescent="0.2"/>
    <row r="22997" ht="12.75" hidden="1" customHeight="1" x14ac:dyDescent="0.2"/>
    <row r="22998" ht="12.75" hidden="1" customHeight="1" x14ac:dyDescent="0.2"/>
    <row r="22999" ht="12.75" hidden="1" customHeight="1" x14ac:dyDescent="0.2"/>
    <row r="23000" ht="12.75" hidden="1" customHeight="1" x14ac:dyDescent="0.2"/>
    <row r="23001" ht="12.75" hidden="1" customHeight="1" x14ac:dyDescent="0.2"/>
    <row r="23002" ht="12.75" hidden="1" customHeight="1" x14ac:dyDescent="0.2"/>
    <row r="23003" ht="12.75" hidden="1" customHeight="1" x14ac:dyDescent="0.2"/>
    <row r="23004" ht="12.75" hidden="1" customHeight="1" x14ac:dyDescent="0.2"/>
    <row r="23005" ht="12.75" hidden="1" customHeight="1" x14ac:dyDescent="0.2"/>
    <row r="23006" ht="12.75" hidden="1" customHeight="1" x14ac:dyDescent="0.2"/>
    <row r="23007" ht="12.75" hidden="1" customHeight="1" x14ac:dyDescent="0.2"/>
    <row r="23008" ht="12.75" hidden="1" customHeight="1" x14ac:dyDescent="0.2"/>
    <row r="23009" ht="12.75" hidden="1" customHeight="1" x14ac:dyDescent="0.2"/>
    <row r="23010" ht="12.75" hidden="1" customHeight="1" x14ac:dyDescent="0.2"/>
    <row r="23011" ht="12.75" hidden="1" customHeight="1" x14ac:dyDescent="0.2"/>
    <row r="23012" ht="12.75" hidden="1" customHeight="1" x14ac:dyDescent="0.2"/>
    <row r="23013" ht="12.75" hidden="1" customHeight="1" x14ac:dyDescent="0.2"/>
    <row r="23014" ht="12.75" hidden="1" customHeight="1" x14ac:dyDescent="0.2"/>
    <row r="23015" ht="12.75" hidden="1" customHeight="1" x14ac:dyDescent="0.2"/>
    <row r="23016" ht="12.75" hidden="1" customHeight="1" x14ac:dyDescent="0.2"/>
    <row r="23017" ht="12.75" hidden="1" customHeight="1" x14ac:dyDescent="0.2"/>
    <row r="23018" ht="12.75" hidden="1" customHeight="1" x14ac:dyDescent="0.2"/>
    <row r="23019" ht="12.75" hidden="1" customHeight="1" x14ac:dyDescent="0.2"/>
    <row r="23020" ht="12.75" hidden="1" customHeight="1" x14ac:dyDescent="0.2"/>
    <row r="23021" ht="12.75" hidden="1" customHeight="1" x14ac:dyDescent="0.2"/>
    <row r="23022" ht="12.75" hidden="1" customHeight="1" x14ac:dyDescent="0.2"/>
    <row r="23023" ht="12.75" hidden="1" customHeight="1" x14ac:dyDescent="0.2"/>
    <row r="23024" ht="12.75" hidden="1" customHeight="1" x14ac:dyDescent="0.2"/>
    <row r="23025" ht="12.75" hidden="1" customHeight="1" x14ac:dyDescent="0.2"/>
    <row r="23026" ht="12.75" hidden="1" customHeight="1" x14ac:dyDescent="0.2"/>
    <row r="23027" ht="12.75" hidden="1" customHeight="1" x14ac:dyDescent="0.2"/>
    <row r="23028" ht="12.75" hidden="1" customHeight="1" x14ac:dyDescent="0.2"/>
    <row r="23029" ht="12.75" hidden="1" customHeight="1" x14ac:dyDescent="0.2"/>
    <row r="23030" ht="12.75" hidden="1" customHeight="1" x14ac:dyDescent="0.2"/>
    <row r="23031" ht="12.75" hidden="1" customHeight="1" x14ac:dyDescent="0.2"/>
    <row r="23032" ht="12.75" hidden="1" customHeight="1" x14ac:dyDescent="0.2"/>
    <row r="23033" ht="12.75" hidden="1" customHeight="1" x14ac:dyDescent="0.2"/>
    <row r="23034" ht="12.75" hidden="1" customHeight="1" x14ac:dyDescent="0.2"/>
    <row r="23035" ht="12.75" hidden="1" customHeight="1" x14ac:dyDescent="0.2"/>
    <row r="23036" ht="12.75" hidden="1" customHeight="1" x14ac:dyDescent="0.2"/>
    <row r="23037" ht="12.75" hidden="1" customHeight="1" x14ac:dyDescent="0.2"/>
    <row r="23038" ht="12.75" hidden="1" customHeight="1" x14ac:dyDescent="0.2"/>
    <row r="23039" ht="12.75" hidden="1" customHeight="1" x14ac:dyDescent="0.2"/>
    <row r="23040" ht="12.75" hidden="1" customHeight="1" x14ac:dyDescent="0.2"/>
    <row r="23041" ht="12.75" hidden="1" customHeight="1" x14ac:dyDescent="0.2"/>
    <row r="23042" ht="12.75" hidden="1" customHeight="1" x14ac:dyDescent="0.2"/>
    <row r="23043" ht="12.75" hidden="1" customHeight="1" x14ac:dyDescent="0.2"/>
    <row r="23044" ht="12.75" hidden="1" customHeight="1" x14ac:dyDescent="0.2"/>
    <row r="23045" ht="12.75" hidden="1" customHeight="1" x14ac:dyDescent="0.2"/>
    <row r="23046" ht="12.75" hidden="1" customHeight="1" x14ac:dyDescent="0.2"/>
    <row r="23047" ht="12.75" hidden="1" customHeight="1" x14ac:dyDescent="0.2"/>
    <row r="23048" ht="12.75" hidden="1" customHeight="1" x14ac:dyDescent="0.2"/>
    <row r="23049" ht="12.75" hidden="1" customHeight="1" x14ac:dyDescent="0.2"/>
    <row r="23050" ht="12.75" hidden="1" customHeight="1" x14ac:dyDescent="0.2"/>
    <row r="23051" ht="12.75" hidden="1" customHeight="1" x14ac:dyDescent="0.2"/>
    <row r="23052" ht="12.75" hidden="1" customHeight="1" x14ac:dyDescent="0.2"/>
    <row r="23053" ht="12.75" hidden="1" customHeight="1" x14ac:dyDescent="0.2"/>
    <row r="23054" ht="12.75" hidden="1" customHeight="1" x14ac:dyDescent="0.2"/>
    <row r="23055" ht="12.75" hidden="1" customHeight="1" x14ac:dyDescent="0.2"/>
    <row r="23056" ht="12.75" hidden="1" customHeight="1" x14ac:dyDescent="0.2"/>
    <row r="23057" ht="12.75" hidden="1" customHeight="1" x14ac:dyDescent="0.2"/>
    <row r="23058" ht="12.75" hidden="1" customHeight="1" x14ac:dyDescent="0.2"/>
    <row r="23059" ht="12.75" hidden="1" customHeight="1" x14ac:dyDescent="0.2"/>
    <row r="23060" ht="12.75" hidden="1" customHeight="1" x14ac:dyDescent="0.2"/>
    <row r="23061" ht="12.75" hidden="1" customHeight="1" x14ac:dyDescent="0.2"/>
    <row r="23062" ht="12.75" hidden="1" customHeight="1" x14ac:dyDescent="0.2"/>
    <row r="23063" ht="12.75" hidden="1" customHeight="1" x14ac:dyDescent="0.2"/>
    <row r="23064" ht="12.75" hidden="1" customHeight="1" x14ac:dyDescent="0.2"/>
    <row r="23065" ht="12.75" hidden="1" customHeight="1" x14ac:dyDescent="0.2"/>
    <row r="23066" ht="12.75" hidden="1" customHeight="1" x14ac:dyDescent="0.2"/>
    <row r="23067" ht="12.75" hidden="1" customHeight="1" x14ac:dyDescent="0.2"/>
    <row r="23068" ht="12.75" hidden="1" customHeight="1" x14ac:dyDescent="0.2"/>
    <row r="23069" ht="12.75" hidden="1" customHeight="1" x14ac:dyDescent="0.2"/>
    <row r="23070" ht="12.75" hidden="1" customHeight="1" x14ac:dyDescent="0.2"/>
    <row r="23071" ht="12.75" hidden="1" customHeight="1" x14ac:dyDescent="0.2"/>
    <row r="23072" ht="12.75" hidden="1" customHeight="1" x14ac:dyDescent="0.2"/>
    <row r="23073" ht="12.75" hidden="1" customHeight="1" x14ac:dyDescent="0.2"/>
    <row r="23074" ht="12.75" hidden="1" customHeight="1" x14ac:dyDescent="0.2"/>
    <row r="23075" ht="12.75" hidden="1" customHeight="1" x14ac:dyDescent="0.2"/>
    <row r="23076" ht="12.75" hidden="1" customHeight="1" x14ac:dyDescent="0.2"/>
    <row r="23077" ht="12.75" hidden="1" customHeight="1" x14ac:dyDescent="0.2"/>
    <row r="23078" ht="12.75" hidden="1" customHeight="1" x14ac:dyDescent="0.2"/>
    <row r="23079" ht="12.75" hidden="1" customHeight="1" x14ac:dyDescent="0.2"/>
    <row r="23080" ht="12.75" hidden="1" customHeight="1" x14ac:dyDescent="0.2"/>
    <row r="23081" ht="12.75" hidden="1" customHeight="1" x14ac:dyDescent="0.2"/>
    <row r="23082" ht="12.75" hidden="1" customHeight="1" x14ac:dyDescent="0.2"/>
    <row r="23083" ht="12.75" hidden="1" customHeight="1" x14ac:dyDescent="0.2"/>
    <row r="23084" ht="12.75" hidden="1" customHeight="1" x14ac:dyDescent="0.2"/>
    <row r="23085" ht="12.75" hidden="1" customHeight="1" x14ac:dyDescent="0.2"/>
    <row r="23086" ht="12.75" hidden="1" customHeight="1" x14ac:dyDescent="0.2"/>
    <row r="23087" ht="12.75" hidden="1" customHeight="1" x14ac:dyDescent="0.2"/>
    <row r="23088" ht="12.75" hidden="1" customHeight="1" x14ac:dyDescent="0.2"/>
    <row r="23089" ht="12.75" hidden="1" customHeight="1" x14ac:dyDescent="0.2"/>
    <row r="23090" ht="12.75" hidden="1" customHeight="1" x14ac:dyDescent="0.2"/>
    <row r="23091" ht="12.75" hidden="1" customHeight="1" x14ac:dyDescent="0.2"/>
    <row r="23092" ht="12.75" hidden="1" customHeight="1" x14ac:dyDescent="0.2"/>
    <row r="23093" ht="12.75" hidden="1" customHeight="1" x14ac:dyDescent="0.2"/>
    <row r="23094" ht="12.75" hidden="1" customHeight="1" x14ac:dyDescent="0.2"/>
    <row r="23095" ht="12.75" hidden="1" customHeight="1" x14ac:dyDescent="0.2"/>
    <row r="23096" ht="12.75" hidden="1" customHeight="1" x14ac:dyDescent="0.2"/>
    <row r="23097" ht="12.75" hidden="1" customHeight="1" x14ac:dyDescent="0.2"/>
    <row r="23098" ht="12.75" hidden="1" customHeight="1" x14ac:dyDescent="0.2"/>
    <row r="23099" ht="12.75" hidden="1" customHeight="1" x14ac:dyDescent="0.2"/>
    <row r="23100" ht="12.75" hidden="1" customHeight="1" x14ac:dyDescent="0.2"/>
    <row r="23101" ht="12.75" hidden="1" customHeight="1" x14ac:dyDescent="0.2"/>
    <row r="23102" ht="12.75" hidden="1" customHeight="1" x14ac:dyDescent="0.2"/>
    <row r="23103" ht="12.75" hidden="1" customHeight="1" x14ac:dyDescent="0.2"/>
    <row r="23104" ht="12.75" hidden="1" customHeight="1" x14ac:dyDescent="0.2"/>
    <row r="23105" ht="12.75" hidden="1" customHeight="1" x14ac:dyDescent="0.2"/>
    <row r="23106" ht="12.75" hidden="1" customHeight="1" x14ac:dyDescent="0.2"/>
    <row r="23107" ht="12.75" hidden="1" customHeight="1" x14ac:dyDescent="0.2"/>
    <row r="23108" ht="12.75" hidden="1" customHeight="1" x14ac:dyDescent="0.2"/>
    <row r="23109" ht="12.75" hidden="1" customHeight="1" x14ac:dyDescent="0.2"/>
    <row r="23110" ht="12.75" hidden="1" customHeight="1" x14ac:dyDescent="0.2"/>
    <row r="23111" ht="12.75" hidden="1" customHeight="1" x14ac:dyDescent="0.2"/>
    <row r="23112" ht="12.75" hidden="1" customHeight="1" x14ac:dyDescent="0.2"/>
    <row r="23113" ht="12.75" hidden="1" customHeight="1" x14ac:dyDescent="0.2"/>
    <row r="23114" ht="12.75" hidden="1" customHeight="1" x14ac:dyDescent="0.2"/>
    <row r="23115" ht="12.75" hidden="1" customHeight="1" x14ac:dyDescent="0.2"/>
    <row r="23116" ht="12.75" hidden="1" customHeight="1" x14ac:dyDescent="0.2"/>
    <row r="23117" ht="12.75" hidden="1" customHeight="1" x14ac:dyDescent="0.2"/>
    <row r="23118" ht="12.75" hidden="1" customHeight="1" x14ac:dyDescent="0.2"/>
    <row r="23119" ht="12.75" hidden="1" customHeight="1" x14ac:dyDescent="0.2"/>
    <row r="23120" ht="12.75" hidden="1" customHeight="1" x14ac:dyDescent="0.2"/>
    <row r="23121" ht="12.75" hidden="1" customHeight="1" x14ac:dyDescent="0.2"/>
    <row r="23122" ht="12.75" hidden="1" customHeight="1" x14ac:dyDescent="0.2"/>
    <row r="23123" ht="12.75" hidden="1" customHeight="1" x14ac:dyDescent="0.2"/>
    <row r="23124" ht="12.75" hidden="1" customHeight="1" x14ac:dyDescent="0.2"/>
    <row r="23125" ht="12.75" hidden="1" customHeight="1" x14ac:dyDescent="0.2"/>
    <row r="23126" ht="12.75" hidden="1" customHeight="1" x14ac:dyDescent="0.2"/>
    <row r="23127" ht="12.75" hidden="1" customHeight="1" x14ac:dyDescent="0.2"/>
    <row r="23128" ht="12.75" hidden="1" customHeight="1" x14ac:dyDescent="0.2"/>
    <row r="23129" ht="12.75" hidden="1" customHeight="1" x14ac:dyDescent="0.2"/>
    <row r="23130" ht="12.75" hidden="1" customHeight="1" x14ac:dyDescent="0.2"/>
    <row r="23131" ht="12.75" hidden="1" customHeight="1" x14ac:dyDescent="0.2"/>
    <row r="23132" ht="12.75" hidden="1" customHeight="1" x14ac:dyDescent="0.2"/>
    <row r="23133" ht="12.75" hidden="1" customHeight="1" x14ac:dyDescent="0.2"/>
    <row r="23134" ht="12.75" hidden="1" customHeight="1" x14ac:dyDescent="0.2"/>
    <row r="23135" ht="12.75" hidden="1" customHeight="1" x14ac:dyDescent="0.2"/>
    <row r="23136" ht="12.75" hidden="1" customHeight="1" x14ac:dyDescent="0.2"/>
    <row r="23137" ht="12.75" hidden="1" customHeight="1" x14ac:dyDescent="0.2"/>
    <row r="23138" ht="12.75" hidden="1" customHeight="1" x14ac:dyDescent="0.2"/>
    <row r="23139" ht="12.75" hidden="1" customHeight="1" x14ac:dyDescent="0.2"/>
    <row r="23140" ht="12.75" hidden="1" customHeight="1" x14ac:dyDescent="0.2"/>
    <row r="23141" ht="12.75" hidden="1" customHeight="1" x14ac:dyDescent="0.2"/>
    <row r="23142" ht="12.75" hidden="1" customHeight="1" x14ac:dyDescent="0.2"/>
    <row r="23143" ht="12.75" hidden="1" customHeight="1" x14ac:dyDescent="0.2"/>
    <row r="23144" ht="12.75" hidden="1" customHeight="1" x14ac:dyDescent="0.2"/>
    <row r="23145" ht="12.75" hidden="1" customHeight="1" x14ac:dyDescent="0.2"/>
    <row r="23146" ht="12.75" hidden="1" customHeight="1" x14ac:dyDescent="0.2"/>
    <row r="23147" ht="12.75" hidden="1" customHeight="1" x14ac:dyDescent="0.2"/>
    <row r="23148" ht="12.75" hidden="1" customHeight="1" x14ac:dyDescent="0.2"/>
    <row r="23149" ht="12.75" hidden="1" customHeight="1" x14ac:dyDescent="0.2"/>
    <row r="23150" ht="12.75" hidden="1" customHeight="1" x14ac:dyDescent="0.2"/>
    <row r="23151" ht="12.75" hidden="1" customHeight="1" x14ac:dyDescent="0.2"/>
    <row r="23152" ht="12.75" hidden="1" customHeight="1" x14ac:dyDescent="0.2"/>
    <row r="23153" ht="12.75" hidden="1" customHeight="1" x14ac:dyDescent="0.2"/>
    <row r="23154" ht="12.75" hidden="1" customHeight="1" x14ac:dyDescent="0.2"/>
    <row r="23155" ht="12.75" hidden="1" customHeight="1" x14ac:dyDescent="0.2"/>
    <row r="23156" ht="12.75" hidden="1" customHeight="1" x14ac:dyDescent="0.2"/>
    <row r="23157" ht="12.75" hidden="1" customHeight="1" x14ac:dyDescent="0.2"/>
    <row r="23158" ht="12.75" hidden="1" customHeight="1" x14ac:dyDescent="0.2"/>
    <row r="23159" ht="12.75" hidden="1" customHeight="1" x14ac:dyDescent="0.2"/>
    <row r="23160" ht="12.75" hidden="1" customHeight="1" x14ac:dyDescent="0.2"/>
    <row r="23161" ht="12.75" hidden="1" customHeight="1" x14ac:dyDescent="0.2"/>
    <row r="23162" ht="12.75" hidden="1" customHeight="1" x14ac:dyDescent="0.2"/>
    <row r="23163" ht="12.75" hidden="1" customHeight="1" x14ac:dyDescent="0.2"/>
    <row r="23164" ht="12.75" hidden="1" customHeight="1" x14ac:dyDescent="0.2"/>
    <row r="23165" ht="12.75" hidden="1" customHeight="1" x14ac:dyDescent="0.2"/>
    <row r="23166" ht="12.75" hidden="1" customHeight="1" x14ac:dyDescent="0.2"/>
    <row r="23167" ht="12.75" hidden="1" customHeight="1" x14ac:dyDescent="0.2"/>
    <row r="23168" ht="12.75" hidden="1" customHeight="1" x14ac:dyDescent="0.2"/>
    <row r="23169" ht="12.75" hidden="1" customHeight="1" x14ac:dyDescent="0.2"/>
    <row r="23170" ht="12.75" hidden="1" customHeight="1" x14ac:dyDescent="0.2"/>
    <row r="23171" ht="12.75" hidden="1" customHeight="1" x14ac:dyDescent="0.2"/>
    <row r="23172" ht="12.75" hidden="1" customHeight="1" x14ac:dyDescent="0.2"/>
    <row r="23173" ht="12.75" hidden="1" customHeight="1" x14ac:dyDescent="0.2"/>
    <row r="23174" ht="12.75" hidden="1" customHeight="1" x14ac:dyDescent="0.2"/>
    <row r="23175" ht="12.75" hidden="1" customHeight="1" x14ac:dyDescent="0.2"/>
    <row r="23176" ht="12.75" hidden="1" customHeight="1" x14ac:dyDescent="0.2"/>
    <row r="23177" ht="12.75" hidden="1" customHeight="1" x14ac:dyDescent="0.2"/>
    <row r="23178" ht="12.75" hidden="1" customHeight="1" x14ac:dyDescent="0.2"/>
    <row r="23179" ht="12.75" hidden="1" customHeight="1" x14ac:dyDescent="0.2"/>
    <row r="23180" ht="12.75" hidden="1" customHeight="1" x14ac:dyDescent="0.2"/>
    <row r="23181" ht="12.75" hidden="1" customHeight="1" x14ac:dyDescent="0.2"/>
    <row r="23182" ht="12.75" hidden="1" customHeight="1" x14ac:dyDescent="0.2"/>
    <row r="23183" ht="12.75" hidden="1" customHeight="1" x14ac:dyDescent="0.2"/>
    <row r="23184" ht="12.75" hidden="1" customHeight="1" x14ac:dyDescent="0.2"/>
    <row r="23185" ht="12.75" hidden="1" customHeight="1" x14ac:dyDescent="0.2"/>
    <row r="23186" ht="12.75" hidden="1" customHeight="1" x14ac:dyDescent="0.2"/>
    <row r="23187" ht="12.75" hidden="1" customHeight="1" x14ac:dyDescent="0.2"/>
    <row r="23188" ht="12.75" hidden="1" customHeight="1" x14ac:dyDescent="0.2"/>
    <row r="23189" ht="12.75" hidden="1" customHeight="1" x14ac:dyDescent="0.2"/>
    <row r="23190" ht="12.75" hidden="1" customHeight="1" x14ac:dyDescent="0.2"/>
    <row r="23191" ht="12.75" hidden="1" customHeight="1" x14ac:dyDescent="0.2"/>
    <row r="23192" ht="12.75" hidden="1" customHeight="1" x14ac:dyDescent="0.2"/>
    <row r="23193" ht="12.75" hidden="1" customHeight="1" x14ac:dyDescent="0.2"/>
    <row r="23194" ht="12.75" hidden="1" customHeight="1" x14ac:dyDescent="0.2"/>
    <row r="23195" ht="12.75" hidden="1" customHeight="1" x14ac:dyDescent="0.2"/>
    <row r="23196" ht="12.75" hidden="1" customHeight="1" x14ac:dyDescent="0.2"/>
    <row r="23197" ht="12.75" hidden="1" customHeight="1" x14ac:dyDescent="0.2"/>
    <row r="23198" ht="12.75" hidden="1" customHeight="1" x14ac:dyDescent="0.2"/>
    <row r="23199" ht="12.75" hidden="1" customHeight="1" x14ac:dyDescent="0.2"/>
    <row r="23200" ht="12.75" hidden="1" customHeight="1" x14ac:dyDescent="0.2"/>
    <row r="23201" ht="12.75" hidden="1" customHeight="1" x14ac:dyDescent="0.2"/>
    <row r="23202" ht="12.75" hidden="1" customHeight="1" x14ac:dyDescent="0.2"/>
    <row r="23203" ht="12.75" hidden="1" customHeight="1" x14ac:dyDescent="0.2"/>
    <row r="23204" ht="12.75" hidden="1" customHeight="1" x14ac:dyDescent="0.2"/>
    <row r="23205" ht="12.75" hidden="1" customHeight="1" x14ac:dyDescent="0.2"/>
    <row r="23206" ht="12.75" hidden="1" customHeight="1" x14ac:dyDescent="0.2"/>
    <row r="23207" ht="12.75" hidden="1" customHeight="1" x14ac:dyDescent="0.2"/>
    <row r="23208" ht="12.75" hidden="1" customHeight="1" x14ac:dyDescent="0.2"/>
    <row r="23209" ht="12.75" hidden="1" customHeight="1" x14ac:dyDescent="0.2"/>
    <row r="23210" ht="12.75" hidden="1" customHeight="1" x14ac:dyDescent="0.2"/>
    <row r="23211" ht="12.75" hidden="1" customHeight="1" x14ac:dyDescent="0.2"/>
    <row r="23212" ht="12.75" hidden="1" customHeight="1" x14ac:dyDescent="0.2"/>
    <row r="23213" ht="12.75" hidden="1" customHeight="1" x14ac:dyDescent="0.2"/>
    <row r="23214" ht="12.75" hidden="1" customHeight="1" x14ac:dyDescent="0.2"/>
    <row r="23215" ht="12.75" hidden="1" customHeight="1" x14ac:dyDescent="0.2"/>
    <row r="23216" ht="12.75" hidden="1" customHeight="1" x14ac:dyDescent="0.2"/>
    <row r="23217" ht="12.75" hidden="1" customHeight="1" x14ac:dyDescent="0.2"/>
    <row r="23218" ht="12.75" hidden="1" customHeight="1" x14ac:dyDescent="0.2"/>
    <row r="23219" ht="12.75" hidden="1" customHeight="1" x14ac:dyDescent="0.2"/>
    <row r="23220" ht="12.75" hidden="1" customHeight="1" x14ac:dyDescent="0.2"/>
    <row r="23221" ht="12.75" hidden="1" customHeight="1" x14ac:dyDescent="0.2"/>
    <row r="23222" ht="12.75" hidden="1" customHeight="1" x14ac:dyDescent="0.2"/>
    <row r="23223" ht="12.75" hidden="1" customHeight="1" x14ac:dyDescent="0.2"/>
    <row r="23224" ht="12.75" hidden="1" customHeight="1" x14ac:dyDescent="0.2"/>
    <row r="23225" ht="12.75" hidden="1" customHeight="1" x14ac:dyDescent="0.2"/>
    <row r="23226" ht="12.75" hidden="1" customHeight="1" x14ac:dyDescent="0.2"/>
    <row r="23227" ht="12.75" hidden="1" customHeight="1" x14ac:dyDescent="0.2"/>
    <row r="23228" ht="12.75" hidden="1" customHeight="1" x14ac:dyDescent="0.2"/>
    <row r="23229" ht="12.75" hidden="1" customHeight="1" x14ac:dyDescent="0.2"/>
    <row r="23230" ht="12.75" hidden="1" customHeight="1" x14ac:dyDescent="0.2"/>
    <row r="23231" ht="12.75" hidden="1" customHeight="1" x14ac:dyDescent="0.2"/>
    <row r="23232" ht="12.75" hidden="1" customHeight="1" x14ac:dyDescent="0.2"/>
    <row r="23233" ht="12.75" hidden="1" customHeight="1" x14ac:dyDescent="0.2"/>
    <row r="23234" ht="12.75" hidden="1" customHeight="1" x14ac:dyDescent="0.2"/>
    <row r="23235" ht="12.75" hidden="1" customHeight="1" x14ac:dyDescent="0.2"/>
    <row r="23236" ht="12.75" hidden="1" customHeight="1" x14ac:dyDescent="0.2"/>
    <row r="23237" ht="12.75" hidden="1" customHeight="1" x14ac:dyDescent="0.2"/>
    <row r="23238" ht="12.75" hidden="1" customHeight="1" x14ac:dyDescent="0.2"/>
    <row r="23239" ht="12.75" hidden="1" customHeight="1" x14ac:dyDescent="0.2"/>
    <row r="23240" ht="12.75" hidden="1" customHeight="1" x14ac:dyDescent="0.2"/>
    <row r="23241" ht="12.75" hidden="1" customHeight="1" x14ac:dyDescent="0.2"/>
    <row r="23242" ht="12.75" hidden="1" customHeight="1" x14ac:dyDescent="0.2"/>
    <row r="23243" ht="12.75" hidden="1" customHeight="1" x14ac:dyDescent="0.2"/>
    <row r="23244" ht="12.75" hidden="1" customHeight="1" x14ac:dyDescent="0.2"/>
    <row r="23245" ht="12.75" hidden="1" customHeight="1" x14ac:dyDescent="0.2"/>
    <row r="23246" ht="12.75" hidden="1" customHeight="1" x14ac:dyDescent="0.2"/>
    <row r="23247" ht="12.75" hidden="1" customHeight="1" x14ac:dyDescent="0.2"/>
    <row r="23248" ht="12.75" hidden="1" customHeight="1" x14ac:dyDescent="0.2"/>
    <row r="23249" ht="12.75" hidden="1" customHeight="1" x14ac:dyDescent="0.2"/>
    <row r="23250" ht="12.75" hidden="1" customHeight="1" x14ac:dyDescent="0.2"/>
    <row r="23251" ht="12.75" hidden="1" customHeight="1" x14ac:dyDescent="0.2"/>
    <row r="23252" ht="12.75" hidden="1" customHeight="1" x14ac:dyDescent="0.2"/>
    <row r="23253" ht="12.75" hidden="1" customHeight="1" x14ac:dyDescent="0.2"/>
    <row r="23254" ht="12.75" hidden="1" customHeight="1" x14ac:dyDescent="0.2"/>
    <row r="23255" ht="12.75" hidden="1" customHeight="1" x14ac:dyDescent="0.2"/>
    <row r="23256" ht="12.75" hidden="1" customHeight="1" x14ac:dyDescent="0.2"/>
    <row r="23257" ht="12.75" hidden="1" customHeight="1" x14ac:dyDescent="0.2"/>
    <row r="23258" ht="12.75" hidden="1" customHeight="1" x14ac:dyDescent="0.2"/>
    <row r="23259" ht="12.75" hidden="1" customHeight="1" x14ac:dyDescent="0.2"/>
    <row r="23260" ht="12.75" hidden="1" customHeight="1" x14ac:dyDescent="0.2"/>
    <row r="23261" ht="12.75" hidden="1" customHeight="1" x14ac:dyDescent="0.2"/>
    <row r="23262" ht="12.75" hidden="1" customHeight="1" x14ac:dyDescent="0.2"/>
    <row r="23263" ht="12.75" hidden="1" customHeight="1" x14ac:dyDescent="0.2"/>
    <row r="23264" ht="12.75" hidden="1" customHeight="1" x14ac:dyDescent="0.2"/>
    <row r="23265" ht="12.75" hidden="1" customHeight="1" x14ac:dyDescent="0.2"/>
    <row r="23266" ht="12.75" hidden="1" customHeight="1" x14ac:dyDescent="0.2"/>
    <row r="23267" ht="12.75" hidden="1" customHeight="1" x14ac:dyDescent="0.2"/>
    <row r="23268" ht="12.75" hidden="1" customHeight="1" x14ac:dyDescent="0.2"/>
    <row r="23269" ht="12.75" hidden="1" customHeight="1" x14ac:dyDescent="0.2"/>
    <row r="23270" ht="12.75" hidden="1" customHeight="1" x14ac:dyDescent="0.2"/>
    <row r="23271" ht="12.75" hidden="1" customHeight="1" x14ac:dyDescent="0.2"/>
    <row r="23272" ht="12.75" hidden="1" customHeight="1" x14ac:dyDescent="0.2"/>
    <row r="23273" ht="12.75" hidden="1" customHeight="1" x14ac:dyDescent="0.2"/>
    <row r="23274" ht="12.75" hidden="1" customHeight="1" x14ac:dyDescent="0.2"/>
    <row r="23275" ht="12.75" hidden="1" customHeight="1" x14ac:dyDescent="0.2"/>
    <row r="23276" ht="12.75" hidden="1" customHeight="1" x14ac:dyDescent="0.2"/>
    <row r="23277" ht="12.75" hidden="1" customHeight="1" x14ac:dyDescent="0.2"/>
    <row r="23278" ht="12.75" hidden="1" customHeight="1" x14ac:dyDescent="0.2"/>
    <row r="23279" ht="12.75" hidden="1" customHeight="1" x14ac:dyDescent="0.2"/>
    <row r="23280" ht="12.75" hidden="1" customHeight="1" x14ac:dyDescent="0.2"/>
    <row r="23281" ht="12.75" hidden="1" customHeight="1" x14ac:dyDescent="0.2"/>
    <row r="23282" ht="12.75" hidden="1" customHeight="1" x14ac:dyDescent="0.2"/>
    <row r="23283" ht="12.75" hidden="1" customHeight="1" x14ac:dyDescent="0.2"/>
    <row r="23284" ht="12.75" hidden="1" customHeight="1" x14ac:dyDescent="0.2"/>
    <row r="23285" ht="12.75" hidden="1" customHeight="1" x14ac:dyDescent="0.2"/>
    <row r="23286" ht="12.75" hidden="1" customHeight="1" x14ac:dyDescent="0.2"/>
    <row r="23287" ht="12.75" hidden="1" customHeight="1" x14ac:dyDescent="0.2"/>
    <row r="23288" ht="12.75" hidden="1" customHeight="1" x14ac:dyDescent="0.2"/>
    <row r="23289" ht="12.75" hidden="1" customHeight="1" x14ac:dyDescent="0.2"/>
    <row r="23290" ht="12.75" hidden="1" customHeight="1" x14ac:dyDescent="0.2"/>
    <row r="23291" ht="12.75" hidden="1" customHeight="1" x14ac:dyDescent="0.2"/>
    <row r="23292" ht="12.75" hidden="1" customHeight="1" x14ac:dyDescent="0.2"/>
    <row r="23293" ht="12.75" hidden="1" customHeight="1" x14ac:dyDescent="0.2"/>
    <row r="23294" ht="12.75" hidden="1" customHeight="1" x14ac:dyDescent="0.2"/>
    <row r="23295" ht="12.75" hidden="1" customHeight="1" x14ac:dyDescent="0.2"/>
    <row r="23296" ht="12.75" hidden="1" customHeight="1" x14ac:dyDescent="0.2"/>
    <row r="23297" ht="12.75" hidden="1" customHeight="1" x14ac:dyDescent="0.2"/>
    <row r="23298" ht="12.75" hidden="1" customHeight="1" x14ac:dyDescent="0.2"/>
    <row r="23299" ht="12.75" hidden="1" customHeight="1" x14ac:dyDescent="0.2"/>
    <row r="23300" ht="12.75" hidden="1" customHeight="1" x14ac:dyDescent="0.2"/>
    <row r="23301" ht="12.75" hidden="1" customHeight="1" x14ac:dyDescent="0.2"/>
    <row r="23302" ht="12.75" hidden="1" customHeight="1" x14ac:dyDescent="0.2"/>
    <row r="23303" ht="12.75" hidden="1" customHeight="1" x14ac:dyDescent="0.2"/>
    <row r="23304" ht="12.75" hidden="1" customHeight="1" x14ac:dyDescent="0.2"/>
    <row r="23305" ht="12.75" hidden="1" customHeight="1" x14ac:dyDescent="0.2"/>
    <row r="23306" ht="12.75" hidden="1" customHeight="1" x14ac:dyDescent="0.2"/>
    <row r="23307" ht="12.75" hidden="1" customHeight="1" x14ac:dyDescent="0.2"/>
    <row r="23308" ht="12.75" hidden="1" customHeight="1" x14ac:dyDescent="0.2"/>
    <row r="23309" ht="12.75" hidden="1" customHeight="1" x14ac:dyDescent="0.2"/>
    <row r="23310" ht="12.75" hidden="1" customHeight="1" x14ac:dyDescent="0.2"/>
    <row r="23311" ht="12.75" hidden="1" customHeight="1" x14ac:dyDescent="0.2"/>
    <row r="23312" ht="12.75" hidden="1" customHeight="1" x14ac:dyDescent="0.2"/>
    <row r="23313" ht="12.75" hidden="1" customHeight="1" x14ac:dyDescent="0.2"/>
    <row r="23314" ht="12.75" hidden="1" customHeight="1" x14ac:dyDescent="0.2"/>
    <row r="23315" ht="12.75" hidden="1" customHeight="1" x14ac:dyDescent="0.2"/>
    <row r="23316" ht="12.75" hidden="1" customHeight="1" x14ac:dyDescent="0.2"/>
    <row r="23317" ht="12.75" hidden="1" customHeight="1" x14ac:dyDescent="0.2"/>
    <row r="23318" ht="12.75" hidden="1" customHeight="1" x14ac:dyDescent="0.2"/>
    <row r="23319" ht="12.75" hidden="1" customHeight="1" x14ac:dyDescent="0.2"/>
    <row r="23320" ht="12.75" hidden="1" customHeight="1" x14ac:dyDescent="0.2"/>
    <row r="23321" ht="12.75" hidden="1" customHeight="1" x14ac:dyDescent="0.2"/>
    <row r="23322" ht="12.75" hidden="1" customHeight="1" x14ac:dyDescent="0.2"/>
    <row r="23323" ht="12.75" hidden="1" customHeight="1" x14ac:dyDescent="0.2"/>
    <row r="23324" ht="12.75" hidden="1" customHeight="1" x14ac:dyDescent="0.2"/>
    <row r="23325" ht="12.75" hidden="1" customHeight="1" x14ac:dyDescent="0.2"/>
    <row r="23326" ht="12.75" hidden="1" customHeight="1" x14ac:dyDescent="0.2"/>
    <row r="23327" ht="12.75" hidden="1" customHeight="1" x14ac:dyDescent="0.2"/>
    <row r="23328" ht="12.75" hidden="1" customHeight="1" x14ac:dyDescent="0.2"/>
    <row r="23329" ht="12.75" hidden="1" customHeight="1" x14ac:dyDescent="0.2"/>
    <row r="23330" ht="12.75" hidden="1" customHeight="1" x14ac:dyDescent="0.2"/>
    <row r="23331" ht="12.75" hidden="1" customHeight="1" x14ac:dyDescent="0.2"/>
    <row r="23332" ht="12.75" hidden="1" customHeight="1" x14ac:dyDescent="0.2"/>
    <row r="23333" ht="12.75" hidden="1" customHeight="1" x14ac:dyDescent="0.2"/>
    <row r="23334" ht="12.75" hidden="1" customHeight="1" x14ac:dyDescent="0.2"/>
    <row r="23335" ht="12.75" hidden="1" customHeight="1" x14ac:dyDescent="0.2"/>
    <row r="23336" ht="12.75" hidden="1" customHeight="1" x14ac:dyDescent="0.2"/>
    <row r="23337" ht="12.75" hidden="1" customHeight="1" x14ac:dyDescent="0.2"/>
    <row r="23338" ht="12.75" hidden="1" customHeight="1" x14ac:dyDescent="0.2"/>
    <row r="23339" ht="12.75" hidden="1" customHeight="1" x14ac:dyDescent="0.2"/>
    <row r="23340" ht="12.75" hidden="1" customHeight="1" x14ac:dyDescent="0.2"/>
    <row r="23341" ht="12.75" hidden="1" customHeight="1" x14ac:dyDescent="0.2"/>
    <row r="23342" ht="12.75" hidden="1" customHeight="1" x14ac:dyDescent="0.2"/>
    <row r="23343" ht="12.75" hidden="1" customHeight="1" x14ac:dyDescent="0.2"/>
    <row r="23344" ht="12.75" hidden="1" customHeight="1" x14ac:dyDescent="0.2"/>
    <row r="23345" ht="12.75" hidden="1" customHeight="1" x14ac:dyDescent="0.2"/>
    <row r="23346" ht="12.75" hidden="1" customHeight="1" x14ac:dyDescent="0.2"/>
    <row r="23347" ht="12.75" hidden="1" customHeight="1" x14ac:dyDescent="0.2"/>
    <row r="23348" ht="12.75" hidden="1" customHeight="1" x14ac:dyDescent="0.2"/>
    <row r="23349" ht="12.75" hidden="1" customHeight="1" x14ac:dyDescent="0.2"/>
    <row r="23350" ht="12.75" hidden="1" customHeight="1" x14ac:dyDescent="0.2"/>
    <row r="23351" ht="12.75" hidden="1" customHeight="1" x14ac:dyDescent="0.2"/>
    <row r="23352" ht="12.75" hidden="1" customHeight="1" x14ac:dyDescent="0.2"/>
    <row r="23353" ht="12.75" hidden="1" customHeight="1" x14ac:dyDescent="0.2"/>
    <row r="23354" ht="12.75" hidden="1" customHeight="1" x14ac:dyDescent="0.2"/>
    <row r="23355" ht="12.75" hidden="1" customHeight="1" x14ac:dyDescent="0.2"/>
    <row r="23356" ht="12.75" hidden="1" customHeight="1" x14ac:dyDescent="0.2"/>
    <row r="23357" ht="12.75" hidden="1" customHeight="1" x14ac:dyDescent="0.2"/>
    <row r="23358" ht="12.75" hidden="1" customHeight="1" x14ac:dyDescent="0.2"/>
    <row r="23359" ht="12.75" hidden="1" customHeight="1" x14ac:dyDescent="0.2"/>
    <row r="23360" ht="12.75" hidden="1" customHeight="1" x14ac:dyDescent="0.2"/>
    <row r="23361" ht="12.75" hidden="1" customHeight="1" x14ac:dyDescent="0.2"/>
    <row r="23362" ht="12.75" hidden="1" customHeight="1" x14ac:dyDescent="0.2"/>
    <row r="23363" ht="12.75" hidden="1" customHeight="1" x14ac:dyDescent="0.2"/>
    <row r="23364" ht="12.75" hidden="1" customHeight="1" x14ac:dyDescent="0.2"/>
    <row r="23365" ht="12.75" hidden="1" customHeight="1" x14ac:dyDescent="0.2"/>
    <row r="23366" ht="12.75" hidden="1" customHeight="1" x14ac:dyDescent="0.2"/>
    <row r="23367" ht="12.75" hidden="1" customHeight="1" x14ac:dyDescent="0.2"/>
    <row r="23368" ht="12.75" hidden="1" customHeight="1" x14ac:dyDescent="0.2"/>
    <row r="23369" ht="12.75" hidden="1" customHeight="1" x14ac:dyDescent="0.2"/>
    <row r="23370" ht="12.75" hidden="1" customHeight="1" x14ac:dyDescent="0.2"/>
    <row r="23371" ht="12.75" hidden="1" customHeight="1" x14ac:dyDescent="0.2"/>
    <row r="23372" ht="12.75" hidden="1" customHeight="1" x14ac:dyDescent="0.2"/>
    <row r="23373" ht="12.75" hidden="1" customHeight="1" x14ac:dyDescent="0.2"/>
    <row r="23374" ht="12.75" hidden="1" customHeight="1" x14ac:dyDescent="0.2"/>
    <row r="23375" ht="12.75" hidden="1" customHeight="1" x14ac:dyDescent="0.2"/>
    <row r="23376" ht="12.75" hidden="1" customHeight="1" x14ac:dyDescent="0.2"/>
    <row r="23377" ht="12.75" hidden="1" customHeight="1" x14ac:dyDescent="0.2"/>
    <row r="23378" ht="12.75" hidden="1" customHeight="1" x14ac:dyDescent="0.2"/>
    <row r="23379" ht="12.75" hidden="1" customHeight="1" x14ac:dyDescent="0.2"/>
    <row r="23380" ht="12.75" hidden="1" customHeight="1" x14ac:dyDescent="0.2"/>
    <row r="23381" ht="12.75" hidden="1" customHeight="1" x14ac:dyDescent="0.2"/>
    <row r="23382" ht="12.75" hidden="1" customHeight="1" x14ac:dyDescent="0.2"/>
    <row r="23383" ht="12.75" hidden="1" customHeight="1" x14ac:dyDescent="0.2"/>
    <row r="23384" ht="12.75" hidden="1" customHeight="1" x14ac:dyDescent="0.2"/>
    <row r="23385" ht="12.75" hidden="1" customHeight="1" x14ac:dyDescent="0.2"/>
    <row r="23386" ht="12.75" hidden="1" customHeight="1" x14ac:dyDescent="0.2"/>
    <row r="23387" ht="12.75" hidden="1" customHeight="1" x14ac:dyDescent="0.2"/>
    <row r="23388" ht="12.75" hidden="1" customHeight="1" x14ac:dyDescent="0.2"/>
    <row r="23389" ht="12.75" hidden="1" customHeight="1" x14ac:dyDescent="0.2"/>
    <row r="23390" ht="12.75" hidden="1" customHeight="1" x14ac:dyDescent="0.2"/>
    <row r="23391" ht="12.75" hidden="1" customHeight="1" x14ac:dyDescent="0.2"/>
    <row r="23392" ht="12.75" hidden="1" customHeight="1" x14ac:dyDescent="0.2"/>
    <row r="23393" ht="12.75" hidden="1" customHeight="1" x14ac:dyDescent="0.2"/>
    <row r="23394" ht="12.75" hidden="1" customHeight="1" x14ac:dyDescent="0.2"/>
    <row r="23395" ht="12.75" hidden="1" customHeight="1" x14ac:dyDescent="0.2"/>
    <row r="23396" ht="12.75" hidden="1" customHeight="1" x14ac:dyDescent="0.2"/>
    <row r="23397" ht="12.75" hidden="1" customHeight="1" x14ac:dyDescent="0.2"/>
    <row r="23398" ht="12.75" hidden="1" customHeight="1" x14ac:dyDescent="0.2"/>
    <row r="23399" ht="12.75" hidden="1" customHeight="1" x14ac:dyDescent="0.2"/>
    <row r="23400" ht="12.75" hidden="1" customHeight="1" x14ac:dyDescent="0.2"/>
    <row r="23401" ht="12.75" hidden="1" customHeight="1" x14ac:dyDescent="0.2"/>
    <row r="23402" ht="12.75" hidden="1" customHeight="1" x14ac:dyDescent="0.2"/>
    <row r="23403" ht="12.75" hidden="1" customHeight="1" x14ac:dyDescent="0.2"/>
    <row r="23404" ht="12.75" hidden="1" customHeight="1" x14ac:dyDescent="0.2"/>
    <row r="23405" ht="12.75" hidden="1" customHeight="1" x14ac:dyDescent="0.2"/>
    <row r="23406" ht="12.75" hidden="1" customHeight="1" x14ac:dyDescent="0.2"/>
    <row r="23407" ht="12.75" hidden="1" customHeight="1" x14ac:dyDescent="0.2"/>
    <row r="23408" ht="12.75" hidden="1" customHeight="1" x14ac:dyDescent="0.2"/>
    <row r="23409" ht="12.75" hidden="1" customHeight="1" x14ac:dyDescent="0.2"/>
    <row r="23410" ht="12.75" hidden="1" customHeight="1" x14ac:dyDescent="0.2"/>
    <row r="23411" ht="12.75" hidden="1" customHeight="1" x14ac:dyDescent="0.2"/>
    <row r="23412" ht="12.75" hidden="1" customHeight="1" x14ac:dyDescent="0.2"/>
    <row r="23413" ht="12.75" hidden="1" customHeight="1" x14ac:dyDescent="0.2"/>
    <row r="23414" ht="12.75" hidden="1" customHeight="1" x14ac:dyDescent="0.2"/>
    <row r="23415" ht="12.75" hidden="1" customHeight="1" x14ac:dyDescent="0.2"/>
    <row r="23416" ht="12.75" hidden="1" customHeight="1" x14ac:dyDescent="0.2"/>
    <row r="23417" ht="12.75" hidden="1" customHeight="1" x14ac:dyDescent="0.2"/>
    <row r="23418" ht="12.75" hidden="1" customHeight="1" x14ac:dyDescent="0.2"/>
    <row r="23419" ht="12.75" hidden="1" customHeight="1" x14ac:dyDescent="0.2"/>
    <row r="23420" ht="12.75" hidden="1" customHeight="1" x14ac:dyDescent="0.2"/>
    <row r="23421" ht="12.75" hidden="1" customHeight="1" x14ac:dyDescent="0.2"/>
    <row r="23422" ht="12.75" hidden="1" customHeight="1" x14ac:dyDescent="0.2"/>
    <row r="23423" ht="12.75" hidden="1" customHeight="1" x14ac:dyDescent="0.2"/>
    <row r="23424" ht="12.75" hidden="1" customHeight="1" x14ac:dyDescent="0.2"/>
    <row r="23425" ht="12.75" hidden="1" customHeight="1" x14ac:dyDescent="0.2"/>
    <row r="23426" ht="12.75" hidden="1" customHeight="1" x14ac:dyDescent="0.2"/>
    <row r="23427" ht="12.75" hidden="1" customHeight="1" x14ac:dyDescent="0.2"/>
    <row r="23428" ht="12.75" hidden="1" customHeight="1" x14ac:dyDescent="0.2"/>
    <row r="23429" ht="12.75" hidden="1" customHeight="1" x14ac:dyDescent="0.2"/>
    <row r="23430" ht="12.75" hidden="1" customHeight="1" x14ac:dyDescent="0.2"/>
    <row r="23431" ht="12.75" hidden="1" customHeight="1" x14ac:dyDescent="0.2"/>
    <row r="23432" ht="12.75" hidden="1" customHeight="1" x14ac:dyDescent="0.2"/>
    <row r="23433" ht="12.75" hidden="1" customHeight="1" x14ac:dyDescent="0.2"/>
    <row r="23434" ht="12.75" hidden="1" customHeight="1" x14ac:dyDescent="0.2"/>
    <row r="23435" ht="12.75" hidden="1" customHeight="1" x14ac:dyDescent="0.2"/>
    <row r="23436" ht="12.75" hidden="1" customHeight="1" x14ac:dyDescent="0.2"/>
    <row r="23437" ht="12.75" hidden="1" customHeight="1" x14ac:dyDescent="0.2"/>
    <row r="23438" ht="12.75" hidden="1" customHeight="1" x14ac:dyDescent="0.2"/>
    <row r="23439" ht="12.75" hidden="1" customHeight="1" x14ac:dyDescent="0.2"/>
    <row r="23440" ht="12.75" hidden="1" customHeight="1" x14ac:dyDescent="0.2"/>
    <row r="23441" ht="12.75" hidden="1" customHeight="1" x14ac:dyDescent="0.2"/>
    <row r="23442" ht="12.75" hidden="1" customHeight="1" x14ac:dyDescent="0.2"/>
    <row r="23443" ht="12.75" hidden="1" customHeight="1" x14ac:dyDescent="0.2"/>
    <row r="23444" ht="12.75" hidden="1" customHeight="1" x14ac:dyDescent="0.2"/>
    <row r="23445" ht="12.75" hidden="1" customHeight="1" x14ac:dyDescent="0.2"/>
    <row r="23446" ht="12.75" hidden="1" customHeight="1" x14ac:dyDescent="0.2"/>
    <row r="23447" ht="12.75" hidden="1" customHeight="1" x14ac:dyDescent="0.2"/>
    <row r="23448" ht="12.75" hidden="1" customHeight="1" x14ac:dyDescent="0.2"/>
    <row r="23449" ht="12.75" hidden="1" customHeight="1" x14ac:dyDescent="0.2"/>
    <row r="23450" ht="12.75" hidden="1" customHeight="1" x14ac:dyDescent="0.2"/>
    <row r="23451" ht="12.75" hidden="1" customHeight="1" x14ac:dyDescent="0.2"/>
    <row r="23452" ht="12.75" hidden="1" customHeight="1" x14ac:dyDescent="0.2"/>
    <row r="23453" ht="12.75" hidden="1" customHeight="1" x14ac:dyDescent="0.2"/>
    <row r="23454" ht="12.75" hidden="1" customHeight="1" x14ac:dyDescent="0.2"/>
    <row r="23455" ht="12.75" hidden="1" customHeight="1" x14ac:dyDescent="0.2"/>
    <row r="23456" ht="12.75" hidden="1" customHeight="1" x14ac:dyDescent="0.2"/>
    <row r="23457" ht="12.75" hidden="1" customHeight="1" x14ac:dyDescent="0.2"/>
    <row r="23458" ht="12.75" hidden="1" customHeight="1" x14ac:dyDescent="0.2"/>
    <row r="23459" ht="12.75" hidden="1" customHeight="1" x14ac:dyDescent="0.2"/>
    <row r="23460" ht="12.75" hidden="1" customHeight="1" x14ac:dyDescent="0.2"/>
    <row r="23461" ht="12.75" hidden="1" customHeight="1" x14ac:dyDescent="0.2"/>
    <row r="23462" ht="12.75" hidden="1" customHeight="1" x14ac:dyDescent="0.2"/>
    <row r="23463" ht="12.75" hidden="1" customHeight="1" x14ac:dyDescent="0.2"/>
    <row r="23464" ht="12.75" hidden="1" customHeight="1" x14ac:dyDescent="0.2"/>
    <row r="23465" ht="12.75" hidden="1" customHeight="1" x14ac:dyDescent="0.2"/>
    <row r="23466" ht="12.75" hidden="1" customHeight="1" x14ac:dyDescent="0.2"/>
    <row r="23467" ht="12.75" hidden="1" customHeight="1" x14ac:dyDescent="0.2"/>
    <row r="23468" ht="12.75" hidden="1" customHeight="1" x14ac:dyDescent="0.2"/>
    <row r="23469" ht="12.75" hidden="1" customHeight="1" x14ac:dyDescent="0.2"/>
    <row r="23470" ht="12.75" hidden="1" customHeight="1" x14ac:dyDescent="0.2"/>
    <row r="23471" ht="12.75" hidden="1" customHeight="1" x14ac:dyDescent="0.2"/>
    <row r="23472" ht="12.75" hidden="1" customHeight="1" x14ac:dyDescent="0.2"/>
    <row r="23473" ht="12.75" hidden="1" customHeight="1" x14ac:dyDescent="0.2"/>
    <row r="23474" ht="12.75" hidden="1" customHeight="1" x14ac:dyDescent="0.2"/>
    <row r="23475" ht="12.75" hidden="1" customHeight="1" x14ac:dyDescent="0.2"/>
    <row r="23476" ht="12.75" hidden="1" customHeight="1" x14ac:dyDescent="0.2"/>
    <row r="23477" ht="12.75" hidden="1" customHeight="1" x14ac:dyDescent="0.2"/>
    <row r="23478" ht="12.75" hidden="1" customHeight="1" x14ac:dyDescent="0.2"/>
    <row r="23479" ht="12.75" hidden="1" customHeight="1" x14ac:dyDescent="0.2"/>
    <row r="23480" ht="12.75" hidden="1" customHeight="1" x14ac:dyDescent="0.2"/>
    <row r="23481" ht="12.75" hidden="1" customHeight="1" x14ac:dyDescent="0.2"/>
    <row r="23482" ht="12.75" hidden="1" customHeight="1" x14ac:dyDescent="0.2"/>
    <row r="23483" ht="12.75" hidden="1" customHeight="1" x14ac:dyDescent="0.2"/>
    <row r="23484" ht="12.75" hidden="1" customHeight="1" x14ac:dyDescent="0.2"/>
    <row r="23485" ht="12.75" hidden="1" customHeight="1" x14ac:dyDescent="0.2"/>
    <row r="23486" ht="12.75" hidden="1" customHeight="1" x14ac:dyDescent="0.2"/>
    <row r="23487" ht="12.75" hidden="1" customHeight="1" x14ac:dyDescent="0.2"/>
    <row r="23488" ht="12.75" hidden="1" customHeight="1" x14ac:dyDescent="0.2"/>
    <row r="23489" ht="12.75" hidden="1" customHeight="1" x14ac:dyDescent="0.2"/>
    <row r="23490" ht="12.75" hidden="1" customHeight="1" x14ac:dyDescent="0.2"/>
    <row r="23491" ht="12.75" hidden="1" customHeight="1" x14ac:dyDescent="0.2"/>
    <row r="23492" ht="12.75" hidden="1" customHeight="1" x14ac:dyDescent="0.2"/>
    <row r="23493" ht="12.75" hidden="1" customHeight="1" x14ac:dyDescent="0.2"/>
    <row r="23494" ht="12.75" hidden="1" customHeight="1" x14ac:dyDescent="0.2"/>
    <row r="23495" ht="12.75" hidden="1" customHeight="1" x14ac:dyDescent="0.2"/>
    <row r="23496" ht="12.75" hidden="1" customHeight="1" x14ac:dyDescent="0.2"/>
    <row r="23497" ht="12.75" hidden="1" customHeight="1" x14ac:dyDescent="0.2"/>
    <row r="23498" ht="12.75" hidden="1" customHeight="1" x14ac:dyDescent="0.2"/>
    <row r="23499" ht="12.75" hidden="1" customHeight="1" x14ac:dyDescent="0.2"/>
    <row r="23500" ht="12.75" hidden="1" customHeight="1" x14ac:dyDescent="0.2"/>
    <row r="23501" ht="12.75" hidden="1" customHeight="1" x14ac:dyDescent="0.2"/>
    <row r="23502" ht="12.75" hidden="1" customHeight="1" x14ac:dyDescent="0.2"/>
    <row r="23503" ht="12.75" hidden="1" customHeight="1" x14ac:dyDescent="0.2"/>
    <row r="23504" ht="12.75" hidden="1" customHeight="1" x14ac:dyDescent="0.2"/>
    <row r="23505" ht="12.75" hidden="1" customHeight="1" x14ac:dyDescent="0.2"/>
    <row r="23506" ht="12.75" hidden="1" customHeight="1" x14ac:dyDescent="0.2"/>
    <row r="23507" ht="12.75" hidden="1" customHeight="1" x14ac:dyDescent="0.2"/>
    <row r="23508" ht="12.75" hidden="1" customHeight="1" x14ac:dyDescent="0.2"/>
    <row r="23509" ht="12.75" hidden="1" customHeight="1" x14ac:dyDescent="0.2"/>
    <row r="23510" ht="12.75" hidden="1" customHeight="1" x14ac:dyDescent="0.2"/>
    <row r="23511" ht="12.75" hidden="1" customHeight="1" x14ac:dyDescent="0.2"/>
    <row r="23512" ht="12.75" hidden="1" customHeight="1" x14ac:dyDescent="0.2"/>
    <row r="23513" ht="12.75" hidden="1" customHeight="1" x14ac:dyDescent="0.2"/>
    <row r="23514" ht="12.75" hidden="1" customHeight="1" x14ac:dyDescent="0.2"/>
    <row r="23515" ht="12.75" hidden="1" customHeight="1" x14ac:dyDescent="0.2"/>
    <row r="23516" ht="12.75" hidden="1" customHeight="1" x14ac:dyDescent="0.2"/>
    <row r="23517" ht="12.75" hidden="1" customHeight="1" x14ac:dyDescent="0.2"/>
    <row r="23518" ht="12.75" hidden="1" customHeight="1" x14ac:dyDescent="0.2"/>
    <row r="23519" ht="12.75" hidden="1" customHeight="1" x14ac:dyDescent="0.2"/>
    <row r="23520" ht="12.75" hidden="1" customHeight="1" x14ac:dyDescent="0.2"/>
    <row r="23521" ht="12.75" hidden="1" customHeight="1" x14ac:dyDescent="0.2"/>
    <row r="23522" ht="12.75" hidden="1" customHeight="1" x14ac:dyDescent="0.2"/>
    <row r="23523" ht="12.75" hidden="1" customHeight="1" x14ac:dyDescent="0.2"/>
    <row r="23524" ht="12.75" hidden="1" customHeight="1" x14ac:dyDescent="0.2"/>
    <row r="23525" ht="12.75" hidden="1" customHeight="1" x14ac:dyDescent="0.2"/>
    <row r="23526" ht="12.75" hidden="1" customHeight="1" x14ac:dyDescent="0.2"/>
    <row r="23527" ht="12.75" hidden="1" customHeight="1" x14ac:dyDescent="0.2"/>
    <row r="23528" ht="12.75" hidden="1" customHeight="1" x14ac:dyDescent="0.2"/>
    <row r="23529" ht="12.75" hidden="1" customHeight="1" x14ac:dyDescent="0.2"/>
    <row r="23530" ht="12.75" hidden="1" customHeight="1" x14ac:dyDescent="0.2"/>
    <row r="23531" ht="12.75" hidden="1" customHeight="1" x14ac:dyDescent="0.2"/>
    <row r="23532" ht="12.75" hidden="1" customHeight="1" x14ac:dyDescent="0.2"/>
    <row r="23533" ht="12.75" hidden="1" customHeight="1" x14ac:dyDescent="0.2"/>
    <row r="23534" ht="12.75" hidden="1" customHeight="1" x14ac:dyDescent="0.2"/>
    <row r="23535" ht="12.75" hidden="1" customHeight="1" x14ac:dyDescent="0.2"/>
    <row r="23536" ht="12.75" hidden="1" customHeight="1" x14ac:dyDescent="0.2"/>
    <row r="23537" ht="12.75" hidden="1" customHeight="1" x14ac:dyDescent="0.2"/>
    <row r="23538" ht="12.75" hidden="1" customHeight="1" x14ac:dyDescent="0.2"/>
    <row r="23539" ht="12.75" hidden="1" customHeight="1" x14ac:dyDescent="0.2"/>
    <row r="23540" ht="12.75" hidden="1" customHeight="1" x14ac:dyDescent="0.2"/>
    <row r="23541" ht="12.75" hidden="1" customHeight="1" x14ac:dyDescent="0.2"/>
    <row r="23542" ht="12.75" hidden="1" customHeight="1" x14ac:dyDescent="0.2"/>
    <row r="23543" ht="12.75" hidden="1" customHeight="1" x14ac:dyDescent="0.2"/>
    <row r="23544" ht="12.75" hidden="1" customHeight="1" x14ac:dyDescent="0.2"/>
    <row r="23545" ht="12.75" hidden="1" customHeight="1" x14ac:dyDescent="0.2"/>
    <row r="23546" ht="12.75" hidden="1" customHeight="1" x14ac:dyDescent="0.2"/>
    <row r="23547" ht="12.75" hidden="1" customHeight="1" x14ac:dyDescent="0.2"/>
    <row r="23548" ht="12.75" hidden="1" customHeight="1" x14ac:dyDescent="0.2"/>
    <row r="23549" ht="12.75" hidden="1" customHeight="1" x14ac:dyDescent="0.2"/>
    <row r="23550" ht="12.75" hidden="1" customHeight="1" x14ac:dyDescent="0.2"/>
    <row r="23551" ht="12.75" hidden="1" customHeight="1" x14ac:dyDescent="0.2"/>
    <row r="23552" ht="12.75" hidden="1" customHeight="1" x14ac:dyDescent="0.2"/>
    <row r="23553" ht="12.75" hidden="1" customHeight="1" x14ac:dyDescent="0.2"/>
    <row r="23554" ht="12.75" hidden="1" customHeight="1" x14ac:dyDescent="0.2"/>
    <row r="23555" ht="12.75" hidden="1" customHeight="1" x14ac:dyDescent="0.2"/>
    <row r="23556" ht="12.75" hidden="1" customHeight="1" x14ac:dyDescent="0.2"/>
    <row r="23557" ht="12.75" hidden="1" customHeight="1" x14ac:dyDescent="0.2"/>
    <row r="23558" ht="12.75" hidden="1" customHeight="1" x14ac:dyDescent="0.2"/>
    <row r="23559" ht="12.75" hidden="1" customHeight="1" x14ac:dyDescent="0.2"/>
    <row r="23560" ht="12.75" hidden="1" customHeight="1" x14ac:dyDescent="0.2"/>
    <row r="23561" ht="12.75" hidden="1" customHeight="1" x14ac:dyDescent="0.2"/>
    <row r="23562" ht="12.75" hidden="1" customHeight="1" x14ac:dyDescent="0.2"/>
    <row r="23563" ht="12.75" hidden="1" customHeight="1" x14ac:dyDescent="0.2"/>
    <row r="23564" ht="12.75" hidden="1" customHeight="1" x14ac:dyDescent="0.2"/>
    <row r="23565" ht="12.75" hidden="1" customHeight="1" x14ac:dyDescent="0.2"/>
    <row r="23566" ht="12.75" hidden="1" customHeight="1" x14ac:dyDescent="0.2"/>
    <row r="23567" ht="12.75" hidden="1" customHeight="1" x14ac:dyDescent="0.2"/>
    <row r="23568" ht="12.75" hidden="1" customHeight="1" x14ac:dyDescent="0.2"/>
    <row r="23569" ht="12.75" hidden="1" customHeight="1" x14ac:dyDescent="0.2"/>
    <row r="23570" ht="12.75" hidden="1" customHeight="1" x14ac:dyDescent="0.2"/>
    <row r="23571" ht="12.75" hidden="1" customHeight="1" x14ac:dyDescent="0.2"/>
    <row r="23572" ht="12.75" hidden="1" customHeight="1" x14ac:dyDescent="0.2"/>
    <row r="23573" ht="12.75" hidden="1" customHeight="1" x14ac:dyDescent="0.2"/>
    <row r="23574" ht="12.75" hidden="1" customHeight="1" x14ac:dyDescent="0.2"/>
    <row r="23575" ht="12.75" hidden="1" customHeight="1" x14ac:dyDescent="0.2"/>
    <row r="23576" ht="12.75" hidden="1" customHeight="1" x14ac:dyDescent="0.2"/>
    <row r="23577" ht="12.75" hidden="1" customHeight="1" x14ac:dyDescent="0.2"/>
    <row r="23578" ht="12.75" hidden="1" customHeight="1" x14ac:dyDescent="0.2"/>
    <row r="23579" ht="12.75" hidden="1" customHeight="1" x14ac:dyDescent="0.2"/>
    <row r="23580" ht="12.75" hidden="1" customHeight="1" x14ac:dyDescent="0.2"/>
    <row r="23581" ht="12.75" hidden="1" customHeight="1" x14ac:dyDescent="0.2"/>
    <row r="23582" ht="12.75" hidden="1" customHeight="1" x14ac:dyDescent="0.2"/>
    <row r="23583" ht="12.75" hidden="1" customHeight="1" x14ac:dyDescent="0.2"/>
    <row r="23584" ht="12.75" hidden="1" customHeight="1" x14ac:dyDescent="0.2"/>
    <row r="23585" ht="12.75" hidden="1" customHeight="1" x14ac:dyDescent="0.2"/>
    <row r="23586" ht="12.75" hidden="1" customHeight="1" x14ac:dyDescent="0.2"/>
    <row r="23587" ht="12.75" hidden="1" customHeight="1" x14ac:dyDescent="0.2"/>
    <row r="23588" ht="12.75" hidden="1" customHeight="1" x14ac:dyDescent="0.2"/>
    <row r="23589" ht="12.75" hidden="1" customHeight="1" x14ac:dyDescent="0.2"/>
    <row r="23590" ht="12.75" hidden="1" customHeight="1" x14ac:dyDescent="0.2"/>
    <row r="23591" ht="12.75" hidden="1" customHeight="1" x14ac:dyDescent="0.2"/>
    <row r="23592" ht="12.75" hidden="1" customHeight="1" x14ac:dyDescent="0.2"/>
    <row r="23593" ht="12.75" hidden="1" customHeight="1" x14ac:dyDescent="0.2"/>
    <row r="23594" ht="12.75" hidden="1" customHeight="1" x14ac:dyDescent="0.2"/>
    <row r="23595" ht="12.75" hidden="1" customHeight="1" x14ac:dyDescent="0.2"/>
    <row r="23596" ht="12.75" hidden="1" customHeight="1" x14ac:dyDescent="0.2"/>
    <row r="23597" ht="12.75" hidden="1" customHeight="1" x14ac:dyDescent="0.2"/>
    <row r="23598" ht="12.75" hidden="1" customHeight="1" x14ac:dyDescent="0.2"/>
    <row r="23599" ht="12.75" hidden="1" customHeight="1" x14ac:dyDescent="0.2"/>
    <row r="23600" ht="12.75" hidden="1" customHeight="1" x14ac:dyDescent="0.2"/>
    <row r="23601" ht="12.75" hidden="1" customHeight="1" x14ac:dyDescent="0.2"/>
    <row r="23602" ht="12.75" hidden="1" customHeight="1" x14ac:dyDescent="0.2"/>
    <row r="23603" ht="12.75" hidden="1" customHeight="1" x14ac:dyDescent="0.2"/>
    <row r="23604" ht="12.75" hidden="1" customHeight="1" x14ac:dyDescent="0.2"/>
    <row r="23605" ht="12.75" hidden="1" customHeight="1" x14ac:dyDescent="0.2"/>
    <row r="23606" ht="12.75" hidden="1" customHeight="1" x14ac:dyDescent="0.2"/>
    <row r="23607" ht="12.75" hidden="1" customHeight="1" x14ac:dyDescent="0.2"/>
    <row r="23608" ht="12.75" hidden="1" customHeight="1" x14ac:dyDescent="0.2"/>
    <row r="23609" ht="12.75" hidden="1" customHeight="1" x14ac:dyDescent="0.2"/>
    <row r="23610" ht="12.75" hidden="1" customHeight="1" x14ac:dyDescent="0.2"/>
    <row r="23611" ht="12.75" hidden="1" customHeight="1" x14ac:dyDescent="0.2"/>
    <row r="23612" ht="12.75" hidden="1" customHeight="1" x14ac:dyDescent="0.2"/>
    <row r="23613" ht="12.75" hidden="1" customHeight="1" x14ac:dyDescent="0.2"/>
    <row r="23614" ht="12.75" hidden="1" customHeight="1" x14ac:dyDescent="0.2"/>
    <row r="23615" ht="12.75" hidden="1" customHeight="1" x14ac:dyDescent="0.2"/>
    <row r="23616" ht="12.75" hidden="1" customHeight="1" x14ac:dyDescent="0.2"/>
    <row r="23617" ht="12.75" hidden="1" customHeight="1" x14ac:dyDescent="0.2"/>
    <row r="23618" ht="12.75" hidden="1" customHeight="1" x14ac:dyDescent="0.2"/>
    <row r="23619" ht="12.75" hidden="1" customHeight="1" x14ac:dyDescent="0.2"/>
    <row r="23620" ht="12.75" hidden="1" customHeight="1" x14ac:dyDescent="0.2"/>
    <row r="23621" ht="12.75" hidden="1" customHeight="1" x14ac:dyDescent="0.2"/>
    <row r="23622" ht="12.75" hidden="1" customHeight="1" x14ac:dyDescent="0.2"/>
    <row r="23623" ht="12.75" hidden="1" customHeight="1" x14ac:dyDescent="0.2"/>
    <row r="23624" ht="12.75" hidden="1" customHeight="1" x14ac:dyDescent="0.2"/>
    <row r="23625" ht="12.75" hidden="1" customHeight="1" x14ac:dyDescent="0.2"/>
    <row r="23626" ht="12.75" hidden="1" customHeight="1" x14ac:dyDescent="0.2"/>
    <row r="23627" ht="12.75" hidden="1" customHeight="1" x14ac:dyDescent="0.2"/>
    <row r="23628" ht="12.75" hidden="1" customHeight="1" x14ac:dyDescent="0.2"/>
    <row r="23629" ht="12.75" hidden="1" customHeight="1" x14ac:dyDescent="0.2"/>
    <row r="23630" ht="12.75" hidden="1" customHeight="1" x14ac:dyDescent="0.2"/>
    <row r="23631" ht="12.75" hidden="1" customHeight="1" x14ac:dyDescent="0.2"/>
    <row r="23632" ht="12.75" hidden="1" customHeight="1" x14ac:dyDescent="0.2"/>
    <row r="23633" ht="12.75" hidden="1" customHeight="1" x14ac:dyDescent="0.2"/>
    <row r="23634" ht="12.75" hidden="1" customHeight="1" x14ac:dyDescent="0.2"/>
    <row r="23635" ht="12.75" hidden="1" customHeight="1" x14ac:dyDescent="0.2"/>
    <row r="23636" ht="12.75" hidden="1" customHeight="1" x14ac:dyDescent="0.2"/>
    <row r="23637" ht="12.75" hidden="1" customHeight="1" x14ac:dyDescent="0.2"/>
    <row r="23638" ht="12.75" hidden="1" customHeight="1" x14ac:dyDescent="0.2"/>
    <row r="23639" ht="12.75" hidden="1" customHeight="1" x14ac:dyDescent="0.2"/>
    <row r="23640" ht="12.75" hidden="1" customHeight="1" x14ac:dyDescent="0.2"/>
    <row r="23641" ht="12.75" hidden="1" customHeight="1" x14ac:dyDescent="0.2"/>
    <row r="23642" ht="12.75" hidden="1" customHeight="1" x14ac:dyDescent="0.2"/>
    <row r="23643" ht="12.75" hidden="1" customHeight="1" x14ac:dyDescent="0.2"/>
    <row r="23644" ht="12.75" hidden="1" customHeight="1" x14ac:dyDescent="0.2"/>
    <row r="23645" ht="12.75" hidden="1" customHeight="1" x14ac:dyDescent="0.2"/>
    <row r="23646" ht="12.75" hidden="1" customHeight="1" x14ac:dyDescent="0.2"/>
    <row r="23647" ht="12.75" hidden="1" customHeight="1" x14ac:dyDescent="0.2"/>
    <row r="23648" ht="12.75" hidden="1" customHeight="1" x14ac:dyDescent="0.2"/>
    <row r="23649" ht="12.75" hidden="1" customHeight="1" x14ac:dyDescent="0.2"/>
    <row r="23650" ht="12.75" hidden="1" customHeight="1" x14ac:dyDescent="0.2"/>
    <row r="23651" ht="12.75" hidden="1" customHeight="1" x14ac:dyDescent="0.2"/>
    <row r="23652" ht="12.75" hidden="1" customHeight="1" x14ac:dyDescent="0.2"/>
    <row r="23653" ht="12.75" hidden="1" customHeight="1" x14ac:dyDescent="0.2"/>
    <row r="23654" ht="12.75" hidden="1" customHeight="1" x14ac:dyDescent="0.2"/>
    <row r="23655" ht="12.75" hidden="1" customHeight="1" x14ac:dyDescent="0.2"/>
    <row r="23656" ht="12.75" hidden="1" customHeight="1" x14ac:dyDescent="0.2"/>
    <row r="23657" ht="12.75" hidden="1" customHeight="1" x14ac:dyDescent="0.2"/>
    <row r="23658" ht="12.75" hidden="1" customHeight="1" x14ac:dyDescent="0.2"/>
    <row r="23659" ht="12.75" hidden="1" customHeight="1" x14ac:dyDescent="0.2"/>
    <row r="23660" ht="12.75" hidden="1" customHeight="1" x14ac:dyDescent="0.2"/>
    <row r="23661" ht="12.75" hidden="1" customHeight="1" x14ac:dyDescent="0.2"/>
    <row r="23662" ht="12.75" hidden="1" customHeight="1" x14ac:dyDescent="0.2"/>
    <row r="23663" ht="12.75" hidden="1" customHeight="1" x14ac:dyDescent="0.2"/>
    <row r="23664" ht="12.75" hidden="1" customHeight="1" x14ac:dyDescent="0.2"/>
    <row r="23665" ht="12.75" hidden="1" customHeight="1" x14ac:dyDescent="0.2"/>
    <row r="23666" ht="12.75" hidden="1" customHeight="1" x14ac:dyDescent="0.2"/>
    <row r="23667" ht="12.75" hidden="1" customHeight="1" x14ac:dyDescent="0.2"/>
    <row r="23668" ht="12.75" hidden="1" customHeight="1" x14ac:dyDescent="0.2"/>
    <row r="23669" ht="12.75" hidden="1" customHeight="1" x14ac:dyDescent="0.2"/>
    <row r="23670" ht="12.75" hidden="1" customHeight="1" x14ac:dyDescent="0.2"/>
    <row r="23671" ht="12.75" hidden="1" customHeight="1" x14ac:dyDescent="0.2"/>
    <row r="23672" ht="12.75" hidden="1" customHeight="1" x14ac:dyDescent="0.2"/>
    <row r="23673" ht="12.75" hidden="1" customHeight="1" x14ac:dyDescent="0.2"/>
    <row r="23674" ht="12.75" hidden="1" customHeight="1" x14ac:dyDescent="0.2"/>
    <row r="23675" ht="12.75" hidden="1" customHeight="1" x14ac:dyDescent="0.2"/>
    <row r="23676" ht="12.75" hidden="1" customHeight="1" x14ac:dyDescent="0.2"/>
    <row r="23677" ht="12.75" hidden="1" customHeight="1" x14ac:dyDescent="0.2"/>
    <row r="23678" ht="12.75" hidden="1" customHeight="1" x14ac:dyDescent="0.2"/>
    <row r="23679" ht="12.75" hidden="1" customHeight="1" x14ac:dyDescent="0.2"/>
    <row r="23680" ht="12.75" hidden="1" customHeight="1" x14ac:dyDescent="0.2"/>
    <row r="23681" ht="12.75" hidden="1" customHeight="1" x14ac:dyDescent="0.2"/>
    <row r="23682" ht="12.75" hidden="1" customHeight="1" x14ac:dyDescent="0.2"/>
    <row r="23683" ht="12.75" hidden="1" customHeight="1" x14ac:dyDescent="0.2"/>
    <row r="23684" ht="12.75" hidden="1" customHeight="1" x14ac:dyDescent="0.2"/>
    <row r="23685" ht="12.75" hidden="1" customHeight="1" x14ac:dyDescent="0.2"/>
    <row r="23686" ht="12.75" hidden="1" customHeight="1" x14ac:dyDescent="0.2"/>
    <row r="23687" ht="12.75" hidden="1" customHeight="1" x14ac:dyDescent="0.2"/>
    <row r="23688" ht="12.75" hidden="1" customHeight="1" x14ac:dyDescent="0.2"/>
    <row r="23689" ht="12.75" hidden="1" customHeight="1" x14ac:dyDescent="0.2"/>
    <row r="23690" ht="12.75" hidden="1" customHeight="1" x14ac:dyDescent="0.2"/>
    <row r="23691" ht="12.75" hidden="1" customHeight="1" x14ac:dyDescent="0.2"/>
    <row r="23692" ht="12.75" hidden="1" customHeight="1" x14ac:dyDescent="0.2"/>
    <row r="23693" ht="12.75" hidden="1" customHeight="1" x14ac:dyDescent="0.2"/>
    <row r="23694" ht="12.75" hidden="1" customHeight="1" x14ac:dyDescent="0.2"/>
    <row r="23695" ht="12.75" hidden="1" customHeight="1" x14ac:dyDescent="0.2"/>
    <row r="23696" ht="12.75" hidden="1" customHeight="1" x14ac:dyDescent="0.2"/>
    <row r="23697" ht="12.75" hidden="1" customHeight="1" x14ac:dyDescent="0.2"/>
    <row r="23698" ht="12.75" hidden="1" customHeight="1" x14ac:dyDescent="0.2"/>
    <row r="23699" ht="12.75" hidden="1" customHeight="1" x14ac:dyDescent="0.2"/>
    <row r="23700" ht="12.75" hidden="1" customHeight="1" x14ac:dyDescent="0.2"/>
    <row r="23701" ht="12.75" hidden="1" customHeight="1" x14ac:dyDescent="0.2"/>
    <row r="23702" ht="12.75" hidden="1" customHeight="1" x14ac:dyDescent="0.2"/>
    <row r="23703" ht="12.75" hidden="1" customHeight="1" x14ac:dyDescent="0.2"/>
    <row r="23704" ht="12.75" hidden="1" customHeight="1" x14ac:dyDescent="0.2"/>
    <row r="23705" ht="12.75" hidden="1" customHeight="1" x14ac:dyDescent="0.2"/>
    <row r="23706" ht="12.75" hidden="1" customHeight="1" x14ac:dyDescent="0.2"/>
    <row r="23707" ht="12.75" hidden="1" customHeight="1" x14ac:dyDescent="0.2"/>
    <row r="23708" ht="12.75" hidden="1" customHeight="1" x14ac:dyDescent="0.2"/>
    <row r="23709" ht="12.75" hidden="1" customHeight="1" x14ac:dyDescent="0.2"/>
    <row r="23710" ht="12.75" hidden="1" customHeight="1" x14ac:dyDescent="0.2"/>
    <row r="23711" ht="12.75" hidden="1" customHeight="1" x14ac:dyDescent="0.2"/>
    <row r="23712" ht="12.75" hidden="1" customHeight="1" x14ac:dyDescent="0.2"/>
    <row r="23713" ht="12.75" hidden="1" customHeight="1" x14ac:dyDescent="0.2"/>
    <row r="23714" ht="12.75" hidden="1" customHeight="1" x14ac:dyDescent="0.2"/>
    <row r="23715" ht="12.75" hidden="1" customHeight="1" x14ac:dyDescent="0.2"/>
    <row r="23716" ht="12.75" hidden="1" customHeight="1" x14ac:dyDescent="0.2"/>
    <row r="23717" ht="12.75" hidden="1" customHeight="1" x14ac:dyDescent="0.2"/>
    <row r="23718" ht="12.75" hidden="1" customHeight="1" x14ac:dyDescent="0.2"/>
    <row r="23719" ht="12.75" hidden="1" customHeight="1" x14ac:dyDescent="0.2"/>
    <row r="23720" ht="12.75" hidden="1" customHeight="1" x14ac:dyDescent="0.2"/>
    <row r="23721" ht="12.75" hidden="1" customHeight="1" x14ac:dyDescent="0.2"/>
    <row r="23722" ht="12.75" hidden="1" customHeight="1" x14ac:dyDescent="0.2"/>
    <row r="23723" ht="12.75" hidden="1" customHeight="1" x14ac:dyDescent="0.2"/>
    <row r="23724" ht="12.75" hidden="1" customHeight="1" x14ac:dyDescent="0.2"/>
    <row r="23725" ht="12.75" hidden="1" customHeight="1" x14ac:dyDescent="0.2"/>
    <row r="23726" ht="12.75" hidden="1" customHeight="1" x14ac:dyDescent="0.2"/>
    <row r="23727" ht="12.75" hidden="1" customHeight="1" x14ac:dyDescent="0.2"/>
    <row r="23728" ht="12.75" hidden="1" customHeight="1" x14ac:dyDescent="0.2"/>
    <row r="23729" ht="12.75" hidden="1" customHeight="1" x14ac:dyDescent="0.2"/>
    <row r="23730" ht="12.75" hidden="1" customHeight="1" x14ac:dyDescent="0.2"/>
    <row r="23731" ht="12.75" hidden="1" customHeight="1" x14ac:dyDescent="0.2"/>
    <row r="23732" ht="12.75" hidden="1" customHeight="1" x14ac:dyDescent="0.2"/>
    <row r="23733" ht="12.75" hidden="1" customHeight="1" x14ac:dyDescent="0.2"/>
    <row r="23734" ht="12.75" hidden="1" customHeight="1" x14ac:dyDescent="0.2"/>
    <row r="23735" ht="12.75" hidden="1" customHeight="1" x14ac:dyDescent="0.2"/>
    <row r="23736" ht="12.75" hidden="1" customHeight="1" x14ac:dyDescent="0.2"/>
    <row r="23737" ht="12.75" hidden="1" customHeight="1" x14ac:dyDescent="0.2"/>
    <row r="23738" ht="12.75" hidden="1" customHeight="1" x14ac:dyDescent="0.2"/>
    <row r="23739" ht="12.75" hidden="1" customHeight="1" x14ac:dyDescent="0.2"/>
    <row r="23740" ht="12.75" hidden="1" customHeight="1" x14ac:dyDescent="0.2"/>
    <row r="23741" ht="12.75" hidden="1" customHeight="1" x14ac:dyDescent="0.2"/>
    <row r="23742" ht="12.75" hidden="1" customHeight="1" x14ac:dyDescent="0.2"/>
    <row r="23743" ht="12.75" hidden="1" customHeight="1" x14ac:dyDescent="0.2"/>
    <row r="23744" ht="12.75" hidden="1" customHeight="1" x14ac:dyDescent="0.2"/>
    <row r="23745" ht="12.75" hidden="1" customHeight="1" x14ac:dyDescent="0.2"/>
    <row r="23746" ht="12.75" hidden="1" customHeight="1" x14ac:dyDescent="0.2"/>
    <row r="23747" ht="12.75" hidden="1" customHeight="1" x14ac:dyDescent="0.2"/>
    <row r="23748" ht="12.75" hidden="1" customHeight="1" x14ac:dyDescent="0.2"/>
    <row r="23749" ht="12.75" hidden="1" customHeight="1" x14ac:dyDescent="0.2"/>
    <row r="23750" ht="12.75" hidden="1" customHeight="1" x14ac:dyDescent="0.2"/>
    <row r="23751" ht="12.75" hidden="1" customHeight="1" x14ac:dyDescent="0.2"/>
    <row r="23752" ht="12.75" hidden="1" customHeight="1" x14ac:dyDescent="0.2"/>
    <row r="23753" ht="12.75" hidden="1" customHeight="1" x14ac:dyDescent="0.2"/>
    <row r="23754" ht="12.75" hidden="1" customHeight="1" x14ac:dyDescent="0.2"/>
    <row r="23755" ht="12.75" hidden="1" customHeight="1" x14ac:dyDescent="0.2"/>
    <row r="23756" ht="12.75" hidden="1" customHeight="1" x14ac:dyDescent="0.2"/>
    <row r="23757" ht="12.75" hidden="1" customHeight="1" x14ac:dyDescent="0.2"/>
    <row r="23758" ht="12.75" hidden="1" customHeight="1" x14ac:dyDescent="0.2"/>
    <row r="23759" ht="12.75" hidden="1" customHeight="1" x14ac:dyDescent="0.2"/>
    <row r="23760" ht="12.75" hidden="1" customHeight="1" x14ac:dyDescent="0.2"/>
    <row r="23761" ht="12.75" hidden="1" customHeight="1" x14ac:dyDescent="0.2"/>
    <row r="23762" ht="12.75" hidden="1" customHeight="1" x14ac:dyDescent="0.2"/>
    <row r="23763" ht="12.75" hidden="1" customHeight="1" x14ac:dyDescent="0.2"/>
    <row r="23764" ht="12.75" hidden="1" customHeight="1" x14ac:dyDescent="0.2"/>
    <row r="23765" ht="12.75" hidden="1" customHeight="1" x14ac:dyDescent="0.2"/>
    <row r="23766" ht="12.75" hidden="1" customHeight="1" x14ac:dyDescent="0.2"/>
    <row r="23767" ht="12.75" hidden="1" customHeight="1" x14ac:dyDescent="0.2"/>
    <row r="23768" ht="12.75" hidden="1" customHeight="1" x14ac:dyDescent="0.2"/>
    <row r="23769" ht="12.75" hidden="1" customHeight="1" x14ac:dyDescent="0.2"/>
    <row r="23770" ht="12.75" hidden="1" customHeight="1" x14ac:dyDescent="0.2"/>
    <row r="23771" ht="12.75" hidden="1" customHeight="1" x14ac:dyDescent="0.2"/>
    <row r="23772" ht="12.75" hidden="1" customHeight="1" x14ac:dyDescent="0.2"/>
    <row r="23773" ht="12.75" hidden="1" customHeight="1" x14ac:dyDescent="0.2"/>
    <row r="23774" ht="12.75" hidden="1" customHeight="1" x14ac:dyDescent="0.2"/>
    <row r="23775" ht="12.75" hidden="1" customHeight="1" x14ac:dyDescent="0.2"/>
    <row r="23776" ht="12.75" hidden="1" customHeight="1" x14ac:dyDescent="0.2"/>
    <row r="23777" ht="12.75" hidden="1" customHeight="1" x14ac:dyDescent="0.2"/>
    <row r="23778" ht="12.75" hidden="1" customHeight="1" x14ac:dyDescent="0.2"/>
    <row r="23779" ht="12.75" hidden="1" customHeight="1" x14ac:dyDescent="0.2"/>
    <row r="23780" ht="12.75" hidden="1" customHeight="1" x14ac:dyDescent="0.2"/>
    <row r="23781" ht="12.75" hidden="1" customHeight="1" x14ac:dyDescent="0.2"/>
    <row r="23782" ht="12.75" hidden="1" customHeight="1" x14ac:dyDescent="0.2"/>
    <row r="23783" ht="12.75" hidden="1" customHeight="1" x14ac:dyDescent="0.2"/>
    <row r="23784" ht="12.75" hidden="1" customHeight="1" x14ac:dyDescent="0.2"/>
    <row r="23785" ht="12.75" hidden="1" customHeight="1" x14ac:dyDescent="0.2"/>
    <row r="23786" ht="12.75" hidden="1" customHeight="1" x14ac:dyDescent="0.2"/>
    <row r="23787" ht="12.75" hidden="1" customHeight="1" x14ac:dyDescent="0.2"/>
    <row r="23788" ht="12.75" hidden="1" customHeight="1" x14ac:dyDescent="0.2"/>
    <row r="23789" ht="12.75" hidden="1" customHeight="1" x14ac:dyDescent="0.2"/>
    <row r="23790" ht="12.75" hidden="1" customHeight="1" x14ac:dyDescent="0.2"/>
    <row r="23791" ht="12.75" hidden="1" customHeight="1" x14ac:dyDescent="0.2"/>
    <row r="23792" ht="12.75" hidden="1" customHeight="1" x14ac:dyDescent="0.2"/>
    <row r="23793" ht="12.75" hidden="1" customHeight="1" x14ac:dyDescent="0.2"/>
    <row r="23794" ht="12.75" hidden="1" customHeight="1" x14ac:dyDescent="0.2"/>
    <row r="23795" ht="12.75" hidden="1" customHeight="1" x14ac:dyDescent="0.2"/>
    <row r="23796" ht="12.75" hidden="1" customHeight="1" x14ac:dyDescent="0.2"/>
    <row r="23797" ht="12.75" hidden="1" customHeight="1" x14ac:dyDescent="0.2"/>
    <row r="23798" ht="12.75" hidden="1" customHeight="1" x14ac:dyDescent="0.2"/>
    <row r="23799" ht="12.75" hidden="1" customHeight="1" x14ac:dyDescent="0.2"/>
    <row r="23800" ht="12.75" hidden="1" customHeight="1" x14ac:dyDescent="0.2"/>
    <row r="23801" ht="12.75" hidden="1" customHeight="1" x14ac:dyDescent="0.2"/>
    <row r="23802" ht="12.75" hidden="1" customHeight="1" x14ac:dyDescent="0.2"/>
    <row r="23803" ht="12.75" hidden="1" customHeight="1" x14ac:dyDescent="0.2"/>
    <row r="23804" ht="12.75" hidden="1" customHeight="1" x14ac:dyDescent="0.2"/>
    <row r="23805" ht="12.75" hidden="1" customHeight="1" x14ac:dyDescent="0.2"/>
    <row r="23806" ht="12.75" hidden="1" customHeight="1" x14ac:dyDescent="0.2"/>
    <row r="23807" ht="12.75" hidden="1" customHeight="1" x14ac:dyDescent="0.2"/>
    <row r="23808" ht="12.75" hidden="1" customHeight="1" x14ac:dyDescent="0.2"/>
    <row r="23809" ht="12.75" hidden="1" customHeight="1" x14ac:dyDescent="0.2"/>
    <row r="23810" ht="12.75" hidden="1" customHeight="1" x14ac:dyDescent="0.2"/>
    <row r="23811" ht="12.75" hidden="1" customHeight="1" x14ac:dyDescent="0.2"/>
    <row r="23812" ht="12.75" hidden="1" customHeight="1" x14ac:dyDescent="0.2"/>
    <row r="23813" ht="12.75" hidden="1" customHeight="1" x14ac:dyDescent="0.2"/>
    <row r="23814" ht="12.75" hidden="1" customHeight="1" x14ac:dyDescent="0.2"/>
    <row r="23815" ht="12.75" hidden="1" customHeight="1" x14ac:dyDescent="0.2"/>
    <row r="23816" ht="12.75" hidden="1" customHeight="1" x14ac:dyDescent="0.2"/>
    <row r="23817" ht="12.75" hidden="1" customHeight="1" x14ac:dyDescent="0.2"/>
    <row r="23818" ht="12.75" hidden="1" customHeight="1" x14ac:dyDescent="0.2"/>
    <row r="23819" ht="12.75" hidden="1" customHeight="1" x14ac:dyDescent="0.2"/>
    <row r="23820" ht="12.75" hidden="1" customHeight="1" x14ac:dyDescent="0.2"/>
    <row r="23821" ht="12.75" hidden="1" customHeight="1" x14ac:dyDescent="0.2"/>
    <row r="23822" ht="12.75" hidden="1" customHeight="1" x14ac:dyDescent="0.2"/>
    <row r="23823" ht="12.75" hidden="1" customHeight="1" x14ac:dyDescent="0.2"/>
    <row r="23824" ht="12.75" hidden="1" customHeight="1" x14ac:dyDescent="0.2"/>
    <row r="23825" ht="12.75" hidden="1" customHeight="1" x14ac:dyDescent="0.2"/>
    <row r="23826" ht="12.75" hidden="1" customHeight="1" x14ac:dyDescent="0.2"/>
    <row r="23827" ht="12.75" hidden="1" customHeight="1" x14ac:dyDescent="0.2"/>
    <row r="23828" ht="12.75" hidden="1" customHeight="1" x14ac:dyDescent="0.2"/>
    <row r="23829" ht="12.75" hidden="1" customHeight="1" x14ac:dyDescent="0.2"/>
    <row r="23830" ht="12.75" hidden="1" customHeight="1" x14ac:dyDescent="0.2"/>
    <row r="23831" ht="12.75" hidden="1" customHeight="1" x14ac:dyDescent="0.2"/>
    <row r="23832" ht="12.75" hidden="1" customHeight="1" x14ac:dyDescent="0.2"/>
    <row r="23833" ht="12.75" hidden="1" customHeight="1" x14ac:dyDescent="0.2"/>
    <row r="23834" ht="12.75" hidden="1" customHeight="1" x14ac:dyDescent="0.2"/>
    <row r="23835" ht="12.75" hidden="1" customHeight="1" x14ac:dyDescent="0.2"/>
    <row r="23836" ht="12.75" hidden="1" customHeight="1" x14ac:dyDescent="0.2"/>
    <row r="23837" ht="12.75" hidden="1" customHeight="1" x14ac:dyDescent="0.2"/>
    <row r="23838" ht="12.75" hidden="1" customHeight="1" x14ac:dyDescent="0.2"/>
    <row r="23839" ht="12.75" hidden="1" customHeight="1" x14ac:dyDescent="0.2"/>
    <row r="23840" ht="12.75" hidden="1" customHeight="1" x14ac:dyDescent="0.2"/>
    <row r="23841" ht="12.75" hidden="1" customHeight="1" x14ac:dyDescent="0.2"/>
    <row r="23842" ht="12.75" hidden="1" customHeight="1" x14ac:dyDescent="0.2"/>
    <row r="23843" ht="12.75" hidden="1" customHeight="1" x14ac:dyDescent="0.2"/>
    <row r="23844" ht="12.75" hidden="1" customHeight="1" x14ac:dyDescent="0.2"/>
    <row r="23845" ht="12.75" hidden="1" customHeight="1" x14ac:dyDescent="0.2"/>
    <row r="23846" ht="12.75" hidden="1" customHeight="1" x14ac:dyDescent="0.2"/>
    <row r="23847" ht="12.75" hidden="1" customHeight="1" x14ac:dyDescent="0.2"/>
    <row r="23848" ht="12.75" hidden="1" customHeight="1" x14ac:dyDescent="0.2"/>
    <row r="23849" ht="12.75" hidden="1" customHeight="1" x14ac:dyDescent="0.2"/>
    <row r="23850" ht="12.75" hidden="1" customHeight="1" x14ac:dyDescent="0.2"/>
    <row r="23851" ht="12.75" hidden="1" customHeight="1" x14ac:dyDescent="0.2"/>
    <row r="23852" ht="12.75" hidden="1" customHeight="1" x14ac:dyDescent="0.2"/>
    <row r="23853" ht="12.75" hidden="1" customHeight="1" x14ac:dyDescent="0.2"/>
    <row r="23854" ht="12.75" hidden="1" customHeight="1" x14ac:dyDescent="0.2"/>
    <row r="23855" ht="12.75" hidden="1" customHeight="1" x14ac:dyDescent="0.2"/>
    <row r="23856" ht="12.75" hidden="1" customHeight="1" x14ac:dyDescent="0.2"/>
    <row r="23857" ht="12.75" hidden="1" customHeight="1" x14ac:dyDescent="0.2"/>
    <row r="23858" ht="12.75" hidden="1" customHeight="1" x14ac:dyDescent="0.2"/>
    <row r="23859" ht="12.75" hidden="1" customHeight="1" x14ac:dyDescent="0.2"/>
    <row r="23860" ht="12.75" hidden="1" customHeight="1" x14ac:dyDescent="0.2"/>
    <row r="23861" ht="12.75" hidden="1" customHeight="1" x14ac:dyDescent="0.2"/>
    <row r="23862" ht="12.75" hidden="1" customHeight="1" x14ac:dyDescent="0.2"/>
    <row r="23863" ht="12.75" hidden="1" customHeight="1" x14ac:dyDescent="0.2"/>
    <row r="23864" ht="12.75" hidden="1" customHeight="1" x14ac:dyDescent="0.2"/>
    <row r="23865" ht="12.75" hidden="1" customHeight="1" x14ac:dyDescent="0.2"/>
    <row r="23866" ht="12.75" hidden="1" customHeight="1" x14ac:dyDescent="0.2"/>
    <row r="23867" ht="12.75" hidden="1" customHeight="1" x14ac:dyDescent="0.2"/>
    <row r="23868" ht="12.75" hidden="1" customHeight="1" x14ac:dyDescent="0.2"/>
    <row r="23869" ht="12.75" hidden="1" customHeight="1" x14ac:dyDescent="0.2"/>
    <row r="23870" ht="12.75" hidden="1" customHeight="1" x14ac:dyDescent="0.2"/>
    <row r="23871" ht="12.75" hidden="1" customHeight="1" x14ac:dyDescent="0.2"/>
    <row r="23872" ht="12.75" hidden="1" customHeight="1" x14ac:dyDescent="0.2"/>
    <row r="23873" ht="12.75" hidden="1" customHeight="1" x14ac:dyDescent="0.2"/>
    <row r="23874" ht="12.75" hidden="1" customHeight="1" x14ac:dyDescent="0.2"/>
    <row r="23875" ht="12.75" hidden="1" customHeight="1" x14ac:dyDescent="0.2"/>
    <row r="23876" ht="12.75" hidden="1" customHeight="1" x14ac:dyDescent="0.2"/>
    <row r="23877" ht="12.75" hidden="1" customHeight="1" x14ac:dyDescent="0.2"/>
    <row r="23878" ht="12.75" hidden="1" customHeight="1" x14ac:dyDescent="0.2"/>
    <row r="23879" ht="12.75" hidden="1" customHeight="1" x14ac:dyDescent="0.2"/>
    <row r="23880" ht="12.75" hidden="1" customHeight="1" x14ac:dyDescent="0.2"/>
    <row r="23881" ht="12.75" hidden="1" customHeight="1" x14ac:dyDescent="0.2"/>
    <row r="23882" ht="12.75" hidden="1" customHeight="1" x14ac:dyDescent="0.2"/>
    <row r="23883" ht="12.75" hidden="1" customHeight="1" x14ac:dyDescent="0.2"/>
    <row r="23884" ht="12.75" hidden="1" customHeight="1" x14ac:dyDescent="0.2"/>
    <row r="23885" ht="12.75" hidden="1" customHeight="1" x14ac:dyDescent="0.2"/>
    <row r="23886" ht="12.75" hidden="1" customHeight="1" x14ac:dyDescent="0.2"/>
    <row r="23887" ht="12.75" hidden="1" customHeight="1" x14ac:dyDescent="0.2"/>
    <row r="23888" ht="12.75" hidden="1" customHeight="1" x14ac:dyDescent="0.2"/>
    <row r="23889" ht="12.75" hidden="1" customHeight="1" x14ac:dyDescent="0.2"/>
    <row r="23890" ht="12.75" hidden="1" customHeight="1" x14ac:dyDescent="0.2"/>
    <row r="23891" ht="12.75" hidden="1" customHeight="1" x14ac:dyDescent="0.2"/>
    <row r="23892" ht="12.75" hidden="1" customHeight="1" x14ac:dyDescent="0.2"/>
    <row r="23893" ht="12.75" hidden="1" customHeight="1" x14ac:dyDescent="0.2"/>
    <row r="23894" ht="12.75" hidden="1" customHeight="1" x14ac:dyDescent="0.2"/>
    <row r="23895" ht="12.75" hidden="1" customHeight="1" x14ac:dyDescent="0.2"/>
    <row r="23896" ht="12.75" hidden="1" customHeight="1" x14ac:dyDescent="0.2"/>
    <row r="23897" ht="12.75" hidden="1" customHeight="1" x14ac:dyDescent="0.2"/>
    <row r="23898" ht="12.75" hidden="1" customHeight="1" x14ac:dyDescent="0.2"/>
    <row r="23899" ht="12.75" hidden="1" customHeight="1" x14ac:dyDescent="0.2"/>
    <row r="23900" ht="12.75" hidden="1" customHeight="1" x14ac:dyDescent="0.2"/>
    <row r="23901" ht="12.75" hidden="1" customHeight="1" x14ac:dyDescent="0.2"/>
    <row r="23902" ht="12.75" hidden="1" customHeight="1" x14ac:dyDescent="0.2"/>
    <row r="23903" ht="12.75" hidden="1" customHeight="1" x14ac:dyDescent="0.2"/>
    <row r="23904" ht="12.75" hidden="1" customHeight="1" x14ac:dyDescent="0.2"/>
    <row r="23905" ht="12.75" hidden="1" customHeight="1" x14ac:dyDescent="0.2"/>
    <row r="23906" ht="12.75" hidden="1" customHeight="1" x14ac:dyDescent="0.2"/>
    <row r="23907" ht="12.75" hidden="1" customHeight="1" x14ac:dyDescent="0.2"/>
    <row r="23908" ht="12.75" hidden="1" customHeight="1" x14ac:dyDescent="0.2"/>
    <row r="23909" ht="12.75" hidden="1" customHeight="1" x14ac:dyDescent="0.2"/>
    <row r="23910" ht="12.75" hidden="1" customHeight="1" x14ac:dyDescent="0.2"/>
    <row r="23911" ht="12.75" hidden="1" customHeight="1" x14ac:dyDescent="0.2"/>
    <row r="23912" ht="12.75" hidden="1" customHeight="1" x14ac:dyDescent="0.2"/>
    <row r="23913" ht="12.75" hidden="1" customHeight="1" x14ac:dyDescent="0.2"/>
    <row r="23914" ht="12.75" hidden="1" customHeight="1" x14ac:dyDescent="0.2"/>
    <row r="23915" ht="12.75" hidden="1" customHeight="1" x14ac:dyDescent="0.2"/>
    <row r="23916" ht="12.75" hidden="1" customHeight="1" x14ac:dyDescent="0.2"/>
    <row r="23917" ht="12.75" hidden="1" customHeight="1" x14ac:dyDescent="0.2"/>
    <row r="23918" ht="12.75" hidden="1" customHeight="1" x14ac:dyDescent="0.2"/>
    <row r="23919" ht="12.75" hidden="1" customHeight="1" x14ac:dyDescent="0.2"/>
    <row r="23920" ht="12.75" hidden="1" customHeight="1" x14ac:dyDescent="0.2"/>
    <row r="23921" ht="12.75" hidden="1" customHeight="1" x14ac:dyDescent="0.2"/>
    <row r="23922" ht="12.75" hidden="1" customHeight="1" x14ac:dyDescent="0.2"/>
    <row r="23923" ht="12.75" hidden="1" customHeight="1" x14ac:dyDescent="0.2"/>
    <row r="23924" ht="12.75" hidden="1" customHeight="1" x14ac:dyDescent="0.2"/>
    <row r="23925" ht="12.75" hidden="1" customHeight="1" x14ac:dyDescent="0.2"/>
    <row r="23926" ht="12.75" hidden="1" customHeight="1" x14ac:dyDescent="0.2"/>
    <row r="23927" ht="12.75" hidden="1" customHeight="1" x14ac:dyDescent="0.2"/>
    <row r="23928" ht="12.75" hidden="1" customHeight="1" x14ac:dyDescent="0.2"/>
    <row r="23929" ht="12.75" hidden="1" customHeight="1" x14ac:dyDescent="0.2"/>
    <row r="23930" ht="12.75" hidden="1" customHeight="1" x14ac:dyDescent="0.2"/>
    <row r="23931" ht="12.75" hidden="1" customHeight="1" x14ac:dyDescent="0.2"/>
    <row r="23932" ht="12.75" hidden="1" customHeight="1" x14ac:dyDescent="0.2"/>
    <row r="23933" ht="12.75" hidden="1" customHeight="1" x14ac:dyDescent="0.2"/>
    <row r="23934" ht="12.75" hidden="1" customHeight="1" x14ac:dyDescent="0.2"/>
    <row r="23935" ht="12.75" hidden="1" customHeight="1" x14ac:dyDescent="0.2"/>
    <row r="23936" ht="12.75" hidden="1" customHeight="1" x14ac:dyDescent="0.2"/>
    <row r="23937" ht="12.75" hidden="1" customHeight="1" x14ac:dyDescent="0.2"/>
    <row r="23938" ht="12.75" hidden="1" customHeight="1" x14ac:dyDescent="0.2"/>
    <row r="23939" ht="12.75" hidden="1" customHeight="1" x14ac:dyDescent="0.2"/>
    <row r="23940" ht="12.75" hidden="1" customHeight="1" x14ac:dyDescent="0.2"/>
    <row r="23941" ht="12.75" hidden="1" customHeight="1" x14ac:dyDescent="0.2"/>
    <row r="23942" ht="12.75" hidden="1" customHeight="1" x14ac:dyDescent="0.2"/>
    <row r="23943" ht="12.75" hidden="1" customHeight="1" x14ac:dyDescent="0.2"/>
    <row r="23944" ht="12.75" hidden="1" customHeight="1" x14ac:dyDescent="0.2"/>
    <row r="23945" ht="12.75" hidden="1" customHeight="1" x14ac:dyDescent="0.2"/>
    <row r="23946" ht="12.75" hidden="1" customHeight="1" x14ac:dyDescent="0.2"/>
    <row r="23947" ht="12.75" hidden="1" customHeight="1" x14ac:dyDescent="0.2"/>
    <row r="23948" ht="12.75" hidden="1" customHeight="1" x14ac:dyDescent="0.2"/>
    <row r="23949" ht="12.75" hidden="1" customHeight="1" x14ac:dyDescent="0.2"/>
    <row r="23950" ht="12.75" hidden="1" customHeight="1" x14ac:dyDescent="0.2"/>
    <row r="23951" ht="12.75" hidden="1" customHeight="1" x14ac:dyDescent="0.2"/>
    <row r="23952" ht="12.75" hidden="1" customHeight="1" x14ac:dyDescent="0.2"/>
    <row r="23953" ht="12.75" hidden="1" customHeight="1" x14ac:dyDescent="0.2"/>
    <row r="23954" ht="12.75" hidden="1" customHeight="1" x14ac:dyDescent="0.2"/>
    <row r="23955" ht="12.75" hidden="1" customHeight="1" x14ac:dyDescent="0.2"/>
    <row r="23956" ht="12.75" hidden="1" customHeight="1" x14ac:dyDescent="0.2"/>
    <row r="23957" ht="12.75" hidden="1" customHeight="1" x14ac:dyDescent="0.2"/>
    <row r="23958" ht="12.75" hidden="1" customHeight="1" x14ac:dyDescent="0.2"/>
    <row r="23959" ht="12.75" hidden="1" customHeight="1" x14ac:dyDescent="0.2"/>
    <row r="23960" ht="12.75" hidden="1" customHeight="1" x14ac:dyDescent="0.2"/>
    <row r="23961" ht="12.75" hidden="1" customHeight="1" x14ac:dyDescent="0.2"/>
    <row r="23962" ht="12.75" hidden="1" customHeight="1" x14ac:dyDescent="0.2"/>
    <row r="23963" ht="12.75" hidden="1" customHeight="1" x14ac:dyDescent="0.2"/>
    <row r="23964" ht="12.75" hidden="1" customHeight="1" x14ac:dyDescent="0.2"/>
    <row r="23965" ht="12.75" hidden="1" customHeight="1" x14ac:dyDescent="0.2"/>
    <row r="23966" ht="12.75" hidden="1" customHeight="1" x14ac:dyDescent="0.2"/>
    <row r="23967" ht="12.75" hidden="1" customHeight="1" x14ac:dyDescent="0.2"/>
    <row r="23968" ht="12.75" hidden="1" customHeight="1" x14ac:dyDescent="0.2"/>
    <row r="23969" ht="12.75" hidden="1" customHeight="1" x14ac:dyDescent="0.2"/>
    <row r="23970" ht="12.75" hidden="1" customHeight="1" x14ac:dyDescent="0.2"/>
    <row r="23971" ht="12.75" hidden="1" customHeight="1" x14ac:dyDescent="0.2"/>
    <row r="23972" ht="12.75" hidden="1" customHeight="1" x14ac:dyDescent="0.2"/>
    <row r="23973" ht="12.75" hidden="1" customHeight="1" x14ac:dyDescent="0.2"/>
    <row r="23974" ht="12.75" hidden="1" customHeight="1" x14ac:dyDescent="0.2"/>
    <row r="23975" ht="12.75" hidden="1" customHeight="1" x14ac:dyDescent="0.2"/>
    <row r="23976" ht="12.75" hidden="1" customHeight="1" x14ac:dyDescent="0.2"/>
    <row r="23977" ht="12.75" hidden="1" customHeight="1" x14ac:dyDescent="0.2"/>
    <row r="23978" ht="12.75" hidden="1" customHeight="1" x14ac:dyDescent="0.2"/>
    <row r="23979" ht="12.75" hidden="1" customHeight="1" x14ac:dyDescent="0.2"/>
    <row r="23980" ht="12.75" hidden="1" customHeight="1" x14ac:dyDescent="0.2"/>
    <row r="23981" ht="12.75" hidden="1" customHeight="1" x14ac:dyDescent="0.2"/>
    <row r="23982" ht="12.75" hidden="1" customHeight="1" x14ac:dyDescent="0.2"/>
    <row r="23983" ht="12.75" hidden="1" customHeight="1" x14ac:dyDescent="0.2"/>
    <row r="23984" ht="12.75" hidden="1" customHeight="1" x14ac:dyDescent="0.2"/>
    <row r="23985" ht="12.75" hidden="1" customHeight="1" x14ac:dyDescent="0.2"/>
    <row r="23986" ht="12.75" hidden="1" customHeight="1" x14ac:dyDescent="0.2"/>
    <row r="23987" ht="12.75" hidden="1" customHeight="1" x14ac:dyDescent="0.2"/>
    <row r="23988" ht="12.75" hidden="1" customHeight="1" x14ac:dyDescent="0.2"/>
    <row r="23989" ht="12.75" hidden="1" customHeight="1" x14ac:dyDescent="0.2"/>
    <row r="23990" ht="12.75" hidden="1" customHeight="1" x14ac:dyDescent="0.2"/>
    <row r="23991" ht="12.75" hidden="1" customHeight="1" x14ac:dyDescent="0.2"/>
    <row r="23992" ht="12.75" hidden="1" customHeight="1" x14ac:dyDescent="0.2"/>
    <row r="23993" ht="12.75" hidden="1" customHeight="1" x14ac:dyDescent="0.2"/>
    <row r="23994" ht="12.75" hidden="1" customHeight="1" x14ac:dyDescent="0.2"/>
    <row r="23995" ht="12.75" hidden="1" customHeight="1" x14ac:dyDescent="0.2"/>
    <row r="23996" ht="12.75" hidden="1" customHeight="1" x14ac:dyDescent="0.2"/>
    <row r="23997" ht="12.75" hidden="1" customHeight="1" x14ac:dyDescent="0.2"/>
    <row r="23998" ht="12.75" hidden="1" customHeight="1" x14ac:dyDescent="0.2"/>
    <row r="23999" ht="12.75" hidden="1" customHeight="1" x14ac:dyDescent="0.2"/>
    <row r="24000" ht="12.75" hidden="1" customHeight="1" x14ac:dyDescent="0.2"/>
    <row r="24001" ht="12.75" hidden="1" customHeight="1" x14ac:dyDescent="0.2"/>
    <row r="24002" ht="12.75" hidden="1" customHeight="1" x14ac:dyDescent="0.2"/>
    <row r="24003" ht="12.75" hidden="1" customHeight="1" x14ac:dyDescent="0.2"/>
    <row r="24004" ht="12.75" hidden="1" customHeight="1" x14ac:dyDescent="0.2"/>
    <row r="24005" ht="12.75" hidden="1" customHeight="1" x14ac:dyDescent="0.2"/>
    <row r="24006" ht="12.75" hidden="1" customHeight="1" x14ac:dyDescent="0.2"/>
    <row r="24007" ht="12.75" hidden="1" customHeight="1" x14ac:dyDescent="0.2"/>
    <row r="24008" ht="12.75" hidden="1" customHeight="1" x14ac:dyDescent="0.2"/>
    <row r="24009" ht="12.75" hidden="1" customHeight="1" x14ac:dyDescent="0.2"/>
    <row r="24010" ht="12.75" hidden="1" customHeight="1" x14ac:dyDescent="0.2"/>
    <row r="24011" ht="12.75" hidden="1" customHeight="1" x14ac:dyDescent="0.2"/>
    <row r="24012" ht="12.75" hidden="1" customHeight="1" x14ac:dyDescent="0.2"/>
    <row r="24013" ht="12.75" hidden="1" customHeight="1" x14ac:dyDescent="0.2"/>
    <row r="24014" ht="12.75" hidden="1" customHeight="1" x14ac:dyDescent="0.2"/>
    <row r="24015" ht="12.75" hidden="1" customHeight="1" x14ac:dyDescent="0.2"/>
    <row r="24016" ht="12.75" hidden="1" customHeight="1" x14ac:dyDescent="0.2"/>
    <row r="24017" ht="12.75" hidden="1" customHeight="1" x14ac:dyDescent="0.2"/>
    <row r="24018" ht="12.75" hidden="1" customHeight="1" x14ac:dyDescent="0.2"/>
    <row r="24019" ht="12.75" hidden="1" customHeight="1" x14ac:dyDescent="0.2"/>
    <row r="24020" ht="12.75" hidden="1" customHeight="1" x14ac:dyDescent="0.2"/>
    <row r="24021" ht="12.75" hidden="1" customHeight="1" x14ac:dyDescent="0.2"/>
    <row r="24022" ht="12.75" hidden="1" customHeight="1" x14ac:dyDescent="0.2"/>
    <row r="24023" ht="12.75" hidden="1" customHeight="1" x14ac:dyDescent="0.2"/>
    <row r="24024" ht="12.75" hidden="1" customHeight="1" x14ac:dyDescent="0.2"/>
    <row r="24025" ht="12.75" hidden="1" customHeight="1" x14ac:dyDescent="0.2"/>
    <row r="24026" ht="12.75" hidden="1" customHeight="1" x14ac:dyDescent="0.2"/>
    <row r="24027" ht="12.75" hidden="1" customHeight="1" x14ac:dyDescent="0.2"/>
    <row r="24028" ht="12.75" hidden="1" customHeight="1" x14ac:dyDescent="0.2"/>
    <row r="24029" ht="12.75" hidden="1" customHeight="1" x14ac:dyDescent="0.2"/>
    <row r="24030" ht="12.75" hidden="1" customHeight="1" x14ac:dyDescent="0.2"/>
    <row r="24031" ht="12.75" hidden="1" customHeight="1" x14ac:dyDescent="0.2"/>
    <row r="24032" ht="12.75" hidden="1" customHeight="1" x14ac:dyDescent="0.2"/>
    <row r="24033" ht="12.75" hidden="1" customHeight="1" x14ac:dyDescent="0.2"/>
    <row r="24034" ht="12.75" hidden="1" customHeight="1" x14ac:dyDescent="0.2"/>
    <row r="24035" ht="12.75" hidden="1" customHeight="1" x14ac:dyDescent="0.2"/>
    <row r="24036" ht="12.75" hidden="1" customHeight="1" x14ac:dyDescent="0.2"/>
    <row r="24037" ht="12.75" hidden="1" customHeight="1" x14ac:dyDescent="0.2"/>
    <row r="24038" ht="12.75" hidden="1" customHeight="1" x14ac:dyDescent="0.2"/>
    <row r="24039" ht="12.75" hidden="1" customHeight="1" x14ac:dyDescent="0.2"/>
    <row r="24040" ht="12.75" hidden="1" customHeight="1" x14ac:dyDescent="0.2"/>
    <row r="24041" ht="12.75" hidden="1" customHeight="1" x14ac:dyDescent="0.2"/>
    <row r="24042" ht="12.75" hidden="1" customHeight="1" x14ac:dyDescent="0.2"/>
    <row r="24043" ht="12.75" hidden="1" customHeight="1" x14ac:dyDescent="0.2"/>
    <row r="24044" ht="12.75" hidden="1" customHeight="1" x14ac:dyDescent="0.2"/>
    <row r="24045" ht="12.75" hidden="1" customHeight="1" x14ac:dyDescent="0.2"/>
    <row r="24046" ht="12.75" hidden="1" customHeight="1" x14ac:dyDescent="0.2"/>
    <row r="24047" ht="12.75" hidden="1" customHeight="1" x14ac:dyDescent="0.2"/>
    <row r="24048" ht="12.75" hidden="1" customHeight="1" x14ac:dyDescent="0.2"/>
    <row r="24049" ht="12.75" hidden="1" customHeight="1" x14ac:dyDescent="0.2"/>
    <row r="24050" ht="12.75" hidden="1" customHeight="1" x14ac:dyDescent="0.2"/>
    <row r="24051" ht="12.75" hidden="1" customHeight="1" x14ac:dyDescent="0.2"/>
    <row r="24052" ht="12.75" hidden="1" customHeight="1" x14ac:dyDescent="0.2"/>
    <row r="24053" ht="12.75" hidden="1" customHeight="1" x14ac:dyDescent="0.2"/>
    <row r="24054" ht="12.75" hidden="1" customHeight="1" x14ac:dyDescent="0.2"/>
    <row r="24055" ht="12.75" hidden="1" customHeight="1" x14ac:dyDescent="0.2"/>
    <row r="24056" ht="12.75" hidden="1" customHeight="1" x14ac:dyDescent="0.2"/>
    <row r="24057" ht="12.75" hidden="1" customHeight="1" x14ac:dyDescent="0.2"/>
    <row r="24058" ht="12.75" hidden="1" customHeight="1" x14ac:dyDescent="0.2"/>
    <row r="24059" ht="12.75" hidden="1" customHeight="1" x14ac:dyDescent="0.2"/>
    <row r="24060" ht="12.75" hidden="1" customHeight="1" x14ac:dyDescent="0.2"/>
    <row r="24061" ht="12.75" hidden="1" customHeight="1" x14ac:dyDescent="0.2"/>
    <row r="24062" ht="12.75" hidden="1" customHeight="1" x14ac:dyDescent="0.2"/>
    <row r="24063" ht="12.75" hidden="1" customHeight="1" x14ac:dyDescent="0.2"/>
    <row r="24064" ht="12.75" hidden="1" customHeight="1" x14ac:dyDescent="0.2"/>
    <row r="24065" ht="12.75" hidden="1" customHeight="1" x14ac:dyDescent="0.2"/>
    <row r="24066" ht="12.75" hidden="1" customHeight="1" x14ac:dyDescent="0.2"/>
    <row r="24067" ht="12.75" hidden="1" customHeight="1" x14ac:dyDescent="0.2"/>
    <row r="24068" ht="12.75" hidden="1" customHeight="1" x14ac:dyDescent="0.2"/>
    <row r="24069" ht="12.75" hidden="1" customHeight="1" x14ac:dyDescent="0.2"/>
    <row r="24070" ht="12.75" hidden="1" customHeight="1" x14ac:dyDescent="0.2"/>
    <row r="24071" ht="12.75" hidden="1" customHeight="1" x14ac:dyDescent="0.2"/>
    <row r="24072" ht="12.75" hidden="1" customHeight="1" x14ac:dyDescent="0.2"/>
    <row r="24073" ht="12.75" hidden="1" customHeight="1" x14ac:dyDescent="0.2"/>
    <row r="24074" ht="12.75" hidden="1" customHeight="1" x14ac:dyDescent="0.2"/>
    <row r="24075" ht="12.75" hidden="1" customHeight="1" x14ac:dyDescent="0.2"/>
    <row r="24076" ht="12.75" hidden="1" customHeight="1" x14ac:dyDescent="0.2"/>
    <row r="24077" ht="12.75" hidden="1" customHeight="1" x14ac:dyDescent="0.2"/>
    <row r="24078" ht="12.75" hidden="1" customHeight="1" x14ac:dyDescent="0.2"/>
    <row r="24079" ht="12.75" hidden="1" customHeight="1" x14ac:dyDescent="0.2"/>
    <row r="24080" ht="12.75" hidden="1" customHeight="1" x14ac:dyDescent="0.2"/>
    <row r="24081" ht="12.75" hidden="1" customHeight="1" x14ac:dyDescent="0.2"/>
    <row r="24082" ht="12.75" hidden="1" customHeight="1" x14ac:dyDescent="0.2"/>
    <row r="24083" ht="12.75" hidden="1" customHeight="1" x14ac:dyDescent="0.2"/>
    <row r="24084" ht="12.75" hidden="1" customHeight="1" x14ac:dyDescent="0.2"/>
    <row r="24085" ht="12.75" hidden="1" customHeight="1" x14ac:dyDescent="0.2"/>
    <row r="24086" ht="12.75" hidden="1" customHeight="1" x14ac:dyDescent="0.2"/>
    <row r="24087" ht="12.75" hidden="1" customHeight="1" x14ac:dyDescent="0.2"/>
    <row r="24088" ht="12.75" hidden="1" customHeight="1" x14ac:dyDescent="0.2"/>
    <row r="24089" ht="12.75" hidden="1" customHeight="1" x14ac:dyDescent="0.2"/>
    <row r="24090" ht="12.75" hidden="1" customHeight="1" x14ac:dyDescent="0.2"/>
    <row r="24091" ht="12.75" hidden="1" customHeight="1" x14ac:dyDescent="0.2"/>
    <row r="24092" ht="12.75" hidden="1" customHeight="1" x14ac:dyDescent="0.2"/>
    <row r="24093" ht="12.75" hidden="1" customHeight="1" x14ac:dyDescent="0.2"/>
    <row r="24094" ht="12.75" hidden="1" customHeight="1" x14ac:dyDescent="0.2"/>
    <row r="24095" ht="12.75" hidden="1" customHeight="1" x14ac:dyDescent="0.2"/>
    <row r="24096" ht="12.75" hidden="1" customHeight="1" x14ac:dyDescent="0.2"/>
    <row r="24097" ht="12.75" hidden="1" customHeight="1" x14ac:dyDescent="0.2"/>
    <row r="24098" ht="12.75" hidden="1" customHeight="1" x14ac:dyDescent="0.2"/>
    <row r="24099" ht="12.75" hidden="1" customHeight="1" x14ac:dyDescent="0.2"/>
    <row r="24100" ht="12.75" hidden="1" customHeight="1" x14ac:dyDescent="0.2"/>
    <row r="24101" ht="12.75" hidden="1" customHeight="1" x14ac:dyDescent="0.2"/>
    <row r="24102" ht="12.75" hidden="1" customHeight="1" x14ac:dyDescent="0.2"/>
    <row r="24103" ht="12.75" hidden="1" customHeight="1" x14ac:dyDescent="0.2"/>
    <row r="24104" ht="12.75" hidden="1" customHeight="1" x14ac:dyDescent="0.2"/>
    <row r="24105" ht="12.75" hidden="1" customHeight="1" x14ac:dyDescent="0.2"/>
    <row r="24106" ht="12.75" hidden="1" customHeight="1" x14ac:dyDescent="0.2"/>
    <row r="24107" ht="12.75" hidden="1" customHeight="1" x14ac:dyDescent="0.2"/>
    <row r="24108" ht="12.75" hidden="1" customHeight="1" x14ac:dyDescent="0.2"/>
    <row r="24109" ht="12.75" hidden="1" customHeight="1" x14ac:dyDescent="0.2"/>
    <row r="24110" ht="12.75" hidden="1" customHeight="1" x14ac:dyDescent="0.2"/>
    <row r="24111" ht="12.75" hidden="1" customHeight="1" x14ac:dyDescent="0.2"/>
    <row r="24112" ht="12.75" hidden="1" customHeight="1" x14ac:dyDescent="0.2"/>
    <row r="24113" ht="12.75" hidden="1" customHeight="1" x14ac:dyDescent="0.2"/>
    <row r="24114" ht="12.75" hidden="1" customHeight="1" x14ac:dyDescent="0.2"/>
    <row r="24115" ht="12.75" hidden="1" customHeight="1" x14ac:dyDescent="0.2"/>
    <row r="24116" ht="12.75" hidden="1" customHeight="1" x14ac:dyDescent="0.2"/>
    <row r="24117" ht="12.75" hidden="1" customHeight="1" x14ac:dyDescent="0.2"/>
    <row r="24118" ht="12.75" hidden="1" customHeight="1" x14ac:dyDescent="0.2"/>
    <row r="24119" ht="12.75" hidden="1" customHeight="1" x14ac:dyDescent="0.2"/>
    <row r="24120" ht="12.75" hidden="1" customHeight="1" x14ac:dyDescent="0.2"/>
    <row r="24121" ht="12.75" hidden="1" customHeight="1" x14ac:dyDescent="0.2"/>
    <row r="24122" ht="12.75" hidden="1" customHeight="1" x14ac:dyDescent="0.2"/>
    <row r="24123" ht="12.75" hidden="1" customHeight="1" x14ac:dyDescent="0.2"/>
    <row r="24124" ht="12.75" hidden="1" customHeight="1" x14ac:dyDescent="0.2"/>
    <row r="24125" ht="12.75" hidden="1" customHeight="1" x14ac:dyDescent="0.2"/>
    <row r="24126" ht="12.75" hidden="1" customHeight="1" x14ac:dyDescent="0.2"/>
    <row r="24127" ht="12.75" hidden="1" customHeight="1" x14ac:dyDescent="0.2"/>
    <row r="24128" ht="12.75" hidden="1" customHeight="1" x14ac:dyDescent="0.2"/>
    <row r="24129" ht="12.75" hidden="1" customHeight="1" x14ac:dyDescent="0.2"/>
    <row r="24130" ht="12.75" hidden="1" customHeight="1" x14ac:dyDescent="0.2"/>
    <row r="24131" ht="12.75" hidden="1" customHeight="1" x14ac:dyDescent="0.2"/>
    <row r="24132" ht="12.75" hidden="1" customHeight="1" x14ac:dyDescent="0.2"/>
    <row r="24133" ht="12.75" hidden="1" customHeight="1" x14ac:dyDescent="0.2"/>
    <row r="24134" ht="12.75" hidden="1" customHeight="1" x14ac:dyDescent="0.2"/>
    <row r="24135" ht="12.75" hidden="1" customHeight="1" x14ac:dyDescent="0.2"/>
    <row r="24136" ht="12.75" hidden="1" customHeight="1" x14ac:dyDescent="0.2"/>
    <row r="24137" ht="12.75" hidden="1" customHeight="1" x14ac:dyDescent="0.2"/>
    <row r="24138" ht="12.75" hidden="1" customHeight="1" x14ac:dyDescent="0.2"/>
    <row r="24139" ht="12.75" hidden="1" customHeight="1" x14ac:dyDescent="0.2"/>
    <row r="24140" ht="12.75" hidden="1" customHeight="1" x14ac:dyDescent="0.2"/>
    <row r="24141" ht="12.75" hidden="1" customHeight="1" x14ac:dyDescent="0.2"/>
    <row r="24142" ht="12.75" hidden="1" customHeight="1" x14ac:dyDescent="0.2"/>
    <row r="24143" ht="12.75" hidden="1" customHeight="1" x14ac:dyDescent="0.2"/>
    <row r="24144" ht="12.75" hidden="1" customHeight="1" x14ac:dyDescent="0.2"/>
    <row r="24145" ht="12.75" hidden="1" customHeight="1" x14ac:dyDescent="0.2"/>
    <row r="24146" ht="12.75" hidden="1" customHeight="1" x14ac:dyDescent="0.2"/>
    <row r="24147" ht="12.75" hidden="1" customHeight="1" x14ac:dyDescent="0.2"/>
    <row r="24148" ht="12.75" hidden="1" customHeight="1" x14ac:dyDescent="0.2"/>
    <row r="24149" ht="12.75" hidden="1" customHeight="1" x14ac:dyDescent="0.2"/>
    <row r="24150" ht="12.75" hidden="1" customHeight="1" x14ac:dyDescent="0.2"/>
    <row r="24151" ht="12.75" hidden="1" customHeight="1" x14ac:dyDescent="0.2"/>
    <row r="24152" ht="12.75" hidden="1" customHeight="1" x14ac:dyDescent="0.2"/>
    <row r="24153" ht="12.75" hidden="1" customHeight="1" x14ac:dyDescent="0.2"/>
    <row r="24154" ht="12.75" hidden="1" customHeight="1" x14ac:dyDescent="0.2"/>
    <row r="24155" ht="12.75" hidden="1" customHeight="1" x14ac:dyDescent="0.2"/>
    <row r="24156" ht="12.75" hidden="1" customHeight="1" x14ac:dyDescent="0.2"/>
    <row r="24157" ht="12.75" hidden="1" customHeight="1" x14ac:dyDescent="0.2"/>
    <row r="24158" ht="12.75" hidden="1" customHeight="1" x14ac:dyDescent="0.2"/>
    <row r="24159" ht="12.75" hidden="1" customHeight="1" x14ac:dyDescent="0.2"/>
    <row r="24160" ht="12.75" hidden="1" customHeight="1" x14ac:dyDescent="0.2"/>
    <row r="24161" ht="12.75" hidden="1" customHeight="1" x14ac:dyDescent="0.2"/>
    <row r="24162" ht="12.75" hidden="1" customHeight="1" x14ac:dyDescent="0.2"/>
    <row r="24163" ht="12.75" hidden="1" customHeight="1" x14ac:dyDescent="0.2"/>
    <row r="24164" ht="12.75" hidden="1" customHeight="1" x14ac:dyDescent="0.2"/>
    <row r="24165" ht="12.75" hidden="1" customHeight="1" x14ac:dyDescent="0.2"/>
    <row r="24166" ht="12.75" hidden="1" customHeight="1" x14ac:dyDescent="0.2"/>
    <row r="24167" ht="12.75" hidden="1" customHeight="1" x14ac:dyDescent="0.2"/>
    <row r="24168" ht="12.75" hidden="1" customHeight="1" x14ac:dyDescent="0.2"/>
    <row r="24169" ht="12.75" hidden="1" customHeight="1" x14ac:dyDescent="0.2"/>
    <row r="24170" ht="12.75" hidden="1" customHeight="1" x14ac:dyDescent="0.2"/>
    <row r="24171" ht="12.75" hidden="1" customHeight="1" x14ac:dyDescent="0.2"/>
    <row r="24172" ht="12.75" hidden="1" customHeight="1" x14ac:dyDescent="0.2"/>
    <row r="24173" ht="12.75" hidden="1" customHeight="1" x14ac:dyDescent="0.2"/>
    <row r="24174" ht="12.75" hidden="1" customHeight="1" x14ac:dyDescent="0.2"/>
    <row r="24175" ht="12.75" hidden="1" customHeight="1" x14ac:dyDescent="0.2"/>
    <row r="24176" ht="12.75" hidden="1" customHeight="1" x14ac:dyDescent="0.2"/>
    <row r="24177" ht="12.75" hidden="1" customHeight="1" x14ac:dyDescent="0.2"/>
    <row r="24178" ht="12.75" hidden="1" customHeight="1" x14ac:dyDescent="0.2"/>
    <row r="24179" ht="12.75" hidden="1" customHeight="1" x14ac:dyDescent="0.2"/>
    <row r="24180" ht="12.75" hidden="1" customHeight="1" x14ac:dyDescent="0.2"/>
    <row r="24181" ht="12.75" hidden="1" customHeight="1" x14ac:dyDescent="0.2"/>
    <row r="24182" ht="12.75" hidden="1" customHeight="1" x14ac:dyDescent="0.2"/>
    <row r="24183" ht="12.75" hidden="1" customHeight="1" x14ac:dyDescent="0.2"/>
    <row r="24184" ht="12.75" hidden="1" customHeight="1" x14ac:dyDescent="0.2"/>
    <row r="24185" ht="12.75" hidden="1" customHeight="1" x14ac:dyDescent="0.2"/>
    <row r="24186" ht="12.75" hidden="1" customHeight="1" x14ac:dyDescent="0.2"/>
    <row r="24187" ht="12.75" hidden="1" customHeight="1" x14ac:dyDescent="0.2"/>
    <row r="24188" ht="12.75" hidden="1" customHeight="1" x14ac:dyDescent="0.2"/>
    <row r="24189" ht="12.75" hidden="1" customHeight="1" x14ac:dyDescent="0.2"/>
    <row r="24190" ht="12.75" hidden="1" customHeight="1" x14ac:dyDescent="0.2"/>
    <row r="24191" ht="12.75" hidden="1" customHeight="1" x14ac:dyDescent="0.2"/>
    <row r="24192" ht="12.75" hidden="1" customHeight="1" x14ac:dyDescent="0.2"/>
    <row r="24193" ht="12.75" hidden="1" customHeight="1" x14ac:dyDescent="0.2"/>
    <row r="24194" ht="12.75" hidden="1" customHeight="1" x14ac:dyDescent="0.2"/>
    <row r="24195" ht="12.75" hidden="1" customHeight="1" x14ac:dyDescent="0.2"/>
    <row r="24196" ht="12.75" hidden="1" customHeight="1" x14ac:dyDescent="0.2"/>
    <row r="24197" ht="12.75" hidden="1" customHeight="1" x14ac:dyDescent="0.2"/>
    <row r="24198" ht="12.75" hidden="1" customHeight="1" x14ac:dyDescent="0.2"/>
    <row r="24199" ht="12.75" hidden="1" customHeight="1" x14ac:dyDescent="0.2"/>
    <row r="24200" ht="12.75" hidden="1" customHeight="1" x14ac:dyDescent="0.2"/>
    <row r="24201" ht="12.75" hidden="1" customHeight="1" x14ac:dyDescent="0.2"/>
    <row r="24202" ht="12.75" hidden="1" customHeight="1" x14ac:dyDescent="0.2"/>
    <row r="24203" ht="12.75" hidden="1" customHeight="1" x14ac:dyDescent="0.2"/>
    <row r="24204" ht="12.75" hidden="1" customHeight="1" x14ac:dyDescent="0.2"/>
    <row r="24205" ht="12.75" hidden="1" customHeight="1" x14ac:dyDescent="0.2"/>
    <row r="24206" ht="12.75" hidden="1" customHeight="1" x14ac:dyDescent="0.2"/>
    <row r="24207" ht="12.75" hidden="1" customHeight="1" x14ac:dyDescent="0.2"/>
    <row r="24208" ht="12.75" hidden="1" customHeight="1" x14ac:dyDescent="0.2"/>
    <row r="24209" ht="12.75" hidden="1" customHeight="1" x14ac:dyDescent="0.2"/>
    <row r="24210" ht="12.75" hidden="1" customHeight="1" x14ac:dyDescent="0.2"/>
    <row r="24211" ht="12.75" hidden="1" customHeight="1" x14ac:dyDescent="0.2"/>
    <row r="24212" ht="12.75" hidden="1" customHeight="1" x14ac:dyDescent="0.2"/>
    <row r="24213" ht="12.75" hidden="1" customHeight="1" x14ac:dyDescent="0.2"/>
    <row r="24214" ht="12.75" hidden="1" customHeight="1" x14ac:dyDescent="0.2"/>
    <row r="24215" ht="12.75" hidden="1" customHeight="1" x14ac:dyDescent="0.2"/>
    <row r="24216" ht="12.75" hidden="1" customHeight="1" x14ac:dyDescent="0.2"/>
    <row r="24217" ht="12.75" hidden="1" customHeight="1" x14ac:dyDescent="0.2"/>
    <row r="24218" ht="12.75" hidden="1" customHeight="1" x14ac:dyDescent="0.2"/>
    <row r="24219" ht="12.75" hidden="1" customHeight="1" x14ac:dyDescent="0.2"/>
    <row r="24220" ht="12.75" hidden="1" customHeight="1" x14ac:dyDescent="0.2"/>
    <row r="24221" ht="12.75" hidden="1" customHeight="1" x14ac:dyDescent="0.2"/>
    <row r="24222" ht="12.75" hidden="1" customHeight="1" x14ac:dyDescent="0.2"/>
    <row r="24223" ht="12.75" hidden="1" customHeight="1" x14ac:dyDescent="0.2"/>
    <row r="24224" ht="12.75" hidden="1" customHeight="1" x14ac:dyDescent="0.2"/>
    <row r="24225" ht="12.75" hidden="1" customHeight="1" x14ac:dyDescent="0.2"/>
    <row r="24226" ht="12.75" hidden="1" customHeight="1" x14ac:dyDescent="0.2"/>
    <row r="24227" ht="12.75" hidden="1" customHeight="1" x14ac:dyDescent="0.2"/>
    <row r="24228" ht="12.75" hidden="1" customHeight="1" x14ac:dyDescent="0.2"/>
    <row r="24229" ht="12.75" hidden="1" customHeight="1" x14ac:dyDescent="0.2"/>
    <row r="24230" ht="12.75" hidden="1" customHeight="1" x14ac:dyDescent="0.2"/>
    <row r="24231" ht="12.75" hidden="1" customHeight="1" x14ac:dyDescent="0.2"/>
    <row r="24232" ht="12.75" hidden="1" customHeight="1" x14ac:dyDescent="0.2"/>
    <row r="24233" ht="12.75" hidden="1" customHeight="1" x14ac:dyDescent="0.2"/>
    <row r="24234" ht="12.75" hidden="1" customHeight="1" x14ac:dyDescent="0.2"/>
    <row r="24235" ht="12.75" hidden="1" customHeight="1" x14ac:dyDescent="0.2"/>
    <row r="24236" ht="12.75" hidden="1" customHeight="1" x14ac:dyDescent="0.2"/>
    <row r="24237" ht="12.75" hidden="1" customHeight="1" x14ac:dyDescent="0.2"/>
    <row r="24238" ht="12.75" hidden="1" customHeight="1" x14ac:dyDescent="0.2"/>
    <row r="24239" ht="12.75" hidden="1" customHeight="1" x14ac:dyDescent="0.2"/>
    <row r="24240" ht="12.75" hidden="1" customHeight="1" x14ac:dyDescent="0.2"/>
    <row r="24241" ht="12.75" hidden="1" customHeight="1" x14ac:dyDescent="0.2"/>
    <row r="24242" ht="12.75" hidden="1" customHeight="1" x14ac:dyDescent="0.2"/>
    <row r="24243" ht="12.75" hidden="1" customHeight="1" x14ac:dyDescent="0.2"/>
    <row r="24244" ht="12.75" hidden="1" customHeight="1" x14ac:dyDescent="0.2"/>
    <row r="24245" ht="12.75" hidden="1" customHeight="1" x14ac:dyDescent="0.2"/>
    <row r="24246" ht="12.75" hidden="1" customHeight="1" x14ac:dyDescent="0.2"/>
    <row r="24247" ht="12.75" hidden="1" customHeight="1" x14ac:dyDescent="0.2"/>
    <row r="24248" ht="12.75" hidden="1" customHeight="1" x14ac:dyDescent="0.2"/>
    <row r="24249" ht="12.75" hidden="1" customHeight="1" x14ac:dyDescent="0.2"/>
    <row r="24250" ht="12.75" hidden="1" customHeight="1" x14ac:dyDescent="0.2"/>
    <row r="24251" ht="12.75" hidden="1" customHeight="1" x14ac:dyDescent="0.2"/>
    <row r="24252" ht="12.75" hidden="1" customHeight="1" x14ac:dyDescent="0.2"/>
    <row r="24253" ht="12.75" hidden="1" customHeight="1" x14ac:dyDescent="0.2"/>
    <row r="24254" ht="12.75" hidden="1" customHeight="1" x14ac:dyDescent="0.2"/>
    <row r="24255" ht="12.75" hidden="1" customHeight="1" x14ac:dyDescent="0.2"/>
    <row r="24256" ht="12.75" hidden="1" customHeight="1" x14ac:dyDescent="0.2"/>
    <row r="24257" ht="12.75" hidden="1" customHeight="1" x14ac:dyDescent="0.2"/>
    <row r="24258" ht="12.75" hidden="1" customHeight="1" x14ac:dyDescent="0.2"/>
    <row r="24259" ht="12.75" hidden="1" customHeight="1" x14ac:dyDescent="0.2"/>
    <row r="24260" ht="12.75" hidden="1" customHeight="1" x14ac:dyDescent="0.2"/>
    <row r="24261" ht="12.75" hidden="1" customHeight="1" x14ac:dyDescent="0.2"/>
    <row r="24262" ht="12.75" hidden="1" customHeight="1" x14ac:dyDescent="0.2"/>
    <row r="24263" ht="12.75" hidden="1" customHeight="1" x14ac:dyDescent="0.2"/>
    <row r="24264" ht="12.75" hidden="1" customHeight="1" x14ac:dyDescent="0.2"/>
    <row r="24265" ht="12.75" hidden="1" customHeight="1" x14ac:dyDescent="0.2"/>
    <row r="24266" ht="12.75" hidden="1" customHeight="1" x14ac:dyDescent="0.2"/>
    <row r="24267" ht="12.75" hidden="1" customHeight="1" x14ac:dyDescent="0.2"/>
    <row r="24268" ht="12.75" hidden="1" customHeight="1" x14ac:dyDescent="0.2"/>
    <row r="24269" ht="12.75" hidden="1" customHeight="1" x14ac:dyDescent="0.2"/>
    <row r="24270" ht="12.75" hidden="1" customHeight="1" x14ac:dyDescent="0.2"/>
    <row r="24271" ht="12.75" hidden="1" customHeight="1" x14ac:dyDescent="0.2"/>
    <row r="24272" ht="12.75" hidden="1" customHeight="1" x14ac:dyDescent="0.2"/>
    <row r="24273" ht="12.75" hidden="1" customHeight="1" x14ac:dyDescent="0.2"/>
    <row r="24274" ht="12.75" hidden="1" customHeight="1" x14ac:dyDescent="0.2"/>
    <row r="24275" ht="12.75" hidden="1" customHeight="1" x14ac:dyDescent="0.2"/>
    <row r="24276" ht="12.75" hidden="1" customHeight="1" x14ac:dyDescent="0.2"/>
    <row r="24277" ht="12.75" hidden="1" customHeight="1" x14ac:dyDescent="0.2"/>
    <row r="24278" ht="12.75" hidden="1" customHeight="1" x14ac:dyDescent="0.2"/>
    <row r="24279" ht="12.75" hidden="1" customHeight="1" x14ac:dyDescent="0.2"/>
    <row r="24280" ht="12.75" hidden="1" customHeight="1" x14ac:dyDescent="0.2"/>
    <row r="24281" ht="12.75" hidden="1" customHeight="1" x14ac:dyDescent="0.2"/>
    <row r="24282" ht="12.75" hidden="1" customHeight="1" x14ac:dyDescent="0.2"/>
    <row r="24283" ht="12.75" hidden="1" customHeight="1" x14ac:dyDescent="0.2"/>
    <row r="24284" ht="12.75" hidden="1" customHeight="1" x14ac:dyDescent="0.2"/>
    <row r="24285" ht="12.75" hidden="1" customHeight="1" x14ac:dyDescent="0.2"/>
    <row r="24286" ht="12.75" hidden="1" customHeight="1" x14ac:dyDescent="0.2"/>
    <row r="24287" ht="12.75" hidden="1" customHeight="1" x14ac:dyDescent="0.2"/>
    <row r="24288" ht="12.75" hidden="1" customHeight="1" x14ac:dyDescent="0.2"/>
    <row r="24289" ht="12.75" hidden="1" customHeight="1" x14ac:dyDescent="0.2"/>
    <row r="24290" ht="12.75" hidden="1" customHeight="1" x14ac:dyDescent="0.2"/>
    <row r="24291" ht="12.75" hidden="1" customHeight="1" x14ac:dyDescent="0.2"/>
    <row r="24292" ht="12.75" hidden="1" customHeight="1" x14ac:dyDescent="0.2"/>
    <row r="24293" ht="12.75" hidden="1" customHeight="1" x14ac:dyDescent="0.2"/>
    <row r="24294" ht="12.75" hidden="1" customHeight="1" x14ac:dyDescent="0.2"/>
    <row r="24295" ht="12.75" hidden="1" customHeight="1" x14ac:dyDescent="0.2"/>
    <row r="24296" ht="12.75" hidden="1" customHeight="1" x14ac:dyDescent="0.2"/>
    <row r="24297" ht="12.75" hidden="1" customHeight="1" x14ac:dyDescent="0.2"/>
    <row r="24298" ht="12.75" hidden="1" customHeight="1" x14ac:dyDescent="0.2"/>
    <row r="24299" ht="12.75" hidden="1" customHeight="1" x14ac:dyDescent="0.2"/>
    <row r="24300" ht="12.75" hidden="1" customHeight="1" x14ac:dyDescent="0.2"/>
    <row r="24301" ht="12.75" hidden="1" customHeight="1" x14ac:dyDescent="0.2"/>
    <row r="24302" ht="12.75" hidden="1" customHeight="1" x14ac:dyDescent="0.2"/>
    <row r="24303" ht="12.75" hidden="1" customHeight="1" x14ac:dyDescent="0.2"/>
    <row r="24304" ht="12.75" hidden="1" customHeight="1" x14ac:dyDescent="0.2"/>
    <row r="24305" ht="12.75" hidden="1" customHeight="1" x14ac:dyDescent="0.2"/>
    <row r="24306" ht="12.75" hidden="1" customHeight="1" x14ac:dyDescent="0.2"/>
    <row r="24307" ht="12.75" hidden="1" customHeight="1" x14ac:dyDescent="0.2"/>
    <row r="24308" ht="12.75" hidden="1" customHeight="1" x14ac:dyDescent="0.2"/>
    <row r="24309" ht="12.75" hidden="1" customHeight="1" x14ac:dyDescent="0.2"/>
    <row r="24310" ht="12.75" hidden="1" customHeight="1" x14ac:dyDescent="0.2"/>
    <row r="24311" ht="12.75" hidden="1" customHeight="1" x14ac:dyDescent="0.2"/>
    <row r="24312" ht="12.75" hidden="1" customHeight="1" x14ac:dyDescent="0.2"/>
    <row r="24313" ht="12.75" hidden="1" customHeight="1" x14ac:dyDescent="0.2"/>
    <row r="24314" ht="12.75" hidden="1" customHeight="1" x14ac:dyDescent="0.2"/>
    <row r="24315" ht="12.75" hidden="1" customHeight="1" x14ac:dyDescent="0.2"/>
    <row r="24316" ht="12.75" hidden="1" customHeight="1" x14ac:dyDescent="0.2"/>
    <row r="24317" ht="12.75" hidden="1" customHeight="1" x14ac:dyDescent="0.2"/>
    <row r="24318" ht="12.75" hidden="1" customHeight="1" x14ac:dyDescent="0.2"/>
    <row r="24319" ht="12.75" hidden="1" customHeight="1" x14ac:dyDescent="0.2"/>
    <row r="24320" ht="12.75" hidden="1" customHeight="1" x14ac:dyDescent="0.2"/>
    <row r="24321" ht="12.75" hidden="1" customHeight="1" x14ac:dyDescent="0.2"/>
    <row r="24322" ht="12.75" hidden="1" customHeight="1" x14ac:dyDescent="0.2"/>
    <row r="24323" ht="12.75" hidden="1" customHeight="1" x14ac:dyDescent="0.2"/>
    <row r="24324" ht="12.75" hidden="1" customHeight="1" x14ac:dyDescent="0.2"/>
    <row r="24325" ht="12.75" hidden="1" customHeight="1" x14ac:dyDescent="0.2"/>
    <row r="24326" ht="12.75" hidden="1" customHeight="1" x14ac:dyDescent="0.2"/>
    <row r="24327" ht="12.75" hidden="1" customHeight="1" x14ac:dyDescent="0.2"/>
    <row r="24328" ht="12.75" hidden="1" customHeight="1" x14ac:dyDescent="0.2"/>
    <row r="24329" ht="12.75" hidden="1" customHeight="1" x14ac:dyDescent="0.2"/>
    <row r="24330" ht="12.75" hidden="1" customHeight="1" x14ac:dyDescent="0.2"/>
    <row r="24331" ht="12.75" hidden="1" customHeight="1" x14ac:dyDescent="0.2"/>
    <row r="24332" ht="12.75" hidden="1" customHeight="1" x14ac:dyDescent="0.2"/>
    <row r="24333" ht="12.75" hidden="1" customHeight="1" x14ac:dyDescent="0.2"/>
    <row r="24334" ht="12.75" hidden="1" customHeight="1" x14ac:dyDescent="0.2"/>
    <row r="24335" ht="12.75" hidden="1" customHeight="1" x14ac:dyDescent="0.2"/>
    <row r="24336" ht="12.75" hidden="1" customHeight="1" x14ac:dyDescent="0.2"/>
    <row r="24337" ht="12.75" hidden="1" customHeight="1" x14ac:dyDescent="0.2"/>
    <row r="24338" ht="12.75" hidden="1" customHeight="1" x14ac:dyDescent="0.2"/>
    <row r="24339" ht="12.75" hidden="1" customHeight="1" x14ac:dyDescent="0.2"/>
    <row r="24340" ht="12.75" hidden="1" customHeight="1" x14ac:dyDescent="0.2"/>
    <row r="24341" ht="12.75" hidden="1" customHeight="1" x14ac:dyDescent="0.2"/>
    <row r="24342" ht="12.75" hidden="1" customHeight="1" x14ac:dyDescent="0.2"/>
    <row r="24343" ht="12.75" hidden="1" customHeight="1" x14ac:dyDescent="0.2"/>
    <row r="24344" ht="12.75" hidden="1" customHeight="1" x14ac:dyDescent="0.2"/>
    <row r="24345" ht="12.75" hidden="1" customHeight="1" x14ac:dyDescent="0.2"/>
    <row r="24346" ht="12.75" hidden="1" customHeight="1" x14ac:dyDescent="0.2"/>
    <row r="24347" ht="12.75" hidden="1" customHeight="1" x14ac:dyDescent="0.2"/>
    <row r="24348" ht="12.75" hidden="1" customHeight="1" x14ac:dyDescent="0.2"/>
    <row r="24349" ht="12.75" hidden="1" customHeight="1" x14ac:dyDescent="0.2"/>
    <row r="24350" ht="12.75" hidden="1" customHeight="1" x14ac:dyDescent="0.2"/>
    <row r="24351" ht="12.75" hidden="1" customHeight="1" x14ac:dyDescent="0.2"/>
    <row r="24352" ht="12.75" hidden="1" customHeight="1" x14ac:dyDescent="0.2"/>
    <row r="24353" ht="12.75" hidden="1" customHeight="1" x14ac:dyDescent="0.2"/>
    <row r="24354" ht="12.75" hidden="1" customHeight="1" x14ac:dyDescent="0.2"/>
    <row r="24355" ht="12.75" hidden="1" customHeight="1" x14ac:dyDescent="0.2"/>
    <row r="24356" ht="12.75" hidden="1" customHeight="1" x14ac:dyDescent="0.2"/>
    <row r="24357" ht="12.75" hidden="1" customHeight="1" x14ac:dyDescent="0.2"/>
    <row r="24358" ht="12.75" hidden="1" customHeight="1" x14ac:dyDescent="0.2"/>
    <row r="24359" ht="12.75" hidden="1" customHeight="1" x14ac:dyDescent="0.2"/>
    <row r="24360" ht="12.75" hidden="1" customHeight="1" x14ac:dyDescent="0.2"/>
    <row r="24361" ht="12.75" hidden="1" customHeight="1" x14ac:dyDescent="0.2"/>
    <row r="24362" ht="12.75" hidden="1" customHeight="1" x14ac:dyDescent="0.2"/>
    <row r="24363" ht="12.75" hidden="1" customHeight="1" x14ac:dyDescent="0.2"/>
    <row r="24364" ht="12.75" hidden="1" customHeight="1" x14ac:dyDescent="0.2"/>
    <row r="24365" ht="12.75" hidden="1" customHeight="1" x14ac:dyDescent="0.2"/>
    <row r="24366" ht="12.75" hidden="1" customHeight="1" x14ac:dyDescent="0.2"/>
    <row r="24367" ht="12.75" hidden="1" customHeight="1" x14ac:dyDescent="0.2"/>
    <row r="24368" ht="12.75" hidden="1" customHeight="1" x14ac:dyDescent="0.2"/>
    <row r="24369" ht="12.75" hidden="1" customHeight="1" x14ac:dyDescent="0.2"/>
    <row r="24370" ht="12.75" hidden="1" customHeight="1" x14ac:dyDescent="0.2"/>
    <row r="24371" ht="12.75" hidden="1" customHeight="1" x14ac:dyDescent="0.2"/>
    <row r="24372" ht="12.75" hidden="1" customHeight="1" x14ac:dyDescent="0.2"/>
    <row r="24373" ht="12.75" hidden="1" customHeight="1" x14ac:dyDescent="0.2"/>
    <row r="24374" ht="12.75" hidden="1" customHeight="1" x14ac:dyDescent="0.2"/>
    <row r="24375" ht="12.75" hidden="1" customHeight="1" x14ac:dyDescent="0.2"/>
    <row r="24376" ht="12.75" hidden="1" customHeight="1" x14ac:dyDescent="0.2"/>
    <row r="24377" ht="12.75" hidden="1" customHeight="1" x14ac:dyDescent="0.2"/>
    <row r="24378" ht="12.75" hidden="1" customHeight="1" x14ac:dyDescent="0.2"/>
    <row r="24379" ht="12.75" hidden="1" customHeight="1" x14ac:dyDescent="0.2"/>
    <row r="24380" ht="12.75" hidden="1" customHeight="1" x14ac:dyDescent="0.2"/>
    <row r="24381" ht="12.75" hidden="1" customHeight="1" x14ac:dyDescent="0.2"/>
    <row r="24382" ht="12.75" hidden="1" customHeight="1" x14ac:dyDescent="0.2"/>
    <row r="24383" ht="12.75" hidden="1" customHeight="1" x14ac:dyDescent="0.2"/>
    <row r="24384" ht="12.75" hidden="1" customHeight="1" x14ac:dyDescent="0.2"/>
    <row r="24385" ht="12.75" hidden="1" customHeight="1" x14ac:dyDescent="0.2"/>
    <row r="24386" ht="12.75" hidden="1" customHeight="1" x14ac:dyDescent="0.2"/>
    <row r="24387" ht="12.75" hidden="1" customHeight="1" x14ac:dyDescent="0.2"/>
    <row r="24388" ht="12.75" hidden="1" customHeight="1" x14ac:dyDescent="0.2"/>
    <row r="24389" ht="12.75" hidden="1" customHeight="1" x14ac:dyDescent="0.2"/>
    <row r="24390" ht="12.75" hidden="1" customHeight="1" x14ac:dyDescent="0.2"/>
    <row r="24391" ht="12.75" hidden="1" customHeight="1" x14ac:dyDescent="0.2"/>
    <row r="24392" ht="12.75" hidden="1" customHeight="1" x14ac:dyDescent="0.2"/>
    <row r="24393" ht="12.75" hidden="1" customHeight="1" x14ac:dyDescent="0.2"/>
    <row r="24394" ht="12.75" hidden="1" customHeight="1" x14ac:dyDescent="0.2"/>
    <row r="24395" ht="12.75" hidden="1" customHeight="1" x14ac:dyDescent="0.2"/>
    <row r="24396" ht="12.75" hidden="1" customHeight="1" x14ac:dyDescent="0.2"/>
    <row r="24397" ht="12.75" hidden="1" customHeight="1" x14ac:dyDescent="0.2"/>
    <row r="24398" ht="12.75" hidden="1" customHeight="1" x14ac:dyDescent="0.2"/>
    <row r="24399" ht="12.75" hidden="1" customHeight="1" x14ac:dyDescent="0.2"/>
    <row r="24400" ht="12.75" hidden="1" customHeight="1" x14ac:dyDescent="0.2"/>
    <row r="24401" ht="12.75" hidden="1" customHeight="1" x14ac:dyDescent="0.2"/>
    <row r="24402" ht="12.75" hidden="1" customHeight="1" x14ac:dyDescent="0.2"/>
    <row r="24403" ht="12.75" hidden="1" customHeight="1" x14ac:dyDescent="0.2"/>
    <row r="24404" ht="12.75" hidden="1" customHeight="1" x14ac:dyDescent="0.2"/>
    <row r="24405" ht="12.75" hidden="1" customHeight="1" x14ac:dyDescent="0.2"/>
    <row r="24406" ht="12.75" hidden="1" customHeight="1" x14ac:dyDescent="0.2"/>
    <row r="24407" ht="12.75" hidden="1" customHeight="1" x14ac:dyDescent="0.2"/>
    <row r="24408" ht="12.75" hidden="1" customHeight="1" x14ac:dyDescent="0.2"/>
    <row r="24409" ht="12.75" hidden="1" customHeight="1" x14ac:dyDescent="0.2"/>
    <row r="24410" ht="12.75" hidden="1" customHeight="1" x14ac:dyDescent="0.2"/>
    <row r="24411" ht="12.75" hidden="1" customHeight="1" x14ac:dyDescent="0.2"/>
    <row r="24412" ht="12.75" hidden="1" customHeight="1" x14ac:dyDescent="0.2"/>
    <row r="24413" ht="12.75" hidden="1" customHeight="1" x14ac:dyDescent="0.2"/>
    <row r="24414" ht="12.75" hidden="1" customHeight="1" x14ac:dyDescent="0.2"/>
    <row r="24415" ht="12.75" hidden="1" customHeight="1" x14ac:dyDescent="0.2"/>
    <row r="24416" ht="12.75" hidden="1" customHeight="1" x14ac:dyDescent="0.2"/>
    <row r="24417" ht="12.75" hidden="1" customHeight="1" x14ac:dyDescent="0.2"/>
    <row r="24418" ht="12.75" hidden="1" customHeight="1" x14ac:dyDescent="0.2"/>
    <row r="24419" ht="12.75" hidden="1" customHeight="1" x14ac:dyDescent="0.2"/>
    <row r="24420" ht="12.75" hidden="1" customHeight="1" x14ac:dyDescent="0.2"/>
    <row r="24421" ht="12.75" hidden="1" customHeight="1" x14ac:dyDescent="0.2"/>
    <row r="24422" ht="12.75" hidden="1" customHeight="1" x14ac:dyDescent="0.2"/>
    <row r="24423" ht="12.75" hidden="1" customHeight="1" x14ac:dyDescent="0.2"/>
    <row r="24424" ht="12.75" hidden="1" customHeight="1" x14ac:dyDescent="0.2"/>
    <row r="24425" ht="12.75" hidden="1" customHeight="1" x14ac:dyDescent="0.2"/>
    <row r="24426" ht="12.75" hidden="1" customHeight="1" x14ac:dyDescent="0.2"/>
    <row r="24427" ht="12.75" hidden="1" customHeight="1" x14ac:dyDescent="0.2"/>
    <row r="24428" ht="12.75" hidden="1" customHeight="1" x14ac:dyDescent="0.2"/>
    <row r="24429" ht="12.75" hidden="1" customHeight="1" x14ac:dyDescent="0.2"/>
    <row r="24430" ht="12.75" hidden="1" customHeight="1" x14ac:dyDescent="0.2"/>
    <row r="24431" ht="12.75" hidden="1" customHeight="1" x14ac:dyDescent="0.2"/>
    <row r="24432" ht="12.75" hidden="1" customHeight="1" x14ac:dyDescent="0.2"/>
    <row r="24433" ht="12.75" hidden="1" customHeight="1" x14ac:dyDescent="0.2"/>
    <row r="24434" ht="12.75" hidden="1" customHeight="1" x14ac:dyDescent="0.2"/>
    <row r="24435" ht="12.75" hidden="1" customHeight="1" x14ac:dyDescent="0.2"/>
    <row r="24436" ht="12.75" hidden="1" customHeight="1" x14ac:dyDescent="0.2"/>
    <row r="24437" ht="12.75" hidden="1" customHeight="1" x14ac:dyDescent="0.2"/>
    <row r="24438" ht="12.75" hidden="1" customHeight="1" x14ac:dyDescent="0.2"/>
    <row r="24439" ht="12.75" hidden="1" customHeight="1" x14ac:dyDescent="0.2"/>
    <row r="24440" ht="12.75" hidden="1" customHeight="1" x14ac:dyDescent="0.2"/>
    <row r="24441" ht="12.75" hidden="1" customHeight="1" x14ac:dyDescent="0.2"/>
    <row r="24442" ht="12.75" hidden="1" customHeight="1" x14ac:dyDescent="0.2"/>
    <row r="24443" ht="12.75" hidden="1" customHeight="1" x14ac:dyDescent="0.2"/>
    <row r="24444" ht="12.75" hidden="1" customHeight="1" x14ac:dyDescent="0.2"/>
    <row r="24445" ht="12.75" hidden="1" customHeight="1" x14ac:dyDescent="0.2"/>
    <row r="24446" ht="12.75" hidden="1" customHeight="1" x14ac:dyDescent="0.2"/>
    <row r="24447" ht="12.75" hidden="1" customHeight="1" x14ac:dyDescent="0.2"/>
    <row r="24448" ht="12.75" hidden="1" customHeight="1" x14ac:dyDescent="0.2"/>
    <row r="24449" ht="12.75" hidden="1" customHeight="1" x14ac:dyDescent="0.2"/>
    <row r="24450" ht="12.75" hidden="1" customHeight="1" x14ac:dyDescent="0.2"/>
    <row r="24451" ht="12.75" hidden="1" customHeight="1" x14ac:dyDescent="0.2"/>
    <row r="24452" ht="12.75" hidden="1" customHeight="1" x14ac:dyDescent="0.2"/>
    <row r="24453" ht="12.75" hidden="1" customHeight="1" x14ac:dyDescent="0.2"/>
    <row r="24454" ht="12.75" hidden="1" customHeight="1" x14ac:dyDescent="0.2"/>
    <row r="24455" ht="12.75" hidden="1" customHeight="1" x14ac:dyDescent="0.2"/>
    <row r="24456" ht="12.75" hidden="1" customHeight="1" x14ac:dyDescent="0.2"/>
    <row r="24457" ht="12.75" hidden="1" customHeight="1" x14ac:dyDescent="0.2"/>
    <row r="24458" ht="12.75" hidden="1" customHeight="1" x14ac:dyDescent="0.2"/>
    <row r="24459" ht="12.75" hidden="1" customHeight="1" x14ac:dyDescent="0.2"/>
    <row r="24460" ht="12.75" hidden="1" customHeight="1" x14ac:dyDescent="0.2"/>
    <row r="24461" ht="12.75" hidden="1" customHeight="1" x14ac:dyDescent="0.2"/>
    <row r="24462" ht="12.75" hidden="1" customHeight="1" x14ac:dyDescent="0.2"/>
    <row r="24463" ht="12.75" hidden="1" customHeight="1" x14ac:dyDescent="0.2"/>
    <row r="24464" ht="12.75" hidden="1" customHeight="1" x14ac:dyDescent="0.2"/>
    <row r="24465" ht="12.75" hidden="1" customHeight="1" x14ac:dyDescent="0.2"/>
    <row r="24466" ht="12.75" hidden="1" customHeight="1" x14ac:dyDescent="0.2"/>
    <row r="24467" ht="12.75" hidden="1" customHeight="1" x14ac:dyDescent="0.2"/>
    <row r="24468" ht="12.75" hidden="1" customHeight="1" x14ac:dyDescent="0.2"/>
    <row r="24469" ht="12.75" hidden="1" customHeight="1" x14ac:dyDescent="0.2"/>
    <row r="24470" ht="12.75" hidden="1" customHeight="1" x14ac:dyDescent="0.2"/>
    <row r="24471" ht="12.75" hidden="1" customHeight="1" x14ac:dyDescent="0.2"/>
    <row r="24472" ht="12.75" hidden="1" customHeight="1" x14ac:dyDescent="0.2"/>
    <row r="24473" ht="12.75" hidden="1" customHeight="1" x14ac:dyDescent="0.2"/>
    <row r="24474" ht="12.75" hidden="1" customHeight="1" x14ac:dyDescent="0.2"/>
    <row r="24475" ht="12.75" hidden="1" customHeight="1" x14ac:dyDescent="0.2"/>
    <row r="24476" ht="12.75" hidden="1" customHeight="1" x14ac:dyDescent="0.2"/>
    <row r="24477" ht="12.75" hidden="1" customHeight="1" x14ac:dyDescent="0.2"/>
    <row r="24478" ht="12.75" hidden="1" customHeight="1" x14ac:dyDescent="0.2"/>
    <row r="24479" ht="12.75" hidden="1" customHeight="1" x14ac:dyDescent="0.2"/>
    <row r="24480" ht="12.75" hidden="1" customHeight="1" x14ac:dyDescent="0.2"/>
    <row r="24481" ht="12.75" hidden="1" customHeight="1" x14ac:dyDescent="0.2"/>
    <row r="24482" ht="12.75" hidden="1" customHeight="1" x14ac:dyDescent="0.2"/>
    <row r="24483" ht="12.75" hidden="1" customHeight="1" x14ac:dyDescent="0.2"/>
    <row r="24484" ht="12.75" hidden="1" customHeight="1" x14ac:dyDescent="0.2"/>
    <row r="24485" ht="12.75" hidden="1" customHeight="1" x14ac:dyDescent="0.2"/>
    <row r="24486" ht="12.75" hidden="1" customHeight="1" x14ac:dyDescent="0.2"/>
    <row r="24487" ht="12.75" hidden="1" customHeight="1" x14ac:dyDescent="0.2"/>
    <row r="24488" ht="12.75" hidden="1" customHeight="1" x14ac:dyDescent="0.2"/>
    <row r="24489" ht="12.75" hidden="1" customHeight="1" x14ac:dyDescent="0.2"/>
    <row r="24490" ht="12.75" hidden="1" customHeight="1" x14ac:dyDescent="0.2"/>
    <row r="24491" ht="12.75" hidden="1" customHeight="1" x14ac:dyDescent="0.2"/>
    <row r="24492" ht="12.75" hidden="1" customHeight="1" x14ac:dyDescent="0.2"/>
    <row r="24493" ht="12.75" hidden="1" customHeight="1" x14ac:dyDescent="0.2"/>
    <row r="24494" ht="12.75" hidden="1" customHeight="1" x14ac:dyDescent="0.2"/>
    <row r="24495" ht="12.75" hidden="1" customHeight="1" x14ac:dyDescent="0.2"/>
    <row r="24496" ht="12.75" hidden="1" customHeight="1" x14ac:dyDescent="0.2"/>
    <row r="24497" ht="12.75" hidden="1" customHeight="1" x14ac:dyDescent="0.2"/>
    <row r="24498" ht="12.75" hidden="1" customHeight="1" x14ac:dyDescent="0.2"/>
    <row r="24499" ht="12.75" hidden="1" customHeight="1" x14ac:dyDescent="0.2"/>
    <row r="24500" ht="12.75" hidden="1" customHeight="1" x14ac:dyDescent="0.2"/>
    <row r="24501" ht="12.75" hidden="1" customHeight="1" x14ac:dyDescent="0.2"/>
    <row r="24502" ht="12.75" hidden="1" customHeight="1" x14ac:dyDescent="0.2"/>
    <row r="24503" ht="12.75" hidden="1" customHeight="1" x14ac:dyDescent="0.2"/>
    <row r="24504" ht="12.75" hidden="1" customHeight="1" x14ac:dyDescent="0.2"/>
    <row r="24505" ht="12.75" hidden="1" customHeight="1" x14ac:dyDescent="0.2"/>
    <row r="24506" ht="12.75" hidden="1" customHeight="1" x14ac:dyDescent="0.2"/>
    <row r="24507" ht="12.75" hidden="1" customHeight="1" x14ac:dyDescent="0.2"/>
    <row r="24508" ht="12.75" hidden="1" customHeight="1" x14ac:dyDescent="0.2"/>
    <row r="24509" ht="12.75" hidden="1" customHeight="1" x14ac:dyDescent="0.2"/>
    <row r="24510" ht="12.75" hidden="1" customHeight="1" x14ac:dyDescent="0.2"/>
    <row r="24511" ht="12.75" hidden="1" customHeight="1" x14ac:dyDescent="0.2"/>
    <row r="24512" ht="12.75" hidden="1" customHeight="1" x14ac:dyDescent="0.2"/>
    <row r="24513" ht="12.75" hidden="1" customHeight="1" x14ac:dyDescent="0.2"/>
    <row r="24514" ht="12.75" hidden="1" customHeight="1" x14ac:dyDescent="0.2"/>
    <row r="24515" ht="12.75" hidden="1" customHeight="1" x14ac:dyDescent="0.2"/>
    <row r="24516" ht="12.75" hidden="1" customHeight="1" x14ac:dyDescent="0.2"/>
    <row r="24517" ht="12.75" hidden="1" customHeight="1" x14ac:dyDescent="0.2"/>
    <row r="24518" ht="12.75" hidden="1" customHeight="1" x14ac:dyDescent="0.2"/>
    <row r="24519" ht="12.75" hidden="1" customHeight="1" x14ac:dyDescent="0.2"/>
    <row r="24520" ht="12.75" hidden="1" customHeight="1" x14ac:dyDescent="0.2"/>
    <row r="24521" ht="12.75" hidden="1" customHeight="1" x14ac:dyDescent="0.2"/>
    <row r="24522" ht="12.75" hidden="1" customHeight="1" x14ac:dyDescent="0.2"/>
    <row r="24523" ht="12.75" hidden="1" customHeight="1" x14ac:dyDescent="0.2"/>
    <row r="24524" ht="12.75" hidden="1" customHeight="1" x14ac:dyDescent="0.2"/>
    <row r="24525" ht="12.75" hidden="1" customHeight="1" x14ac:dyDescent="0.2"/>
    <row r="24526" ht="12.75" hidden="1" customHeight="1" x14ac:dyDescent="0.2"/>
    <row r="24527" ht="12.75" hidden="1" customHeight="1" x14ac:dyDescent="0.2"/>
    <row r="24528" ht="12.75" hidden="1" customHeight="1" x14ac:dyDescent="0.2"/>
    <row r="24529" ht="12.75" hidden="1" customHeight="1" x14ac:dyDescent="0.2"/>
    <row r="24530" ht="12.75" hidden="1" customHeight="1" x14ac:dyDescent="0.2"/>
    <row r="24531" ht="12.75" hidden="1" customHeight="1" x14ac:dyDescent="0.2"/>
    <row r="24532" ht="12.75" hidden="1" customHeight="1" x14ac:dyDescent="0.2"/>
    <row r="24533" ht="12.75" hidden="1" customHeight="1" x14ac:dyDescent="0.2"/>
    <row r="24534" ht="12.75" hidden="1" customHeight="1" x14ac:dyDescent="0.2"/>
    <row r="24535" ht="12.75" hidden="1" customHeight="1" x14ac:dyDescent="0.2"/>
    <row r="24536" ht="12.75" hidden="1" customHeight="1" x14ac:dyDescent="0.2"/>
    <row r="24537" ht="12.75" hidden="1" customHeight="1" x14ac:dyDescent="0.2"/>
    <row r="24538" ht="12.75" hidden="1" customHeight="1" x14ac:dyDescent="0.2"/>
    <row r="24539" ht="12.75" hidden="1" customHeight="1" x14ac:dyDescent="0.2"/>
    <row r="24540" ht="12.75" hidden="1" customHeight="1" x14ac:dyDescent="0.2"/>
    <row r="24541" ht="12.75" hidden="1" customHeight="1" x14ac:dyDescent="0.2"/>
    <row r="24542" ht="12.75" hidden="1" customHeight="1" x14ac:dyDescent="0.2"/>
    <row r="24543" ht="12.75" hidden="1" customHeight="1" x14ac:dyDescent="0.2"/>
    <row r="24544" ht="12.75" hidden="1" customHeight="1" x14ac:dyDescent="0.2"/>
    <row r="24545" ht="12.75" hidden="1" customHeight="1" x14ac:dyDescent="0.2"/>
    <row r="24546" ht="12.75" hidden="1" customHeight="1" x14ac:dyDescent="0.2"/>
    <row r="24547" ht="12.75" hidden="1" customHeight="1" x14ac:dyDescent="0.2"/>
    <row r="24548" ht="12.75" hidden="1" customHeight="1" x14ac:dyDescent="0.2"/>
    <row r="24549" ht="12.75" hidden="1" customHeight="1" x14ac:dyDescent="0.2"/>
    <row r="24550" ht="12.75" hidden="1" customHeight="1" x14ac:dyDescent="0.2"/>
    <row r="24551" ht="12.75" hidden="1" customHeight="1" x14ac:dyDescent="0.2"/>
    <row r="24552" ht="12.75" hidden="1" customHeight="1" x14ac:dyDescent="0.2"/>
    <row r="24553" ht="12.75" hidden="1" customHeight="1" x14ac:dyDescent="0.2"/>
    <row r="24554" ht="12.75" hidden="1" customHeight="1" x14ac:dyDescent="0.2"/>
    <row r="24555" ht="12.75" hidden="1" customHeight="1" x14ac:dyDescent="0.2"/>
    <row r="24556" ht="12.75" hidden="1" customHeight="1" x14ac:dyDescent="0.2"/>
    <row r="24557" ht="12.75" hidden="1" customHeight="1" x14ac:dyDescent="0.2"/>
    <row r="24558" ht="12.75" hidden="1" customHeight="1" x14ac:dyDescent="0.2"/>
    <row r="24559" ht="12.75" hidden="1" customHeight="1" x14ac:dyDescent="0.2"/>
    <row r="24560" ht="12.75" hidden="1" customHeight="1" x14ac:dyDescent="0.2"/>
    <row r="24561" ht="12.75" hidden="1" customHeight="1" x14ac:dyDescent="0.2"/>
    <row r="24562" ht="12.75" hidden="1" customHeight="1" x14ac:dyDescent="0.2"/>
    <row r="24563" ht="12.75" hidden="1" customHeight="1" x14ac:dyDescent="0.2"/>
    <row r="24564" ht="12.75" hidden="1" customHeight="1" x14ac:dyDescent="0.2"/>
    <row r="24565" ht="12.75" hidden="1" customHeight="1" x14ac:dyDescent="0.2"/>
    <row r="24566" ht="12.75" hidden="1" customHeight="1" x14ac:dyDescent="0.2"/>
    <row r="24567" ht="12.75" hidden="1" customHeight="1" x14ac:dyDescent="0.2"/>
    <row r="24568" ht="12.75" hidden="1" customHeight="1" x14ac:dyDescent="0.2"/>
    <row r="24569" ht="12.75" hidden="1" customHeight="1" x14ac:dyDescent="0.2"/>
    <row r="24570" ht="12.75" hidden="1" customHeight="1" x14ac:dyDescent="0.2"/>
    <row r="24571" ht="12.75" hidden="1" customHeight="1" x14ac:dyDescent="0.2"/>
    <row r="24572" ht="12.75" hidden="1" customHeight="1" x14ac:dyDescent="0.2"/>
    <row r="24573" ht="12.75" hidden="1" customHeight="1" x14ac:dyDescent="0.2"/>
    <row r="24574" ht="12.75" hidden="1" customHeight="1" x14ac:dyDescent="0.2"/>
    <row r="24575" ht="12.75" hidden="1" customHeight="1" x14ac:dyDescent="0.2"/>
    <row r="24576" ht="12.75" hidden="1" customHeight="1" x14ac:dyDescent="0.2"/>
    <row r="24577" ht="12.75" hidden="1" customHeight="1" x14ac:dyDescent="0.2"/>
    <row r="24578" ht="12.75" hidden="1" customHeight="1" x14ac:dyDescent="0.2"/>
    <row r="24579" ht="12.75" hidden="1" customHeight="1" x14ac:dyDescent="0.2"/>
    <row r="24580" ht="12.75" hidden="1" customHeight="1" x14ac:dyDescent="0.2"/>
    <row r="24581" ht="12.75" hidden="1" customHeight="1" x14ac:dyDescent="0.2"/>
    <row r="24582" ht="12.75" hidden="1" customHeight="1" x14ac:dyDescent="0.2"/>
    <row r="24583" ht="12.75" hidden="1" customHeight="1" x14ac:dyDescent="0.2"/>
    <row r="24584" ht="12.75" hidden="1" customHeight="1" x14ac:dyDescent="0.2"/>
    <row r="24585" ht="12.75" hidden="1" customHeight="1" x14ac:dyDescent="0.2"/>
    <row r="24586" ht="12.75" hidden="1" customHeight="1" x14ac:dyDescent="0.2"/>
    <row r="24587" ht="12.75" hidden="1" customHeight="1" x14ac:dyDescent="0.2"/>
    <row r="24588" ht="12.75" hidden="1" customHeight="1" x14ac:dyDescent="0.2"/>
    <row r="24589" ht="12.75" hidden="1" customHeight="1" x14ac:dyDescent="0.2"/>
    <row r="24590" ht="12.75" hidden="1" customHeight="1" x14ac:dyDescent="0.2"/>
    <row r="24591" ht="12.75" hidden="1" customHeight="1" x14ac:dyDescent="0.2"/>
    <row r="24592" ht="12.75" hidden="1" customHeight="1" x14ac:dyDescent="0.2"/>
    <row r="24593" ht="12.75" hidden="1" customHeight="1" x14ac:dyDescent="0.2"/>
    <row r="24594" ht="12.75" hidden="1" customHeight="1" x14ac:dyDescent="0.2"/>
    <row r="24595" ht="12.75" hidden="1" customHeight="1" x14ac:dyDescent="0.2"/>
    <row r="24596" ht="12.75" hidden="1" customHeight="1" x14ac:dyDescent="0.2"/>
    <row r="24597" ht="12.75" hidden="1" customHeight="1" x14ac:dyDescent="0.2"/>
    <row r="24598" ht="12.75" hidden="1" customHeight="1" x14ac:dyDescent="0.2"/>
    <row r="24599" ht="12.75" hidden="1" customHeight="1" x14ac:dyDescent="0.2"/>
    <row r="24600" ht="12.75" hidden="1" customHeight="1" x14ac:dyDescent="0.2"/>
    <row r="24601" ht="12.75" hidden="1" customHeight="1" x14ac:dyDescent="0.2"/>
    <row r="24602" ht="12.75" hidden="1" customHeight="1" x14ac:dyDescent="0.2"/>
    <row r="24603" ht="12.75" hidden="1" customHeight="1" x14ac:dyDescent="0.2"/>
    <row r="24604" ht="12.75" hidden="1" customHeight="1" x14ac:dyDescent="0.2"/>
    <row r="24605" ht="12.75" hidden="1" customHeight="1" x14ac:dyDescent="0.2"/>
    <row r="24606" ht="12.75" hidden="1" customHeight="1" x14ac:dyDescent="0.2"/>
    <row r="24607" ht="12.75" hidden="1" customHeight="1" x14ac:dyDescent="0.2"/>
    <row r="24608" ht="12.75" hidden="1" customHeight="1" x14ac:dyDescent="0.2"/>
    <row r="24609" ht="12.75" hidden="1" customHeight="1" x14ac:dyDescent="0.2"/>
    <row r="24610" ht="12.75" hidden="1" customHeight="1" x14ac:dyDescent="0.2"/>
    <row r="24611" ht="12.75" hidden="1" customHeight="1" x14ac:dyDescent="0.2"/>
    <row r="24612" ht="12.75" hidden="1" customHeight="1" x14ac:dyDescent="0.2"/>
    <row r="24613" ht="12.75" hidden="1" customHeight="1" x14ac:dyDescent="0.2"/>
    <row r="24614" ht="12.75" hidden="1" customHeight="1" x14ac:dyDescent="0.2"/>
    <row r="24615" ht="12.75" hidden="1" customHeight="1" x14ac:dyDescent="0.2"/>
    <row r="24616" ht="12.75" hidden="1" customHeight="1" x14ac:dyDescent="0.2"/>
    <row r="24617" ht="12.75" hidden="1" customHeight="1" x14ac:dyDescent="0.2"/>
    <row r="24618" ht="12.75" hidden="1" customHeight="1" x14ac:dyDescent="0.2"/>
    <row r="24619" ht="12.75" hidden="1" customHeight="1" x14ac:dyDescent="0.2"/>
    <row r="24620" ht="12.75" hidden="1" customHeight="1" x14ac:dyDescent="0.2"/>
    <row r="24621" ht="12.75" hidden="1" customHeight="1" x14ac:dyDescent="0.2"/>
    <row r="24622" ht="12.75" hidden="1" customHeight="1" x14ac:dyDescent="0.2"/>
    <row r="24623" ht="12.75" hidden="1" customHeight="1" x14ac:dyDescent="0.2"/>
    <row r="24624" ht="12.75" hidden="1" customHeight="1" x14ac:dyDescent="0.2"/>
    <row r="24625" ht="12.75" hidden="1" customHeight="1" x14ac:dyDescent="0.2"/>
    <row r="24626" ht="12.75" hidden="1" customHeight="1" x14ac:dyDescent="0.2"/>
    <row r="24627" ht="12.75" hidden="1" customHeight="1" x14ac:dyDescent="0.2"/>
    <row r="24628" ht="12.75" hidden="1" customHeight="1" x14ac:dyDescent="0.2"/>
    <row r="24629" ht="12.75" hidden="1" customHeight="1" x14ac:dyDescent="0.2"/>
    <row r="24630" ht="12.75" hidden="1" customHeight="1" x14ac:dyDescent="0.2"/>
    <row r="24631" ht="12.75" hidden="1" customHeight="1" x14ac:dyDescent="0.2"/>
    <row r="24632" ht="12.75" hidden="1" customHeight="1" x14ac:dyDescent="0.2"/>
    <row r="24633" ht="12.75" hidden="1" customHeight="1" x14ac:dyDescent="0.2"/>
    <row r="24634" ht="12.75" hidden="1" customHeight="1" x14ac:dyDescent="0.2"/>
    <row r="24635" ht="12.75" hidden="1" customHeight="1" x14ac:dyDescent="0.2"/>
    <row r="24636" ht="12.75" hidden="1" customHeight="1" x14ac:dyDescent="0.2"/>
    <row r="24637" ht="12.75" hidden="1" customHeight="1" x14ac:dyDescent="0.2"/>
    <row r="24638" ht="12.75" hidden="1" customHeight="1" x14ac:dyDescent="0.2"/>
    <row r="24639" ht="12.75" hidden="1" customHeight="1" x14ac:dyDescent="0.2"/>
    <row r="24640" ht="12.75" hidden="1" customHeight="1" x14ac:dyDescent="0.2"/>
    <row r="24641" ht="12.75" hidden="1" customHeight="1" x14ac:dyDescent="0.2"/>
    <row r="24642" ht="12.75" hidden="1" customHeight="1" x14ac:dyDescent="0.2"/>
    <row r="24643" ht="12.75" hidden="1" customHeight="1" x14ac:dyDescent="0.2"/>
    <row r="24644" ht="12.75" hidden="1" customHeight="1" x14ac:dyDescent="0.2"/>
    <row r="24645" ht="12.75" hidden="1" customHeight="1" x14ac:dyDescent="0.2"/>
    <row r="24646" ht="12.75" hidden="1" customHeight="1" x14ac:dyDescent="0.2"/>
    <row r="24647" ht="12.75" hidden="1" customHeight="1" x14ac:dyDescent="0.2"/>
    <row r="24648" ht="12.75" hidden="1" customHeight="1" x14ac:dyDescent="0.2"/>
    <row r="24649" ht="12.75" hidden="1" customHeight="1" x14ac:dyDescent="0.2"/>
    <row r="24650" ht="12.75" hidden="1" customHeight="1" x14ac:dyDescent="0.2"/>
    <row r="24651" ht="12.75" hidden="1" customHeight="1" x14ac:dyDescent="0.2"/>
    <row r="24652" ht="12.75" hidden="1" customHeight="1" x14ac:dyDescent="0.2"/>
    <row r="24653" ht="12.75" hidden="1" customHeight="1" x14ac:dyDescent="0.2"/>
    <row r="24654" ht="12.75" hidden="1" customHeight="1" x14ac:dyDescent="0.2"/>
    <row r="24655" ht="12.75" hidden="1" customHeight="1" x14ac:dyDescent="0.2"/>
    <row r="24656" ht="12.75" hidden="1" customHeight="1" x14ac:dyDescent="0.2"/>
    <row r="24657" ht="12.75" hidden="1" customHeight="1" x14ac:dyDescent="0.2"/>
    <row r="24658" ht="12.75" hidden="1" customHeight="1" x14ac:dyDescent="0.2"/>
    <row r="24659" ht="12.75" hidden="1" customHeight="1" x14ac:dyDescent="0.2"/>
    <row r="24660" ht="12.75" hidden="1" customHeight="1" x14ac:dyDescent="0.2"/>
    <row r="24661" ht="12.75" hidden="1" customHeight="1" x14ac:dyDescent="0.2"/>
    <row r="24662" ht="12.75" hidden="1" customHeight="1" x14ac:dyDescent="0.2"/>
    <row r="24663" ht="12.75" hidden="1" customHeight="1" x14ac:dyDescent="0.2"/>
    <row r="24664" ht="12.75" hidden="1" customHeight="1" x14ac:dyDescent="0.2"/>
    <row r="24665" ht="12.75" hidden="1" customHeight="1" x14ac:dyDescent="0.2"/>
    <row r="24666" ht="12.75" hidden="1" customHeight="1" x14ac:dyDescent="0.2"/>
    <row r="24667" ht="12.75" hidden="1" customHeight="1" x14ac:dyDescent="0.2"/>
    <row r="24668" ht="12.75" hidden="1" customHeight="1" x14ac:dyDescent="0.2"/>
    <row r="24669" ht="12.75" hidden="1" customHeight="1" x14ac:dyDescent="0.2"/>
    <row r="24670" ht="12.75" hidden="1" customHeight="1" x14ac:dyDescent="0.2"/>
    <row r="24671" ht="12.75" hidden="1" customHeight="1" x14ac:dyDescent="0.2"/>
    <row r="24672" ht="12.75" hidden="1" customHeight="1" x14ac:dyDescent="0.2"/>
    <row r="24673" ht="12.75" hidden="1" customHeight="1" x14ac:dyDescent="0.2"/>
    <row r="24674" ht="12.75" hidden="1" customHeight="1" x14ac:dyDescent="0.2"/>
    <row r="24675" ht="12.75" hidden="1" customHeight="1" x14ac:dyDescent="0.2"/>
    <row r="24676" ht="12.75" hidden="1" customHeight="1" x14ac:dyDescent="0.2"/>
    <row r="24677" ht="12.75" hidden="1" customHeight="1" x14ac:dyDescent="0.2"/>
    <row r="24678" ht="12.75" hidden="1" customHeight="1" x14ac:dyDescent="0.2"/>
    <row r="24679" ht="12.75" hidden="1" customHeight="1" x14ac:dyDescent="0.2"/>
    <row r="24680" ht="12.75" hidden="1" customHeight="1" x14ac:dyDescent="0.2"/>
    <row r="24681" ht="12.75" hidden="1" customHeight="1" x14ac:dyDescent="0.2"/>
    <row r="24682" ht="12.75" hidden="1" customHeight="1" x14ac:dyDescent="0.2"/>
    <row r="24683" ht="12.75" hidden="1" customHeight="1" x14ac:dyDescent="0.2"/>
    <row r="24684" ht="12.75" hidden="1" customHeight="1" x14ac:dyDescent="0.2"/>
    <row r="24685" ht="12.75" hidden="1" customHeight="1" x14ac:dyDescent="0.2"/>
    <row r="24686" ht="12.75" hidden="1" customHeight="1" x14ac:dyDescent="0.2"/>
    <row r="24687" ht="12.75" hidden="1" customHeight="1" x14ac:dyDescent="0.2"/>
    <row r="24688" ht="12.75" hidden="1" customHeight="1" x14ac:dyDescent="0.2"/>
    <row r="24689" ht="12.75" hidden="1" customHeight="1" x14ac:dyDescent="0.2"/>
    <row r="24690" ht="12.75" hidden="1" customHeight="1" x14ac:dyDescent="0.2"/>
    <row r="24691" ht="12.75" hidden="1" customHeight="1" x14ac:dyDescent="0.2"/>
    <row r="24692" ht="12.75" hidden="1" customHeight="1" x14ac:dyDescent="0.2"/>
    <row r="24693" ht="12.75" hidden="1" customHeight="1" x14ac:dyDescent="0.2"/>
    <row r="24694" ht="12.75" hidden="1" customHeight="1" x14ac:dyDescent="0.2"/>
    <row r="24695" ht="12.75" hidden="1" customHeight="1" x14ac:dyDescent="0.2"/>
    <row r="24696" ht="12.75" hidden="1" customHeight="1" x14ac:dyDescent="0.2"/>
    <row r="24697" ht="12.75" hidden="1" customHeight="1" x14ac:dyDescent="0.2"/>
    <row r="24698" ht="12.75" hidden="1" customHeight="1" x14ac:dyDescent="0.2"/>
    <row r="24699" ht="12.75" hidden="1" customHeight="1" x14ac:dyDescent="0.2"/>
    <row r="24700" ht="12.75" hidden="1" customHeight="1" x14ac:dyDescent="0.2"/>
    <row r="24701" ht="12.75" hidden="1" customHeight="1" x14ac:dyDescent="0.2"/>
    <row r="24702" ht="12.75" hidden="1" customHeight="1" x14ac:dyDescent="0.2"/>
    <row r="24703" ht="12.75" hidden="1" customHeight="1" x14ac:dyDescent="0.2"/>
    <row r="24704" ht="12.75" hidden="1" customHeight="1" x14ac:dyDescent="0.2"/>
    <row r="24705" ht="12.75" hidden="1" customHeight="1" x14ac:dyDescent="0.2"/>
    <row r="24706" ht="12.75" hidden="1" customHeight="1" x14ac:dyDescent="0.2"/>
    <row r="24707" ht="12.75" hidden="1" customHeight="1" x14ac:dyDescent="0.2"/>
    <row r="24708" ht="12.75" hidden="1" customHeight="1" x14ac:dyDescent="0.2"/>
    <row r="24709" ht="12.75" hidden="1" customHeight="1" x14ac:dyDescent="0.2"/>
    <row r="24710" ht="12.75" hidden="1" customHeight="1" x14ac:dyDescent="0.2"/>
    <row r="24711" ht="12.75" hidden="1" customHeight="1" x14ac:dyDescent="0.2"/>
    <row r="24712" ht="12.75" hidden="1" customHeight="1" x14ac:dyDescent="0.2"/>
    <row r="24713" ht="12.75" hidden="1" customHeight="1" x14ac:dyDescent="0.2"/>
    <row r="24714" ht="12.75" hidden="1" customHeight="1" x14ac:dyDescent="0.2"/>
    <row r="24715" ht="12.75" hidden="1" customHeight="1" x14ac:dyDescent="0.2"/>
    <row r="24716" ht="12.75" hidden="1" customHeight="1" x14ac:dyDescent="0.2"/>
    <row r="24717" ht="12.75" hidden="1" customHeight="1" x14ac:dyDescent="0.2"/>
    <row r="24718" ht="12.75" hidden="1" customHeight="1" x14ac:dyDescent="0.2"/>
    <row r="24719" ht="12.75" hidden="1" customHeight="1" x14ac:dyDescent="0.2"/>
    <row r="24720" ht="12.75" hidden="1" customHeight="1" x14ac:dyDescent="0.2"/>
    <row r="24721" ht="12.75" hidden="1" customHeight="1" x14ac:dyDescent="0.2"/>
    <row r="24722" ht="12.75" hidden="1" customHeight="1" x14ac:dyDescent="0.2"/>
    <row r="24723" ht="12.75" hidden="1" customHeight="1" x14ac:dyDescent="0.2"/>
    <row r="24724" ht="12.75" hidden="1" customHeight="1" x14ac:dyDescent="0.2"/>
    <row r="24725" ht="12.75" hidden="1" customHeight="1" x14ac:dyDescent="0.2"/>
    <row r="24726" ht="12.75" hidden="1" customHeight="1" x14ac:dyDescent="0.2"/>
    <row r="24727" ht="12.75" hidden="1" customHeight="1" x14ac:dyDescent="0.2"/>
    <row r="24728" ht="12.75" hidden="1" customHeight="1" x14ac:dyDescent="0.2"/>
    <row r="24729" ht="12.75" hidden="1" customHeight="1" x14ac:dyDescent="0.2"/>
    <row r="24730" ht="12.75" hidden="1" customHeight="1" x14ac:dyDescent="0.2"/>
    <row r="24731" ht="12.75" hidden="1" customHeight="1" x14ac:dyDescent="0.2"/>
    <row r="24732" ht="12.75" hidden="1" customHeight="1" x14ac:dyDescent="0.2"/>
    <row r="24733" ht="12.75" hidden="1" customHeight="1" x14ac:dyDescent="0.2"/>
    <row r="24734" ht="12.75" hidden="1" customHeight="1" x14ac:dyDescent="0.2"/>
    <row r="24735" ht="12.75" hidden="1" customHeight="1" x14ac:dyDescent="0.2"/>
    <row r="24736" ht="12.75" hidden="1" customHeight="1" x14ac:dyDescent="0.2"/>
    <row r="24737" ht="12.75" hidden="1" customHeight="1" x14ac:dyDescent="0.2"/>
    <row r="24738" ht="12.75" hidden="1" customHeight="1" x14ac:dyDescent="0.2"/>
    <row r="24739" ht="12.75" hidden="1" customHeight="1" x14ac:dyDescent="0.2"/>
    <row r="24740" ht="12.75" hidden="1" customHeight="1" x14ac:dyDescent="0.2"/>
    <row r="24741" ht="12.75" hidden="1" customHeight="1" x14ac:dyDescent="0.2"/>
    <row r="24742" ht="12.75" hidden="1" customHeight="1" x14ac:dyDescent="0.2"/>
    <row r="24743" ht="12.75" hidden="1" customHeight="1" x14ac:dyDescent="0.2"/>
    <row r="24744" ht="12.75" hidden="1" customHeight="1" x14ac:dyDescent="0.2"/>
    <row r="24745" ht="12.75" hidden="1" customHeight="1" x14ac:dyDescent="0.2"/>
    <row r="24746" ht="12.75" hidden="1" customHeight="1" x14ac:dyDescent="0.2"/>
    <row r="24747" ht="12.75" hidden="1" customHeight="1" x14ac:dyDescent="0.2"/>
    <row r="24748" ht="12.75" hidden="1" customHeight="1" x14ac:dyDescent="0.2"/>
    <row r="24749" ht="12.75" hidden="1" customHeight="1" x14ac:dyDescent="0.2"/>
    <row r="24750" ht="12.75" hidden="1" customHeight="1" x14ac:dyDescent="0.2"/>
    <row r="24751" ht="12.75" hidden="1" customHeight="1" x14ac:dyDescent="0.2"/>
    <row r="24752" ht="12.75" hidden="1" customHeight="1" x14ac:dyDescent="0.2"/>
    <row r="24753" ht="12.75" hidden="1" customHeight="1" x14ac:dyDescent="0.2"/>
    <row r="24754" ht="12.75" hidden="1" customHeight="1" x14ac:dyDescent="0.2"/>
    <row r="24755" ht="12.75" hidden="1" customHeight="1" x14ac:dyDescent="0.2"/>
    <row r="24756" ht="12.75" hidden="1" customHeight="1" x14ac:dyDescent="0.2"/>
    <row r="24757" ht="12.75" hidden="1" customHeight="1" x14ac:dyDescent="0.2"/>
    <row r="24758" ht="12.75" hidden="1" customHeight="1" x14ac:dyDescent="0.2"/>
    <row r="24759" ht="12.75" hidden="1" customHeight="1" x14ac:dyDescent="0.2"/>
    <row r="24760" ht="12.75" hidden="1" customHeight="1" x14ac:dyDescent="0.2"/>
    <row r="24761" ht="12.75" hidden="1" customHeight="1" x14ac:dyDescent="0.2"/>
    <row r="24762" ht="12.75" hidden="1" customHeight="1" x14ac:dyDescent="0.2"/>
    <row r="24763" ht="12.75" hidden="1" customHeight="1" x14ac:dyDescent="0.2"/>
    <row r="24764" ht="12.75" hidden="1" customHeight="1" x14ac:dyDescent="0.2"/>
    <row r="24765" ht="12.75" hidden="1" customHeight="1" x14ac:dyDescent="0.2"/>
    <row r="24766" ht="12.75" hidden="1" customHeight="1" x14ac:dyDescent="0.2"/>
    <row r="24767" ht="12.75" hidden="1" customHeight="1" x14ac:dyDescent="0.2"/>
    <row r="24768" ht="12.75" hidden="1" customHeight="1" x14ac:dyDescent="0.2"/>
    <row r="24769" ht="12.75" hidden="1" customHeight="1" x14ac:dyDescent="0.2"/>
    <row r="24770" ht="12.75" hidden="1" customHeight="1" x14ac:dyDescent="0.2"/>
    <row r="24771" ht="12.75" hidden="1" customHeight="1" x14ac:dyDescent="0.2"/>
    <row r="24772" ht="12.75" hidden="1" customHeight="1" x14ac:dyDescent="0.2"/>
    <row r="24773" ht="12.75" hidden="1" customHeight="1" x14ac:dyDescent="0.2"/>
    <row r="24774" ht="12.75" hidden="1" customHeight="1" x14ac:dyDescent="0.2"/>
    <row r="24775" ht="12.75" hidden="1" customHeight="1" x14ac:dyDescent="0.2"/>
    <row r="24776" ht="12.75" hidden="1" customHeight="1" x14ac:dyDescent="0.2"/>
    <row r="24777" ht="12.75" hidden="1" customHeight="1" x14ac:dyDescent="0.2"/>
    <row r="24778" ht="12.75" hidden="1" customHeight="1" x14ac:dyDescent="0.2"/>
    <row r="24779" ht="12.75" hidden="1" customHeight="1" x14ac:dyDescent="0.2"/>
    <row r="24780" ht="12.75" hidden="1" customHeight="1" x14ac:dyDescent="0.2"/>
    <row r="24781" ht="12.75" hidden="1" customHeight="1" x14ac:dyDescent="0.2"/>
    <row r="24782" ht="12.75" hidden="1" customHeight="1" x14ac:dyDescent="0.2"/>
    <row r="24783" ht="12.75" hidden="1" customHeight="1" x14ac:dyDescent="0.2"/>
    <row r="24784" ht="12.75" hidden="1" customHeight="1" x14ac:dyDescent="0.2"/>
    <row r="24785" ht="12.75" hidden="1" customHeight="1" x14ac:dyDescent="0.2"/>
    <row r="24786" ht="12.75" hidden="1" customHeight="1" x14ac:dyDescent="0.2"/>
    <row r="24787" ht="12.75" hidden="1" customHeight="1" x14ac:dyDescent="0.2"/>
    <row r="24788" ht="12.75" hidden="1" customHeight="1" x14ac:dyDescent="0.2"/>
    <row r="24789" ht="12.75" hidden="1" customHeight="1" x14ac:dyDescent="0.2"/>
    <row r="24790" ht="12.75" hidden="1" customHeight="1" x14ac:dyDescent="0.2"/>
    <row r="24791" ht="12.75" hidden="1" customHeight="1" x14ac:dyDescent="0.2"/>
    <row r="24792" ht="12.75" hidden="1" customHeight="1" x14ac:dyDescent="0.2"/>
    <row r="24793" ht="12.75" hidden="1" customHeight="1" x14ac:dyDescent="0.2"/>
    <row r="24794" ht="12.75" hidden="1" customHeight="1" x14ac:dyDescent="0.2"/>
    <row r="24795" ht="12.75" hidden="1" customHeight="1" x14ac:dyDescent="0.2"/>
    <row r="24796" ht="12.75" hidden="1" customHeight="1" x14ac:dyDescent="0.2"/>
    <row r="24797" ht="12.75" hidden="1" customHeight="1" x14ac:dyDescent="0.2"/>
    <row r="24798" ht="12.75" hidden="1" customHeight="1" x14ac:dyDescent="0.2"/>
    <row r="24799" ht="12.75" hidden="1" customHeight="1" x14ac:dyDescent="0.2"/>
    <row r="24800" ht="12.75" hidden="1" customHeight="1" x14ac:dyDescent="0.2"/>
    <row r="24801" ht="12.75" hidden="1" customHeight="1" x14ac:dyDescent="0.2"/>
    <row r="24802" ht="12.75" hidden="1" customHeight="1" x14ac:dyDescent="0.2"/>
    <row r="24803" ht="12.75" hidden="1" customHeight="1" x14ac:dyDescent="0.2"/>
    <row r="24804" ht="12.75" hidden="1" customHeight="1" x14ac:dyDescent="0.2"/>
    <row r="24805" ht="12.75" hidden="1" customHeight="1" x14ac:dyDescent="0.2"/>
    <row r="24806" ht="12.75" hidden="1" customHeight="1" x14ac:dyDescent="0.2"/>
    <row r="24807" ht="12.75" hidden="1" customHeight="1" x14ac:dyDescent="0.2"/>
    <row r="24808" ht="12.75" hidden="1" customHeight="1" x14ac:dyDescent="0.2"/>
    <row r="24809" ht="12.75" hidden="1" customHeight="1" x14ac:dyDescent="0.2"/>
    <row r="24810" ht="12.75" hidden="1" customHeight="1" x14ac:dyDescent="0.2"/>
    <row r="24811" ht="12.75" hidden="1" customHeight="1" x14ac:dyDescent="0.2"/>
    <row r="24812" ht="12.75" hidden="1" customHeight="1" x14ac:dyDescent="0.2"/>
    <row r="24813" ht="12.75" hidden="1" customHeight="1" x14ac:dyDescent="0.2"/>
    <row r="24814" ht="12.75" hidden="1" customHeight="1" x14ac:dyDescent="0.2"/>
    <row r="24815" ht="12.75" hidden="1" customHeight="1" x14ac:dyDescent="0.2"/>
    <row r="24816" ht="12.75" hidden="1" customHeight="1" x14ac:dyDescent="0.2"/>
    <row r="24817" ht="12.75" hidden="1" customHeight="1" x14ac:dyDescent="0.2"/>
    <row r="24818" ht="12.75" hidden="1" customHeight="1" x14ac:dyDescent="0.2"/>
    <row r="24819" ht="12.75" hidden="1" customHeight="1" x14ac:dyDescent="0.2"/>
    <row r="24820" ht="12.75" hidden="1" customHeight="1" x14ac:dyDescent="0.2"/>
    <row r="24821" ht="12.75" hidden="1" customHeight="1" x14ac:dyDescent="0.2"/>
    <row r="24822" ht="12.75" hidden="1" customHeight="1" x14ac:dyDescent="0.2"/>
    <row r="24823" ht="12.75" hidden="1" customHeight="1" x14ac:dyDescent="0.2"/>
    <row r="24824" ht="12.75" hidden="1" customHeight="1" x14ac:dyDescent="0.2"/>
    <row r="24825" ht="12.75" hidden="1" customHeight="1" x14ac:dyDescent="0.2"/>
    <row r="24826" ht="12.75" hidden="1" customHeight="1" x14ac:dyDescent="0.2"/>
    <row r="24827" ht="12.75" hidden="1" customHeight="1" x14ac:dyDescent="0.2"/>
    <row r="24828" ht="12.75" hidden="1" customHeight="1" x14ac:dyDescent="0.2"/>
    <row r="24829" ht="12.75" hidden="1" customHeight="1" x14ac:dyDescent="0.2"/>
    <row r="24830" ht="12.75" hidden="1" customHeight="1" x14ac:dyDescent="0.2"/>
    <row r="24831" ht="12.75" hidden="1" customHeight="1" x14ac:dyDescent="0.2"/>
    <row r="24832" ht="12.75" hidden="1" customHeight="1" x14ac:dyDescent="0.2"/>
    <row r="24833" ht="12.75" hidden="1" customHeight="1" x14ac:dyDescent="0.2"/>
    <row r="24834" ht="12.75" hidden="1" customHeight="1" x14ac:dyDescent="0.2"/>
    <row r="24835" ht="12.75" hidden="1" customHeight="1" x14ac:dyDescent="0.2"/>
    <row r="24836" ht="12.75" hidden="1" customHeight="1" x14ac:dyDescent="0.2"/>
    <row r="24837" ht="12.75" hidden="1" customHeight="1" x14ac:dyDescent="0.2"/>
    <row r="24838" ht="12.75" hidden="1" customHeight="1" x14ac:dyDescent="0.2"/>
    <row r="24839" ht="12.75" hidden="1" customHeight="1" x14ac:dyDescent="0.2"/>
    <row r="24840" ht="12.75" hidden="1" customHeight="1" x14ac:dyDescent="0.2"/>
    <row r="24841" ht="12.75" hidden="1" customHeight="1" x14ac:dyDescent="0.2"/>
    <row r="24842" ht="12.75" hidden="1" customHeight="1" x14ac:dyDescent="0.2"/>
    <row r="24843" ht="12.75" hidden="1" customHeight="1" x14ac:dyDescent="0.2"/>
    <row r="24844" ht="12.75" hidden="1" customHeight="1" x14ac:dyDescent="0.2"/>
    <row r="24845" ht="12.75" hidden="1" customHeight="1" x14ac:dyDescent="0.2"/>
    <row r="24846" ht="12.75" hidden="1" customHeight="1" x14ac:dyDescent="0.2"/>
    <row r="24847" ht="12.75" hidden="1" customHeight="1" x14ac:dyDescent="0.2"/>
    <row r="24848" ht="12.75" hidden="1" customHeight="1" x14ac:dyDescent="0.2"/>
    <row r="24849" ht="12.75" hidden="1" customHeight="1" x14ac:dyDescent="0.2"/>
    <row r="24850" ht="12.75" hidden="1" customHeight="1" x14ac:dyDescent="0.2"/>
    <row r="24851" ht="12.75" hidden="1" customHeight="1" x14ac:dyDescent="0.2"/>
    <row r="24852" ht="12.75" hidden="1" customHeight="1" x14ac:dyDescent="0.2"/>
    <row r="24853" ht="12.75" hidden="1" customHeight="1" x14ac:dyDescent="0.2"/>
    <row r="24854" ht="12.75" hidden="1" customHeight="1" x14ac:dyDescent="0.2"/>
    <row r="24855" ht="12.75" hidden="1" customHeight="1" x14ac:dyDescent="0.2"/>
    <row r="24856" ht="12.75" hidden="1" customHeight="1" x14ac:dyDescent="0.2"/>
    <row r="24857" ht="12.75" hidden="1" customHeight="1" x14ac:dyDescent="0.2"/>
    <row r="24858" ht="12.75" hidden="1" customHeight="1" x14ac:dyDescent="0.2"/>
    <row r="24859" ht="12.75" hidden="1" customHeight="1" x14ac:dyDescent="0.2"/>
    <row r="24860" ht="12.75" hidden="1" customHeight="1" x14ac:dyDescent="0.2"/>
    <row r="24861" ht="12.75" hidden="1" customHeight="1" x14ac:dyDescent="0.2"/>
    <row r="24862" ht="12.75" hidden="1" customHeight="1" x14ac:dyDescent="0.2"/>
    <row r="24863" ht="12.75" hidden="1" customHeight="1" x14ac:dyDescent="0.2"/>
    <row r="24864" ht="12.75" hidden="1" customHeight="1" x14ac:dyDescent="0.2"/>
    <row r="24865" ht="12.75" hidden="1" customHeight="1" x14ac:dyDescent="0.2"/>
    <row r="24866" ht="12.75" hidden="1" customHeight="1" x14ac:dyDescent="0.2"/>
    <row r="24867" ht="12.75" hidden="1" customHeight="1" x14ac:dyDescent="0.2"/>
    <row r="24868" ht="12.75" hidden="1" customHeight="1" x14ac:dyDescent="0.2"/>
    <row r="24869" ht="12.75" hidden="1" customHeight="1" x14ac:dyDescent="0.2"/>
    <row r="24870" ht="12.75" hidden="1" customHeight="1" x14ac:dyDescent="0.2"/>
    <row r="24871" ht="12.75" hidden="1" customHeight="1" x14ac:dyDescent="0.2"/>
    <row r="24872" ht="12.75" hidden="1" customHeight="1" x14ac:dyDescent="0.2"/>
    <row r="24873" ht="12.75" hidden="1" customHeight="1" x14ac:dyDescent="0.2"/>
    <row r="24874" ht="12.75" hidden="1" customHeight="1" x14ac:dyDescent="0.2"/>
    <row r="24875" ht="12.75" hidden="1" customHeight="1" x14ac:dyDescent="0.2"/>
    <row r="24876" ht="12.75" hidden="1" customHeight="1" x14ac:dyDescent="0.2"/>
    <row r="24877" ht="12.75" hidden="1" customHeight="1" x14ac:dyDescent="0.2"/>
    <row r="24878" ht="12.75" hidden="1" customHeight="1" x14ac:dyDescent="0.2"/>
    <row r="24879" ht="12.75" hidden="1" customHeight="1" x14ac:dyDescent="0.2"/>
    <row r="24880" ht="12.75" hidden="1" customHeight="1" x14ac:dyDescent="0.2"/>
    <row r="24881" ht="12.75" hidden="1" customHeight="1" x14ac:dyDescent="0.2"/>
    <row r="24882" ht="12.75" hidden="1" customHeight="1" x14ac:dyDescent="0.2"/>
    <row r="24883" ht="12.75" hidden="1" customHeight="1" x14ac:dyDescent="0.2"/>
    <row r="24884" ht="12.75" hidden="1" customHeight="1" x14ac:dyDescent="0.2"/>
    <row r="24885" ht="12.75" hidden="1" customHeight="1" x14ac:dyDescent="0.2"/>
    <row r="24886" ht="12.75" hidden="1" customHeight="1" x14ac:dyDescent="0.2"/>
    <row r="24887" ht="12.75" hidden="1" customHeight="1" x14ac:dyDescent="0.2"/>
    <row r="24888" ht="12.75" hidden="1" customHeight="1" x14ac:dyDescent="0.2"/>
    <row r="24889" ht="12.75" hidden="1" customHeight="1" x14ac:dyDescent="0.2"/>
    <row r="24890" ht="12.75" hidden="1" customHeight="1" x14ac:dyDescent="0.2"/>
    <row r="24891" ht="12.75" hidden="1" customHeight="1" x14ac:dyDescent="0.2"/>
    <row r="24892" ht="12.75" hidden="1" customHeight="1" x14ac:dyDescent="0.2"/>
    <row r="24893" ht="12.75" hidden="1" customHeight="1" x14ac:dyDescent="0.2"/>
    <row r="24894" ht="12.75" hidden="1" customHeight="1" x14ac:dyDescent="0.2"/>
    <row r="24895" ht="12.75" hidden="1" customHeight="1" x14ac:dyDescent="0.2"/>
    <row r="24896" ht="12.75" hidden="1" customHeight="1" x14ac:dyDescent="0.2"/>
    <row r="24897" ht="12.75" hidden="1" customHeight="1" x14ac:dyDescent="0.2"/>
    <row r="24898" ht="12.75" hidden="1" customHeight="1" x14ac:dyDescent="0.2"/>
    <row r="24899" ht="12.75" hidden="1" customHeight="1" x14ac:dyDescent="0.2"/>
    <row r="24900" ht="12.75" hidden="1" customHeight="1" x14ac:dyDescent="0.2"/>
    <row r="24901" ht="12.75" hidden="1" customHeight="1" x14ac:dyDescent="0.2"/>
    <row r="24902" ht="12.75" hidden="1" customHeight="1" x14ac:dyDescent="0.2"/>
    <row r="24903" ht="12.75" hidden="1" customHeight="1" x14ac:dyDescent="0.2"/>
    <row r="24904" ht="12.75" hidden="1" customHeight="1" x14ac:dyDescent="0.2"/>
    <row r="24905" ht="12.75" hidden="1" customHeight="1" x14ac:dyDescent="0.2"/>
    <row r="24906" ht="12.75" hidden="1" customHeight="1" x14ac:dyDescent="0.2"/>
    <row r="24907" ht="12.75" hidden="1" customHeight="1" x14ac:dyDescent="0.2"/>
    <row r="24908" ht="12.75" hidden="1" customHeight="1" x14ac:dyDescent="0.2"/>
    <row r="24909" ht="12.75" hidden="1" customHeight="1" x14ac:dyDescent="0.2"/>
    <row r="24910" ht="12.75" hidden="1" customHeight="1" x14ac:dyDescent="0.2"/>
    <row r="24911" ht="12.75" hidden="1" customHeight="1" x14ac:dyDescent="0.2"/>
    <row r="24912" ht="12.75" hidden="1" customHeight="1" x14ac:dyDescent="0.2"/>
    <row r="24913" ht="12.75" hidden="1" customHeight="1" x14ac:dyDescent="0.2"/>
    <row r="24914" ht="12.75" hidden="1" customHeight="1" x14ac:dyDescent="0.2"/>
    <row r="24915" ht="12.75" hidden="1" customHeight="1" x14ac:dyDescent="0.2"/>
    <row r="24916" ht="12.75" hidden="1" customHeight="1" x14ac:dyDescent="0.2"/>
    <row r="24917" ht="12.75" hidden="1" customHeight="1" x14ac:dyDescent="0.2"/>
    <row r="24918" ht="12.75" hidden="1" customHeight="1" x14ac:dyDescent="0.2"/>
    <row r="24919" ht="12.75" hidden="1" customHeight="1" x14ac:dyDescent="0.2"/>
    <row r="24920" ht="12.75" hidden="1" customHeight="1" x14ac:dyDescent="0.2"/>
    <row r="24921" ht="12.75" hidden="1" customHeight="1" x14ac:dyDescent="0.2"/>
    <row r="24922" ht="12.75" hidden="1" customHeight="1" x14ac:dyDescent="0.2"/>
    <row r="24923" ht="12.75" hidden="1" customHeight="1" x14ac:dyDescent="0.2"/>
    <row r="24924" ht="12.75" hidden="1" customHeight="1" x14ac:dyDescent="0.2"/>
    <row r="24925" ht="12.75" hidden="1" customHeight="1" x14ac:dyDescent="0.2"/>
    <row r="24926" ht="12.75" hidden="1" customHeight="1" x14ac:dyDescent="0.2"/>
    <row r="24927" ht="12.75" hidden="1" customHeight="1" x14ac:dyDescent="0.2"/>
    <row r="24928" ht="12.75" hidden="1" customHeight="1" x14ac:dyDescent="0.2"/>
    <row r="24929" ht="12.75" hidden="1" customHeight="1" x14ac:dyDescent="0.2"/>
    <row r="24930" ht="12.75" hidden="1" customHeight="1" x14ac:dyDescent="0.2"/>
    <row r="24931" ht="12.75" hidden="1" customHeight="1" x14ac:dyDescent="0.2"/>
    <row r="24932" ht="12.75" hidden="1" customHeight="1" x14ac:dyDescent="0.2"/>
    <row r="24933" ht="12.75" hidden="1" customHeight="1" x14ac:dyDescent="0.2"/>
    <row r="24934" ht="12.75" hidden="1" customHeight="1" x14ac:dyDescent="0.2"/>
    <row r="24935" ht="12.75" hidden="1" customHeight="1" x14ac:dyDescent="0.2"/>
    <row r="24936" ht="12.75" hidden="1" customHeight="1" x14ac:dyDescent="0.2"/>
    <row r="24937" ht="12.75" hidden="1" customHeight="1" x14ac:dyDescent="0.2"/>
    <row r="24938" ht="12.75" hidden="1" customHeight="1" x14ac:dyDescent="0.2"/>
    <row r="24939" ht="12.75" hidden="1" customHeight="1" x14ac:dyDescent="0.2"/>
    <row r="24940" ht="12.75" hidden="1" customHeight="1" x14ac:dyDescent="0.2"/>
    <row r="24941" ht="12.75" hidden="1" customHeight="1" x14ac:dyDescent="0.2"/>
    <row r="24942" ht="12.75" hidden="1" customHeight="1" x14ac:dyDescent="0.2"/>
    <row r="24943" ht="12.75" hidden="1" customHeight="1" x14ac:dyDescent="0.2"/>
    <row r="24944" ht="12.75" hidden="1" customHeight="1" x14ac:dyDescent="0.2"/>
    <row r="24945" ht="12.75" hidden="1" customHeight="1" x14ac:dyDescent="0.2"/>
    <row r="24946" ht="12.75" hidden="1" customHeight="1" x14ac:dyDescent="0.2"/>
    <row r="24947" ht="12.75" hidden="1" customHeight="1" x14ac:dyDescent="0.2"/>
    <row r="24948" ht="12.75" hidden="1" customHeight="1" x14ac:dyDescent="0.2"/>
    <row r="24949" ht="12.75" hidden="1" customHeight="1" x14ac:dyDescent="0.2"/>
    <row r="24950" ht="12.75" hidden="1" customHeight="1" x14ac:dyDescent="0.2"/>
    <row r="24951" ht="12.75" hidden="1" customHeight="1" x14ac:dyDescent="0.2"/>
    <row r="24952" ht="12.75" hidden="1" customHeight="1" x14ac:dyDescent="0.2"/>
    <row r="24953" ht="12.75" hidden="1" customHeight="1" x14ac:dyDescent="0.2"/>
    <row r="24954" ht="12.75" hidden="1" customHeight="1" x14ac:dyDescent="0.2"/>
    <row r="24955" ht="12.75" hidden="1" customHeight="1" x14ac:dyDescent="0.2"/>
    <row r="24956" ht="12.75" hidden="1" customHeight="1" x14ac:dyDescent="0.2"/>
    <row r="24957" ht="12.75" hidden="1" customHeight="1" x14ac:dyDescent="0.2"/>
    <row r="24958" ht="12.75" hidden="1" customHeight="1" x14ac:dyDescent="0.2"/>
    <row r="24959" ht="12.75" hidden="1" customHeight="1" x14ac:dyDescent="0.2"/>
    <row r="24960" ht="12.75" hidden="1" customHeight="1" x14ac:dyDescent="0.2"/>
    <row r="24961" ht="12.75" hidden="1" customHeight="1" x14ac:dyDescent="0.2"/>
    <row r="24962" ht="12.75" hidden="1" customHeight="1" x14ac:dyDescent="0.2"/>
    <row r="24963" ht="12.75" hidden="1" customHeight="1" x14ac:dyDescent="0.2"/>
    <row r="24964" ht="12.75" hidden="1" customHeight="1" x14ac:dyDescent="0.2"/>
    <row r="24965" ht="12.75" hidden="1" customHeight="1" x14ac:dyDescent="0.2"/>
    <row r="24966" ht="12.75" hidden="1" customHeight="1" x14ac:dyDescent="0.2"/>
    <row r="24967" ht="12.75" hidden="1" customHeight="1" x14ac:dyDescent="0.2"/>
    <row r="24968" ht="12.75" hidden="1" customHeight="1" x14ac:dyDescent="0.2"/>
    <row r="24969" ht="12.75" hidden="1" customHeight="1" x14ac:dyDescent="0.2"/>
    <row r="24970" ht="12.75" hidden="1" customHeight="1" x14ac:dyDescent="0.2"/>
    <row r="24971" ht="12.75" hidden="1" customHeight="1" x14ac:dyDescent="0.2"/>
    <row r="24972" ht="12.75" hidden="1" customHeight="1" x14ac:dyDescent="0.2"/>
    <row r="24973" ht="12.75" hidden="1" customHeight="1" x14ac:dyDescent="0.2"/>
    <row r="24974" ht="12.75" hidden="1" customHeight="1" x14ac:dyDescent="0.2"/>
    <row r="24975" ht="12.75" hidden="1" customHeight="1" x14ac:dyDescent="0.2"/>
    <row r="24976" ht="12.75" hidden="1" customHeight="1" x14ac:dyDescent="0.2"/>
    <row r="24977" ht="12.75" hidden="1" customHeight="1" x14ac:dyDescent="0.2"/>
    <row r="24978" ht="12.75" hidden="1" customHeight="1" x14ac:dyDescent="0.2"/>
    <row r="24979" ht="12.75" hidden="1" customHeight="1" x14ac:dyDescent="0.2"/>
    <row r="24980" ht="12.75" hidden="1" customHeight="1" x14ac:dyDescent="0.2"/>
    <row r="24981" ht="12.75" hidden="1" customHeight="1" x14ac:dyDescent="0.2"/>
    <row r="24982" ht="12.75" hidden="1" customHeight="1" x14ac:dyDescent="0.2"/>
    <row r="24983" ht="12.75" hidden="1" customHeight="1" x14ac:dyDescent="0.2"/>
    <row r="24984" ht="12.75" hidden="1" customHeight="1" x14ac:dyDescent="0.2"/>
    <row r="24985" ht="12.75" hidden="1" customHeight="1" x14ac:dyDescent="0.2"/>
    <row r="24986" ht="12.75" hidden="1" customHeight="1" x14ac:dyDescent="0.2"/>
    <row r="24987" ht="12.75" hidden="1" customHeight="1" x14ac:dyDescent="0.2"/>
    <row r="24988" ht="12.75" hidden="1" customHeight="1" x14ac:dyDescent="0.2"/>
    <row r="24989" ht="12.75" hidden="1" customHeight="1" x14ac:dyDescent="0.2"/>
    <row r="24990" ht="12.75" hidden="1" customHeight="1" x14ac:dyDescent="0.2"/>
    <row r="24991" ht="12.75" hidden="1" customHeight="1" x14ac:dyDescent="0.2"/>
    <row r="24992" ht="12.75" hidden="1" customHeight="1" x14ac:dyDescent="0.2"/>
    <row r="24993" ht="12.75" hidden="1" customHeight="1" x14ac:dyDescent="0.2"/>
    <row r="24994" ht="12.75" hidden="1" customHeight="1" x14ac:dyDescent="0.2"/>
    <row r="24995" ht="12.75" hidden="1" customHeight="1" x14ac:dyDescent="0.2"/>
    <row r="24996" ht="12.75" hidden="1" customHeight="1" x14ac:dyDescent="0.2"/>
    <row r="24997" ht="12.75" hidden="1" customHeight="1" x14ac:dyDescent="0.2"/>
    <row r="24998" ht="12.75" hidden="1" customHeight="1" x14ac:dyDescent="0.2"/>
    <row r="24999" ht="12.75" hidden="1" customHeight="1" x14ac:dyDescent="0.2"/>
    <row r="25000" ht="12.75" hidden="1" customHeight="1" x14ac:dyDescent="0.2"/>
    <row r="25001" ht="12.75" hidden="1" customHeight="1" x14ac:dyDescent="0.2"/>
    <row r="25002" ht="12.75" hidden="1" customHeight="1" x14ac:dyDescent="0.2"/>
    <row r="25003" ht="12.75" hidden="1" customHeight="1" x14ac:dyDescent="0.2"/>
    <row r="25004" ht="12.75" hidden="1" customHeight="1" x14ac:dyDescent="0.2"/>
    <row r="25005" ht="12.75" hidden="1" customHeight="1" x14ac:dyDescent="0.2"/>
    <row r="25006" ht="12.75" hidden="1" customHeight="1" x14ac:dyDescent="0.2"/>
    <row r="25007" ht="12.75" hidden="1" customHeight="1" x14ac:dyDescent="0.2"/>
    <row r="25008" ht="12.75" hidden="1" customHeight="1" x14ac:dyDescent="0.2"/>
    <row r="25009" ht="12.75" hidden="1" customHeight="1" x14ac:dyDescent="0.2"/>
    <row r="25010" ht="12.75" hidden="1" customHeight="1" x14ac:dyDescent="0.2"/>
    <row r="25011" ht="12.75" hidden="1" customHeight="1" x14ac:dyDescent="0.2"/>
    <row r="25012" ht="12.75" hidden="1" customHeight="1" x14ac:dyDescent="0.2"/>
    <row r="25013" ht="12.75" hidden="1" customHeight="1" x14ac:dyDescent="0.2"/>
    <row r="25014" ht="12.75" hidden="1" customHeight="1" x14ac:dyDescent="0.2"/>
    <row r="25015" ht="12.75" hidden="1" customHeight="1" x14ac:dyDescent="0.2"/>
    <row r="25016" ht="12.75" hidden="1" customHeight="1" x14ac:dyDescent="0.2"/>
    <row r="25017" ht="12.75" hidden="1" customHeight="1" x14ac:dyDescent="0.2"/>
    <row r="25018" ht="12.75" hidden="1" customHeight="1" x14ac:dyDescent="0.2"/>
    <row r="25019" ht="12.75" hidden="1" customHeight="1" x14ac:dyDescent="0.2"/>
    <row r="25020" ht="12.75" hidden="1" customHeight="1" x14ac:dyDescent="0.2"/>
    <row r="25021" ht="12.75" hidden="1" customHeight="1" x14ac:dyDescent="0.2"/>
    <row r="25022" ht="12.75" hidden="1" customHeight="1" x14ac:dyDescent="0.2"/>
    <row r="25023" ht="12.75" hidden="1" customHeight="1" x14ac:dyDescent="0.2"/>
    <row r="25024" ht="12.75" hidden="1" customHeight="1" x14ac:dyDescent="0.2"/>
    <row r="25025" ht="12.75" hidden="1" customHeight="1" x14ac:dyDescent="0.2"/>
    <row r="25026" ht="12.75" hidden="1" customHeight="1" x14ac:dyDescent="0.2"/>
    <row r="25027" ht="12.75" hidden="1" customHeight="1" x14ac:dyDescent="0.2"/>
    <row r="25028" ht="12.75" hidden="1" customHeight="1" x14ac:dyDescent="0.2"/>
    <row r="25029" ht="12.75" hidden="1" customHeight="1" x14ac:dyDescent="0.2"/>
    <row r="25030" ht="12.75" hidden="1" customHeight="1" x14ac:dyDescent="0.2"/>
    <row r="25031" ht="12.75" hidden="1" customHeight="1" x14ac:dyDescent="0.2"/>
    <row r="25032" ht="12.75" hidden="1" customHeight="1" x14ac:dyDescent="0.2"/>
    <row r="25033" ht="12.75" hidden="1" customHeight="1" x14ac:dyDescent="0.2"/>
    <row r="25034" ht="12.75" hidden="1" customHeight="1" x14ac:dyDescent="0.2"/>
    <row r="25035" ht="12.75" hidden="1" customHeight="1" x14ac:dyDescent="0.2"/>
    <row r="25036" ht="12.75" hidden="1" customHeight="1" x14ac:dyDescent="0.2"/>
    <row r="25037" ht="12.75" hidden="1" customHeight="1" x14ac:dyDescent="0.2"/>
    <row r="25038" ht="12.75" hidden="1" customHeight="1" x14ac:dyDescent="0.2"/>
    <row r="25039" ht="12.75" hidden="1" customHeight="1" x14ac:dyDescent="0.2"/>
    <row r="25040" ht="12.75" hidden="1" customHeight="1" x14ac:dyDescent="0.2"/>
    <row r="25041" ht="12.75" hidden="1" customHeight="1" x14ac:dyDescent="0.2"/>
    <row r="25042" ht="12.75" hidden="1" customHeight="1" x14ac:dyDescent="0.2"/>
    <row r="25043" ht="12.75" hidden="1" customHeight="1" x14ac:dyDescent="0.2"/>
    <row r="25044" ht="12.75" hidden="1" customHeight="1" x14ac:dyDescent="0.2"/>
    <row r="25045" ht="12.75" hidden="1" customHeight="1" x14ac:dyDescent="0.2"/>
    <row r="25046" ht="12.75" hidden="1" customHeight="1" x14ac:dyDescent="0.2"/>
    <row r="25047" ht="12.75" hidden="1" customHeight="1" x14ac:dyDescent="0.2"/>
    <row r="25048" ht="12.75" hidden="1" customHeight="1" x14ac:dyDescent="0.2"/>
    <row r="25049" ht="12.75" hidden="1" customHeight="1" x14ac:dyDescent="0.2"/>
    <row r="25050" ht="12.75" hidden="1" customHeight="1" x14ac:dyDescent="0.2"/>
    <row r="25051" ht="12.75" hidden="1" customHeight="1" x14ac:dyDescent="0.2"/>
    <row r="25052" ht="12.75" hidden="1" customHeight="1" x14ac:dyDescent="0.2"/>
    <row r="25053" ht="12.75" hidden="1" customHeight="1" x14ac:dyDescent="0.2"/>
    <row r="25054" ht="12.75" hidden="1" customHeight="1" x14ac:dyDescent="0.2"/>
    <row r="25055" ht="12.75" hidden="1" customHeight="1" x14ac:dyDescent="0.2"/>
    <row r="25056" ht="12.75" hidden="1" customHeight="1" x14ac:dyDescent="0.2"/>
    <row r="25057" ht="12.75" hidden="1" customHeight="1" x14ac:dyDescent="0.2"/>
    <row r="25058" ht="12.75" hidden="1" customHeight="1" x14ac:dyDescent="0.2"/>
    <row r="25059" ht="12.75" hidden="1" customHeight="1" x14ac:dyDescent="0.2"/>
    <row r="25060" ht="12.75" hidden="1" customHeight="1" x14ac:dyDescent="0.2"/>
    <row r="25061" ht="12.75" hidden="1" customHeight="1" x14ac:dyDescent="0.2"/>
    <row r="25062" ht="12.75" hidden="1" customHeight="1" x14ac:dyDescent="0.2"/>
    <row r="25063" ht="12.75" hidden="1" customHeight="1" x14ac:dyDescent="0.2"/>
    <row r="25064" ht="12.75" hidden="1" customHeight="1" x14ac:dyDescent="0.2"/>
    <row r="25065" ht="12.75" hidden="1" customHeight="1" x14ac:dyDescent="0.2"/>
    <row r="25066" ht="12.75" hidden="1" customHeight="1" x14ac:dyDescent="0.2"/>
    <row r="25067" ht="12.75" hidden="1" customHeight="1" x14ac:dyDescent="0.2"/>
    <row r="25068" ht="12.75" hidden="1" customHeight="1" x14ac:dyDescent="0.2"/>
    <row r="25069" ht="12.75" hidden="1" customHeight="1" x14ac:dyDescent="0.2"/>
    <row r="25070" ht="12.75" hidden="1" customHeight="1" x14ac:dyDescent="0.2"/>
    <row r="25071" ht="12.75" hidden="1" customHeight="1" x14ac:dyDescent="0.2"/>
    <row r="25072" ht="12.75" hidden="1" customHeight="1" x14ac:dyDescent="0.2"/>
    <row r="25073" ht="12.75" hidden="1" customHeight="1" x14ac:dyDescent="0.2"/>
    <row r="25074" ht="12.75" hidden="1" customHeight="1" x14ac:dyDescent="0.2"/>
    <row r="25075" ht="12.75" hidden="1" customHeight="1" x14ac:dyDescent="0.2"/>
    <row r="25076" ht="12.75" hidden="1" customHeight="1" x14ac:dyDescent="0.2"/>
    <row r="25077" ht="12.75" hidden="1" customHeight="1" x14ac:dyDescent="0.2"/>
    <row r="25078" ht="12.75" hidden="1" customHeight="1" x14ac:dyDescent="0.2"/>
    <row r="25079" ht="12.75" hidden="1" customHeight="1" x14ac:dyDescent="0.2"/>
    <row r="25080" ht="12.75" hidden="1" customHeight="1" x14ac:dyDescent="0.2"/>
    <row r="25081" ht="12.75" hidden="1" customHeight="1" x14ac:dyDescent="0.2"/>
    <row r="25082" ht="12.75" hidden="1" customHeight="1" x14ac:dyDescent="0.2"/>
    <row r="25083" ht="12.75" hidden="1" customHeight="1" x14ac:dyDescent="0.2"/>
    <row r="25084" ht="12.75" hidden="1" customHeight="1" x14ac:dyDescent="0.2"/>
    <row r="25085" ht="12.75" hidden="1" customHeight="1" x14ac:dyDescent="0.2"/>
    <row r="25086" ht="12.75" hidden="1" customHeight="1" x14ac:dyDescent="0.2"/>
    <row r="25087" ht="12.75" hidden="1" customHeight="1" x14ac:dyDescent="0.2"/>
    <row r="25088" ht="12.75" hidden="1" customHeight="1" x14ac:dyDescent="0.2"/>
    <row r="25089" ht="12.75" hidden="1" customHeight="1" x14ac:dyDescent="0.2"/>
    <row r="25090" ht="12.75" hidden="1" customHeight="1" x14ac:dyDescent="0.2"/>
    <row r="25091" ht="12.75" hidden="1" customHeight="1" x14ac:dyDescent="0.2"/>
    <row r="25092" ht="12.75" hidden="1" customHeight="1" x14ac:dyDescent="0.2"/>
    <row r="25093" ht="12.75" hidden="1" customHeight="1" x14ac:dyDescent="0.2"/>
    <row r="25094" ht="12.75" hidden="1" customHeight="1" x14ac:dyDescent="0.2"/>
    <row r="25095" ht="12.75" hidden="1" customHeight="1" x14ac:dyDescent="0.2"/>
    <row r="25096" ht="12.75" hidden="1" customHeight="1" x14ac:dyDescent="0.2"/>
    <row r="25097" ht="12.75" hidden="1" customHeight="1" x14ac:dyDescent="0.2"/>
    <row r="25098" ht="12.75" hidden="1" customHeight="1" x14ac:dyDescent="0.2"/>
    <row r="25099" ht="12.75" hidden="1" customHeight="1" x14ac:dyDescent="0.2"/>
    <row r="25100" ht="12.75" hidden="1" customHeight="1" x14ac:dyDescent="0.2"/>
    <row r="25101" ht="12.75" hidden="1" customHeight="1" x14ac:dyDescent="0.2"/>
    <row r="25102" ht="12.75" hidden="1" customHeight="1" x14ac:dyDescent="0.2"/>
    <row r="25103" ht="12.75" hidden="1" customHeight="1" x14ac:dyDescent="0.2"/>
    <row r="25104" ht="12.75" hidden="1" customHeight="1" x14ac:dyDescent="0.2"/>
    <row r="25105" ht="12.75" hidden="1" customHeight="1" x14ac:dyDescent="0.2"/>
    <row r="25106" ht="12.75" hidden="1" customHeight="1" x14ac:dyDescent="0.2"/>
    <row r="25107" ht="12.75" hidden="1" customHeight="1" x14ac:dyDescent="0.2"/>
    <row r="25108" ht="12.75" hidden="1" customHeight="1" x14ac:dyDescent="0.2"/>
    <row r="25109" ht="12.75" hidden="1" customHeight="1" x14ac:dyDescent="0.2"/>
    <row r="25110" ht="12.75" hidden="1" customHeight="1" x14ac:dyDescent="0.2"/>
    <row r="25111" ht="12.75" hidden="1" customHeight="1" x14ac:dyDescent="0.2"/>
    <row r="25112" ht="12.75" hidden="1" customHeight="1" x14ac:dyDescent="0.2"/>
    <row r="25113" ht="12.75" hidden="1" customHeight="1" x14ac:dyDescent="0.2"/>
    <row r="25114" ht="12.75" hidden="1" customHeight="1" x14ac:dyDescent="0.2"/>
    <row r="25115" ht="12.75" hidden="1" customHeight="1" x14ac:dyDescent="0.2"/>
    <row r="25116" ht="12.75" hidden="1" customHeight="1" x14ac:dyDescent="0.2"/>
    <row r="25117" ht="12.75" hidden="1" customHeight="1" x14ac:dyDescent="0.2"/>
    <row r="25118" ht="12.75" hidden="1" customHeight="1" x14ac:dyDescent="0.2"/>
    <row r="25119" ht="12.75" hidden="1" customHeight="1" x14ac:dyDescent="0.2"/>
    <row r="25120" ht="12.75" hidden="1" customHeight="1" x14ac:dyDescent="0.2"/>
    <row r="25121" ht="12.75" hidden="1" customHeight="1" x14ac:dyDescent="0.2"/>
    <row r="25122" ht="12.75" hidden="1" customHeight="1" x14ac:dyDescent="0.2"/>
    <row r="25123" ht="12.75" hidden="1" customHeight="1" x14ac:dyDescent="0.2"/>
    <row r="25124" ht="12.75" hidden="1" customHeight="1" x14ac:dyDescent="0.2"/>
    <row r="25125" ht="12.75" hidden="1" customHeight="1" x14ac:dyDescent="0.2"/>
    <row r="25126" ht="12.75" hidden="1" customHeight="1" x14ac:dyDescent="0.2"/>
    <row r="25127" ht="12.75" hidden="1" customHeight="1" x14ac:dyDescent="0.2"/>
    <row r="25128" ht="12.75" hidden="1" customHeight="1" x14ac:dyDescent="0.2"/>
    <row r="25129" ht="12.75" hidden="1" customHeight="1" x14ac:dyDescent="0.2"/>
    <row r="25130" ht="12.75" hidden="1" customHeight="1" x14ac:dyDescent="0.2"/>
    <row r="25131" ht="12.75" hidden="1" customHeight="1" x14ac:dyDescent="0.2"/>
    <row r="25132" ht="12.75" hidden="1" customHeight="1" x14ac:dyDescent="0.2"/>
    <row r="25133" ht="12.75" hidden="1" customHeight="1" x14ac:dyDescent="0.2"/>
    <row r="25134" ht="12.75" hidden="1" customHeight="1" x14ac:dyDescent="0.2"/>
    <row r="25135" ht="12.75" hidden="1" customHeight="1" x14ac:dyDescent="0.2"/>
    <row r="25136" ht="12.75" hidden="1" customHeight="1" x14ac:dyDescent="0.2"/>
    <row r="25137" ht="12.75" hidden="1" customHeight="1" x14ac:dyDescent="0.2"/>
    <row r="25138" ht="12.75" hidden="1" customHeight="1" x14ac:dyDescent="0.2"/>
    <row r="25139" ht="12.75" hidden="1" customHeight="1" x14ac:dyDescent="0.2"/>
    <row r="25140" ht="12.75" hidden="1" customHeight="1" x14ac:dyDescent="0.2"/>
    <row r="25141" ht="12.75" hidden="1" customHeight="1" x14ac:dyDescent="0.2"/>
    <row r="25142" ht="12.75" hidden="1" customHeight="1" x14ac:dyDescent="0.2"/>
    <row r="25143" ht="12.75" hidden="1" customHeight="1" x14ac:dyDescent="0.2"/>
    <row r="25144" ht="12.75" hidden="1" customHeight="1" x14ac:dyDescent="0.2"/>
    <row r="25145" ht="12.75" hidden="1" customHeight="1" x14ac:dyDescent="0.2"/>
    <row r="25146" ht="12.75" hidden="1" customHeight="1" x14ac:dyDescent="0.2"/>
    <row r="25147" ht="12.75" hidden="1" customHeight="1" x14ac:dyDescent="0.2"/>
    <row r="25148" ht="12.75" hidden="1" customHeight="1" x14ac:dyDescent="0.2"/>
    <row r="25149" ht="12.75" hidden="1" customHeight="1" x14ac:dyDescent="0.2"/>
    <row r="25150" ht="12.75" hidden="1" customHeight="1" x14ac:dyDescent="0.2"/>
    <row r="25151" ht="12.75" hidden="1" customHeight="1" x14ac:dyDescent="0.2"/>
    <row r="25152" ht="12.75" hidden="1" customHeight="1" x14ac:dyDescent="0.2"/>
    <row r="25153" ht="12.75" hidden="1" customHeight="1" x14ac:dyDescent="0.2"/>
    <row r="25154" ht="12.75" hidden="1" customHeight="1" x14ac:dyDescent="0.2"/>
    <row r="25155" ht="12.75" hidden="1" customHeight="1" x14ac:dyDescent="0.2"/>
    <row r="25156" ht="12.75" hidden="1" customHeight="1" x14ac:dyDescent="0.2"/>
    <row r="25157" ht="12.75" hidden="1" customHeight="1" x14ac:dyDescent="0.2"/>
    <row r="25158" ht="12.75" hidden="1" customHeight="1" x14ac:dyDescent="0.2"/>
    <row r="25159" ht="12.75" hidden="1" customHeight="1" x14ac:dyDescent="0.2"/>
    <row r="25160" ht="12.75" hidden="1" customHeight="1" x14ac:dyDescent="0.2"/>
    <row r="25161" ht="12.75" hidden="1" customHeight="1" x14ac:dyDescent="0.2"/>
    <row r="25162" ht="12.75" hidden="1" customHeight="1" x14ac:dyDescent="0.2"/>
    <row r="25163" ht="12.75" hidden="1" customHeight="1" x14ac:dyDescent="0.2"/>
    <row r="25164" ht="12.75" hidden="1" customHeight="1" x14ac:dyDescent="0.2"/>
    <row r="25165" ht="12.75" hidden="1" customHeight="1" x14ac:dyDescent="0.2"/>
    <row r="25166" ht="12.75" hidden="1" customHeight="1" x14ac:dyDescent="0.2"/>
    <row r="25167" ht="12.75" hidden="1" customHeight="1" x14ac:dyDescent="0.2"/>
    <row r="25168" ht="12.75" hidden="1" customHeight="1" x14ac:dyDescent="0.2"/>
    <row r="25169" ht="12.75" hidden="1" customHeight="1" x14ac:dyDescent="0.2"/>
    <row r="25170" ht="12.75" hidden="1" customHeight="1" x14ac:dyDescent="0.2"/>
    <row r="25171" ht="12.75" hidden="1" customHeight="1" x14ac:dyDescent="0.2"/>
    <row r="25172" ht="12.75" hidden="1" customHeight="1" x14ac:dyDescent="0.2"/>
    <row r="25173" ht="12.75" hidden="1" customHeight="1" x14ac:dyDescent="0.2"/>
    <row r="25174" ht="12.75" hidden="1" customHeight="1" x14ac:dyDescent="0.2"/>
    <row r="25175" ht="12.75" hidden="1" customHeight="1" x14ac:dyDescent="0.2"/>
    <row r="25176" ht="12.75" hidden="1" customHeight="1" x14ac:dyDescent="0.2"/>
    <row r="25177" ht="12.75" hidden="1" customHeight="1" x14ac:dyDescent="0.2"/>
    <row r="25178" ht="12.75" hidden="1" customHeight="1" x14ac:dyDescent="0.2"/>
    <row r="25179" ht="12.75" hidden="1" customHeight="1" x14ac:dyDescent="0.2"/>
    <row r="25180" ht="12.75" hidden="1" customHeight="1" x14ac:dyDescent="0.2"/>
    <row r="25181" ht="12.75" hidden="1" customHeight="1" x14ac:dyDescent="0.2"/>
    <row r="25182" ht="12.75" hidden="1" customHeight="1" x14ac:dyDescent="0.2"/>
    <row r="25183" ht="12.75" hidden="1" customHeight="1" x14ac:dyDescent="0.2"/>
    <row r="25184" ht="12.75" hidden="1" customHeight="1" x14ac:dyDescent="0.2"/>
    <row r="25185" ht="12.75" hidden="1" customHeight="1" x14ac:dyDescent="0.2"/>
    <row r="25186" ht="12.75" hidden="1" customHeight="1" x14ac:dyDescent="0.2"/>
    <row r="25187" ht="12.75" hidden="1" customHeight="1" x14ac:dyDescent="0.2"/>
    <row r="25188" ht="12.75" hidden="1" customHeight="1" x14ac:dyDescent="0.2"/>
    <row r="25189" ht="12.75" hidden="1" customHeight="1" x14ac:dyDescent="0.2"/>
    <row r="25190" ht="12.75" hidden="1" customHeight="1" x14ac:dyDescent="0.2"/>
    <row r="25191" ht="12.75" hidden="1" customHeight="1" x14ac:dyDescent="0.2"/>
    <row r="25192" ht="12.75" hidden="1" customHeight="1" x14ac:dyDescent="0.2"/>
    <row r="25193" ht="12.75" hidden="1" customHeight="1" x14ac:dyDescent="0.2"/>
    <row r="25194" ht="12.75" hidden="1" customHeight="1" x14ac:dyDescent="0.2"/>
    <row r="25195" ht="12.75" hidden="1" customHeight="1" x14ac:dyDescent="0.2"/>
    <row r="25196" ht="12.75" hidden="1" customHeight="1" x14ac:dyDescent="0.2"/>
    <row r="25197" ht="12.75" hidden="1" customHeight="1" x14ac:dyDescent="0.2"/>
    <row r="25198" ht="12.75" hidden="1" customHeight="1" x14ac:dyDescent="0.2"/>
    <row r="25199" ht="12.75" hidden="1" customHeight="1" x14ac:dyDescent="0.2"/>
    <row r="25200" ht="12.75" hidden="1" customHeight="1" x14ac:dyDescent="0.2"/>
    <row r="25201" ht="12.75" hidden="1" customHeight="1" x14ac:dyDescent="0.2"/>
    <row r="25202" ht="12.75" hidden="1" customHeight="1" x14ac:dyDescent="0.2"/>
    <row r="25203" ht="12.75" hidden="1" customHeight="1" x14ac:dyDescent="0.2"/>
    <row r="25204" ht="12.75" hidden="1" customHeight="1" x14ac:dyDescent="0.2"/>
    <row r="25205" ht="12.75" hidden="1" customHeight="1" x14ac:dyDescent="0.2"/>
    <row r="25206" ht="12.75" hidden="1" customHeight="1" x14ac:dyDescent="0.2"/>
    <row r="25207" ht="12.75" hidden="1" customHeight="1" x14ac:dyDescent="0.2"/>
    <row r="25208" ht="12.75" hidden="1" customHeight="1" x14ac:dyDescent="0.2"/>
    <row r="25209" ht="12.75" hidden="1" customHeight="1" x14ac:dyDescent="0.2"/>
    <row r="25210" ht="12.75" hidden="1" customHeight="1" x14ac:dyDescent="0.2"/>
    <row r="25211" ht="12.75" hidden="1" customHeight="1" x14ac:dyDescent="0.2"/>
    <row r="25212" ht="12.75" hidden="1" customHeight="1" x14ac:dyDescent="0.2"/>
    <row r="25213" ht="12.75" hidden="1" customHeight="1" x14ac:dyDescent="0.2"/>
    <row r="25214" ht="12.75" hidden="1" customHeight="1" x14ac:dyDescent="0.2"/>
    <row r="25215" ht="12.75" hidden="1" customHeight="1" x14ac:dyDescent="0.2"/>
    <row r="25216" ht="12.75" hidden="1" customHeight="1" x14ac:dyDescent="0.2"/>
    <row r="25217" ht="12.75" hidden="1" customHeight="1" x14ac:dyDescent="0.2"/>
    <row r="25218" ht="12.75" hidden="1" customHeight="1" x14ac:dyDescent="0.2"/>
    <row r="25219" ht="12.75" hidden="1" customHeight="1" x14ac:dyDescent="0.2"/>
    <row r="25220" ht="12.75" hidden="1" customHeight="1" x14ac:dyDescent="0.2"/>
    <row r="25221" ht="12.75" hidden="1" customHeight="1" x14ac:dyDescent="0.2"/>
    <row r="25222" ht="12.75" hidden="1" customHeight="1" x14ac:dyDescent="0.2"/>
    <row r="25223" ht="12.75" hidden="1" customHeight="1" x14ac:dyDescent="0.2"/>
    <row r="25224" ht="12.75" hidden="1" customHeight="1" x14ac:dyDescent="0.2"/>
    <row r="25225" ht="12.75" hidden="1" customHeight="1" x14ac:dyDescent="0.2"/>
    <row r="25226" ht="12.75" hidden="1" customHeight="1" x14ac:dyDescent="0.2"/>
    <row r="25227" ht="12.75" hidden="1" customHeight="1" x14ac:dyDescent="0.2"/>
    <row r="25228" ht="12.75" hidden="1" customHeight="1" x14ac:dyDescent="0.2"/>
    <row r="25229" ht="12.75" hidden="1" customHeight="1" x14ac:dyDescent="0.2"/>
    <row r="25230" ht="12.75" hidden="1" customHeight="1" x14ac:dyDescent="0.2"/>
    <row r="25231" ht="12.75" hidden="1" customHeight="1" x14ac:dyDescent="0.2"/>
    <row r="25232" ht="12.75" hidden="1" customHeight="1" x14ac:dyDescent="0.2"/>
    <row r="25233" ht="12.75" hidden="1" customHeight="1" x14ac:dyDescent="0.2"/>
    <row r="25234" ht="12.75" hidden="1" customHeight="1" x14ac:dyDescent="0.2"/>
    <row r="25235" ht="12.75" hidden="1" customHeight="1" x14ac:dyDescent="0.2"/>
    <row r="25236" ht="12.75" hidden="1" customHeight="1" x14ac:dyDescent="0.2"/>
    <row r="25237" ht="12.75" hidden="1" customHeight="1" x14ac:dyDescent="0.2"/>
    <row r="25238" ht="12.75" hidden="1" customHeight="1" x14ac:dyDescent="0.2"/>
    <row r="25239" ht="12.75" hidden="1" customHeight="1" x14ac:dyDescent="0.2"/>
    <row r="25240" ht="12.75" hidden="1" customHeight="1" x14ac:dyDescent="0.2"/>
    <row r="25241" ht="12.75" hidden="1" customHeight="1" x14ac:dyDescent="0.2"/>
    <row r="25242" ht="12.75" hidden="1" customHeight="1" x14ac:dyDescent="0.2"/>
    <row r="25243" ht="12.75" hidden="1" customHeight="1" x14ac:dyDescent="0.2"/>
    <row r="25244" ht="12.75" hidden="1" customHeight="1" x14ac:dyDescent="0.2"/>
    <row r="25245" ht="12.75" hidden="1" customHeight="1" x14ac:dyDescent="0.2"/>
    <row r="25246" ht="12.75" hidden="1" customHeight="1" x14ac:dyDescent="0.2"/>
    <row r="25247" ht="12.75" hidden="1" customHeight="1" x14ac:dyDescent="0.2"/>
    <row r="25248" ht="12.75" hidden="1" customHeight="1" x14ac:dyDescent="0.2"/>
    <row r="25249" ht="12.75" hidden="1" customHeight="1" x14ac:dyDescent="0.2"/>
    <row r="25250" ht="12.75" hidden="1" customHeight="1" x14ac:dyDescent="0.2"/>
    <row r="25251" ht="12.75" hidden="1" customHeight="1" x14ac:dyDescent="0.2"/>
    <row r="25252" ht="12.75" hidden="1" customHeight="1" x14ac:dyDescent="0.2"/>
    <row r="25253" ht="12.75" hidden="1" customHeight="1" x14ac:dyDescent="0.2"/>
    <row r="25254" ht="12.75" hidden="1" customHeight="1" x14ac:dyDescent="0.2"/>
    <row r="25255" ht="12.75" hidden="1" customHeight="1" x14ac:dyDescent="0.2"/>
    <row r="25256" ht="12.75" hidden="1" customHeight="1" x14ac:dyDescent="0.2"/>
    <row r="25257" ht="12.75" hidden="1" customHeight="1" x14ac:dyDescent="0.2"/>
    <row r="25258" ht="12.75" hidden="1" customHeight="1" x14ac:dyDescent="0.2"/>
    <row r="25259" ht="12.75" hidden="1" customHeight="1" x14ac:dyDescent="0.2"/>
    <row r="25260" ht="12.75" hidden="1" customHeight="1" x14ac:dyDescent="0.2"/>
    <row r="25261" ht="12.75" hidden="1" customHeight="1" x14ac:dyDescent="0.2"/>
    <row r="25262" ht="12.75" hidden="1" customHeight="1" x14ac:dyDescent="0.2"/>
    <row r="25263" ht="12.75" hidden="1" customHeight="1" x14ac:dyDescent="0.2"/>
    <row r="25264" ht="12.75" hidden="1" customHeight="1" x14ac:dyDescent="0.2"/>
    <row r="25265" ht="12.75" hidden="1" customHeight="1" x14ac:dyDescent="0.2"/>
    <row r="25266" ht="12.75" hidden="1" customHeight="1" x14ac:dyDescent="0.2"/>
    <row r="25267" ht="12.75" hidden="1" customHeight="1" x14ac:dyDescent="0.2"/>
    <row r="25268" ht="12.75" hidden="1" customHeight="1" x14ac:dyDescent="0.2"/>
    <row r="25269" ht="12.75" hidden="1" customHeight="1" x14ac:dyDescent="0.2"/>
    <row r="25270" ht="12.75" hidden="1" customHeight="1" x14ac:dyDescent="0.2"/>
    <row r="25271" ht="12.75" hidden="1" customHeight="1" x14ac:dyDescent="0.2"/>
    <row r="25272" ht="12.75" hidden="1" customHeight="1" x14ac:dyDescent="0.2"/>
    <row r="25273" ht="12.75" hidden="1" customHeight="1" x14ac:dyDescent="0.2"/>
    <row r="25274" ht="12.75" hidden="1" customHeight="1" x14ac:dyDescent="0.2"/>
    <row r="25275" ht="12.75" hidden="1" customHeight="1" x14ac:dyDescent="0.2"/>
    <row r="25276" ht="12.75" hidden="1" customHeight="1" x14ac:dyDescent="0.2"/>
    <row r="25277" ht="12.75" hidden="1" customHeight="1" x14ac:dyDescent="0.2"/>
    <row r="25278" ht="12.75" hidden="1" customHeight="1" x14ac:dyDescent="0.2"/>
    <row r="25279" ht="12.75" hidden="1" customHeight="1" x14ac:dyDescent="0.2"/>
    <row r="25280" ht="12.75" hidden="1" customHeight="1" x14ac:dyDescent="0.2"/>
    <row r="25281" ht="12.75" hidden="1" customHeight="1" x14ac:dyDescent="0.2"/>
    <row r="25282" ht="12.75" hidden="1" customHeight="1" x14ac:dyDescent="0.2"/>
    <row r="25283" ht="12.75" hidden="1" customHeight="1" x14ac:dyDescent="0.2"/>
    <row r="25284" ht="12.75" hidden="1" customHeight="1" x14ac:dyDescent="0.2"/>
    <row r="25285" ht="12.75" hidden="1" customHeight="1" x14ac:dyDescent="0.2"/>
    <row r="25286" ht="12.75" hidden="1" customHeight="1" x14ac:dyDescent="0.2"/>
    <row r="25287" ht="12.75" hidden="1" customHeight="1" x14ac:dyDescent="0.2"/>
    <row r="25288" ht="12.75" hidden="1" customHeight="1" x14ac:dyDescent="0.2"/>
    <row r="25289" ht="12.75" hidden="1" customHeight="1" x14ac:dyDescent="0.2"/>
    <row r="25290" ht="12.75" hidden="1" customHeight="1" x14ac:dyDescent="0.2"/>
    <row r="25291" ht="12.75" hidden="1" customHeight="1" x14ac:dyDescent="0.2"/>
    <row r="25292" ht="12.75" hidden="1" customHeight="1" x14ac:dyDescent="0.2"/>
    <row r="25293" ht="12.75" hidden="1" customHeight="1" x14ac:dyDescent="0.2"/>
    <row r="25294" ht="12.75" hidden="1" customHeight="1" x14ac:dyDescent="0.2"/>
    <row r="25295" ht="12.75" hidden="1" customHeight="1" x14ac:dyDescent="0.2"/>
    <row r="25296" ht="12.75" hidden="1" customHeight="1" x14ac:dyDescent="0.2"/>
    <row r="25297" ht="12.75" hidden="1" customHeight="1" x14ac:dyDescent="0.2"/>
    <row r="25298" ht="12.75" hidden="1" customHeight="1" x14ac:dyDescent="0.2"/>
    <row r="25299" ht="12.75" hidden="1" customHeight="1" x14ac:dyDescent="0.2"/>
    <row r="25300" ht="12.75" hidden="1" customHeight="1" x14ac:dyDescent="0.2"/>
    <row r="25301" ht="12.75" hidden="1" customHeight="1" x14ac:dyDescent="0.2"/>
    <row r="25302" ht="12.75" hidden="1" customHeight="1" x14ac:dyDescent="0.2"/>
    <row r="25303" ht="12.75" hidden="1" customHeight="1" x14ac:dyDescent="0.2"/>
    <row r="25304" ht="12.75" hidden="1" customHeight="1" x14ac:dyDescent="0.2"/>
    <row r="25305" ht="12.75" hidden="1" customHeight="1" x14ac:dyDescent="0.2"/>
    <row r="25306" ht="12.75" hidden="1" customHeight="1" x14ac:dyDescent="0.2"/>
    <row r="25307" ht="12.75" hidden="1" customHeight="1" x14ac:dyDescent="0.2"/>
    <row r="25308" ht="12.75" hidden="1" customHeight="1" x14ac:dyDescent="0.2"/>
    <row r="25309" ht="12.75" hidden="1" customHeight="1" x14ac:dyDescent="0.2"/>
    <row r="25310" ht="12.75" hidden="1" customHeight="1" x14ac:dyDescent="0.2"/>
    <row r="25311" ht="12.75" hidden="1" customHeight="1" x14ac:dyDescent="0.2"/>
    <row r="25312" ht="12.75" hidden="1" customHeight="1" x14ac:dyDescent="0.2"/>
    <row r="25313" ht="12.75" hidden="1" customHeight="1" x14ac:dyDescent="0.2"/>
    <row r="25314" ht="12.75" hidden="1" customHeight="1" x14ac:dyDescent="0.2"/>
    <row r="25315" ht="12.75" hidden="1" customHeight="1" x14ac:dyDescent="0.2"/>
    <row r="25316" ht="12.75" hidden="1" customHeight="1" x14ac:dyDescent="0.2"/>
    <row r="25317" ht="12.75" hidden="1" customHeight="1" x14ac:dyDescent="0.2"/>
    <row r="25318" ht="12.75" hidden="1" customHeight="1" x14ac:dyDescent="0.2"/>
    <row r="25319" ht="12.75" hidden="1" customHeight="1" x14ac:dyDescent="0.2"/>
    <row r="25320" ht="12.75" hidden="1" customHeight="1" x14ac:dyDescent="0.2"/>
    <row r="25321" ht="12.75" hidden="1" customHeight="1" x14ac:dyDescent="0.2"/>
    <row r="25322" ht="12.75" hidden="1" customHeight="1" x14ac:dyDescent="0.2"/>
    <row r="25323" ht="12.75" hidden="1" customHeight="1" x14ac:dyDescent="0.2"/>
    <row r="25324" ht="12.75" hidden="1" customHeight="1" x14ac:dyDescent="0.2"/>
    <row r="25325" ht="12.75" hidden="1" customHeight="1" x14ac:dyDescent="0.2"/>
    <row r="25326" ht="12.75" hidden="1" customHeight="1" x14ac:dyDescent="0.2"/>
    <row r="25327" ht="12.75" hidden="1" customHeight="1" x14ac:dyDescent="0.2"/>
    <row r="25328" ht="12.75" hidden="1" customHeight="1" x14ac:dyDescent="0.2"/>
    <row r="25329" ht="12.75" hidden="1" customHeight="1" x14ac:dyDescent="0.2"/>
    <row r="25330" ht="12.75" hidden="1" customHeight="1" x14ac:dyDescent="0.2"/>
    <row r="25331" ht="12.75" hidden="1" customHeight="1" x14ac:dyDescent="0.2"/>
    <row r="25332" ht="12.75" hidden="1" customHeight="1" x14ac:dyDescent="0.2"/>
    <row r="25333" ht="12.75" hidden="1" customHeight="1" x14ac:dyDescent="0.2"/>
    <row r="25334" ht="12.75" hidden="1" customHeight="1" x14ac:dyDescent="0.2"/>
    <row r="25335" ht="12.75" hidden="1" customHeight="1" x14ac:dyDescent="0.2"/>
    <row r="25336" ht="12.75" hidden="1" customHeight="1" x14ac:dyDescent="0.2"/>
    <row r="25337" ht="12.75" hidden="1" customHeight="1" x14ac:dyDescent="0.2"/>
    <row r="25338" ht="12.75" hidden="1" customHeight="1" x14ac:dyDescent="0.2"/>
    <row r="25339" ht="12.75" hidden="1" customHeight="1" x14ac:dyDescent="0.2"/>
    <row r="25340" ht="12.75" hidden="1" customHeight="1" x14ac:dyDescent="0.2"/>
    <row r="25341" ht="12.75" hidden="1" customHeight="1" x14ac:dyDescent="0.2"/>
    <row r="25342" ht="12.75" hidden="1" customHeight="1" x14ac:dyDescent="0.2"/>
    <row r="25343" ht="12.75" hidden="1" customHeight="1" x14ac:dyDescent="0.2"/>
    <row r="25344" ht="12.75" hidden="1" customHeight="1" x14ac:dyDescent="0.2"/>
    <row r="25345" ht="12.75" hidden="1" customHeight="1" x14ac:dyDescent="0.2"/>
    <row r="25346" ht="12.75" hidden="1" customHeight="1" x14ac:dyDescent="0.2"/>
    <row r="25347" ht="12.75" hidden="1" customHeight="1" x14ac:dyDescent="0.2"/>
    <row r="25348" ht="12.75" hidden="1" customHeight="1" x14ac:dyDescent="0.2"/>
    <row r="25349" ht="12.75" hidden="1" customHeight="1" x14ac:dyDescent="0.2"/>
    <row r="25350" ht="12.75" hidden="1" customHeight="1" x14ac:dyDescent="0.2"/>
    <row r="25351" ht="12.75" hidden="1" customHeight="1" x14ac:dyDescent="0.2"/>
    <row r="25352" ht="12.75" hidden="1" customHeight="1" x14ac:dyDescent="0.2"/>
    <row r="25353" ht="12.75" hidden="1" customHeight="1" x14ac:dyDescent="0.2"/>
    <row r="25354" ht="12.75" hidden="1" customHeight="1" x14ac:dyDescent="0.2"/>
    <row r="25355" ht="12.75" hidden="1" customHeight="1" x14ac:dyDescent="0.2"/>
    <row r="25356" ht="12.75" hidden="1" customHeight="1" x14ac:dyDescent="0.2"/>
    <row r="25357" ht="12.75" hidden="1" customHeight="1" x14ac:dyDescent="0.2"/>
    <row r="25358" ht="12.75" hidden="1" customHeight="1" x14ac:dyDescent="0.2"/>
    <row r="25359" ht="12.75" hidden="1" customHeight="1" x14ac:dyDescent="0.2"/>
    <row r="25360" ht="12.75" hidden="1" customHeight="1" x14ac:dyDescent="0.2"/>
    <row r="25361" ht="12.75" hidden="1" customHeight="1" x14ac:dyDescent="0.2"/>
    <row r="25362" ht="12.75" hidden="1" customHeight="1" x14ac:dyDescent="0.2"/>
    <row r="25363" ht="12.75" hidden="1" customHeight="1" x14ac:dyDescent="0.2"/>
    <row r="25364" ht="12.75" hidden="1" customHeight="1" x14ac:dyDescent="0.2"/>
    <row r="25365" ht="12.75" hidden="1" customHeight="1" x14ac:dyDescent="0.2"/>
    <row r="25366" ht="12.75" hidden="1" customHeight="1" x14ac:dyDescent="0.2"/>
    <row r="25367" ht="12.75" hidden="1" customHeight="1" x14ac:dyDescent="0.2"/>
    <row r="25368" ht="12.75" hidden="1" customHeight="1" x14ac:dyDescent="0.2"/>
    <row r="25369" ht="12.75" hidden="1" customHeight="1" x14ac:dyDescent="0.2"/>
    <row r="25370" ht="12.75" hidden="1" customHeight="1" x14ac:dyDescent="0.2"/>
    <row r="25371" ht="12.75" hidden="1" customHeight="1" x14ac:dyDescent="0.2"/>
    <row r="25372" ht="12.75" hidden="1" customHeight="1" x14ac:dyDescent="0.2"/>
    <row r="25373" ht="12.75" hidden="1" customHeight="1" x14ac:dyDescent="0.2"/>
    <row r="25374" ht="12.75" hidden="1" customHeight="1" x14ac:dyDescent="0.2"/>
    <row r="25375" ht="12.75" hidden="1" customHeight="1" x14ac:dyDescent="0.2"/>
    <row r="25376" ht="12.75" hidden="1" customHeight="1" x14ac:dyDescent="0.2"/>
    <row r="25377" ht="12.75" hidden="1" customHeight="1" x14ac:dyDescent="0.2"/>
    <row r="25378" ht="12.75" hidden="1" customHeight="1" x14ac:dyDescent="0.2"/>
    <row r="25379" ht="12.75" hidden="1" customHeight="1" x14ac:dyDescent="0.2"/>
    <row r="25380" ht="12.75" hidden="1" customHeight="1" x14ac:dyDescent="0.2"/>
    <row r="25381" ht="12.75" hidden="1" customHeight="1" x14ac:dyDescent="0.2"/>
    <row r="25382" ht="12.75" hidden="1" customHeight="1" x14ac:dyDescent="0.2"/>
    <row r="25383" ht="12.75" hidden="1" customHeight="1" x14ac:dyDescent="0.2"/>
    <row r="25384" ht="12.75" hidden="1" customHeight="1" x14ac:dyDescent="0.2"/>
    <row r="25385" ht="12.75" hidden="1" customHeight="1" x14ac:dyDescent="0.2"/>
    <row r="25386" ht="12.75" hidden="1" customHeight="1" x14ac:dyDescent="0.2"/>
    <row r="25387" ht="12.75" hidden="1" customHeight="1" x14ac:dyDescent="0.2"/>
    <row r="25388" ht="12.75" hidden="1" customHeight="1" x14ac:dyDescent="0.2"/>
    <row r="25389" ht="12.75" hidden="1" customHeight="1" x14ac:dyDescent="0.2"/>
    <row r="25390" ht="12.75" hidden="1" customHeight="1" x14ac:dyDescent="0.2"/>
    <row r="25391" ht="12.75" hidden="1" customHeight="1" x14ac:dyDescent="0.2"/>
    <row r="25392" ht="12.75" hidden="1" customHeight="1" x14ac:dyDescent="0.2"/>
    <row r="25393" ht="12.75" hidden="1" customHeight="1" x14ac:dyDescent="0.2"/>
    <row r="25394" ht="12.75" hidden="1" customHeight="1" x14ac:dyDescent="0.2"/>
    <row r="25395" ht="12.75" hidden="1" customHeight="1" x14ac:dyDescent="0.2"/>
    <row r="25396" ht="12.75" hidden="1" customHeight="1" x14ac:dyDescent="0.2"/>
    <row r="25397" ht="12.75" hidden="1" customHeight="1" x14ac:dyDescent="0.2"/>
    <row r="25398" ht="12.75" hidden="1" customHeight="1" x14ac:dyDescent="0.2"/>
    <row r="25399" ht="12.75" hidden="1" customHeight="1" x14ac:dyDescent="0.2"/>
    <row r="25400" ht="12.75" hidden="1" customHeight="1" x14ac:dyDescent="0.2"/>
    <row r="25401" ht="12.75" hidden="1" customHeight="1" x14ac:dyDescent="0.2"/>
    <row r="25402" ht="12.75" hidden="1" customHeight="1" x14ac:dyDescent="0.2"/>
    <row r="25403" ht="12.75" hidden="1" customHeight="1" x14ac:dyDescent="0.2"/>
    <row r="25404" ht="12.75" hidden="1" customHeight="1" x14ac:dyDescent="0.2"/>
    <row r="25405" ht="12.75" hidden="1" customHeight="1" x14ac:dyDescent="0.2"/>
    <row r="25406" ht="12.75" hidden="1" customHeight="1" x14ac:dyDescent="0.2"/>
    <row r="25407" ht="12.75" hidden="1" customHeight="1" x14ac:dyDescent="0.2"/>
    <row r="25408" ht="12.75" hidden="1" customHeight="1" x14ac:dyDescent="0.2"/>
    <row r="25409" ht="12.75" hidden="1" customHeight="1" x14ac:dyDescent="0.2"/>
    <row r="25410" ht="12.75" hidden="1" customHeight="1" x14ac:dyDescent="0.2"/>
    <row r="25411" ht="12.75" hidden="1" customHeight="1" x14ac:dyDescent="0.2"/>
    <row r="25412" ht="12.75" hidden="1" customHeight="1" x14ac:dyDescent="0.2"/>
    <row r="25413" ht="12.75" hidden="1" customHeight="1" x14ac:dyDescent="0.2"/>
    <row r="25414" ht="12.75" hidden="1" customHeight="1" x14ac:dyDescent="0.2"/>
    <row r="25415" ht="12.75" hidden="1" customHeight="1" x14ac:dyDescent="0.2"/>
    <row r="25416" ht="12.75" hidden="1" customHeight="1" x14ac:dyDescent="0.2"/>
    <row r="25417" ht="12.75" hidden="1" customHeight="1" x14ac:dyDescent="0.2"/>
    <row r="25418" ht="12.75" hidden="1" customHeight="1" x14ac:dyDescent="0.2"/>
    <row r="25419" ht="12.75" hidden="1" customHeight="1" x14ac:dyDescent="0.2"/>
    <row r="25420" ht="12.75" hidden="1" customHeight="1" x14ac:dyDescent="0.2"/>
    <row r="25421" ht="12.75" hidden="1" customHeight="1" x14ac:dyDescent="0.2"/>
    <row r="25422" ht="12.75" hidden="1" customHeight="1" x14ac:dyDescent="0.2"/>
    <row r="25423" ht="12.75" hidden="1" customHeight="1" x14ac:dyDescent="0.2"/>
    <row r="25424" ht="12.75" hidden="1" customHeight="1" x14ac:dyDescent="0.2"/>
    <row r="25425" ht="12.75" hidden="1" customHeight="1" x14ac:dyDescent="0.2"/>
    <row r="25426" ht="12.75" hidden="1" customHeight="1" x14ac:dyDescent="0.2"/>
    <row r="25427" ht="12.75" hidden="1" customHeight="1" x14ac:dyDescent="0.2"/>
    <row r="25428" ht="12.75" hidden="1" customHeight="1" x14ac:dyDescent="0.2"/>
    <row r="25429" ht="12.75" hidden="1" customHeight="1" x14ac:dyDescent="0.2"/>
    <row r="25430" ht="12.75" hidden="1" customHeight="1" x14ac:dyDescent="0.2"/>
    <row r="25431" ht="12.75" hidden="1" customHeight="1" x14ac:dyDescent="0.2"/>
    <row r="25432" ht="12.75" hidden="1" customHeight="1" x14ac:dyDescent="0.2"/>
    <row r="25433" ht="12.75" hidden="1" customHeight="1" x14ac:dyDescent="0.2"/>
    <row r="25434" ht="12.75" hidden="1" customHeight="1" x14ac:dyDescent="0.2"/>
    <row r="25435" ht="12.75" hidden="1" customHeight="1" x14ac:dyDescent="0.2"/>
    <row r="25436" ht="12.75" hidden="1" customHeight="1" x14ac:dyDescent="0.2"/>
    <row r="25437" ht="12.75" hidden="1" customHeight="1" x14ac:dyDescent="0.2"/>
    <row r="25438" ht="12.75" hidden="1" customHeight="1" x14ac:dyDescent="0.2"/>
    <row r="25439" ht="12.75" hidden="1" customHeight="1" x14ac:dyDescent="0.2"/>
    <row r="25440" ht="12.75" hidden="1" customHeight="1" x14ac:dyDescent="0.2"/>
    <row r="25441" ht="12.75" hidden="1" customHeight="1" x14ac:dyDescent="0.2"/>
    <row r="25442" ht="12.75" hidden="1" customHeight="1" x14ac:dyDescent="0.2"/>
    <row r="25443" ht="12.75" hidden="1" customHeight="1" x14ac:dyDescent="0.2"/>
    <row r="25444" ht="12.75" hidden="1" customHeight="1" x14ac:dyDescent="0.2"/>
    <row r="25445" ht="12.75" hidden="1" customHeight="1" x14ac:dyDescent="0.2"/>
    <row r="25446" ht="12.75" hidden="1" customHeight="1" x14ac:dyDescent="0.2"/>
    <row r="25447" ht="12.75" hidden="1" customHeight="1" x14ac:dyDescent="0.2"/>
    <row r="25448" ht="12.75" hidden="1" customHeight="1" x14ac:dyDescent="0.2"/>
    <row r="25449" ht="12.75" hidden="1" customHeight="1" x14ac:dyDescent="0.2"/>
    <row r="25450" ht="12.75" hidden="1" customHeight="1" x14ac:dyDescent="0.2"/>
    <row r="25451" ht="12.75" hidden="1" customHeight="1" x14ac:dyDescent="0.2"/>
    <row r="25452" ht="12.75" hidden="1" customHeight="1" x14ac:dyDescent="0.2"/>
    <row r="25453" ht="12.75" hidden="1" customHeight="1" x14ac:dyDescent="0.2"/>
    <row r="25454" ht="12.75" hidden="1" customHeight="1" x14ac:dyDescent="0.2"/>
    <row r="25455" ht="12.75" hidden="1" customHeight="1" x14ac:dyDescent="0.2"/>
    <row r="25456" ht="12.75" hidden="1" customHeight="1" x14ac:dyDescent="0.2"/>
    <row r="25457" ht="12.75" hidden="1" customHeight="1" x14ac:dyDescent="0.2"/>
    <row r="25458" ht="12.75" hidden="1" customHeight="1" x14ac:dyDescent="0.2"/>
    <row r="25459" ht="12.75" hidden="1" customHeight="1" x14ac:dyDescent="0.2"/>
    <row r="25460" ht="12.75" hidden="1" customHeight="1" x14ac:dyDescent="0.2"/>
    <row r="25461" ht="12.75" hidden="1" customHeight="1" x14ac:dyDescent="0.2"/>
    <row r="25462" ht="12.75" hidden="1" customHeight="1" x14ac:dyDescent="0.2"/>
    <row r="25463" ht="12.75" hidden="1" customHeight="1" x14ac:dyDescent="0.2"/>
    <row r="25464" ht="12.75" hidden="1" customHeight="1" x14ac:dyDescent="0.2"/>
    <row r="25465" ht="12.75" hidden="1" customHeight="1" x14ac:dyDescent="0.2"/>
    <row r="25466" ht="12.75" hidden="1" customHeight="1" x14ac:dyDescent="0.2"/>
    <row r="25467" ht="12.75" hidden="1" customHeight="1" x14ac:dyDescent="0.2"/>
    <row r="25468" ht="12.75" hidden="1" customHeight="1" x14ac:dyDescent="0.2"/>
    <row r="25469" ht="12.75" hidden="1" customHeight="1" x14ac:dyDescent="0.2"/>
    <row r="25470" ht="12.75" hidden="1" customHeight="1" x14ac:dyDescent="0.2"/>
    <row r="25471" ht="12.75" hidden="1" customHeight="1" x14ac:dyDescent="0.2"/>
    <row r="25472" ht="12.75" hidden="1" customHeight="1" x14ac:dyDescent="0.2"/>
    <row r="25473" ht="12.75" hidden="1" customHeight="1" x14ac:dyDescent="0.2"/>
    <row r="25474" ht="12.75" hidden="1" customHeight="1" x14ac:dyDescent="0.2"/>
    <row r="25475" ht="12.75" hidden="1" customHeight="1" x14ac:dyDescent="0.2"/>
    <row r="25476" ht="12.75" hidden="1" customHeight="1" x14ac:dyDescent="0.2"/>
    <row r="25477" ht="12.75" hidden="1" customHeight="1" x14ac:dyDescent="0.2"/>
    <row r="25478" ht="12.75" hidden="1" customHeight="1" x14ac:dyDescent="0.2"/>
    <row r="25479" ht="12.75" hidden="1" customHeight="1" x14ac:dyDescent="0.2"/>
    <row r="25480" ht="12.75" hidden="1" customHeight="1" x14ac:dyDescent="0.2"/>
    <row r="25481" ht="12.75" hidden="1" customHeight="1" x14ac:dyDescent="0.2"/>
    <row r="25482" ht="12.75" hidden="1" customHeight="1" x14ac:dyDescent="0.2"/>
    <row r="25483" ht="12.75" hidden="1" customHeight="1" x14ac:dyDescent="0.2"/>
    <row r="25484" ht="12.75" hidden="1" customHeight="1" x14ac:dyDescent="0.2"/>
    <row r="25485" ht="12.75" hidden="1" customHeight="1" x14ac:dyDescent="0.2"/>
    <row r="25486" ht="12.75" hidden="1" customHeight="1" x14ac:dyDescent="0.2"/>
    <row r="25487" ht="12.75" hidden="1" customHeight="1" x14ac:dyDescent="0.2"/>
    <row r="25488" ht="12.75" hidden="1" customHeight="1" x14ac:dyDescent="0.2"/>
    <row r="25489" ht="12.75" hidden="1" customHeight="1" x14ac:dyDescent="0.2"/>
    <row r="25490" ht="12.75" hidden="1" customHeight="1" x14ac:dyDescent="0.2"/>
    <row r="25491" ht="12.75" hidden="1" customHeight="1" x14ac:dyDescent="0.2"/>
    <row r="25492" ht="12.75" hidden="1" customHeight="1" x14ac:dyDescent="0.2"/>
    <row r="25493" ht="12.75" hidden="1" customHeight="1" x14ac:dyDescent="0.2"/>
    <row r="25494" ht="12.75" hidden="1" customHeight="1" x14ac:dyDescent="0.2"/>
    <row r="25495" ht="12.75" hidden="1" customHeight="1" x14ac:dyDescent="0.2"/>
    <row r="25496" ht="12.75" hidden="1" customHeight="1" x14ac:dyDescent="0.2"/>
    <row r="25497" ht="12.75" hidden="1" customHeight="1" x14ac:dyDescent="0.2"/>
    <row r="25498" ht="12.75" hidden="1" customHeight="1" x14ac:dyDescent="0.2"/>
    <row r="25499" ht="12.75" hidden="1" customHeight="1" x14ac:dyDescent="0.2"/>
    <row r="25500" ht="12.75" hidden="1" customHeight="1" x14ac:dyDescent="0.2"/>
    <row r="25501" ht="12.75" hidden="1" customHeight="1" x14ac:dyDescent="0.2"/>
    <row r="25502" ht="12.75" hidden="1" customHeight="1" x14ac:dyDescent="0.2"/>
    <row r="25503" ht="12.75" hidden="1" customHeight="1" x14ac:dyDescent="0.2"/>
    <row r="25504" ht="12.75" hidden="1" customHeight="1" x14ac:dyDescent="0.2"/>
    <row r="25505" ht="12.75" hidden="1" customHeight="1" x14ac:dyDescent="0.2"/>
    <row r="25506" ht="12.75" hidden="1" customHeight="1" x14ac:dyDescent="0.2"/>
    <row r="25507" ht="12.75" hidden="1" customHeight="1" x14ac:dyDescent="0.2"/>
    <row r="25508" ht="12.75" hidden="1" customHeight="1" x14ac:dyDescent="0.2"/>
    <row r="25509" ht="12.75" hidden="1" customHeight="1" x14ac:dyDescent="0.2"/>
    <row r="25510" ht="12.75" hidden="1" customHeight="1" x14ac:dyDescent="0.2"/>
    <row r="25511" ht="12.75" hidden="1" customHeight="1" x14ac:dyDescent="0.2"/>
    <row r="25512" ht="12.75" hidden="1" customHeight="1" x14ac:dyDescent="0.2"/>
    <row r="25513" ht="12.75" hidden="1" customHeight="1" x14ac:dyDescent="0.2"/>
    <row r="25514" ht="12.75" hidden="1" customHeight="1" x14ac:dyDescent="0.2"/>
    <row r="25515" ht="12.75" hidden="1" customHeight="1" x14ac:dyDescent="0.2"/>
    <row r="25516" ht="12.75" hidden="1" customHeight="1" x14ac:dyDescent="0.2"/>
    <row r="25517" ht="12.75" hidden="1" customHeight="1" x14ac:dyDescent="0.2"/>
    <row r="25518" ht="12.75" hidden="1" customHeight="1" x14ac:dyDescent="0.2"/>
    <row r="25519" ht="12.75" hidden="1" customHeight="1" x14ac:dyDescent="0.2"/>
    <row r="25520" ht="12.75" hidden="1" customHeight="1" x14ac:dyDescent="0.2"/>
    <row r="25521" ht="12.75" hidden="1" customHeight="1" x14ac:dyDescent="0.2"/>
    <row r="25522" ht="12.75" hidden="1" customHeight="1" x14ac:dyDescent="0.2"/>
    <row r="25523" ht="12.75" hidden="1" customHeight="1" x14ac:dyDescent="0.2"/>
    <row r="25524" ht="12.75" hidden="1" customHeight="1" x14ac:dyDescent="0.2"/>
    <row r="25525" ht="12.75" hidden="1" customHeight="1" x14ac:dyDescent="0.2"/>
    <row r="25526" ht="12.75" hidden="1" customHeight="1" x14ac:dyDescent="0.2"/>
    <row r="25527" ht="12.75" hidden="1" customHeight="1" x14ac:dyDescent="0.2"/>
    <row r="25528" ht="12.75" hidden="1" customHeight="1" x14ac:dyDescent="0.2"/>
    <row r="25529" ht="12.75" hidden="1" customHeight="1" x14ac:dyDescent="0.2"/>
    <row r="25530" ht="12.75" hidden="1" customHeight="1" x14ac:dyDescent="0.2"/>
    <row r="25531" ht="12.75" hidden="1" customHeight="1" x14ac:dyDescent="0.2"/>
    <row r="25532" ht="12.75" hidden="1" customHeight="1" x14ac:dyDescent="0.2"/>
    <row r="25533" ht="12.75" hidden="1" customHeight="1" x14ac:dyDescent="0.2"/>
    <row r="25534" ht="12.75" hidden="1" customHeight="1" x14ac:dyDescent="0.2"/>
    <row r="25535" ht="12.75" hidden="1" customHeight="1" x14ac:dyDescent="0.2"/>
    <row r="25536" ht="12.75" hidden="1" customHeight="1" x14ac:dyDescent="0.2"/>
    <row r="25537" ht="12.75" hidden="1" customHeight="1" x14ac:dyDescent="0.2"/>
    <row r="25538" ht="12.75" hidden="1" customHeight="1" x14ac:dyDescent="0.2"/>
    <row r="25539" ht="12.75" hidden="1" customHeight="1" x14ac:dyDescent="0.2"/>
    <row r="25540" ht="12.75" hidden="1" customHeight="1" x14ac:dyDescent="0.2"/>
    <row r="25541" ht="12.75" hidden="1" customHeight="1" x14ac:dyDescent="0.2"/>
    <row r="25542" ht="12.75" hidden="1" customHeight="1" x14ac:dyDescent="0.2"/>
    <row r="25543" ht="12.75" hidden="1" customHeight="1" x14ac:dyDescent="0.2"/>
    <row r="25544" ht="12.75" hidden="1" customHeight="1" x14ac:dyDescent="0.2"/>
    <row r="25545" ht="12.75" hidden="1" customHeight="1" x14ac:dyDescent="0.2"/>
    <row r="25546" ht="12.75" hidden="1" customHeight="1" x14ac:dyDescent="0.2"/>
    <row r="25547" ht="12.75" hidden="1" customHeight="1" x14ac:dyDescent="0.2"/>
    <row r="25548" ht="12.75" hidden="1" customHeight="1" x14ac:dyDescent="0.2"/>
    <row r="25549" ht="12.75" hidden="1" customHeight="1" x14ac:dyDescent="0.2"/>
    <row r="25550" ht="12.75" hidden="1" customHeight="1" x14ac:dyDescent="0.2"/>
    <row r="25551" ht="12.75" hidden="1" customHeight="1" x14ac:dyDescent="0.2"/>
    <row r="25552" ht="12.75" hidden="1" customHeight="1" x14ac:dyDescent="0.2"/>
    <row r="25553" ht="12.75" hidden="1" customHeight="1" x14ac:dyDescent="0.2"/>
    <row r="25554" ht="12.75" hidden="1" customHeight="1" x14ac:dyDescent="0.2"/>
    <row r="25555" ht="12.75" hidden="1" customHeight="1" x14ac:dyDescent="0.2"/>
    <row r="25556" ht="12.75" hidden="1" customHeight="1" x14ac:dyDescent="0.2"/>
    <row r="25557" ht="12.75" hidden="1" customHeight="1" x14ac:dyDescent="0.2"/>
    <row r="25558" ht="12.75" hidden="1" customHeight="1" x14ac:dyDescent="0.2"/>
    <row r="25559" ht="12.75" hidden="1" customHeight="1" x14ac:dyDescent="0.2"/>
    <row r="25560" ht="12.75" hidden="1" customHeight="1" x14ac:dyDescent="0.2"/>
    <row r="25561" ht="12.75" hidden="1" customHeight="1" x14ac:dyDescent="0.2"/>
    <row r="25562" ht="12.75" hidden="1" customHeight="1" x14ac:dyDescent="0.2"/>
    <row r="25563" ht="12.75" hidden="1" customHeight="1" x14ac:dyDescent="0.2"/>
    <row r="25564" ht="12.75" hidden="1" customHeight="1" x14ac:dyDescent="0.2"/>
    <row r="25565" ht="12.75" hidden="1" customHeight="1" x14ac:dyDescent="0.2"/>
    <row r="25566" ht="12.75" hidden="1" customHeight="1" x14ac:dyDescent="0.2"/>
    <row r="25567" ht="12.75" hidden="1" customHeight="1" x14ac:dyDescent="0.2"/>
    <row r="25568" ht="12.75" hidden="1" customHeight="1" x14ac:dyDescent="0.2"/>
    <row r="25569" ht="12.75" hidden="1" customHeight="1" x14ac:dyDescent="0.2"/>
    <row r="25570" ht="12.75" hidden="1" customHeight="1" x14ac:dyDescent="0.2"/>
    <row r="25571" ht="12.75" hidden="1" customHeight="1" x14ac:dyDescent="0.2"/>
    <row r="25572" ht="12.75" hidden="1" customHeight="1" x14ac:dyDescent="0.2"/>
    <row r="25573" ht="12.75" hidden="1" customHeight="1" x14ac:dyDescent="0.2"/>
    <row r="25574" ht="12.75" hidden="1" customHeight="1" x14ac:dyDescent="0.2"/>
    <row r="25575" ht="12.75" hidden="1" customHeight="1" x14ac:dyDescent="0.2"/>
    <row r="25576" ht="12.75" hidden="1" customHeight="1" x14ac:dyDescent="0.2"/>
    <row r="25577" ht="12.75" hidden="1" customHeight="1" x14ac:dyDescent="0.2"/>
    <row r="25578" ht="12.75" hidden="1" customHeight="1" x14ac:dyDescent="0.2"/>
    <row r="25579" ht="12.75" hidden="1" customHeight="1" x14ac:dyDescent="0.2"/>
    <row r="25580" ht="12.75" hidden="1" customHeight="1" x14ac:dyDescent="0.2"/>
    <row r="25581" ht="12.75" hidden="1" customHeight="1" x14ac:dyDescent="0.2"/>
    <row r="25582" ht="12.75" hidden="1" customHeight="1" x14ac:dyDescent="0.2"/>
    <row r="25583" ht="12.75" hidden="1" customHeight="1" x14ac:dyDescent="0.2"/>
    <row r="25584" ht="12.75" hidden="1" customHeight="1" x14ac:dyDescent="0.2"/>
    <row r="25585" ht="12.75" hidden="1" customHeight="1" x14ac:dyDescent="0.2"/>
    <row r="25586" ht="12.75" hidden="1" customHeight="1" x14ac:dyDescent="0.2"/>
    <row r="25587" ht="12.75" hidden="1" customHeight="1" x14ac:dyDescent="0.2"/>
    <row r="25588" ht="12.75" hidden="1" customHeight="1" x14ac:dyDescent="0.2"/>
    <row r="25589" ht="12.75" hidden="1" customHeight="1" x14ac:dyDescent="0.2"/>
    <row r="25590" ht="12.75" hidden="1" customHeight="1" x14ac:dyDescent="0.2"/>
    <row r="25591" ht="12.75" hidden="1" customHeight="1" x14ac:dyDescent="0.2"/>
    <row r="25592" ht="12.75" hidden="1" customHeight="1" x14ac:dyDescent="0.2"/>
    <row r="25593" ht="12.75" hidden="1" customHeight="1" x14ac:dyDescent="0.2"/>
    <row r="25594" ht="12.75" hidden="1" customHeight="1" x14ac:dyDescent="0.2"/>
    <row r="25595" ht="12.75" hidden="1" customHeight="1" x14ac:dyDescent="0.2"/>
    <row r="25596" ht="12.75" hidden="1" customHeight="1" x14ac:dyDescent="0.2"/>
    <row r="25597" ht="12.75" hidden="1" customHeight="1" x14ac:dyDescent="0.2"/>
    <row r="25598" ht="12.75" hidden="1" customHeight="1" x14ac:dyDescent="0.2"/>
    <row r="25599" ht="12.75" hidden="1" customHeight="1" x14ac:dyDescent="0.2"/>
    <row r="25600" ht="12.75" hidden="1" customHeight="1" x14ac:dyDescent="0.2"/>
    <row r="25601" ht="12.75" hidden="1" customHeight="1" x14ac:dyDescent="0.2"/>
    <row r="25602" ht="12.75" hidden="1" customHeight="1" x14ac:dyDescent="0.2"/>
    <row r="25603" ht="12.75" hidden="1" customHeight="1" x14ac:dyDescent="0.2"/>
    <row r="25604" ht="12.75" hidden="1" customHeight="1" x14ac:dyDescent="0.2"/>
    <row r="25605" ht="12.75" hidden="1" customHeight="1" x14ac:dyDescent="0.2"/>
    <row r="25606" ht="12.75" hidden="1" customHeight="1" x14ac:dyDescent="0.2"/>
    <row r="25607" ht="12.75" hidden="1" customHeight="1" x14ac:dyDescent="0.2"/>
    <row r="25608" ht="12.75" hidden="1" customHeight="1" x14ac:dyDescent="0.2"/>
    <row r="25609" ht="12.75" hidden="1" customHeight="1" x14ac:dyDescent="0.2"/>
    <row r="25610" ht="12.75" hidden="1" customHeight="1" x14ac:dyDescent="0.2"/>
    <row r="25611" ht="12.75" hidden="1" customHeight="1" x14ac:dyDescent="0.2"/>
    <row r="25612" ht="12.75" hidden="1" customHeight="1" x14ac:dyDescent="0.2"/>
    <row r="25613" ht="12.75" hidden="1" customHeight="1" x14ac:dyDescent="0.2"/>
    <row r="25614" ht="12.75" hidden="1" customHeight="1" x14ac:dyDescent="0.2"/>
    <row r="25615" ht="12.75" hidden="1" customHeight="1" x14ac:dyDescent="0.2"/>
    <row r="25616" ht="12.75" hidden="1" customHeight="1" x14ac:dyDescent="0.2"/>
    <row r="25617" ht="12.75" hidden="1" customHeight="1" x14ac:dyDescent="0.2"/>
    <row r="25618" ht="12.75" hidden="1" customHeight="1" x14ac:dyDescent="0.2"/>
    <row r="25619" ht="12.75" hidden="1" customHeight="1" x14ac:dyDescent="0.2"/>
    <row r="25620" ht="12.75" hidden="1" customHeight="1" x14ac:dyDescent="0.2"/>
    <row r="25621" ht="12.75" hidden="1" customHeight="1" x14ac:dyDescent="0.2"/>
    <row r="25622" ht="12.75" hidden="1" customHeight="1" x14ac:dyDescent="0.2"/>
    <row r="25623" ht="12.75" hidden="1" customHeight="1" x14ac:dyDescent="0.2"/>
    <row r="25624" ht="12.75" hidden="1" customHeight="1" x14ac:dyDescent="0.2"/>
    <row r="25625" ht="12.75" hidden="1" customHeight="1" x14ac:dyDescent="0.2"/>
    <row r="25626" ht="12.75" hidden="1" customHeight="1" x14ac:dyDescent="0.2"/>
    <row r="25627" ht="12.75" hidden="1" customHeight="1" x14ac:dyDescent="0.2"/>
    <row r="25628" ht="12.75" hidden="1" customHeight="1" x14ac:dyDescent="0.2"/>
    <row r="25629" ht="12.75" hidden="1" customHeight="1" x14ac:dyDescent="0.2"/>
    <row r="25630" ht="12.75" hidden="1" customHeight="1" x14ac:dyDescent="0.2"/>
    <row r="25631" ht="12.75" hidden="1" customHeight="1" x14ac:dyDescent="0.2"/>
    <row r="25632" ht="12.75" hidden="1" customHeight="1" x14ac:dyDescent="0.2"/>
    <row r="25633" ht="12.75" hidden="1" customHeight="1" x14ac:dyDescent="0.2"/>
    <row r="25634" ht="12.75" hidden="1" customHeight="1" x14ac:dyDescent="0.2"/>
    <row r="25635" ht="12.75" hidden="1" customHeight="1" x14ac:dyDescent="0.2"/>
    <row r="25636" ht="12.75" hidden="1" customHeight="1" x14ac:dyDescent="0.2"/>
    <row r="25637" ht="12.75" hidden="1" customHeight="1" x14ac:dyDescent="0.2"/>
    <row r="25638" ht="12.75" hidden="1" customHeight="1" x14ac:dyDescent="0.2"/>
    <row r="25639" ht="12.75" hidden="1" customHeight="1" x14ac:dyDescent="0.2"/>
    <row r="25640" ht="12.75" hidden="1" customHeight="1" x14ac:dyDescent="0.2"/>
    <row r="25641" ht="12.75" hidden="1" customHeight="1" x14ac:dyDescent="0.2"/>
    <row r="25642" ht="12.75" hidden="1" customHeight="1" x14ac:dyDescent="0.2"/>
    <row r="25643" ht="12.75" hidden="1" customHeight="1" x14ac:dyDescent="0.2"/>
    <row r="25644" ht="12.75" hidden="1" customHeight="1" x14ac:dyDescent="0.2"/>
    <row r="25645" ht="12.75" hidden="1" customHeight="1" x14ac:dyDescent="0.2"/>
    <row r="25646" ht="12.75" hidden="1" customHeight="1" x14ac:dyDescent="0.2"/>
    <row r="25647" ht="12.75" hidden="1" customHeight="1" x14ac:dyDescent="0.2"/>
    <row r="25648" ht="12.75" hidden="1" customHeight="1" x14ac:dyDescent="0.2"/>
    <row r="25649" ht="12.75" hidden="1" customHeight="1" x14ac:dyDescent="0.2"/>
    <row r="25650" ht="12.75" hidden="1" customHeight="1" x14ac:dyDescent="0.2"/>
    <row r="25651" ht="12.75" hidden="1" customHeight="1" x14ac:dyDescent="0.2"/>
    <row r="25652" ht="12.75" hidden="1" customHeight="1" x14ac:dyDescent="0.2"/>
    <row r="25653" ht="12.75" hidden="1" customHeight="1" x14ac:dyDescent="0.2"/>
    <row r="25654" ht="12.75" hidden="1" customHeight="1" x14ac:dyDescent="0.2"/>
    <row r="25655" ht="12.75" hidden="1" customHeight="1" x14ac:dyDescent="0.2"/>
    <row r="25656" ht="12.75" hidden="1" customHeight="1" x14ac:dyDescent="0.2"/>
    <row r="25657" ht="12.75" hidden="1" customHeight="1" x14ac:dyDescent="0.2"/>
    <row r="25658" ht="12.75" hidden="1" customHeight="1" x14ac:dyDescent="0.2"/>
    <row r="25659" ht="12.75" hidden="1" customHeight="1" x14ac:dyDescent="0.2"/>
    <row r="25660" ht="12.75" hidden="1" customHeight="1" x14ac:dyDescent="0.2"/>
    <row r="25661" ht="12.75" hidden="1" customHeight="1" x14ac:dyDescent="0.2"/>
    <row r="25662" ht="12.75" hidden="1" customHeight="1" x14ac:dyDescent="0.2"/>
    <row r="25663" ht="12.75" hidden="1" customHeight="1" x14ac:dyDescent="0.2"/>
    <row r="25664" ht="12.75" hidden="1" customHeight="1" x14ac:dyDescent="0.2"/>
    <row r="25665" ht="12.75" hidden="1" customHeight="1" x14ac:dyDescent="0.2"/>
    <row r="25666" ht="12.75" hidden="1" customHeight="1" x14ac:dyDescent="0.2"/>
    <row r="25667" ht="12.75" hidden="1" customHeight="1" x14ac:dyDescent="0.2"/>
    <row r="25668" ht="12.75" hidden="1" customHeight="1" x14ac:dyDescent="0.2"/>
    <row r="25669" ht="12.75" hidden="1" customHeight="1" x14ac:dyDescent="0.2"/>
    <row r="25670" ht="12.75" hidden="1" customHeight="1" x14ac:dyDescent="0.2"/>
    <row r="25671" ht="12.75" hidden="1" customHeight="1" x14ac:dyDescent="0.2"/>
    <row r="25672" ht="12.75" hidden="1" customHeight="1" x14ac:dyDescent="0.2"/>
    <row r="25673" ht="12.75" hidden="1" customHeight="1" x14ac:dyDescent="0.2"/>
    <row r="25674" ht="12.75" hidden="1" customHeight="1" x14ac:dyDescent="0.2"/>
    <row r="25675" ht="12.75" hidden="1" customHeight="1" x14ac:dyDescent="0.2"/>
    <row r="25676" ht="12.75" hidden="1" customHeight="1" x14ac:dyDescent="0.2"/>
    <row r="25677" ht="12.75" hidden="1" customHeight="1" x14ac:dyDescent="0.2"/>
    <row r="25678" ht="12.75" hidden="1" customHeight="1" x14ac:dyDescent="0.2"/>
    <row r="25679" ht="12.75" hidden="1" customHeight="1" x14ac:dyDescent="0.2"/>
    <row r="25680" ht="12.75" hidden="1" customHeight="1" x14ac:dyDescent="0.2"/>
    <row r="25681" ht="12.75" hidden="1" customHeight="1" x14ac:dyDescent="0.2"/>
    <row r="25682" ht="12.75" hidden="1" customHeight="1" x14ac:dyDescent="0.2"/>
    <row r="25683" ht="12.75" hidden="1" customHeight="1" x14ac:dyDescent="0.2"/>
    <row r="25684" ht="12.75" hidden="1" customHeight="1" x14ac:dyDescent="0.2"/>
    <row r="25685" ht="12.75" hidden="1" customHeight="1" x14ac:dyDescent="0.2"/>
    <row r="25686" ht="12.75" hidden="1" customHeight="1" x14ac:dyDescent="0.2"/>
    <row r="25687" ht="12.75" hidden="1" customHeight="1" x14ac:dyDescent="0.2"/>
    <row r="25688" ht="12.75" hidden="1" customHeight="1" x14ac:dyDescent="0.2"/>
    <row r="25689" ht="12.75" hidden="1" customHeight="1" x14ac:dyDescent="0.2"/>
    <row r="25690" ht="12.75" hidden="1" customHeight="1" x14ac:dyDescent="0.2"/>
    <row r="25691" ht="12.75" hidden="1" customHeight="1" x14ac:dyDescent="0.2"/>
    <row r="25692" ht="12.75" hidden="1" customHeight="1" x14ac:dyDescent="0.2"/>
    <row r="25693" ht="12.75" hidden="1" customHeight="1" x14ac:dyDescent="0.2"/>
    <row r="25694" ht="12.75" hidden="1" customHeight="1" x14ac:dyDescent="0.2"/>
    <row r="25695" ht="12.75" hidden="1" customHeight="1" x14ac:dyDescent="0.2"/>
    <row r="25696" ht="12.75" hidden="1" customHeight="1" x14ac:dyDescent="0.2"/>
    <row r="25697" ht="12.75" hidden="1" customHeight="1" x14ac:dyDescent="0.2"/>
    <row r="25698" ht="12.75" hidden="1" customHeight="1" x14ac:dyDescent="0.2"/>
    <row r="25699" ht="12.75" hidden="1" customHeight="1" x14ac:dyDescent="0.2"/>
    <row r="25700" ht="12.75" hidden="1" customHeight="1" x14ac:dyDescent="0.2"/>
    <row r="25701" ht="12.75" hidden="1" customHeight="1" x14ac:dyDescent="0.2"/>
    <row r="25702" ht="12.75" hidden="1" customHeight="1" x14ac:dyDescent="0.2"/>
    <row r="25703" ht="12.75" hidden="1" customHeight="1" x14ac:dyDescent="0.2"/>
    <row r="25704" ht="12.75" hidden="1" customHeight="1" x14ac:dyDescent="0.2"/>
    <row r="25705" ht="12.75" hidden="1" customHeight="1" x14ac:dyDescent="0.2"/>
    <row r="25706" ht="12.75" hidden="1" customHeight="1" x14ac:dyDescent="0.2"/>
    <row r="25707" ht="12.75" hidden="1" customHeight="1" x14ac:dyDescent="0.2"/>
    <row r="25708" ht="12.75" hidden="1" customHeight="1" x14ac:dyDescent="0.2"/>
    <row r="25709" ht="12.75" hidden="1" customHeight="1" x14ac:dyDescent="0.2"/>
    <row r="25710" ht="12.75" hidden="1" customHeight="1" x14ac:dyDescent="0.2"/>
    <row r="25711" ht="12.75" hidden="1" customHeight="1" x14ac:dyDescent="0.2"/>
    <row r="25712" ht="12.75" hidden="1" customHeight="1" x14ac:dyDescent="0.2"/>
    <row r="25713" ht="12.75" hidden="1" customHeight="1" x14ac:dyDescent="0.2"/>
    <row r="25714" ht="12.75" hidden="1" customHeight="1" x14ac:dyDescent="0.2"/>
    <row r="25715" ht="12.75" hidden="1" customHeight="1" x14ac:dyDescent="0.2"/>
    <row r="25716" ht="12.75" hidden="1" customHeight="1" x14ac:dyDescent="0.2"/>
    <row r="25717" ht="12.75" hidden="1" customHeight="1" x14ac:dyDescent="0.2"/>
    <row r="25718" ht="12.75" hidden="1" customHeight="1" x14ac:dyDescent="0.2"/>
    <row r="25719" ht="12.75" hidden="1" customHeight="1" x14ac:dyDescent="0.2"/>
    <row r="25720" ht="12.75" hidden="1" customHeight="1" x14ac:dyDescent="0.2"/>
    <row r="25721" ht="12.75" hidden="1" customHeight="1" x14ac:dyDescent="0.2"/>
    <row r="25722" ht="12.75" hidden="1" customHeight="1" x14ac:dyDescent="0.2"/>
    <row r="25723" ht="12.75" hidden="1" customHeight="1" x14ac:dyDescent="0.2"/>
    <row r="25724" ht="12.75" hidden="1" customHeight="1" x14ac:dyDescent="0.2"/>
    <row r="25725" ht="12.75" hidden="1" customHeight="1" x14ac:dyDescent="0.2"/>
    <row r="25726" ht="12.75" hidden="1" customHeight="1" x14ac:dyDescent="0.2"/>
    <row r="25727" ht="12.75" hidden="1" customHeight="1" x14ac:dyDescent="0.2"/>
    <row r="25728" ht="12.75" hidden="1" customHeight="1" x14ac:dyDescent="0.2"/>
    <row r="25729" ht="12.75" hidden="1" customHeight="1" x14ac:dyDescent="0.2"/>
    <row r="25730" ht="12.75" hidden="1" customHeight="1" x14ac:dyDescent="0.2"/>
    <row r="25731" ht="12.75" hidden="1" customHeight="1" x14ac:dyDescent="0.2"/>
    <row r="25732" ht="12.75" hidden="1" customHeight="1" x14ac:dyDescent="0.2"/>
    <row r="25733" ht="12.75" hidden="1" customHeight="1" x14ac:dyDescent="0.2"/>
    <row r="25734" ht="12.75" hidden="1" customHeight="1" x14ac:dyDescent="0.2"/>
    <row r="25735" ht="12.75" hidden="1" customHeight="1" x14ac:dyDescent="0.2"/>
    <row r="25736" ht="12.75" hidden="1" customHeight="1" x14ac:dyDescent="0.2"/>
    <row r="25737" ht="12.75" hidden="1" customHeight="1" x14ac:dyDescent="0.2"/>
    <row r="25738" ht="12.75" hidden="1" customHeight="1" x14ac:dyDescent="0.2"/>
    <row r="25739" ht="12.75" hidden="1" customHeight="1" x14ac:dyDescent="0.2"/>
    <row r="25740" ht="12.75" hidden="1" customHeight="1" x14ac:dyDescent="0.2"/>
    <row r="25741" ht="12.75" hidden="1" customHeight="1" x14ac:dyDescent="0.2"/>
    <row r="25742" ht="12.75" hidden="1" customHeight="1" x14ac:dyDescent="0.2"/>
    <row r="25743" ht="12.75" hidden="1" customHeight="1" x14ac:dyDescent="0.2"/>
    <row r="25744" ht="12.75" hidden="1" customHeight="1" x14ac:dyDescent="0.2"/>
    <row r="25745" ht="12.75" hidden="1" customHeight="1" x14ac:dyDescent="0.2"/>
    <row r="25746" ht="12.75" hidden="1" customHeight="1" x14ac:dyDescent="0.2"/>
    <row r="25747" ht="12.75" hidden="1" customHeight="1" x14ac:dyDescent="0.2"/>
    <row r="25748" ht="12.75" hidden="1" customHeight="1" x14ac:dyDescent="0.2"/>
    <row r="25749" ht="12.75" hidden="1" customHeight="1" x14ac:dyDescent="0.2"/>
    <row r="25750" ht="12.75" hidden="1" customHeight="1" x14ac:dyDescent="0.2"/>
    <row r="25751" ht="12.75" hidden="1" customHeight="1" x14ac:dyDescent="0.2"/>
    <row r="25752" ht="12.75" hidden="1" customHeight="1" x14ac:dyDescent="0.2"/>
    <row r="25753" ht="12.75" hidden="1" customHeight="1" x14ac:dyDescent="0.2"/>
    <row r="25754" ht="12.75" hidden="1" customHeight="1" x14ac:dyDescent="0.2"/>
    <row r="25755" ht="12.75" hidden="1" customHeight="1" x14ac:dyDescent="0.2"/>
    <row r="25756" ht="12.75" hidden="1" customHeight="1" x14ac:dyDescent="0.2"/>
    <row r="25757" ht="12.75" hidden="1" customHeight="1" x14ac:dyDescent="0.2"/>
    <row r="25758" ht="12.75" hidden="1" customHeight="1" x14ac:dyDescent="0.2"/>
    <row r="25759" ht="12.75" hidden="1" customHeight="1" x14ac:dyDescent="0.2"/>
    <row r="25760" ht="12.75" hidden="1" customHeight="1" x14ac:dyDescent="0.2"/>
    <row r="25761" ht="12.75" hidden="1" customHeight="1" x14ac:dyDescent="0.2"/>
    <row r="25762" ht="12.75" hidden="1" customHeight="1" x14ac:dyDescent="0.2"/>
    <row r="25763" ht="12.75" hidden="1" customHeight="1" x14ac:dyDescent="0.2"/>
    <row r="25764" ht="12.75" hidden="1" customHeight="1" x14ac:dyDescent="0.2"/>
    <row r="25765" ht="12.75" hidden="1" customHeight="1" x14ac:dyDescent="0.2"/>
    <row r="25766" ht="12.75" hidden="1" customHeight="1" x14ac:dyDescent="0.2"/>
    <row r="25767" ht="12.75" hidden="1" customHeight="1" x14ac:dyDescent="0.2"/>
    <row r="25768" ht="12.75" hidden="1" customHeight="1" x14ac:dyDescent="0.2"/>
    <row r="25769" ht="12.75" hidden="1" customHeight="1" x14ac:dyDescent="0.2"/>
    <row r="25770" ht="12.75" hidden="1" customHeight="1" x14ac:dyDescent="0.2"/>
    <row r="25771" ht="12.75" hidden="1" customHeight="1" x14ac:dyDescent="0.2"/>
    <row r="25772" ht="12.75" hidden="1" customHeight="1" x14ac:dyDescent="0.2"/>
    <row r="25773" ht="12.75" hidden="1" customHeight="1" x14ac:dyDescent="0.2"/>
    <row r="25774" ht="12.75" hidden="1" customHeight="1" x14ac:dyDescent="0.2"/>
    <row r="25775" ht="12.75" hidden="1" customHeight="1" x14ac:dyDescent="0.2"/>
    <row r="25776" ht="12.75" hidden="1" customHeight="1" x14ac:dyDescent="0.2"/>
    <row r="25777" ht="12.75" hidden="1" customHeight="1" x14ac:dyDescent="0.2"/>
    <row r="25778" ht="12.75" hidden="1" customHeight="1" x14ac:dyDescent="0.2"/>
    <row r="25779" ht="12.75" hidden="1" customHeight="1" x14ac:dyDescent="0.2"/>
    <row r="25780" ht="12.75" hidden="1" customHeight="1" x14ac:dyDescent="0.2"/>
    <row r="25781" ht="12.75" hidden="1" customHeight="1" x14ac:dyDescent="0.2"/>
    <row r="25782" ht="12.75" hidden="1" customHeight="1" x14ac:dyDescent="0.2"/>
    <row r="25783" ht="12.75" hidden="1" customHeight="1" x14ac:dyDescent="0.2"/>
    <row r="25784" ht="12.75" hidden="1" customHeight="1" x14ac:dyDescent="0.2"/>
    <row r="25785" ht="12.75" hidden="1" customHeight="1" x14ac:dyDescent="0.2"/>
    <row r="25786" ht="12.75" hidden="1" customHeight="1" x14ac:dyDescent="0.2"/>
    <row r="25787" ht="12.75" hidden="1" customHeight="1" x14ac:dyDescent="0.2"/>
    <row r="25788" ht="12.75" hidden="1" customHeight="1" x14ac:dyDescent="0.2"/>
    <row r="25789" ht="12.75" hidden="1" customHeight="1" x14ac:dyDescent="0.2"/>
    <row r="25790" ht="12.75" hidden="1" customHeight="1" x14ac:dyDescent="0.2"/>
    <row r="25791" ht="12.75" hidden="1" customHeight="1" x14ac:dyDescent="0.2"/>
    <row r="25792" ht="12.75" hidden="1" customHeight="1" x14ac:dyDescent="0.2"/>
    <row r="25793" ht="12.75" hidden="1" customHeight="1" x14ac:dyDescent="0.2"/>
    <row r="25794" ht="12.75" hidden="1" customHeight="1" x14ac:dyDescent="0.2"/>
    <row r="25795" ht="12.75" hidden="1" customHeight="1" x14ac:dyDescent="0.2"/>
    <row r="25796" ht="12.75" hidden="1" customHeight="1" x14ac:dyDescent="0.2"/>
    <row r="25797" ht="12.75" hidden="1" customHeight="1" x14ac:dyDescent="0.2"/>
    <row r="25798" ht="12.75" hidden="1" customHeight="1" x14ac:dyDescent="0.2"/>
    <row r="25799" ht="12.75" hidden="1" customHeight="1" x14ac:dyDescent="0.2"/>
    <row r="25800" ht="12.75" hidden="1" customHeight="1" x14ac:dyDescent="0.2"/>
    <row r="25801" ht="12.75" hidden="1" customHeight="1" x14ac:dyDescent="0.2"/>
    <row r="25802" ht="12.75" hidden="1" customHeight="1" x14ac:dyDescent="0.2"/>
    <row r="25803" ht="12.75" hidden="1" customHeight="1" x14ac:dyDescent="0.2"/>
    <row r="25804" ht="12.75" hidden="1" customHeight="1" x14ac:dyDescent="0.2"/>
    <row r="25805" ht="12.75" hidden="1" customHeight="1" x14ac:dyDescent="0.2"/>
    <row r="25806" ht="12.75" hidden="1" customHeight="1" x14ac:dyDescent="0.2"/>
    <row r="25807" ht="12.75" hidden="1" customHeight="1" x14ac:dyDescent="0.2"/>
    <row r="25808" ht="12.75" hidden="1" customHeight="1" x14ac:dyDescent="0.2"/>
    <row r="25809" ht="12.75" hidden="1" customHeight="1" x14ac:dyDescent="0.2"/>
    <row r="25810" ht="12.75" hidden="1" customHeight="1" x14ac:dyDescent="0.2"/>
    <row r="25811" ht="12.75" hidden="1" customHeight="1" x14ac:dyDescent="0.2"/>
    <row r="25812" ht="12.75" hidden="1" customHeight="1" x14ac:dyDescent="0.2"/>
    <row r="25813" ht="12.75" hidden="1" customHeight="1" x14ac:dyDescent="0.2"/>
    <row r="25814" ht="12.75" hidden="1" customHeight="1" x14ac:dyDescent="0.2"/>
    <row r="25815" ht="12.75" hidden="1" customHeight="1" x14ac:dyDescent="0.2"/>
    <row r="25816" ht="12.75" hidden="1" customHeight="1" x14ac:dyDescent="0.2"/>
    <row r="25817" ht="12.75" hidden="1" customHeight="1" x14ac:dyDescent="0.2"/>
    <row r="25818" ht="12.75" hidden="1" customHeight="1" x14ac:dyDescent="0.2"/>
    <row r="25819" ht="12.75" hidden="1" customHeight="1" x14ac:dyDescent="0.2"/>
    <row r="25820" ht="12.75" hidden="1" customHeight="1" x14ac:dyDescent="0.2"/>
    <row r="25821" ht="12.75" hidden="1" customHeight="1" x14ac:dyDescent="0.2"/>
    <row r="25822" ht="12.75" hidden="1" customHeight="1" x14ac:dyDescent="0.2"/>
    <row r="25823" ht="12.75" hidden="1" customHeight="1" x14ac:dyDescent="0.2"/>
    <row r="25824" ht="12.75" hidden="1" customHeight="1" x14ac:dyDescent="0.2"/>
    <row r="25825" ht="12.75" hidden="1" customHeight="1" x14ac:dyDescent="0.2"/>
    <row r="25826" ht="12.75" hidden="1" customHeight="1" x14ac:dyDescent="0.2"/>
    <row r="25827" ht="12.75" hidden="1" customHeight="1" x14ac:dyDescent="0.2"/>
    <row r="25828" ht="12.75" hidden="1" customHeight="1" x14ac:dyDescent="0.2"/>
    <row r="25829" ht="12.75" hidden="1" customHeight="1" x14ac:dyDescent="0.2"/>
    <row r="25830" ht="12.75" hidden="1" customHeight="1" x14ac:dyDescent="0.2"/>
    <row r="25831" ht="12.75" hidden="1" customHeight="1" x14ac:dyDescent="0.2"/>
    <row r="25832" ht="12.75" hidden="1" customHeight="1" x14ac:dyDescent="0.2"/>
    <row r="25833" ht="12.75" hidden="1" customHeight="1" x14ac:dyDescent="0.2"/>
    <row r="25834" ht="12.75" hidden="1" customHeight="1" x14ac:dyDescent="0.2"/>
    <row r="25835" ht="12.75" hidden="1" customHeight="1" x14ac:dyDescent="0.2"/>
    <row r="25836" ht="12.75" hidden="1" customHeight="1" x14ac:dyDescent="0.2"/>
    <row r="25837" ht="12.75" hidden="1" customHeight="1" x14ac:dyDescent="0.2"/>
    <row r="25838" ht="12.75" hidden="1" customHeight="1" x14ac:dyDescent="0.2"/>
    <row r="25839" ht="12.75" hidden="1" customHeight="1" x14ac:dyDescent="0.2"/>
    <row r="25840" ht="12.75" hidden="1" customHeight="1" x14ac:dyDescent="0.2"/>
    <row r="25841" ht="12.75" hidden="1" customHeight="1" x14ac:dyDescent="0.2"/>
    <row r="25842" ht="12.75" hidden="1" customHeight="1" x14ac:dyDescent="0.2"/>
    <row r="25843" ht="12.75" hidden="1" customHeight="1" x14ac:dyDescent="0.2"/>
    <row r="25844" ht="12.75" hidden="1" customHeight="1" x14ac:dyDescent="0.2"/>
    <row r="25845" ht="12.75" hidden="1" customHeight="1" x14ac:dyDescent="0.2"/>
    <row r="25846" ht="12.75" hidden="1" customHeight="1" x14ac:dyDescent="0.2"/>
    <row r="25847" ht="12.75" hidden="1" customHeight="1" x14ac:dyDescent="0.2"/>
    <row r="25848" ht="12.75" hidden="1" customHeight="1" x14ac:dyDescent="0.2"/>
    <row r="25849" ht="12.75" hidden="1" customHeight="1" x14ac:dyDescent="0.2"/>
    <row r="25850" ht="12.75" hidden="1" customHeight="1" x14ac:dyDescent="0.2"/>
    <row r="25851" ht="12.75" hidden="1" customHeight="1" x14ac:dyDescent="0.2"/>
    <row r="25852" ht="12.75" hidden="1" customHeight="1" x14ac:dyDescent="0.2"/>
    <row r="25853" ht="12.75" hidden="1" customHeight="1" x14ac:dyDescent="0.2"/>
    <row r="25854" ht="12.75" hidden="1" customHeight="1" x14ac:dyDescent="0.2"/>
    <row r="25855" ht="12.75" hidden="1" customHeight="1" x14ac:dyDescent="0.2"/>
    <row r="25856" ht="12.75" hidden="1" customHeight="1" x14ac:dyDescent="0.2"/>
    <row r="25857" ht="12.75" hidden="1" customHeight="1" x14ac:dyDescent="0.2"/>
    <row r="25858" ht="12.75" hidden="1" customHeight="1" x14ac:dyDescent="0.2"/>
    <row r="25859" ht="12.75" hidden="1" customHeight="1" x14ac:dyDescent="0.2"/>
    <row r="25860" ht="12.75" hidden="1" customHeight="1" x14ac:dyDescent="0.2"/>
    <row r="25861" ht="12.75" hidden="1" customHeight="1" x14ac:dyDescent="0.2"/>
    <row r="25862" ht="12.75" hidden="1" customHeight="1" x14ac:dyDescent="0.2"/>
    <row r="25863" ht="12.75" hidden="1" customHeight="1" x14ac:dyDescent="0.2"/>
    <row r="25864" ht="12.75" hidden="1" customHeight="1" x14ac:dyDescent="0.2"/>
    <row r="25865" ht="12.75" hidden="1" customHeight="1" x14ac:dyDescent="0.2"/>
    <row r="25866" ht="12.75" hidden="1" customHeight="1" x14ac:dyDescent="0.2"/>
    <row r="25867" ht="12.75" hidden="1" customHeight="1" x14ac:dyDescent="0.2"/>
    <row r="25868" ht="12.75" hidden="1" customHeight="1" x14ac:dyDescent="0.2"/>
    <row r="25869" ht="12.75" hidden="1" customHeight="1" x14ac:dyDescent="0.2"/>
    <row r="25870" ht="12.75" hidden="1" customHeight="1" x14ac:dyDescent="0.2"/>
    <row r="25871" ht="12.75" hidden="1" customHeight="1" x14ac:dyDescent="0.2"/>
    <row r="25872" ht="12.75" hidden="1" customHeight="1" x14ac:dyDescent="0.2"/>
    <row r="25873" ht="12.75" hidden="1" customHeight="1" x14ac:dyDescent="0.2"/>
    <row r="25874" ht="12.75" hidden="1" customHeight="1" x14ac:dyDescent="0.2"/>
    <row r="25875" ht="12.75" hidden="1" customHeight="1" x14ac:dyDescent="0.2"/>
    <row r="25876" ht="12.75" hidden="1" customHeight="1" x14ac:dyDescent="0.2"/>
    <row r="25877" ht="12.75" hidden="1" customHeight="1" x14ac:dyDescent="0.2"/>
    <row r="25878" ht="12.75" hidden="1" customHeight="1" x14ac:dyDescent="0.2"/>
    <row r="25879" ht="12.75" hidden="1" customHeight="1" x14ac:dyDescent="0.2"/>
    <row r="25880" ht="12.75" hidden="1" customHeight="1" x14ac:dyDescent="0.2"/>
    <row r="25881" ht="12.75" hidden="1" customHeight="1" x14ac:dyDescent="0.2"/>
    <row r="25882" ht="12.75" hidden="1" customHeight="1" x14ac:dyDescent="0.2"/>
    <row r="25883" ht="12.75" hidden="1" customHeight="1" x14ac:dyDescent="0.2"/>
    <row r="25884" ht="12.75" hidden="1" customHeight="1" x14ac:dyDescent="0.2"/>
    <row r="25885" ht="12.75" hidden="1" customHeight="1" x14ac:dyDescent="0.2"/>
    <row r="25886" ht="12.75" hidden="1" customHeight="1" x14ac:dyDescent="0.2"/>
    <row r="25887" ht="12.75" hidden="1" customHeight="1" x14ac:dyDescent="0.2"/>
    <row r="25888" ht="12.75" hidden="1" customHeight="1" x14ac:dyDescent="0.2"/>
    <row r="25889" ht="12.75" hidden="1" customHeight="1" x14ac:dyDescent="0.2"/>
    <row r="25890" ht="12.75" hidden="1" customHeight="1" x14ac:dyDescent="0.2"/>
    <row r="25891" ht="12.75" hidden="1" customHeight="1" x14ac:dyDescent="0.2"/>
    <row r="25892" ht="12.75" hidden="1" customHeight="1" x14ac:dyDescent="0.2"/>
    <row r="25893" ht="12.75" hidden="1" customHeight="1" x14ac:dyDescent="0.2"/>
    <row r="25894" ht="12.75" hidden="1" customHeight="1" x14ac:dyDescent="0.2"/>
    <row r="25895" ht="12.75" hidden="1" customHeight="1" x14ac:dyDescent="0.2"/>
    <row r="25896" ht="12.75" hidden="1" customHeight="1" x14ac:dyDescent="0.2"/>
    <row r="25897" ht="12.75" hidden="1" customHeight="1" x14ac:dyDescent="0.2"/>
    <row r="25898" ht="12.75" hidden="1" customHeight="1" x14ac:dyDescent="0.2"/>
    <row r="25899" ht="12.75" hidden="1" customHeight="1" x14ac:dyDescent="0.2"/>
    <row r="25900" ht="12.75" hidden="1" customHeight="1" x14ac:dyDescent="0.2"/>
    <row r="25901" ht="12.75" hidden="1" customHeight="1" x14ac:dyDescent="0.2"/>
    <row r="25902" ht="12.75" hidden="1" customHeight="1" x14ac:dyDescent="0.2"/>
    <row r="25903" ht="12.75" hidden="1" customHeight="1" x14ac:dyDescent="0.2"/>
    <row r="25904" ht="12.75" hidden="1" customHeight="1" x14ac:dyDescent="0.2"/>
    <row r="25905" ht="12.75" hidden="1" customHeight="1" x14ac:dyDescent="0.2"/>
    <row r="25906" ht="12.75" hidden="1" customHeight="1" x14ac:dyDescent="0.2"/>
    <row r="25907" ht="12.75" hidden="1" customHeight="1" x14ac:dyDescent="0.2"/>
    <row r="25908" ht="12.75" hidden="1" customHeight="1" x14ac:dyDescent="0.2"/>
    <row r="25909" ht="12.75" hidden="1" customHeight="1" x14ac:dyDescent="0.2"/>
    <row r="25910" ht="12.75" hidden="1" customHeight="1" x14ac:dyDescent="0.2"/>
    <row r="25911" ht="12.75" hidden="1" customHeight="1" x14ac:dyDescent="0.2"/>
    <row r="25912" ht="12.75" hidden="1" customHeight="1" x14ac:dyDescent="0.2"/>
    <row r="25913" ht="12.75" hidden="1" customHeight="1" x14ac:dyDescent="0.2"/>
    <row r="25914" ht="12.75" hidden="1" customHeight="1" x14ac:dyDescent="0.2"/>
    <row r="25915" ht="12.75" hidden="1" customHeight="1" x14ac:dyDescent="0.2"/>
    <row r="25916" ht="12.75" hidden="1" customHeight="1" x14ac:dyDescent="0.2"/>
    <row r="25917" ht="12.75" hidden="1" customHeight="1" x14ac:dyDescent="0.2"/>
    <row r="25918" ht="12.75" hidden="1" customHeight="1" x14ac:dyDescent="0.2"/>
    <row r="25919" ht="12.75" hidden="1" customHeight="1" x14ac:dyDescent="0.2"/>
    <row r="25920" ht="12.75" hidden="1" customHeight="1" x14ac:dyDescent="0.2"/>
    <row r="25921" ht="12.75" hidden="1" customHeight="1" x14ac:dyDescent="0.2"/>
    <row r="25922" ht="12.75" hidden="1" customHeight="1" x14ac:dyDescent="0.2"/>
    <row r="25923" ht="12.75" hidden="1" customHeight="1" x14ac:dyDescent="0.2"/>
    <row r="25924" ht="12.75" hidden="1" customHeight="1" x14ac:dyDescent="0.2"/>
    <row r="25925" ht="12.75" hidden="1" customHeight="1" x14ac:dyDescent="0.2"/>
    <row r="25926" ht="12.75" hidden="1" customHeight="1" x14ac:dyDescent="0.2"/>
    <row r="25927" ht="12.75" hidden="1" customHeight="1" x14ac:dyDescent="0.2"/>
    <row r="25928" ht="12.75" hidden="1" customHeight="1" x14ac:dyDescent="0.2"/>
    <row r="25929" ht="12.75" hidden="1" customHeight="1" x14ac:dyDescent="0.2"/>
    <row r="25930" ht="12.75" hidden="1" customHeight="1" x14ac:dyDescent="0.2"/>
    <row r="25931" ht="12.75" hidden="1" customHeight="1" x14ac:dyDescent="0.2"/>
    <row r="25932" ht="12.75" hidden="1" customHeight="1" x14ac:dyDescent="0.2"/>
    <row r="25933" ht="12.75" hidden="1" customHeight="1" x14ac:dyDescent="0.2"/>
    <row r="25934" ht="12.75" hidden="1" customHeight="1" x14ac:dyDescent="0.2"/>
    <row r="25935" ht="12.75" hidden="1" customHeight="1" x14ac:dyDescent="0.2"/>
    <row r="25936" ht="12.75" hidden="1" customHeight="1" x14ac:dyDescent="0.2"/>
    <row r="25937" ht="12.75" hidden="1" customHeight="1" x14ac:dyDescent="0.2"/>
    <row r="25938" ht="12.75" hidden="1" customHeight="1" x14ac:dyDescent="0.2"/>
    <row r="25939" ht="12.75" hidden="1" customHeight="1" x14ac:dyDescent="0.2"/>
    <row r="25940" ht="12.75" hidden="1" customHeight="1" x14ac:dyDescent="0.2"/>
    <row r="25941" ht="12.75" hidden="1" customHeight="1" x14ac:dyDescent="0.2"/>
    <row r="25942" ht="12.75" hidden="1" customHeight="1" x14ac:dyDescent="0.2"/>
    <row r="25943" ht="12.75" hidden="1" customHeight="1" x14ac:dyDescent="0.2"/>
    <row r="25944" ht="12.75" hidden="1" customHeight="1" x14ac:dyDescent="0.2"/>
    <row r="25945" ht="12.75" hidden="1" customHeight="1" x14ac:dyDescent="0.2"/>
    <row r="25946" ht="12.75" hidden="1" customHeight="1" x14ac:dyDescent="0.2"/>
    <row r="25947" ht="12.75" hidden="1" customHeight="1" x14ac:dyDescent="0.2"/>
    <row r="25948" ht="12.75" hidden="1" customHeight="1" x14ac:dyDescent="0.2"/>
    <row r="25949" ht="12.75" hidden="1" customHeight="1" x14ac:dyDescent="0.2"/>
    <row r="25950" ht="12.75" hidden="1" customHeight="1" x14ac:dyDescent="0.2"/>
    <row r="25951" ht="12.75" hidden="1" customHeight="1" x14ac:dyDescent="0.2"/>
    <row r="25952" ht="12.75" hidden="1" customHeight="1" x14ac:dyDescent="0.2"/>
    <row r="25953" ht="12.75" hidden="1" customHeight="1" x14ac:dyDescent="0.2"/>
    <row r="25954" ht="12.75" hidden="1" customHeight="1" x14ac:dyDescent="0.2"/>
    <row r="25955" ht="12.75" hidden="1" customHeight="1" x14ac:dyDescent="0.2"/>
    <row r="25956" ht="12.75" hidden="1" customHeight="1" x14ac:dyDescent="0.2"/>
    <row r="25957" ht="12.75" hidden="1" customHeight="1" x14ac:dyDescent="0.2"/>
    <row r="25958" ht="12.75" hidden="1" customHeight="1" x14ac:dyDescent="0.2"/>
    <row r="25959" ht="12.75" hidden="1" customHeight="1" x14ac:dyDescent="0.2"/>
    <row r="25960" ht="12.75" hidden="1" customHeight="1" x14ac:dyDescent="0.2"/>
    <row r="25961" ht="12.75" hidden="1" customHeight="1" x14ac:dyDescent="0.2"/>
    <row r="25962" ht="12.75" hidden="1" customHeight="1" x14ac:dyDescent="0.2"/>
    <row r="25963" ht="12.75" hidden="1" customHeight="1" x14ac:dyDescent="0.2"/>
    <row r="25964" ht="12.75" hidden="1" customHeight="1" x14ac:dyDescent="0.2"/>
    <row r="25965" ht="12.75" hidden="1" customHeight="1" x14ac:dyDescent="0.2"/>
    <row r="25966" ht="12.75" hidden="1" customHeight="1" x14ac:dyDescent="0.2"/>
    <row r="25967" ht="12.75" hidden="1" customHeight="1" x14ac:dyDescent="0.2"/>
    <row r="25968" ht="12.75" hidden="1" customHeight="1" x14ac:dyDescent="0.2"/>
    <row r="25969" ht="12.75" hidden="1" customHeight="1" x14ac:dyDescent="0.2"/>
    <row r="25970" ht="12.75" hidden="1" customHeight="1" x14ac:dyDescent="0.2"/>
    <row r="25971" ht="12.75" hidden="1" customHeight="1" x14ac:dyDescent="0.2"/>
    <row r="25972" ht="12.75" hidden="1" customHeight="1" x14ac:dyDescent="0.2"/>
    <row r="25973" ht="12.75" hidden="1" customHeight="1" x14ac:dyDescent="0.2"/>
    <row r="25974" ht="12.75" hidden="1" customHeight="1" x14ac:dyDescent="0.2"/>
    <row r="25975" ht="12.75" hidden="1" customHeight="1" x14ac:dyDescent="0.2"/>
    <row r="25976" ht="12.75" hidden="1" customHeight="1" x14ac:dyDescent="0.2"/>
    <row r="25977" ht="12.75" hidden="1" customHeight="1" x14ac:dyDescent="0.2"/>
    <row r="25978" ht="12.75" hidden="1" customHeight="1" x14ac:dyDescent="0.2"/>
    <row r="25979" ht="12.75" hidden="1" customHeight="1" x14ac:dyDescent="0.2"/>
    <row r="25980" ht="12.75" hidden="1" customHeight="1" x14ac:dyDescent="0.2"/>
    <row r="25981" ht="12.75" hidden="1" customHeight="1" x14ac:dyDescent="0.2"/>
    <row r="25982" ht="12.75" hidden="1" customHeight="1" x14ac:dyDescent="0.2"/>
    <row r="25983" ht="12.75" hidden="1" customHeight="1" x14ac:dyDescent="0.2"/>
    <row r="25984" ht="12.75" hidden="1" customHeight="1" x14ac:dyDescent="0.2"/>
    <row r="25985" ht="12.75" hidden="1" customHeight="1" x14ac:dyDescent="0.2"/>
    <row r="25986" ht="12.75" hidden="1" customHeight="1" x14ac:dyDescent="0.2"/>
    <row r="25987" ht="12.75" hidden="1" customHeight="1" x14ac:dyDescent="0.2"/>
    <row r="25988" ht="12.75" hidden="1" customHeight="1" x14ac:dyDescent="0.2"/>
    <row r="25989" ht="12.75" hidden="1" customHeight="1" x14ac:dyDescent="0.2"/>
    <row r="25990" ht="12.75" hidden="1" customHeight="1" x14ac:dyDescent="0.2"/>
    <row r="25991" ht="12.75" hidden="1" customHeight="1" x14ac:dyDescent="0.2"/>
    <row r="25992" ht="12.75" hidden="1" customHeight="1" x14ac:dyDescent="0.2"/>
    <row r="25993" ht="12.75" hidden="1" customHeight="1" x14ac:dyDescent="0.2"/>
    <row r="25994" ht="12.75" hidden="1" customHeight="1" x14ac:dyDescent="0.2"/>
    <row r="25995" ht="12.75" hidden="1" customHeight="1" x14ac:dyDescent="0.2"/>
    <row r="25996" ht="12.75" hidden="1" customHeight="1" x14ac:dyDescent="0.2"/>
    <row r="25997" ht="12.75" hidden="1" customHeight="1" x14ac:dyDescent="0.2"/>
    <row r="25998" ht="12.75" hidden="1" customHeight="1" x14ac:dyDescent="0.2"/>
    <row r="25999" ht="12.75" hidden="1" customHeight="1" x14ac:dyDescent="0.2"/>
    <row r="26000" ht="12.75" hidden="1" customHeight="1" x14ac:dyDescent="0.2"/>
    <row r="26001" ht="12.75" hidden="1" customHeight="1" x14ac:dyDescent="0.2"/>
    <row r="26002" ht="12.75" hidden="1" customHeight="1" x14ac:dyDescent="0.2"/>
    <row r="26003" ht="12.75" hidden="1" customHeight="1" x14ac:dyDescent="0.2"/>
    <row r="26004" ht="12.75" hidden="1" customHeight="1" x14ac:dyDescent="0.2"/>
    <row r="26005" ht="12.75" hidden="1" customHeight="1" x14ac:dyDescent="0.2"/>
    <row r="26006" ht="12.75" hidden="1" customHeight="1" x14ac:dyDescent="0.2"/>
    <row r="26007" ht="12.75" hidden="1" customHeight="1" x14ac:dyDescent="0.2"/>
    <row r="26008" ht="12.75" hidden="1" customHeight="1" x14ac:dyDescent="0.2"/>
    <row r="26009" ht="12.75" hidden="1" customHeight="1" x14ac:dyDescent="0.2"/>
    <row r="26010" ht="12.75" hidden="1" customHeight="1" x14ac:dyDescent="0.2"/>
    <row r="26011" ht="12.75" hidden="1" customHeight="1" x14ac:dyDescent="0.2"/>
    <row r="26012" ht="12.75" hidden="1" customHeight="1" x14ac:dyDescent="0.2"/>
    <row r="26013" ht="12.75" hidden="1" customHeight="1" x14ac:dyDescent="0.2"/>
    <row r="26014" ht="12.75" hidden="1" customHeight="1" x14ac:dyDescent="0.2"/>
    <row r="26015" ht="12.75" hidden="1" customHeight="1" x14ac:dyDescent="0.2"/>
    <row r="26016" ht="12.75" hidden="1" customHeight="1" x14ac:dyDescent="0.2"/>
    <row r="26017" ht="12.75" hidden="1" customHeight="1" x14ac:dyDescent="0.2"/>
    <row r="26018" ht="12.75" hidden="1" customHeight="1" x14ac:dyDescent="0.2"/>
    <row r="26019" ht="12.75" hidden="1" customHeight="1" x14ac:dyDescent="0.2"/>
    <row r="26020" ht="12.75" hidden="1" customHeight="1" x14ac:dyDescent="0.2"/>
    <row r="26021" ht="12.75" hidden="1" customHeight="1" x14ac:dyDescent="0.2"/>
    <row r="26022" ht="12.75" hidden="1" customHeight="1" x14ac:dyDescent="0.2"/>
    <row r="26023" ht="12.75" hidden="1" customHeight="1" x14ac:dyDescent="0.2"/>
    <row r="26024" ht="12.75" hidden="1" customHeight="1" x14ac:dyDescent="0.2"/>
    <row r="26025" ht="12.75" hidden="1" customHeight="1" x14ac:dyDescent="0.2"/>
    <row r="26026" ht="12.75" hidden="1" customHeight="1" x14ac:dyDescent="0.2"/>
    <row r="26027" ht="12.75" hidden="1" customHeight="1" x14ac:dyDescent="0.2"/>
    <row r="26028" ht="12.75" hidden="1" customHeight="1" x14ac:dyDescent="0.2"/>
    <row r="26029" ht="12.75" hidden="1" customHeight="1" x14ac:dyDescent="0.2"/>
    <row r="26030" ht="12.75" hidden="1" customHeight="1" x14ac:dyDescent="0.2"/>
    <row r="26031" ht="12.75" hidden="1" customHeight="1" x14ac:dyDescent="0.2"/>
    <row r="26032" ht="12.75" hidden="1" customHeight="1" x14ac:dyDescent="0.2"/>
    <row r="26033" ht="12.75" hidden="1" customHeight="1" x14ac:dyDescent="0.2"/>
    <row r="26034" ht="12.75" hidden="1" customHeight="1" x14ac:dyDescent="0.2"/>
    <row r="26035" ht="12.75" hidden="1" customHeight="1" x14ac:dyDescent="0.2"/>
    <row r="26036" ht="12.75" hidden="1" customHeight="1" x14ac:dyDescent="0.2"/>
    <row r="26037" ht="12.75" hidden="1" customHeight="1" x14ac:dyDescent="0.2"/>
    <row r="26038" ht="12.75" hidden="1" customHeight="1" x14ac:dyDescent="0.2"/>
    <row r="26039" ht="12.75" hidden="1" customHeight="1" x14ac:dyDescent="0.2"/>
    <row r="26040" ht="12.75" hidden="1" customHeight="1" x14ac:dyDescent="0.2"/>
    <row r="26041" ht="12.75" hidden="1" customHeight="1" x14ac:dyDescent="0.2"/>
    <row r="26042" ht="12.75" hidden="1" customHeight="1" x14ac:dyDescent="0.2"/>
    <row r="26043" ht="12.75" hidden="1" customHeight="1" x14ac:dyDescent="0.2"/>
    <row r="26044" ht="12.75" hidden="1" customHeight="1" x14ac:dyDescent="0.2"/>
    <row r="26045" ht="12.75" hidden="1" customHeight="1" x14ac:dyDescent="0.2"/>
    <row r="26046" ht="12.75" hidden="1" customHeight="1" x14ac:dyDescent="0.2"/>
    <row r="26047" ht="12.75" hidden="1" customHeight="1" x14ac:dyDescent="0.2"/>
    <row r="26048" ht="12.75" hidden="1" customHeight="1" x14ac:dyDescent="0.2"/>
    <row r="26049" ht="12.75" hidden="1" customHeight="1" x14ac:dyDescent="0.2"/>
    <row r="26050" ht="12.75" hidden="1" customHeight="1" x14ac:dyDescent="0.2"/>
    <row r="26051" ht="12.75" hidden="1" customHeight="1" x14ac:dyDescent="0.2"/>
    <row r="26052" ht="12.75" hidden="1" customHeight="1" x14ac:dyDescent="0.2"/>
    <row r="26053" ht="12.75" hidden="1" customHeight="1" x14ac:dyDescent="0.2"/>
    <row r="26054" ht="12.75" hidden="1" customHeight="1" x14ac:dyDescent="0.2"/>
    <row r="26055" ht="12.75" hidden="1" customHeight="1" x14ac:dyDescent="0.2"/>
    <row r="26056" ht="12.75" hidden="1" customHeight="1" x14ac:dyDescent="0.2"/>
    <row r="26057" ht="12.75" hidden="1" customHeight="1" x14ac:dyDescent="0.2"/>
    <row r="26058" ht="12.75" hidden="1" customHeight="1" x14ac:dyDescent="0.2"/>
    <row r="26059" ht="12.75" hidden="1" customHeight="1" x14ac:dyDescent="0.2"/>
    <row r="26060" ht="12.75" hidden="1" customHeight="1" x14ac:dyDescent="0.2"/>
    <row r="26061" ht="12.75" hidden="1" customHeight="1" x14ac:dyDescent="0.2"/>
    <row r="26062" ht="12.75" hidden="1" customHeight="1" x14ac:dyDescent="0.2"/>
    <row r="26063" ht="12.75" hidden="1" customHeight="1" x14ac:dyDescent="0.2"/>
    <row r="26064" ht="12.75" hidden="1" customHeight="1" x14ac:dyDescent="0.2"/>
    <row r="26065" ht="12.75" hidden="1" customHeight="1" x14ac:dyDescent="0.2"/>
    <row r="26066" ht="12.75" hidden="1" customHeight="1" x14ac:dyDescent="0.2"/>
    <row r="26067" ht="12.75" hidden="1" customHeight="1" x14ac:dyDescent="0.2"/>
    <row r="26068" ht="12.75" hidden="1" customHeight="1" x14ac:dyDescent="0.2"/>
    <row r="26069" ht="12.75" hidden="1" customHeight="1" x14ac:dyDescent="0.2"/>
    <row r="26070" ht="12.75" hidden="1" customHeight="1" x14ac:dyDescent="0.2"/>
    <row r="26071" ht="12.75" hidden="1" customHeight="1" x14ac:dyDescent="0.2"/>
    <row r="26072" ht="12.75" hidden="1" customHeight="1" x14ac:dyDescent="0.2"/>
    <row r="26073" ht="12.75" hidden="1" customHeight="1" x14ac:dyDescent="0.2"/>
    <row r="26074" ht="12.75" hidden="1" customHeight="1" x14ac:dyDescent="0.2"/>
    <row r="26075" ht="12.75" hidden="1" customHeight="1" x14ac:dyDescent="0.2"/>
    <row r="26076" ht="12.75" hidden="1" customHeight="1" x14ac:dyDescent="0.2"/>
    <row r="26077" ht="12.75" hidden="1" customHeight="1" x14ac:dyDescent="0.2"/>
    <row r="26078" ht="12.75" hidden="1" customHeight="1" x14ac:dyDescent="0.2"/>
    <row r="26079" ht="12.75" hidden="1" customHeight="1" x14ac:dyDescent="0.2"/>
    <row r="26080" ht="12.75" hidden="1" customHeight="1" x14ac:dyDescent="0.2"/>
    <row r="26081" ht="12.75" hidden="1" customHeight="1" x14ac:dyDescent="0.2"/>
    <row r="26082" ht="12.75" hidden="1" customHeight="1" x14ac:dyDescent="0.2"/>
    <row r="26083" ht="12.75" hidden="1" customHeight="1" x14ac:dyDescent="0.2"/>
    <row r="26084" ht="12.75" hidden="1" customHeight="1" x14ac:dyDescent="0.2"/>
    <row r="26085" ht="12.75" hidden="1" customHeight="1" x14ac:dyDescent="0.2"/>
    <row r="26086" ht="12.75" hidden="1" customHeight="1" x14ac:dyDescent="0.2"/>
    <row r="26087" ht="12.75" hidden="1" customHeight="1" x14ac:dyDescent="0.2"/>
    <row r="26088" ht="12.75" hidden="1" customHeight="1" x14ac:dyDescent="0.2"/>
    <row r="26089" ht="12.75" hidden="1" customHeight="1" x14ac:dyDescent="0.2"/>
    <row r="26090" ht="12.75" hidden="1" customHeight="1" x14ac:dyDescent="0.2"/>
    <row r="26091" ht="12.75" hidden="1" customHeight="1" x14ac:dyDescent="0.2"/>
    <row r="26092" ht="12.75" hidden="1" customHeight="1" x14ac:dyDescent="0.2"/>
    <row r="26093" ht="12.75" hidden="1" customHeight="1" x14ac:dyDescent="0.2"/>
    <row r="26094" ht="12.75" hidden="1" customHeight="1" x14ac:dyDescent="0.2"/>
    <row r="26095" ht="12.75" hidden="1" customHeight="1" x14ac:dyDescent="0.2"/>
    <row r="26096" ht="12.75" hidden="1" customHeight="1" x14ac:dyDescent="0.2"/>
    <row r="26097" ht="12.75" hidden="1" customHeight="1" x14ac:dyDescent="0.2"/>
    <row r="26098" ht="12.75" hidden="1" customHeight="1" x14ac:dyDescent="0.2"/>
    <row r="26099" ht="12.75" hidden="1" customHeight="1" x14ac:dyDescent="0.2"/>
    <row r="26100" ht="12.75" hidden="1" customHeight="1" x14ac:dyDescent="0.2"/>
    <row r="26101" ht="12.75" hidden="1" customHeight="1" x14ac:dyDescent="0.2"/>
    <row r="26102" ht="12.75" hidden="1" customHeight="1" x14ac:dyDescent="0.2"/>
    <row r="26103" ht="12.75" hidden="1" customHeight="1" x14ac:dyDescent="0.2"/>
    <row r="26104" ht="12.75" hidden="1" customHeight="1" x14ac:dyDescent="0.2"/>
    <row r="26105" ht="12.75" hidden="1" customHeight="1" x14ac:dyDescent="0.2"/>
    <row r="26106" ht="12.75" hidden="1" customHeight="1" x14ac:dyDescent="0.2"/>
    <row r="26107" ht="12.75" hidden="1" customHeight="1" x14ac:dyDescent="0.2"/>
    <row r="26108" ht="12.75" hidden="1" customHeight="1" x14ac:dyDescent="0.2"/>
    <row r="26109" ht="12.75" hidden="1" customHeight="1" x14ac:dyDescent="0.2"/>
    <row r="26110" ht="12.75" hidden="1" customHeight="1" x14ac:dyDescent="0.2"/>
    <row r="26111" ht="12.75" hidden="1" customHeight="1" x14ac:dyDescent="0.2"/>
    <row r="26112" ht="12.75" hidden="1" customHeight="1" x14ac:dyDescent="0.2"/>
    <row r="26113" ht="12.75" hidden="1" customHeight="1" x14ac:dyDescent="0.2"/>
    <row r="26114" ht="12.75" hidden="1" customHeight="1" x14ac:dyDescent="0.2"/>
    <row r="26115" ht="12.75" hidden="1" customHeight="1" x14ac:dyDescent="0.2"/>
    <row r="26116" ht="12.75" hidden="1" customHeight="1" x14ac:dyDescent="0.2"/>
    <row r="26117" ht="12.75" hidden="1" customHeight="1" x14ac:dyDescent="0.2"/>
    <row r="26118" ht="12.75" hidden="1" customHeight="1" x14ac:dyDescent="0.2"/>
    <row r="26119" ht="12.75" hidden="1" customHeight="1" x14ac:dyDescent="0.2"/>
    <row r="26120" ht="12.75" hidden="1" customHeight="1" x14ac:dyDescent="0.2"/>
    <row r="26121" ht="12.75" hidden="1" customHeight="1" x14ac:dyDescent="0.2"/>
    <row r="26122" ht="12.75" hidden="1" customHeight="1" x14ac:dyDescent="0.2"/>
    <row r="26123" ht="12.75" hidden="1" customHeight="1" x14ac:dyDescent="0.2"/>
    <row r="26124" ht="12.75" hidden="1" customHeight="1" x14ac:dyDescent="0.2"/>
    <row r="26125" ht="12.75" hidden="1" customHeight="1" x14ac:dyDescent="0.2"/>
    <row r="26126" ht="12.75" hidden="1" customHeight="1" x14ac:dyDescent="0.2"/>
    <row r="26127" ht="12.75" hidden="1" customHeight="1" x14ac:dyDescent="0.2"/>
    <row r="26128" ht="12.75" hidden="1" customHeight="1" x14ac:dyDescent="0.2"/>
    <row r="26129" ht="12.75" hidden="1" customHeight="1" x14ac:dyDescent="0.2"/>
    <row r="26130" ht="12.75" hidden="1" customHeight="1" x14ac:dyDescent="0.2"/>
    <row r="26131" ht="12.75" hidden="1" customHeight="1" x14ac:dyDescent="0.2"/>
    <row r="26132" ht="12.75" hidden="1" customHeight="1" x14ac:dyDescent="0.2"/>
    <row r="26133" ht="12.75" hidden="1" customHeight="1" x14ac:dyDescent="0.2"/>
    <row r="26134" ht="12.75" hidden="1" customHeight="1" x14ac:dyDescent="0.2"/>
    <row r="26135" ht="12.75" hidden="1" customHeight="1" x14ac:dyDescent="0.2"/>
    <row r="26136" ht="12.75" hidden="1" customHeight="1" x14ac:dyDescent="0.2"/>
    <row r="26137" ht="12.75" hidden="1" customHeight="1" x14ac:dyDescent="0.2"/>
    <row r="26138" ht="12.75" hidden="1" customHeight="1" x14ac:dyDescent="0.2"/>
    <row r="26139" ht="12.75" hidden="1" customHeight="1" x14ac:dyDescent="0.2"/>
    <row r="26140" ht="12.75" hidden="1" customHeight="1" x14ac:dyDescent="0.2"/>
    <row r="26141" ht="12.75" hidden="1" customHeight="1" x14ac:dyDescent="0.2"/>
    <row r="26142" ht="12.75" hidden="1" customHeight="1" x14ac:dyDescent="0.2"/>
    <row r="26143" ht="12.75" hidden="1" customHeight="1" x14ac:dyDescent="0.2"/>
    <row r="26144" ht="12.75" hidden="1" customHeight="1" x14ac:dyDescent="0.2"/>
    <row r="26145" ht="12.75" hidden="1" customHeight="1" x14ac:dyDescent="0.2"/>
    <row r="26146" ht="12.75" hidden="1" customHeight="1" x14ac:dyDescent="0.2"/>
    <row r="26147" ht="12.75" hidden="1" customHeight="1" x14ac:dyDescent="0.2"/>
    <row r="26148" ht="12.75" hidden="1" customHeight="1" x14ac:dyDescent="0.2"/>
    <row r="26149" ht="12.75" hidden="1" customHeight="1" x14ac:dyDescent="0.2"/>
    <row r="26150" ht="12.75" hidden="1" customHeight="1" x14ac:dyDescent="0.2"/>
    <row r="26151" ht="12.75" hidden="1" customHeight="1" x14ac:dyDescent="0.2"/>
    <row r="26152" ht="12.75" hidden="1" customHeight="1" x14ac:dyDescent="0.2"/>
    <row r="26153" ht="12.75" hidden="1" customHeight="1" x14ac:dyDescent="0.2"/>
    <row r="26154" ht="12.75" hidden="1" customHeight="1" x14ac:dyDescent="0.2"/>
    <row r="26155" ht="12.75" hidden="1" customHeight="1" x14ac:dyDescent="0.2"/>
    <row r="26156" ht="12.75" hidden="1" customHeight="1" x14ac:dyDescent="0.2"/>
    <row r="26157" ht="12.75" hidden="1" customHeight="1" x14ac:dyDescent="0.2"/>
    <row r="26158" ht="12.75" hidden="1" customHeight="1" x14ac:dyDescent="0.2"/>
    <row r="26159" ht="12.75" hidden="1" customHeight="1" x14ac:dyDescent="0.2"/>
    <row r="26160" ht="12.75" hidden="1" customHeight="1" x14ac:dyDescent="0.2"/>
    <row r="26161" ht="12.75" hidden="1" customHeight="1" x14ac:dyDescent="0.2"/>
    <row r="26162" ht="12.75" hidden="1" customHeight="1" x14ac:dyDescent="0.2"/>
    <row r="26163" ht="12.75" hidden="1" customHeight="1" x14ac:dyDescent="0.2"/>
    <row r="26164" ht="12.75" hidden="1" customHeight="1" x14ac:dyDescent="0.2"/>
    <row r="26165" ht="12.75" hidden="1" customHeight="1" x14ac:dyDescent="0.2"/>
    <row r="26166" ht="12.75" hidden="1" customHeight="1" x14ac:dyDescent="0.2"/>
    <row r="26167" ht="12.75" hidden="1" customHeight="1" x14ac:dyDescent="0.2"/>
    <row r="26168" ht="12.75" hidden="1" customHeight="1" x14ac:dyDescent="0.2"/>
    <row r="26169" ht="12.75" hidden="1" customHeight="1" x14ac:dyDescent="0.2"/>
    <row r="26170" ht="12.75" hidden="1" customHeight="1" x14ac:dyDescent="0.2"/>
    <row r="26171" ht="12.75" hidden="1" customHeight="1" x14ac:dyDescent="0.2"/>
    <row r="26172" ht="12.75" hidden="1" customHeight="1" x14ac:dyDescent="0.2"/>
    <row r="26173" ht="12.75" hidden="1" customHeight="1" x14ac:dyDescent="0.2"/>
    <row r="26174" ht="12.75" hidden="1" customHeight="1" x14ac:dyDescent="0.2"/>
    <row r="26175" ht="12.75" hidden="1" customHeight="1" x14ac:dyDescent="0.2"/>
    <row r="26176" ht="12.75" hidden="1" customHeight="1" x14ac:dyDescent="0.2"/>
    <row r="26177" ht="12.75" hidden="1" customHeight="1" x14ac:dyDescent="0.2"/>
    <row r="26178" ht="12.75" hidden="1" customHeight="1" x14ac:dyDescent="0.2"/>
    <row r="26179" ht="12.75" hidden="1" customHeight="1" x14ac:dyDescent="0.2"/>
    <row r="26180" ht="12.75" hidden="1" customHeight="1" x14ac:dyDescent="0.2"/>
    <row r="26181" ht="12.75" hidden="1" customHeight="1" x14ac:dyDescent="0.2"/>
    <row r="26182" ht="12.75" hidden="1" customHeight="1" x14ac:dyDescent="0.2"/>
    <row r="26183" ht="12.75" hidden="1" customHeight="1" x14ac:dyDescent="0.2"/>
    <row r="26184" ht="12.75" hidden="1" customHeight="1" x14ac:dyDescent="0.2"/>
    <row r="26185" ht="12.75" hidden="1" customHeight="1" x14ac:dyDescent="0.2"/>
    <row r="26186" ht="12.75" hidden="1" customHeight="1" x14ac:dyDescent="0.2"/>
    <row r="26187" ht="12.75" hidden="1" customHeight="1" x14ac:dyDescent="0.2"/>
    <row r="26188" ht="12.75" hidden="1" customHeight="1" x14ac:dyDescent="0.2"/>
    <row r="26189" ht="12.75" hidden="1" customHeight="1" x14ac:dyDescent="0.2"/>
    <row r="26190" ht="12.75" hidden="1" customHeight="1" x14ac:dyDescent="0.2"/>
    <row r="26191" ht="12.75" hidden="1" customHeight="1" x14ac:dyDescent="0.2"/>
    <row r="26192" ht="12.75" hidden="1" customHeight="1" x14ac:dyDescent="0.2"/>
    <row r="26193" ht="12.75" hidden="1" customHeight="1" x14ac:dyDescent="0.2"/>
    <row r="26194" ht="12.75" hidden="1" customHeight="1" x14ac:dyDescent="0.2"/>
    <row r="26195" ht="12.75" hidden="1" customHeight="1" x14ac:dyDescent="0.2"/>
    <row r="26196" ht="12.75" hidden="1" customHeight="1" x14ac:dyDescent="0.2"/>
    <row r="26197" ht="12.75" hidden="1" customHeight="1" x14ac:dyDescent="0.2"/>
    <row r="26198" ht="12.75" hidden="1" customHeight="1" x14ac:dyDescent="0.2"/>
    <row r="26199" ht="12.75" hidden="1" customHeight="1" x14ac:dyDescent="0.2"/>
    <row r="26200" ht="12.75" hidden="1" customHeight="1" x14ac:dyDescent="0.2"/>
    <row r="26201" ht="12.75" hidden="1" customHeight="1" x14ac:dyDescent="0.2"/>
    <row r="26202" ht="12.75" hidden="1" customHeight="1" x14ac:dyDescent="0.2"/>
    <row r="26203" ht="12.75" hidden="1" customHeight="1" x14ac:dyDescent="0.2"/>
    <row r="26204" ht="12.75" hidden="1" customHeight="1" x14ac:dyDescent="0.2"/>
    <row r="26205" ht="12.75" hidden="1" customHeight="1" x14ac:dyDescent="0.2"/>
    <row r="26206" ht="12.75" hidden="1" customHeight="1" x14ac:dyDescent="0.2"/>
    <row r="26207" ht="12.75" hidden="1" customHeight="1" x14ac:dyDescent="0.2"/>
    <row r="26208" ht="12.75" hidden="1" customHeight="1" x14ac:dyDescent="0.2"/>
    <row r="26209" ht="12.75" hidden="1" customHeight="1" x14ac:dyDescent="0.2"/>
    <row r="26210" ht="12.75" hidden="1" customHeight="1" x14ac:dyDescent="0.2"/>
    <row r="26211" ht="12.75" hidden="1" customHeight="1" x14ac:dyDescent="0.2"/>
    <row r="26212" ht="12.75" hidden="1" customHeight="1" x14ac:dyDescent="0.2"/>
    <row r="26213" ht="12.75" hidden="1" customHeight="1" x14ac:dyDescent="0.2"/>
    <row r="26214" ht="12.75" hidden="1" customHeight="1" x14ac:dyDescent="0.2"/>
    <row r="26215" ht="12.75" hidden="1" customHeight="1" x14ac:dyDescent="0.2"/>
    <row r="26216" ht="12.75" hidden="1" customHeight="1" x14ac:dyDescent="0.2"/>
    <row r="26217" ht="12.75" hidden="1" customHeight="1" x14ac:dyDescent="0.2"/>
    <row r="26218" ht="12.75" hidden="1" customHeight="1" x14ac:dyDescent="0.2"/>
    <row r="26219" ht="12.75" hidden="1" customHeight="1" x14ac:dyDescent="0.2"/>
    <row r="26220" ht="12.75" hidden="1" customHeight="1" x14ac:dyDescent="0.2"/>
    <row r="26221" ht="12.75" hidden="1" customHeight="1" x14ac:dyDescent="0.2"/>
    <row r="26222" ht="12.75" hidden="1" customHeight="1" x14ac:dyDescent="0.2"/>
    <row r="26223" ht="12.75" hidden="1" customHeight="1" x14ac:dyDescent="0.2"/>
    <row r="26224" ht="12.75" hidden="1" customHeight="1" x14ac:dyDescent="0.2"/>
    <row r="26225" ht="12.75" hidden="1" customHeight="1" x14ac:dyDescent="0.2"/>
    <row r="26226" ht="12.75" hidden="1" customHeight="1" x14ac:dyDescent="0.2"/>
    <row r="26227" ht="12.75" hidden="1" customHeight="1" x14ac:dyDescent="0.2"/>
    <row r="26228" ht="12.75" hidden="1" customHeight="1" x14ac:dyDescent="0.2"/>
    <row r="26229" ht="12.75" hidden="1" customHeight="1" x14ac:dyDescent="0.2"/>
    <row r="26230" ht="12.75" hidden="1" customHeight="1" x14ac:dyDescent="0.2"/>
    <row r="26231" ht="12.75" hidden="1" customHeight="1" x14ac:dyDescent="0.2"/>
    <row r="26232" ht="12.75" hidden="1" customHeight="1" x14ac:dyDescent="0.2"/>
    <row r="26233" ht="12.75" hidden="1" customHeight="1" x14ac:dyDescent="0.2"/>
    <row r="26234" ht="12.75" hidden="1" customHeight="1" x14ac:dyDescent="0.2"/>
    <row r="26235" ht="12.75" hidden="1" customHeight="1" x14ac:dyDescent="0.2"/>
    <row r="26236" ht="12.75" hidden="1" customHeight="1" x14ac:dyDescent="0.2"/>
    <row r="26237" ht="12.75" hidden="1" customHeight="1" x14ac:dyDescent="0.2"/>
    <row r="26238" ht="12.75" hidden="1" customHeight="1" x14ac:dyDescent="0.2"/>
    <row r="26239" ht="12.75" hidden="1" customHeight="1" x14ac:dyDescent="0.2"/>
    <row r="26240" ht="12.75" hidden="1" customHeight="1" x14ac:dyDescent="0.2"/>
    <row r="26241" ht="12.75" hidden="1" customHeight="1" x14ac:dyDescent="0.2"/>
    <row r="26242" ht="12.75" hidden="1" customHeight="1" x14ac:dyDescent="0.2"/>
    <row r="26243" ht="12.75" hidden="1" customHeight="1" x14ac:dyDescent="0.2"/>
    <row r="26244" ht="12.75" hidden="1" customHeight="1" x14ac:dyDescent="0.2"/>
    <row r="26245" ht="12.75" hidden="1" customHeight="1" x14ac:dyDescent="0.2"/>
    <row r="26246" ht="12.75" hidden="1" customHeight="1" x14ac:dyDescent="0.2"/>
    <row r="26247" ht="12.75" hidden="1" customHeight="1" x14ac:dyDescent="0.2"/>
    <row r="26248" ht="12.75" hidden="1" customHeight="1" x14ac:dyDescent="0.2"/>
    <row r="26249" ht="12.75" hidden="1" customHeight="1" x14ac:dyDescent="0.2"/>
    <row r="26250" ht="12.75" hidden="1" customHeight="1" x14ac:dyDescent="0.2"/>
    <row r="26251" ht="12.75" hidden="1" customHeight="1" x14ac:dyDescent="0.2"/>
    <row r="26252" ht="12.75" hidden="1" customHeight="1" x14ac:dyDescent="0.2"/>
    <row r="26253" ht="12.75" hidden="1" customHeight="1" x14ac:dyDescent="0.2"/>
    <row r="26254" ht="12.75" hidden="1" customHeight="1" x14ac:dyDescent="0.2"/>
    <row r="26255" ht="12.75" hidden="1" customHeight="1" x14ac:dyDescent="0.2"/>
    <row r="26256" ht="12.75" hidden="1" customHeight="1" x14ac:dyDescent="0.2"/>
    <row r="26257" ht="12.75" hidden="1" customHeight="1" x14ac:dyDescent="0.2"/>
    <row r="26258" ht="12.75" hidden="1" customHeight="1" x14ac:dyDescent="0.2"/>
    <row r="26259" ht="12.75" hidden="1" customHeight="1" x14ac:dyDescent="0.2"/>
    <row r="26260" ht="12.75" hidden="1" customHeight="1" x14ac:dyDescent="0.2"/>
    <row r="26261" ht="12.75" hidden="1" customHeight="1" x14ac:dyDescent="0.2"/>
    <row r="26262" ht="12.75" hidden="1" customHeight="1" x14ac:dyDescent="0.2"/>
    <row r="26263" ht="12.75" hidden="1" customHeight="1" x14ac:dyDescent="0.2"/>
    <row r="26264" ht="12.75" hidden="1" customHeight="1" x14ac:dyDescent="0.2"/>
    <row r="26265" ht="12.75" hidden="1" customHeight="1" x14ac:dyDescent="0.2"/>
    <row r="26266" ht="12.75" hidden="1" customHeight="1" x14ac:dyDescent="0.2"/>
    <row r="26267" ht="12.75" hidden="1" customHeight="1" x14ac:dyDescent="0.2"/>
    <row r="26268" ht="12.75" hidden="1" customHeight="1" x14ac:dyDescent="0.2"/>
    <row r="26269" ht="12.75" hidden="1" customHeight="1" x14ac:dyDescent="0.2"/>
    <row r="26270" ht="12.75" hidden="1" customHeight="1" x14ac:dyDescent="0.2"/>
    <row r="26271" ht="12.75" hidden="1" customHeight="1" x14ac:dyDescent="0.2"/>
    <row r="26272" ht="12.75" hidden="1" customHeight="1" x14ac:dyDescent="0.2"/>
    <row r="26273" ht="12.75" hidden="1" customHeight="1" x14ac:dyDescent="0.2"/>
    <row r="26274" ht="12.75" hidden="1" customHeight="1" x14ac:dyDescent="0.2"/>
    <row r="26275" ht="12.75" hidden="1" customHeight="1" x14ac:dyDescent="0.2"/>
    <row r="26276" ht="12.75" hidden="1" customHeight="1" x14ac:dyDescent="0.2"/>
    <row r="26277" ht="12.75" hidden="1" customHeight="1" x14ac:dyDescent="0.2"/>
    <row r="26278" ht="12.75" hidden="1" customHeight="1" x14ac:dyDescent="0.2"/>
    <row r="26279" ht="12.75" hidden="1" customHeight="1" x14ac:dyDescent="0.2"/>
    <row r="26280" ht="12.75" hidden="1" customHeight="1" x14ac:dyDescent="0.2"/>
    <row r="26281" ht="12.75" hidden="1" customHeight="1" x14ac:dyDescent="0.2"/>
    <row r="26282" ht="12.75" hidden="1" customHeight="1" x14ac:dyDescent="0.2"/>
    <row r="26283" ht="12.75" hidden="1" customHeight="1" x14ac:dyDescent="0.2"/>
    <row r="26284" ht="12.75" hidden="1" customHeight="1" x14ac:dyDescent="0.2"/>
    <row r="26285" ht="12.75" hidden="1" customHeight="1" x14ac:dyDescent="0.2"/>
    <row r="26286" ht="12.75" hidden="1" customHeight="1" x14ac:dyDescent="0.2"/>
    <row r="26287" ht="12.75" hidden="1" customHeight="1" x14ac:dyDescent="0.2"/>
    <row r="26288" ht="12.75" hidden="1" customHeight="1" x14ac:dyDescent="0.2"/>
    <row r="26289" ht="12.75" hidden="1" customHeight="1" x14ac:dyDescent="0.2"/>
    <row r="26290" ht="12.75" hidden="1" customHeight="1" x14ac:dyDescent="0.2"/>
    <row r="26291" ht="12.75" hidden="1" customHeight="1" x14ac:dyDescent="0.2"/>
    <row r="26292" ht="12.75" hidden="1" customHeight="1" x14ac:dyDescent="0.2"/>
    <row r="26293" ht="12.75" hidden="1" customHeight="1" x14ac:dyDescent="0.2"/>
    <row r="26294" ht="12.75" hidden="1" customHeight="1" x14ac:dyDescent="0.2"/>
    <row r="26295" ht="12.75" hidden="1" customHeight="1" x14ac:dyDescent="0.2"/>
    <row r="26296" ht="12.75" hidden="1" customHeight="1" x14ac:dyDescent="0.2"/>
    <row r="26297" ht="12.75" hidden="1" customHeight="1" x14ac:dyDescent="0.2"/>
    <row r="26298" ht="12.75" hidden="1" customHeight="1" x14ac:dyDescent="0.2"/>
    <row r="26299" ht="12.75" hidden="1" customHeight="1" x14ac:dyDescent="0.2"/>
    <row r="26300" ht="12.75" hidden="1" customHeight="1" x14ac:dyDescent="0.2"/>
    <row r="26301" ht="12.75" hidden="1" customHeight="1" x14ac:dyDescent="0.2"/>
    <row r="26302" ht="12.75" hidden="1" customHeight="1" x14ac:dyDescent="0.2"/>
    <row r="26303" ht="12.75" hidden="1" customHeight="1" x14ac:dyDescent="0.2"/>
    <row r="26304" ht="12.75" hidden="1" customHeight="1" x14ac:dyDescent="0.2"/>
    <row r="26305" ht="12.75" hidden="1" customHeight="1" x14ac:dyDescent="0.2"/>
    <row r="26306" ht="12.75" hidden="1" customHeight="1" x14ac:dyDescent="0.2"/>
    <row r="26307" ht="12.75" hidden="1" customHeight="1" x14ac:dyDescent="0.2"/>
    <row r="26308" ht="12.75" hidden="1" customHeight="1" x14ac:dyDescent="0.2"/>
    <row r="26309" ht="12.75" hidden="1" customHeight="1" x14ac:dyDescent="0.2"/>
    <row r="26310" ht="12.75" hidden="1" customHeight="1" x14ac:dyDescent="0.2"/>
    <row r="26311" ht="12.75" hidden="1" customHeight="1" x14ac:dyDescent="0.2"/>
    <row r="26312" ht="12.75" hidden="1" customHeight="1" x14ac:dyDescent="0.2"/>
    <row r="26313" ht="12.75" hidden="1" customHeight="1" x14ac:dyDescent="0.2"/>
    <row r="26314" ht="12.75" hidden="1" customHeight="1" x14ac:dyDescent="0.2"/>
    <row r="26315" ht="12.75" hidden="1" customHeight="1" x14ac:dyDescent="0.2"/>
    <row r="26316" ht="12.75" hidden="1" customHeight="1" x14ac:dyDescent="0.2"/>
    <row r="26317" ht="12.75" hidden="1" customHeight="1" x14ac:dyDescent="0.2"/>
    <row r="26318" ht="12.75" hidden="1" customHeight="1" x14ac:dyDescent="0.2"/>
    <row r="26319" ht="12.75" hidden="1" customHeight="1" x14ac:dyDescent="0.2"/>
    <row r="26320" ht="12.75" hidden="1" customHeight="1" x14ac:dyDescent="0.2"/>
    <row r="26321" ht="12.75" hidden="1" customHeight="1" x14ac:dyDescent="0.2"/>
    <row r="26322" ht="12.75" hidden="1" customHeight="1" x14ac:dyDescent="0.2"/>
    <row r="26323" ht="12.75" hidden="1" customHeight="1" x14ac:dyDescent="0.2"/>
    <row r="26324" ht="12.75" hidden="1" customHeight="1" x14ac:dyDescent="0.2"/>
    <row r="26325" ht="12.75" hidden="1" customHeight="1" x14ac:dyDescent="0.2"/>
    <row r="26326" ht="12.75" hidden="1" customHeight="1" x14ac:dyDescent="0.2"/>
    <row r="26327" ht="12.75" hidden="1" customHeight="1" x14ac:dyDescent="0.2"/>
    <row r="26328" ht="12.75" hidden="1" customHeight="1" x14ac:dyDescent="0.2"/>
    <row r="26329" ht="12.75" hidden="1" customHeight="1" x14ac:dyDescent="0.2"/>
    <row r="26330" ht="12.75" hidden="1" customHeight="1" x14ac:dyDescent="0.2"/>
    <row r="26331" ht="12.75" hidden="1" customHeight="1" x14ac:dyDescent="0.2"/>
    <row r="26332" ht="12.75" hidden="1" customHeight="1" x14ac:dyDescent="0.2"/>
    <row r="26333" ht="12.75" hidden="1" customHeight="1" x14ac:dyDescent="0.2"/>
    <row r="26334" ht="12.75" hidden="1" customHeight="1" x14ac:dyDescent="0.2"/>
    <row r="26335" ht="12.75" hidden="1" customHeight="1" x14ac:dyDescent="0.2"/>
    <row r="26336" ht="12.75" hidden="1" customHeight="1" x14ac:dyDescent="0.2"/>
    <row r="26337" ht="12.75" hidden="1" customHeight="1" x14ac:dyDescent="0.2"/>
    <row r="26338" ht="12.75" hidden="1" customHeight="1" x14ac:dyDescent="0.2"/>
    <row r="26339" ht="12.75" hidden="1" customHeight="1" x14ac:dyDescent="0.2"/>
    <row r="26340" ht="12.75" hidden="1" customHeight="1" x14ac:dyDescent="0.2"/>
    <row r="26341" ht="12.75" hidden="1" customHeight="1" x14ac:dyDescent="0.2"/>
    <row r="26342" ht="12.75" hidden="1" customHeight="1" x14ac:dyDescent="0.2"/>
    <row r="26343" ht="12.75" hidden="1" customHeight="1" x14ac:dyDescent="0.2"/>
    <row r="26344" ht="12.75" hidden="1" customHeight="1" x14ac:dyDescent="0.2"/>
    <row r="26345" ht="12.75" hidden="1" customHeight="1" x14ac:dyDescent="0.2"/>
    <row r="26346" ht="12.75" hidden="1" customHeight="1" x14ac:dyDescent="0.2"/>
    <row r="26347" ht="12.75" hidden="1" customHeight="1" x14ac:dyDescent="0.2"/>
    <row r="26348" ht="12.75" hidden="1" customHeight="1" x14ac:dyDescent="0.2"/>
    <row r="26349" ht="12.75" hidden="1" customHeight="1" x14ac:dyDescent="0.2"/>
    <row r="26350" ht="12.75" hidden="1" customHeight="1" x14ac:dyDescent="0.2"/>
    <row r="26351" ht="12.75" hidden="1" customHeight="1" x14ac:dyDescent="0.2"/>
    <row r="26352" ht="12.75" hidden="1" customHeight="1" x14ac:dyDescent="0.2"/>
    <row r="26353" ht="12.75" hidden="1" customHeight="1" x14ac:dyDescent="0.2"/>
    <row r="26354" ht="12.75" hidden="1" customHeight="1" x14ac:dyDescent="0.2"/>
    <row r="26355" ht="12.75" hidden="1" customHeight="1" x14ac:dyDescent="0.2"/>
    <row r="26356" ht="12.75" hidden="1" customHeight="1" x14ac:dyDescent="0.2"/>
    <row r="26357" ht="12.75" hidden="1" customHeight="1" x14ac:dyDescent="0.2"/>
    <row r="26358" ht="12.75" hidden="1" customHeight="1" x14ac:dyDescent="0.2"/>
    <row r="26359" ht="12.75" hidden="1" customHeight="1" x14ac:dyDescent="0.2"/>
    <row r="26360" ht="12.75" hidden="1" customHeight="1" x14ac:dyDescent="0.2"/>
    <row r="26361" ht="12.75" hidden="1" customHeight="1" x14ac:dyDescent="0.2"/>
    <row r="26362" ht="12.75" hidden="1" customHeight="1" x14ac:dyDescent="0.2"/>
    <row r="26363" ht="12.75" hidden="1" customHeight="1" x14ac:dyDescent="0.2"/>
    <row r="26364" ht="12.75" hidden="1" customHeight="1" x14ac:dyDescent="0.2"/>
    <row r="26365" ht="12.75" hidden="1" customHeight="1" x14ac:dyDescent="0.2"/>
    <row r="26366" ht="12.75" hidden="1" customHeight="1" x14ac:dyDescent="0.2"/>
    <row r="26367" ht="12.75" hidden="1" customHeight="1" x14ac:dyDescent="0.2"/>
    <row r="26368" ht="12.75" hidden="1" customHeight="1" x14ac:dyDescent="0.2"/>
    <row r="26369" ht="12.75" hidden="1" customHeight="1" x14ac:dyDescent="0.2"/>
    <row r="26370" ht="12.75" hidden="1" customHeight="1" x14ac:dyDescent="0.2"/>
    <row r="26371" ht="12.75" hidden="1" customHeight="1" x14ac:dyDescent="0.2"/>
    <row r="26372" ht="12.75" hidden="1" customHeight="1" x14ac:dyDescent="0.2"/>
    <row r="26373" ht="12.75" hidden="1" customHeight="1" x14ac:dyDescent="0.2"/>
    <row r="26374" ht="12.75" hidden="1" customHeight="1" x14ac:dyDescent="0.2"/>
    <row r="26375" ht="12.75" hidden="1" customHeight="1" x14ac:dyDescent="0.2"/>
    <row r="26376" ht="12.75" hidden="1" customHeight="1" x14ac:dyDescent="0.2"/>
    <row r="26377" ht="12.75" hidden="1" customHeight="1" x14ac:dyDescent="0.2"/>
    <row r="26378" ht="12.75" hidden="1" customHeight="1" x14ac:dyDescent="0.2"/>
    <row r="26379" ht="12.75" hidden="1" customHeight="1" x14ac:dyDescent="0.2"/>
    <row r="26380" ht="12.75" hidden="1" customHeight="1" x14ac:dyDescent="0.2"/>
    <row r="26381" ht="12.75" hidden="1" customHeight="1" x14ac:dyDescent="0.2"/>
    <row r="26382" ht="12.75" hidden="1" customHeight="1" x14ac:dyDescent="0.2"/>
    <row r="26383" ht="12.75" hidden="1" customHeight="1" x14ac:dyDescent="0.2"/>
    <row r="26384" ht="12.75" hidden="1" customHeight="1" x14ac:dyDescent="0.2"/>
    <row r="26385" ht="12.75" hidden="1" customHeight="1" x14ac:dyDescent="0.2"/>
    <row r="26386" ht="12.75" hidden="1" customHeight="1" x14ac:dyDescent="0.2"/>
    <row r="26387" ht="12.75" hidden="1" customHeight="1" x14ac:dyDescent="0.2"/>
    <row r="26388" ht="12.75" hidden="1" customHeight="1" x14ac:dyDescent="0.2"/>
    <row r="26389" ht="12.75" hidden="1" customHeight="1" x14ac:dyDescent="0.2"/>
    <row r="26390" ht="12.75" hidden="1" customHeight="1" x14ac:dyDescent="0.2"/>
    <row r="26391" ht="12.75" hidden="1" customHeight="1" x14ac:dyDescent="0.2"/>
    <row r="26392" ht="12.75" hidden="1" customHeight="1" x14ac:dyDescent="0.2"/>
    <row r="26393" ht="12.75" hidden="1" customHeight="1" x14ac:dyDescent="0.2"/>
    <row r="26394" ht="12.75" hidden="1" customHeight="1" x14ac:dyDescent="0.2"/>
    <row r="26395" ht="12.75" hidden="1" customHeight="1" x14ac:dyDescent="0.2"/>
    <row r="26396" ht="12.75" hidden="1" customHeight="1" x14ac:dyDescent="0.2"/>
    <row r="26397" ht="12.75" hidden="1" customHeight="1" x14ac:dyDescent="0.2"/>
    <row r="26398" ht="12.75" hidden="1" customHeight="1" x14ac:dyDescent="0.2"/>
    <row r="26399" ht="12.75" hidden="1" customHeight="1" x14ac:dyDescent="0.2"/>
    <row r="26400" ht="12.75" hidden="1" customHeight="1" x14ac:dyDescent="0.2"/>
    <row r="26401" ht="12.75" hidden="1" customHeight="1" x14ac:dyDescent="0.2"/>
    <row r="26402" ht="12.75" hidden="1" customHeight="1" x14ac:dyDescent="0.2"/>
    <row r="26403" ht="12.75" hidden="1" customHeight="1" x14ac:dyDescent="0.2"/>
    <row r="26404" ht="12.75" hidden="1" customHeight="1" x14ac:dyDescent="0.2"/>
    <row r="26405" ht="12.75" hidden="1" customHeight="1" x14ac:dyDescent="0.2"/>
    <row r="26406" ht="12.75" hidden="1" customHeight="1" x14ac:dyDescent="0.2"/>
    <row r="26407" ht="12.75" hidden="1" customHeight="1" x14ac:dyDescent="0.2"/>
    <row r="26408" ht="12.75" hidden="1" customHeight="1" x14ac:dyDescent="0.2"/>
    <row r="26409" ht="12.75" hidden="1" customHeight="1" x14ac:dyDescent="0.2"/>
    <row r="26410" ht="12.75" hidden="1" customHeight="1" x14ac:dyDescent="0.2"/>
    <row r="26411" ht="12.75" hidden="1" customHeight="1" x14ac:dyDescent="0.2"/>
    <row r="26412" ht="12.75" hidden="1" customHeight="1" x14ac:dyDescent="0.2"/>
    <row r="26413" ht="12.75" hidden="1" customHeight="1" x14ac:dyDescent="0.2"/>
    <row r="26414" ht="12.75" hidden="1" customHeight="1" x14ac:dyDescent="0.2"/>
    <row r="26415" ht="12.75" hidden="1" customHeight="1" x14ac:dyDescent="0.2"/>
    <row r="26416" ht="12.75" hidden="1" customHeight="1" x14ac:dyDescent="0.2"/>
    <row r="26417" ht="12.75" hidden="1" customHeight="1" x14ac:dyDescent="0.2"/>
    <row r="26418" ht="12.75" hidden="1" customHeight="1" x14ac:dyDescent="0.2"/>
    <row r="26419" ht="12.75" hidden="1" customHeight="1" x14ac:dyDescent="0.2"/>
    <row r="26420" ht="12.75" hidden="1" customHeight="1" x14ac:dyDescent="0.2"/>
    <row r="26421" ht="12.75" hidden="1" customHeight="1" x14ac:dyDescent="0.2"/>
    <row r="26422" ht="12.75" hidden="1" customHeight="1" x14ac:dyDescent="0.2"/>
    <row r="26423" ht="12.75" hidden="1" customHeight="1" x14ac:dyDescent="0.2"/>
    <row r="26424" ht="12.75" hidden="1" customHeight="1" x14ac:dyDescent="0.2"/>
    <row r="26425" ht="12.75" hidden="1" customHeight="1" x14ac:dyDescent="0.2"/>
    <row r="26426" ht="12.75" hidden="1" customHeight="1" x14ac:dyDescent="0.2"/>
    <row r="26427" ht="12.75" hidden="1" customHeight="1" x14ac:dyDescent="0.2"/>
    <row r="26428" ht="12.75" hidden="1" customHeight="1" x14ac:dyDescent="0.2"/>
    <row r="26429" ht="12.75" hidden="1" customHeight="1" x14ac:dyDescent="0.2"/>
    <row r="26430" ht="12.75" hidden="1" customHeight="1" x14ac:dyDescent="0.2"/>
    <row r="26431" ht="12.75" hidden="1" customHeight="1" x14ac:dyDescent="0.2"/>
    <row r="26432" ht="12.75" hidden="1" customHeight="1" x14ac:dyDescent="0.2"/>
    <row r="26433" ht="12.75" hidden="1" customHeight="1" x14ac:dyDescent="0.2"/>
    <row r="26434" ht="12.75" hidden="1" customHeight="1" x14ac:dyDescent="0.2"/>
    <row r="26435" ht="12.75" hidden="1" customHeight="1" x14ac:dyDescent="0.2"/>
    <row r="26436" ht="12.75" hidden="1" customHeight="1" x14ac:dyDescent="0.2"/>
    <row r="26437" ht="12.75" hidden="1" customHeight="1" x14ac:dyDescent="0.2"/>
    <row r="26438" ht="12.75" hidden="1" customHeight="1" x14ac:dyDescent="0.2"/>
    <row r="26439" ht="12.75" hidden="1" customHeight="1" x14ac:dyDescent="0.2"/>
    <row r="26440" ht="12.75" hidden="1" customHeight="1" x14ac:dyDescent="0.2"/>
    <row r="26441" ht="12.75" hidden="1" customHeight="1" x14ac:dyDescent="0.2"/>
    <row r="26442" ht="12.75" hidden="1" customHeight="1" x14ac:dyDescent="0.2"/>
    <row r="26443" ht="12.75" hidden="1" customHeight="1" x14ac:dyDescent="0.2"/>
    <row r="26444" ht="12.75" hidden="1" customHeight="1" x14ac:dyDescent="0.2"/>
    <row r="26445" ht="12.75" hidden="1" customHeight="1" x14ac:dyDescent="0.2"/>
    <row r="26446" ht="12.75" hidden="1" customHeight="1" x14ac:dyDescent="0.2"/>
    <row r="26447" ht="12.75" hidden="1" customHeight="1" x14ac:dyDescent="0.2"/>
    <row r="26448" ht="12.75" hidden="1" customHeight="1" x14ac:dyDescent="0.2"/>
    <row r="26449" ht="12.75" hidden="1" customHeight="1" x14ac:dyDescent="0.2"/>
    <row r="26450" ht="12.75" hidden="1" customHeight="1" x14ac:dyDescent="0.2"/>
    <row r="26451" ht="12.75" hidden="1" customHeight="1" x14ac:dyDescent="0.2"/>
    <row r="26452" ht="12.75" hidden="1" customHeight="1" x14ac:dyDescent="0.2"/>
    <row r="26453" ht="12.75" hidden="1" customHeight="1" x14ac:dyDescent="0.2"/>
    <row r="26454" ht="12.75" hidden="1" customHeight="1" x14ac:dyDescent="0.2"/>
    <row r="26455" ht="12.75" hidden="1" customHeight="1" x14ac:dyDescent="0.2"/>
    <row r="26456" ht="12.75" hidden="1" customHeight="1" x14ac:dyDescent="0.2"/>
    <row r="26457" ht="12.75" hidden="1" customHeight="1" x14ac:dyDescent="0.2"/>
    <row r="26458" ht="12.75" hidden="1" customHeight="1" x14ac:dyDescent="0.2"/>
    <row r="26459" ht="12.75" hidden="1" customHeight="1" x14ac:dyDescent="0.2"/>
    <row r="26460" ht="12.75" hidden="1" customHeight="1" x14ac:dyDescent="0.2"/>
    <row r="26461" ht="12.75" hidden="1" customHeight="1" x14ac:dyDescent="0.2"/>
    <row r="26462" ht="12.75" hidden="1" customHeight="1" x14ac:dyDescent="0.2"/>
    <row r="26463" ht="12.75" hidden="1" customHeight="1" x14ac:dyDescent="0.2"/>
    <row r="26464" ht="12.75" hidden="1" customHeight="1" x14ac:dyDescent="0.2"/>
    <row r="26465" ht="12.75" hidden="1" customHeight="1" x14ac:dyDescent="0.2"/>
    <row r="26466" ht="12.75" hidden="1" customHeight="1" x14ac:dyDescent="0.2"/>
    <row r="26467" ht="12.75" hidden="1" customHeight="1" x14ac:dyDescent="0.2"/>
    <row r="26468" ht="12.75" hidden="1" customHeight="1" x14ac:dyDescent="0.2"/>
    <row r="26469" ht="12.75" hidden="1" customHeight="1" x14ac:dyDescent="0.2"/>
    <row r="26470" ht="12.75" hidden="1" customHeight="1" x14ac:dyDescent="0.2"/>
    <row r="26471" ht="12.75" hidden="1" customHeight="1" x14ac:dyDescent="0.2"/>
    <row r="26472" ht="12.75" hidden="1" customHeight="1" x14ac:dyDescent="0.2"/>
    <row r="26473" ht="12.75" hidden="1" customHeight="1" x14ac:dyDescent="0.2"/>
    <row r="26474" ht="12.75" hidden="1" customHeight="1" x14ac:dyDescent="0.2"/>
    <row r="26475" ht="12.75" hidden="1" customHeight="1" x14ac:dyDescent="0.2"/>
    <row r="26476" ht="12.75" hidden="1" customHeight="1" x14ac:dyDescent="0.2"/>
    <row r="26477" ht="12.75" hidden="1" customHeight="1" x14ac:dyDescent="0.2"/>
    <row r="26478" ht="12.75" hidden="1" customHeight="1" x14ac:dyDescent="0.2"/>
    <row r="26479" ht="12.75" hidden="1" customHeight="1" x14ac:dyDescent="0.2"/>
    <row r="26480" ht="12.75" hidden="1" customHeight="1" x14ac:dyDescent="0.2"/>
    <row r="26481" ht="12.75" hidden="1" customHeight="1" x14ac:dyDescent="0.2"/>
    <row r="26482" ht="12.75" hidden="1" customHeight="1" x14ac:dyDescent="0.2"/>
    <row r="26483" ht="12.75" hidden="1" customHeight="1" x14ac:dyDescent="0.2"/>
    <row r="26484" ht="12.75" hidden="1" customHeight="1" x14ac:dyDescent="0.2"/>
    <row r="26485" ht="12.75" hidden="1" customHeight="1" x14ac:dyDescent="0.2"/>
    <row r="26486" ht="12.75" hidden="1" customHeight="1" x14ac:dyDescent="0.2"/>
    <row r="26487" ht="12.75" hidden="1" customHeight="1" x14ac:dyDescent="0.2"/>
    <row r="26488" ht="12.75" hidden="1" customHeight="1" x14ac:dyDescent="0.2"/>
    <row r="26489" ht="12.75" hidden="1" customHeight="1" x14ac:dyDescent="0.2"/>
    <row r="26490" ht="12.75" hidden="1" customHeight="1" x14ac:dyDescent="0.2"/>
    <row r="26491" ht="12.75" hidden="1" customHeight="1" x14ac:dyDescent="0.2"/>
    <row r="26492" ht="12.75" hidden="1" customHeight="1" x14ac:dyDescent="0.2"/>
    <row r="26493" ht="12.75" hidden="1" customHeight="1" x14ac:dyDescent="0.2"/>
    <row r="26494" ht="12.75" hidden="1" customHeight="1" x14ac:dyDescent="0.2"/>
    <row r="26495" ht="12.75" hidden="1" customHeight="1" x14ac:dyDescent="0.2"/>
    <row r="26496" ht="12.75" hidden="1" customHeight="1" x14ac:dyDescent="0.2"/>
    <row r="26497" ht="12.75" hidden="1" customHeight="1" x14ac:dyDescent="0.2"/>
    <row r="26498" ht="12.75" hidden="1" customHeight="1" x14ac:dyDescent="0.2"/>
    <row r="26499" ht="12.75" hidden="1" customHeight="1" x14ac:dyDescent="0.2"/>
    <row r="26500" ht="12.75" hidden="1" customHeight="1" x14ac:dyDescent="0.2"/>
    <row r="26501" ht="12.75" hidden="1" customHeight="1" x14ac:dyDescent="0.2"/>
    <row r="26502" ht="12.75" hidden="1" customHeight="1" x14ac:dyDescent="0.2"/>
    <row r="26503" ht="12.75" hidden="1" customHeight="1" x14ac:dyDescent="0.2"/>
    <row r="26504" ht="12.75" hidden="1" customHeight="1" x14ac:dyDescent="0.2"/>
    <row r="26505" ht="12.75" hidden="1" customHeight="1" x14ac:dyDescent="0.2"/>
    <row r="26506" ht="12.75" hidden="1" customHeight="1" x14ac:dyDescent="0.2"/>
    <row r="26507" ht="12.75" hidden="1" customHeight="1" x14ac:dyDescent="0.2"/>
    <row r="26508" ht="12.75" hidden="1" customHeight="1" x14ac:dyDescent="0.2"/>
    <row r="26509" ht="12.75" hidden="1" customHeight="1" x14ac:dyDescent="0.2"/>
    <row r="26510" ht="12.75" hidden="1" customHeight="1" x14ac:dyDescent="0.2"/>
    <row r="26511" ht="12.75" hidden="1" customHeight="1" x14ac:dyDescent="0.2"/>
    <row r="26512" ht="12.75" hidden="1" customHeight="1" x14ac:dyDescent="0.2"/>
    <row r="26513" ht="12.75" hidden="1" customHeight="1" x14ac:dyDescent="0.2"/>
    <row r="26514" ht="12.75" hidden="1" customHeight="1" x14ac:dyDescent="0.2"/>
    <row r="26515" ht="12.75" hidden="1" customHeight="1" x14ac:dyDescent="0.2"/>
    <row r="26516" ht="12.75" hidden="1" customHeight="1" x14ac:dyDescent="0.2"/>
    <row r="26517" ht="12.75" hidden="1" customHeight="1" x14ac:dyDescent="0.2"/>
    <row r="26518" ht="12.75" hidden="1" customHeight="1" x14ac:dyDescent="0.2"/>
    <row r="26519" ht="12.75" hidden="1" customHeight="1" x14ac:dyDescent="0.2"/>
    <row r="26520" ht="12.75" hidden="1" customHeight="1" x14ac:dyDescent="0.2"/>
    <row r="26521" ht="12.75" hidden="1" customHeight="1" x14ac:dyDescent="0.2"/>
    <row r="26522" ht="12.75" hidden="1" customHeight="1" x14ac:dyDescent="0.2"/>
    <row r="26523" ht="12.75" hidden="1" customHeight="1" x14ac:dyDescent="0.2"/>
    <row r="26524" ht="12.75" hidden="1" customHeight="1" x14ac:dyDescent="0.2"/>
    <row r="26525" ht="12.75" hidden="1" customHeight="1" x14ac:dyDescent="0.2"/>
    <row r="26526" ht="12.75" hidden="1" customHeight="1" x14ac:dyDescent="0.2"/>
    <row r="26527" ht="12.75" hidden="1" customHeight="1" x14ac:dyDescent="0.2"/>
    <row r="26528" ht="12.75" hidden="1" customHeight="1" x14ac:dyDescent="0.2"/>
    <row r="26529" ht="12.75" hidden="1" customHeight="1" x14ac:dyDescent="0.2"/>
    <row r="26530" ht="12.75" hidden="1" customHeight="1" x14ac:dyDescent="0.2"/>
    <row r="26531" ht="12.75" hidden="1" customHeight="1" x14ac:dyDescent="0.2"/>
    <row r="26532" ht="12.75" hidden="1" customHeight="1" x14ac:dyDescent="0.2"/>
    <row r="26533" ht="12.75" hidden="1" customHeight="1" x14ac:dyDescent="0.2"/>
    <row r="26534" ht="12.75" hidden="1" customHeight="1" x14ac:dyDescent="0.2"/>
    <row r="26535" ht="12.75" hidden="1" customHeight="1" x14ac:dyDescent="0.2"/>
    <row r="26536" ht="12.75" hidden="1" customHeight="1" x14ac:dyDescent="0.2"/>
    <row r="26537" ht="12.75" hidden="1" customHeight="1" x14ac:dyDescent="0.2"/>
    <row r="26538" ht="12.75" hidden="1" customHeight="1" x14ac:dyDescent="0.2"/>
    <row r="26539" ht="12.75" hidden="1" customHeight="1" x14ac:dyDescent="0.2"/>
    <row r="26540" ht="12.75" hidden="1" customHeight="1" x14ac:dyDescent="0.2"/>
    <row r="26541" ht="12.75" hidden="1" customHeight="1" x14ac:dyDescent="0.2"/>
    <row r="26542" ht="12.75" hidden="1" customHeight="1" x14ac:dyDescent="0.2"/>
    <row r="26543" ht="12.75" hidden="1" customHeight="1" x14ac:dyDescent="0.2"/>
    <row r="26544" ht="12.75" hidden="1" customHeight="1" x14ac:dyDescent="0.2"/>
    <row r="26545" ht="12.75" hidden="1" customHeight="1" x14ac:dyDescent="0.2"/>
    <row r="26546" ht="12.75" hidden="1" customHeight="1" x14ac:dyDescent="0.2"/>
    <row r="26547" ht="12.75" hidden="1" customHeight="1" x14ac:dyDescent="0.2"/>
    <row r="26548" ht="12.75" hidden="1" customHeight="1" x14ac:dyDescent="0.2"/>
    <row r="26549" ht="12.75" hidden="1" customHeight="1" x14ac:dyDescent="0.2"/>
    <row r="26550" ht="12.75" hidden="1" customHeight="1" x14ac:dyDescent="0.2"/>
    <row r="26551" ht="12.75" hidden="1" customHeight="1" x14ac:dyDescent="0.2"/>
    <row r="26552" ht="12.75" hidden="1" customHeight="1" x14ac:dyDescent="0.2"/>
    <row r="26553" ht="12.75" hidden="1" customHeight="1" x14ac:dyDescent="0.2"/>
    <row r="26554" ht="12.75" hidden="1" customHeight="1" x14ac:dyDescent="0.2"/>
    <row r="26555" ht="12.75" hidden="1" customHeight="1" x14ac:dyDescent="0.2"/>
    <row r="26556" ht="12.75" hidden="1" customHeight="1" x14ac:dyDescent="0.2"/>
    <row r="26557" ht="12.75" hidden="1" customHeight="1" x14ac:dyDescent="0.2"/>
    <row r="26558" ht="12.75" hidden="1" customHeight="1" x14ac:dyDescent="0.2"/>
    <row r="26559" ht="12.75" hidden="1" customHeight="1" x14ac:dyDescent="0.2"/>
    <row r="26560" ht="12.75" hidden="1" customHeight="1" x14ac:dyDescent="0.2"/>
    <row r="26561" ht="12.75" hidden="1" customHeight="1" x14ac:dyDescent="0.2"/>
    <row r="26562" ht="12.75" hidden="1" customHeight="1" x14ac:dyDescent="0.2"/>
    <row r="26563" ht="12.75" hidden="1" customHeight="1" x14ac:dyDescent="0.2"/>
    <row r="26564" ht="12.75" hidden="1" customHeight="1" x14ac:dyDescent="0.2"/>
    <row r="26565" ht="12.75" hidden="1" customHeight="1" x14ac:dyDescent="0.2"/>
    <row r="26566" ht="12.75" hidden="1" customHeight="1" x14ac:dyDescent="0.2"/>
    <row r="26567" ht="12.75" hidden="1" customHeight="1" x14ac:dyDescent="0.2"/>
    <row r="26568" ht="12.75" hidden="1" customHeight="1" x14ac:dyDescent="0.2"/>
    <row r="26569" ht="12.75" hidden="1" customHeight="1" x14ac:dyDescent="0.2"/>
    <row r="26570" ht="12.75" hidden="1" customHeight="1" x14ac:dyDescent="0.2"/>
    <row r="26571" ht="12.75" hidden="1" customHeight="1" x14ac:dyDescent="0.2"/>
    <row r="26572" ht="12.75" hidden="1" customHeight="1" x14ac:dyDescent="0.2"/>
    <row r="26573" ht="12.75" hidden="1" customHeight="1" x14ac:dyDescent="0.2"/>
    <row r="26574" ht="12.75" hidden="1" customHeight="1" x14ac:dyDescent="0.2"/>
    <row r="26575" ht="12.75" hidden="1" customHeight="1" x14ac:dyDescent="0.2"/>
    <row r="26576" ht="12.75" hidden="1" customHeight="1" x14ac:dyDescent="0.2"/>
    <row r="26577" ht="12.75" hidden="1" customHeight="1" x14ac:dyDescent="0.2"/>
    <row r="26578" ht="12.75" hidden="1" customHeight="1" x14ac:dyDescent="0.2"/>
    <row r="26579" ht="12.75" hidden="1" customHeight="1" x14ac:dyDescent="0.2"/>
    <row r="26580" ht="12.75" hidden="1" customHeight="1" x14ac:dyDescent="0.2"/>
    <row r="26581" ht="12.75" hidden="1" customHeight="1" x14ac:dyDescent="0.2"/>
    <row r="26582" ht="12.75" hidden="1" customHeight="1" x14ac:dyDescent="0.2"/>
    <row r="26583" ht="12.75" hidden="1" customHeight="1" x14ac:dyDescent="0.2"/>
    <row r="26584" ht="12.75" hidden="1" customHeight="1" x14ac:dyDescent="0.2"/>
    <row r="26585" ht="12.75" hidden="1" customHeight="1" x14ac:dyDescent="0.2"/>
    <row r="26586" ht="12.75" hidden="1" customHeight="1" x14ac:dyDescent="0.2"/>
    <row r="26587" ht="12.75" hidden="1" customHeight="1" x14ac:dyDescent="0.2"/>
    <row r="26588" ht="12.75" hidden="1" customHeight="1" x14ac:dyDescent="0.2"/>
    <row r="26589" ht="12.75" hidden="1" customHeight="1" x14ac:dyDescent="0.2"/>
    <row r="26590" ht="12.75" hidden="1" customHeight="1" x14ac:dyDescent="0.2"/>
    <row r="26591" ht="12.75" hidden="1" customHeight="1" x14ac:dyDescent="0.2"/>
    <row r="26592" ht="12.75" hidden="1" customHeight="1" x14ac:dyDescent="0.2"/>
    <row r="26593" ht="12.75" hidden="1" customHeight="1" x14ac:dyDescent="0.2"/>
    <row r="26594" ht="12.75" hidden="1" customHeight="1" x14ac:dyDescent="0.2"/>
    <row r="26595" ht="12.75" hidden="1" customHeight="1" x14ac:dyDescent="0.2"/>
    <row r="26596" ht="12.75" hidden="1" customHeight="1" x14ac:dyDescent="0.2"/>
    <row r="26597" ht="12.75" hidden="1" customHeight="1" x14ac:dyDescent="0.2"/>
    <row r="26598" ht="12.75" hidden="1" customHeight="1" x14ac:dyDescent="0.2"/>
    <row r="26599" ht="12.75" hidden="1" customHeight="1" x14ac:dyDescent="0.2"/>
    <row r="26600" ht="12.75" hidden="1" customHeight="1" x14ac:dyDescent="0.2"/>
    <row r="26601" ht="12.75" hidden="1" customHeight="1" x14ac:dyDescent="0.2"/>
    <row r="26602" ht="12.75" hidden="1" customHeight="1" x14ac:dyDescent="0.2"/>
    <row r="26603" ht="12.75" hidden="1" customHeight="1" x14ac:dyDescent="0.2"/>
    <row r="26604" ht="12.75" hidden="1" customHeight="1" x14ac:dyDescent="0.2"/>
    <row r="26605" ht="12.75" hidden="1" customHeight="1" x14ac:dyDescent="0.2"/>
    <row r="26606" ht="12.75" hidden="1" customHeight="1" x14ac:dyDescent="0.2"/>
    <row r="26607" ht="12.75" hidden="1" customHeight="1" x14ac:dyDescent="0.2"/>
    <row r="26608" ht="12.75" hidden="1" customHeight="1" x14ac:dyDescent="0.2"/>
    <row r="26609" ht="12.75" hidden="1" customHeight="1" x14ac:dyDescent="0.2"/>
    <row r="26610" ht="12.75" hidden="1" customHeight="1" x14ac:dyDescent="0.2"/>
    <row r="26611" ht="12.75" hidden="1" customHeight="1" x14ac:dyDescent="0.2"/>
    <row r="26612" ht="12.75" hidden="1" customHeight="1" x14ac:dyDescent="0.2"/>
    <row r="26613" ht="12.75" hidden="1" customHeight="1" x14ac:dyDescent="0.2"/>
    <row r="26614" ht="12.75" hidden="1" customHeight="1" x14ac:dyDescent="0.2"/>
    <row r="26615" ht="12.75" hidden="1" customHeight="1" x14ac:dyDescent="0.2"/>
    <row r="26616" ht="12.75" hidden="1" customHeight="1" x14ac:dyDescent="0.2"/>
    <row r="26617" ht="12.75" hidden="1" customHeight="1" x14ac:dyDescent="0.2"/>
    <row r="26618" ht="12.75" hidden="1" customHeight="1" x14ac:dyDescent="0.2"/>
    <row r="26619" ht="12.75" hidden="1" customHeight="1" x14ac:dyDescent="0.2"/>
    <row r="26620" ht="12.75" hidden="1" customHeight="1" x14ac:dyDescent="0.2"/>
    <row r="26621" ht="12.75" hidden="1" customHeight="1" x14ac:dyDescent="0.2"/>
    <row r="26622" ht="12.75" hidden="1" customHeight="1" x14ac:dyDescent="0.2"/>
    <row r="26623" ht="12.75" hidden="1" customHeight="1" x14ac:dyDescent="0.2"/>
    <row r="26624" ht="12.75" hidden="1" customHeight="1" x14ac:dyDescent="0.2"/>
    <row r="26625" ht="12.75" hidden="1" customHeight="1" x14ac:dyDescent="0.2"/>
    <row r="26626" ht="12.75" hidden="1" customHeight="1" x14ac:dyDescent="0.2"/>
    <row r="26627" ht="12.75" hidden="1" customHeight="1" x14ac:dyDescent="0.2"/>
    <row r="26628" ht="12.75" hidden="1" customHeight="1" x14ac:dyDescent="0.2"/>
    <row r="26629" ht="12.75" hidden="1" customHeight="1" x14ac:dyDescent="0.2"/>
    <row r="26630" ht="12.75" hidden="1" customHeight="1" x14ac:dyDescent="0.2"/>
    <row r="26631" ht="12.75" hidden="1" customHeight="1" x14ac:dyDescent="0.2"/>
    <row r="26632" ht="12.75" hidden="1" customHeight="1" x14ac:dyDescent="0.2"/>
    <row r="26633" ht="12.75" hidden="1" customHeight="1" x14ac:dyDescent="0.2"/>
    <row r="26634" ht="12.75" hidden="1" customHeight="1" x14ac:dyDescent="0.2"/>
    <row r="26635" ht="12.75" hidden="1" customHeight="1" x14ac:dyDescent="0.2"/>
    <row r="26636" ht="12.75" hidden="1" customHeight="1" x14ac:dyDescent="0.2"/>
    <row r="26637" ht="12.75" hidden="1" customHeight="1" x14ac:dyDescent="0.2"/>
    <row r="26638" ht="12.75" hidden="1" customHeight="1" x14ac:dyDescent="0.2"/>
    <row r="26639" ht="12.75" hidden="1" customHeight="1" x14ac:dyDescent="0.2"/>
    <row r="26640" ht="12.75" hidden="1" customHeight="1" x14ac:dyDescent="0.2"/>
    <row r="26641" ht="12.75" hidden="1" customHeight="1" x14ac:dyDescent="0.2"/>
    <row r="26642" ht="12.75" hidden="1" customHeight="1" x14ac:dyDescent="0.2"/>
    <row r="26643" ht="12.75" hidden="1" customHeight="1" x14ac:dyDescent="0.2"/>
    <row r="26644" ht="12.75" hidden="1" customHeight="1" x14ac:dyDescent="0.2"/>
    <row r="26645" ht="12.75" hidden="1" customHeight="1" x14ac:dyDescent="0.2"/>
    <row r="26646" ht="12.75" hidden="1" customHeight="1" x14ac:dyDescent="0.2"/>
    <row r="26647" ht="12.75" hidden="1" customHeight="1" x14ac:dyDescent="0.2"/>
    <row r="26648" ht="12.75" hidden="1" customHeight="1" x14ac:dyDescent="0.2"/>
    <row r="26649" ht="12.75" hidden="1" customHeight="1" x14ac:dyDescent="0.2"/>
    <row r="26650" ht="12.75" hidden="1" customHeight="1" x14ac:dyDescent="0.2"/>
    <row r="26651" ht="12.75" hidden="1" customHeight="1" x14ac:dyDescent="0.2"/>
    <row r="26652" ht="12.75" hidden="1" customHeight="1" x14ac:dyDescent="0.2"/>
    <row r="26653" ht="12.75" hidden="1" customHeight="1" x14ac:dyDescent="0.2"/>
    <row r="26654" ht="12.75" hidden="1" customHeight="1" x14ac:dyDescent="0.2"/>
    <row r="26655" ht="12.75" hidden="1" customHeight="1" x14ac:dyDescent="0.2"/>
    <row r="26656" ht="12.75" hidden="1" customHeight="1" x14ac:dyDescent="0.2"/>
    <row r="26657" ht="12.75" hidden="1" customHeight="1" x14ac:dyDescent="0.2"/>
    <row r="26658" ht="12.75" hidden="1" customHeight="1" x14ac:dyDescent="0.2"/>
    <row r="26659" ht="12.75" hidden="1" customHeight="1" x14ac:dyDescent="0.2"/>
    <row r="26660" ht="12.75" hidden="1" customHeight="1" x14ac:dyDescent="0.2"/>
    <row r="26661" ht="12.75" hidden="1" customHeight="1" x14ac:dyDescent="0.2"/>
    <row r="26662" ht="12.75" hidden="1" customHeight="1" x14ac:dyDescent="0.2"/>
    <row r="26663" ht="12.75" hidden="1" customHeight="1" x14ac:dyDescent="0.2"/>
    <row r="26664" ht="12.75" hidden="1" customHeight="1" x14ac:dyDescent="0.2"/>
    <row r="26665" ht="12.75" hidden="1" customHeight="1" x14ac:dyDescent="0.2"/>
    <row r="26666" ht="12.75" hidden="1" customHeight="1" x14ac:dyDescent="0.2"/>
    <row r="26667" ht="12.75" hidden="1" customHeight="1" x14ac:dyDescent="0.2"/>
    <row r="26668" ht="12.75" hidden="1" customHeight="1" x14ac:dyDescent="0.2"/>
    <row r="26669" ht="12.75" hidden="1" customHeight="1" x14ac:dyDescent="0.2"/>
    <row r="26670" ht="12.75" hidden="1" customHeight="1" x14ac:dyDescent="0.2"/>
    <row r="26671" ht="12.75" hidden="1" customHeight="1" x14ac:dyDescent="0.2"/>
    <row r="26672" ht="12.75" hidden="1" customHeight="1" x14ac:dyDescent="0.2"/>
    <row r="26673" ht="12.75" hidden="1" customHeight="1" x14ac:dyDescent="0.2"/>
    <row r="26674" ht="12.75" hidden="1" customHeight="1" x14ac:dyDescent="0.2"/>
    <row r="26675" ht="12.75" hidden="1" customHeight="1" x14ac:dyDescent="0.2"/>
    <row r="26676" ht="12.75" hidden="1" customHeight="1" x14ac:dyDescent="0.2"/>
    <row r="26677" ht="12.75" hidden="1" customHeight="1" x14ac:dyDescent="0.2"/>
    <row r="26678" ht="12.75" hidden="1" customHeight="1" x14ac:dyDescent="0.2"/>
    <row r="26679" ht="12.75" hidden="1" customHeight="1" x14ac:dyDescent="0.2"/>
    <row r="26680" ht="12.75" hidden="1" customHeight="1" x14ac:dyDescent="0.2"/>
    <row r="26681" ht="12.75" hidden="1" customHeight="1" x14ac:dyDescent="0.2"/>
    <row r="26682" ht="12.75" hidden="1" customHeight="1" x14ac:dyDescent="0.2"/>
    <row r="26683" ht="12.75" hidden="1" customHeight="1" x14ac:dyDescent="0.2"/>
    <row r="26684" ht="12.75" hidden="1" customHeight="1" x14ac:dyDescent="0.2"/>
    <row r="26685" ht="12.75" hidden="1" customHeight="1" x14ac:dyDescent="0.2"/>
    <row r="26686" ht="12.75" hidden="1" customHeight="1" x14ac:dyDescent="0.2"/>
    <row r="26687" ht="12.75" hidden="1" customHeight="1" x14ac:dyDescent="0.2"/>
    <row r="26688" ht="12.75" hidden="1" customHeight="1" x14ac:dyDescent="0.2"/>
    <row r="26689" ht="12.75" hidden="1" customHeight="1" x14ac:dyDescent="0.2"/>
    <row r="26690" ht="12.75" hidden="1" customHeight="1" x14ac:dyDescent="0.2"/>
    <row r="26691" ht="12.75" hidden="1" customHeight="1" x14ac:dyDescent="0.2"/>
    <row r="26692" ht="12.75" hidden="1" customHeight="1" x14ac:dyDescent="0.2"/>
    <row r="26693" ht="12.75" hidden="1" customHeight="1" x14ac:dyDescent="0.2"/>
    <row r="26694" ht="12.75" hidden="1" customHeight="1" x14ac:dyDescent="0.2"/>
    <row r="26695" ht="12.75" hidden="1" customHeight="1" x14ac:dyDescent="0.2"/>
    <row r="26696" ht="12.75" hidden="1" customHeight="1" x14ac:dyDescent="0.2"/>
    <row r="26697" ht="12.75" hidden="1" customHeight="1" x14ac:dyDescent="0.2"/>
    <row r="26698" ht="12.75" hidden="1" customHeight="1" x14ac:dyDescent="0.2"/>
    <row r="26699" ht="12.75" hidden="1" customHeight="1" x14ac:dyDescent="0.2"/>
    <row r="26700" ht="12.75" hidden="1" customHeight="1" x14ac:dyDescent="0.2"/>
    <row r="26701" ht="12.75" hidden="1" customHeight="1" x14ac:dyDescent="0.2"/>
    <row r="26702" ht="12.75" hidden="1" customHeight="1" x14ac:dyDescent="0.2"/>
    <row r="26703" ht="12.75" hidden="1" customHeight="1" x14ac:dyDescent="0.2"/>
    <row r="26704" ht="12.75" hidden="1" customHeight="1" x14ac:dyDescent="0.2"/>
    <row r="26705" ht="12.75" hidden="1" customHeight="1" x14ac:dyDescent="0.2"/>
    <row r="26706" ht="12.75" hidden="1" customHeight="1" x14ac:dyDescent="0.2"/>
    <row r="26707" ht="12.75" hidden="1" customHeight="1" x14ac:dyDescent="0.2"/>
    <row r="26708" ht="12.75" hidden="1" customHeight="1" x14ac:dyDescent="0.2"/>
    <row r="26709" ht="12.75" hidden="1" customHeight="1" x14ac:dyDescent="0.2"/>
    <row r="26710" ht="12.75" hidden="1" customHeight="1" x14ac:dyDescent="0.2"/>
    <row r="26711" ht="12.75" hidden="1" customHeight="1" x14ac:dyDescent="0.2"/>
    <row r="26712" ht="12.75" hidden="1" customHeight="1" x14ac:dyDescent="0.2"/>
    <row r="26713" ht="12.75" hidden="1" customHeight="1" x14ac:dyDescent="0.2"/>
    <row r="26714" ht="12.75" hidden="1" customHeight="1" x14ac:dyDescent="0.2"/>
    <row r="26715" ht="12.75" hidden="1" customHeight="1" x14ac:dyDescent="0.2"/>
    <row r="26716" ht="12.75" hidden="1" customHeight="1" x14ac:dyDescent="0.2"/>
    <row r="26717" ht="12.75" hidden="1" customHeight="1" x14ac:dyDescent="0.2"/>
    <row r="26718" ht="12.75" hidden="1" customHeight="1" x14ac:dyDescent="0.2"/>
    <row r="26719" ht="12.75" hidden="1" customHeight="1" x14ac:dyDescent="0.2"/>
    <row r="26720" ht="12.75" hidden="1" customHeight="1" x14ac:dyDescent="0.2"/>
    <row r="26721" ht="12.75" hidden="1" customHeight="1" x14ac:dyDescent="0.2"/>
    <row r="26722" ht="12.75" hidden="1" customHeight="1" x14ac:dyDescent="0.2"/>
    <row r="26723" ht="12.75" hidden="1" customHeight="1" x14ac:dyDescent="0.2"/>
    <row r="26724" ht="12.75" hidden="1" customHeight="1" x14ac:dyDescent="0.2"/>
    <row r="26725" ht="12.75" hidden="1" customHeight="1" x14ac:dyDescent="0.2"/>
    <row r="26726" ht="12.75" hidden="1" customHeight="1" x14ac:dyDescent="0.2"/>
    <row r="26727" ht="12.75" hidden="1" customHeight="1" x14ac:dyDescent="0.2"/>
    <row r="26728" ht="12.75" hidden="1" customHeight="1" x14ac:dyDescent="0.2"/>
    <row r="26729" ht="12.75" hidden="1" customHeight="1" x14ac:dyDescent="0.2"/>
    <row r="26730" ht="12.75" hidden="1" customHeight="1" x14ac:dyDescent="0.2"/>
    <row r="26731" ht="12.75" hidden="1" customHeight="1" x14ac:dyDescent="0.2"/>
    <row r="26732" ht="12.75" hidden="1" customHeight="1" x14ac:dyDescent="0.2"/>
    <row r="26733" ht="12.75" hidden="1" customHeight="1" x14ac:dyDescent="0.2"/>
    <row r="26734" ht="12.75" hidden="1" customHeight="1" x14ac:dyDescent="0.2"/>
    <row r="26735" ht="12.75" hidden="1" customHeight="1" x14ac:dyDescent="0.2"/>
    <row r="26736" ht="12.75" hidden="1" customHeight="1" x14ac:dyDescent="0.2"/>
    <row r="26737" ht="12.75" hidden="1" customHeight="1" x14ac:dyDescent="0.2"/>
    <row r="26738" ht="12.75" hidden="1" customHeight="1" x14ac:dyDescent="0.2"/>
    <row r="26739" ht="12.75" hidden="1" customHeight="1" x14ac:dyDescent="0.2"/>
    <row r="26740" ht="12.75" hidden="1" customHeight="1" x14ac:dyDescent="0.2"/>
    <row r="26741" ht="12.75" hidden="1" customHeight="1" x14ac:dyDescent="0.2"/>
    <row r="26742" ht="12.75" hidden="1" customHeight="1" x14ac:dyDescent="0.2"/>
    <row r="26743" ht="12.75" hidden="1" customHeight="1" x14ac:dyDescent="0.2"/>
    <row r="26744" ht="12.75" hidden="1" customHeight="1" x14ac:dyDescent="0.2"/>
    <row r="26745" ht="12.75" hidden="1" customHeight="1" x14ac:dyDescent="0.2"/>
    <row r="26746" ht="12.75" hidden="1" customHeight="1" x14ac:dyDescent="0.2"/>
    <row r="26747" ht="12.75" hidden="1" customHeight="1" x14ac:dyDescent="0.2"/>
    <row r="26748" ht="12.75" hidden="1" customHeight="1" x14ac:dyDescent="0.2"/>
    <row r="26749" ht="12.75" hidden="1" customHeight="1" x14ac:dyDescent="0.2"/>
    <row r="26750" ht="12.75" hidden="1" customHeight="1" x14ac:dyDescent="0.2"/>
    <row r="26751" ht="12.75" hidden="1" customHeight="1" x14ac:dyDescent="0.2"/>
    <row r="26752" ht="12.75" hidden="1" customHeight="1" x14ac:dyDescent="0.2"/>
    <row r="26753" ht="12.75" hidden="1" customHeight="1" x14ac:dyDescent="0.2"/>
    <row r="26754" ht="12.75" hidden="1" customHeight="1" x14ac:dyDescent="0.2"/>
    <row r="26755" ht="12.75" hidden="1" customHeight="1" x14ac:dyDescent="0.2"/>
    <row r="26756" ht="12.75" hidden="1" customHeight="1" x14ac:dyDescent="0.2"/>
    <row r="26757" ht="12.75" hidden="1" customHeight="1" x14ac:dyDescent="0.2"/>
    <row r="26758" ht="12.75" hidden="1" customHeight="1" x14ac:dyDescent="0.2"/>
    <row r="26759" ht="12.75" hidden="1" customHeight="1" x14ac:dyDescent="0.2"/>
    <row r="26760" ht="12.75" hidden="1" customHeight="1" x14ac:dyDescent="0.2"/>
    <row r="26761" ht="12.75" hidden="1" customHeight="1" x14ac:dyDescent="0.2"/>
    <row r="26762" ht="12.75" hidden="1" customHeight="1" x14ac:dyDescent="0.2"/>
    <row r="26763" ht="12.75" hidden="1" customHeight="1" x14ac:dyDescent="0.2"/>
    <row r="26764" ht="12.75" hidden="1" customHeight="1" x14ac:dyDescent="0.2"/>
    <row r="26765" ht="12.75" hidden="1" customHeight="1" x14ac:dyDescent="0.2"/>
    <row r="26766" ht="12.75" hidden="1" customHeight="1" x14ac:dyDescent="0.2"/>
    <row r="26767" ht="12.75" hidden="1" customHeight="1" x14ac:dyDescent="0.2"/>
    <row r="26768" ht="12.75" hidden="1" customHeight="1" x14ac:dyDescent="0.2"/>
    <row r="26769" ht="12.75" hidden="1" customHeight="1" x14ac:dyDescent="0.2"/>
    <row r="26770" ht="12.75" hidden="1" customHeight="1" x14ac:dyDescent="0.2"/>
    <row r="26771" ht="12.75" hidden="1" customHeight="1" x14ac:dyDescent="0.2"/>
    <row r="26772" ht="12.75" hidden="1" customHeight="1" x14ac:dyDescent="0.2"/>
    <row r="26773" ht="12.75" hidden="1" customHeight="1" x14ac:dyDescent="0.2"/>
    <row r="26774" ht="12.75" hidden="1" customHeight="1" x14ac:dyDescent="0.2"/>
    <row r="26775" ht="12.75" hidden="1" customHeight="1" x14ac:dyDescent="0.2"/>
    <row r="26776" ht="12.75" hidden="1" customHeight="1" x14ac:dyDescent="0.2"/>
    <row r="26777" ht="12.75" hidden="1" customHeight="1" x14ac:dyDescent="0.2"/>
    <row r="26778" ht="12.75" hidden="1" customHeight="1" x14ac:dyDescent="0.2"/>
    <row r="26779" ht="12.75" hidden="1" customHeight="1" x14ac:dyDescent="0.2"/>
    <row r="26780" ht="12.75" hidden="1" customHeight="1" x14ac:dyDescent="0.2"/>
    <row r="26781" ht="12.75" hidden="1" customHeight="1" x14ac:dyDescent="0.2"/>
    <row r="26782" ht="12.75" hidden="1" customHeight="1" x14ac:dyDescent="0.2"/>
    <row r="26783" ht="12.75" hidden="1" customHeight="1" x14ac:dyDescent="0.2"/>
    <row r="26784" ht="12.75" hidden="1" customHeight="1" x14ac:dyDescent="0.2"/>
    <row r="26785" ht="12.75" hidden="1" customHeight="1" x14ac:dyDescent="0.2"/>
    <row r="26786" ht="12.75" hidden="1" customHeight="1" x14ac:dyDescent="0.2"/>
    <row r="26787" ht="12.75" hidden="1" customHeight="1" x14ac:dyDescent="0.2"/>
    <row r="26788" ht="12.75" hidden="1" customHeight="1" x14ac:dyDescent="0.2"/>
    <row r="26789" ht="12.75" hidden="1" customHeight="1" x14ac:dyDescent="0.2"/>
    <row r="26790" ht="12.75" hidden="1" customHeight="1" x14ac:dyDescent="0.2"/>
    <row r="26791" ht="12.75" hidden="1" customHeight="1" x14ac:dyDescent="0.2"/>
    <row r="26792" ht="12.75" hidden="1" customHeight="1" x14ac:dyDescent="0.2"/>
    <row r="26793" ht="12.75" hidden="1" customHeight="1" x14ac:dyDescent="0.2"/>
    <row r="26794" ht="12.75" hidden="1" customHeight="1" x14ac:dyDescent="0.2"/>
    <row r="26795" ht="12.75" hidden="1" customHeight="1" x14ac:dyDescent="0.2"/>
    <row r="26796" ht="12.75" hidden="1" customHeight="1" x14ac:dyDescent="0.2"/>
    <row r="26797" ht="12.75" hidden="1" customHeight="1" x14ac:dyDescent="0.2"/>
    <row r="26798" ht="12.75" hidden="1" customHeight="1" x14ac:dyDescent="0.2"/>
    <row r="26799" ht="12.75" hidden="1" customHeight="1" x14ac:dyDescent="0.2"/>
    <row r="26800" ht="12.75" hidden="1" customHeight="1" x14ac:dyDescent="0.2"/>
    <row r="26801" ht="12.75" hidden="1" customHeight="1" x14ac:dyDescent="0.2"/>
    <row r="26802" ht="12.75" hidden="1" customHeight="1" x14ac:dyDescent="0.2"/>
    <row r="26803" ht="12.75" hidden="1" customHeight="1" x14ac:dyDescent="0.2"/>
    <row r="26804" ht="12.75" hidden="1" customHeight="1" x14ac:dyDescent="0.2"/>
    <row r="26805" ht="12.75" hidden="1" customHeight="1" x14ac:dyDescent="0.2"/>
    <row r="26806" ht="12.75" hidden="1" customHeight="1" x14ac:dyDescent="0.2"/>
    <row r="26807" ht="12.75" hidden="1" customHeight="1" x14ac:dyDescent="0.2"/>
    <row r="26808" ht="12.75" hidden="1" customHeight="1" x14ac:dyDescent="0.2"/>
    <row r="26809" ht="12.75" hidden="1" customHeight="1" x14ac:dyDescent="0.2"/>
    <row r="26810" ht="12.75" hidden="1" customHeight="1" x14ac:dyDescent="0.2"/>
    <row r="26811" ht="12.75" hidden="1" customHeight="1" x14ac:dyDescent="0.2"/>
    <row r="26812" ht="12.75" hidden="1" customHeight="1" x14ac:dyDescent="0.2"/>
    <row r="26813" ht="12.75" hidden="1" customHeight="1" x14ac:dyDescent="0.2"/>
    <row r="26814" ht="12.75" hidden="1" customHeight="1" x14ac:dyDescent="0.2"/>
    <row r="26815" ht="12.75" hidden="1" customHeight="1" x14ac:dyDescent="0.2"/>
    <row r="26816" ht="12.75" hidden="1" customHeight="1" x14ac:dyDescent="0.2"/>
    <row r="26817" ht="12.75" hidden="1" customHeight="1" x14ac:dyDescent="0.2"/>
    <row r="26818" ht="12.75" hidden="1" customHeight="1" x14ac:dyDescent="0.2"/>
    <row r="26819" ht="12.75" hidden="1" customHeight="1" x14ac:dyDescent="0.2"/>
    <row r="26820" ht="12.75" hidden="1" customHeight="1" x14ac:dyDescent="0.2"/>
    <row r="26821" ht="12.75" hidden="1" customHeight="1" x14ac:dyDescent="0.2"/>
    <row r="26822" ht="12.75" hidden="1" customHeight="1" x14ac:dyDescent="0.2"/>
    <row r="26823" ht="12.75" hidden="1" customHeight="1" x14ac:dyDescent="0.2"/>
    <row r="26824" ht="12.75" hidden="1" customHeight="1" x14ac:dyDescent="0.2"/>
    <row r="26825" ht="12.75" hidden="1" customHeight="1" x14ac:dyDescent="0.2"/>
    <row r="26826" ht="12.75" hidden="1" customHeight="1" x14ac:dyDescent="0.2"/>
    <row r="26827" ht="12.75" hidden="1" customHeight="1" x14ac:dyDescent="0.2"/>
    <row r="26828" ht="12.75" hidden="1" customHeight="1" x14ac:dyDescent="0.2"/>
    <row r="26829" ht="12.75" hidden="1" customHeight="1" x14ac:dyDescent="0.2"/>
    <row r="26830" ht="12.75" hidden="1" customHeight="1" x14ac:dyDescent="0.2"/>
    <row r="26831" ht="12.75" hidden="1" customHeight="1" x14ac:dyDescent="0.2"/>
    <row r="26832" ht="12.75" hidden="1" customHeight="1" x14ac:dyDescent="0.2"/>
    <row r="26833" ht="12.75" hidden="1" customHeight="1" x14ac:dyDescent="0.2"/>
    <row r="26834" ht="12.75" hidden="1" customHeight="1" x14ac:dyDescent="0.2"/>
    <row r="26835" ht="12.75" hidden="1" customHeight="1" x14ac:dyDescent="0.2"/>
    <row r="26836" ht="12.75" hidden="1" customHeight="1" x14ac:dyDescent="0.2"/>
    <row r="26837" ht="12.75" hidden="1" customHeight="1" x14ac:dyDescent="0.2"/>
    <row r="26838" ht="12.75" hidden="1" customHeight="1" x14ac:dyDescent="0.2"/>
    <row r="26839" ht="12.75" hidden="1" customHeight="1" x14ac:dyDescent="0.2"/>
    <row r="26840" ht="12.75" hidden="1" customHeight="1" x14ac:dyDescent="0.2"/>
    <row r="26841" ht="12.75" hidden="1" customHeight="1" x14ac:dyDescent="0.2"/>
    <row r="26842" ht="12.75" hidden="1" customHeight="1" x14ac:dyDescent="0.2"/>
    <row r="26843" ht="12.75" hidden="1" customHeight="1" x14ac:dyDescent="0.2"/>
    <row r="26844" ht="12.75" hidden="1" customHeight="1" x14ac:dyDescent="0.2"/>
    <row r="26845" ht="12.75" hidden="1" customHeight="1" x14ac:dyDescent="0.2"/>
    <row r="26846" ht="12.75" hidden="1" customHeight="1" x14ac:dyDescent="0.2"/>
    <row r="26847" ht="12.75" hidden="1" customHeight="1" x14ac:dyDescent="0.2"/>
    <row r="26848" ht="12.75" hidden="1" customHeight="1" x14ac:dyDescent="0.2"/>
    <row r="26849" ht="12.75" hidden="1" customHeight="1" x14ac:dyDescent="0.2"/>
    <row r="26850" ht="12.75" hidden="1" customHeight="1" x14ac:dyDescent="0.2"/>
    <row r="26851" ht="12.75" hidden="1" customHeight="1" x14ac:dyDescent="0.2"/>
    <row r="26852" ht="12.75" hidden="1" customHeight="1" x14ac:dyDescent="0.2"/>
    <row r="26853" ht="12.75" hidden="1" customHeight="1" x14ac:dyDescent="0.2"/>
    <row r="26854" ht="12.75" hidden="1" customHeight="1" x14ac:dyDescent="0.2"/>
    <row r="26855" ht="12.75" hidden="1" customHeight="1" x14ac:dyDescent="0.2"/>
    <row r="26856" ht="12.75" hidden="1" customHeight="1" x14ac:dyDescent="0.2"/>
    <row r="26857" ht="12.75" hidden="1" customHeight="1" x14ac:dyDescent="0.2"/>
    <row r="26858" ht="12.75" hidden="1" customHeight="1" x14ac:dyDescent="0.2"/>
    <row r="26859" ht="12.75" hidden="1" customHeight="1" x14ac:dyDescent="0.2"/>
    <row r="26860" ht="12.75" hidden="1" customHeight="1" x14ac:dyDescent="0.2"/>
    <row r="26861" ht="12.75" hidden="1" customHeight="1" x14ac:dyDescent="0.2"/>
    <row r="26862" ht="12.75" hidden="1" customHeight="1" x14ac:dyDescent="0.2"/>
    <row r="26863" ht="12.75" hidden="1" customHeight="1" x14ac:dyDescent="0.2"/>
    <row r="26864" ht="12.75" hidden="1" customHeight="1" x14ac:dyDescent="0.2"/>
    <row r="26865" ht="12.75" hidden="1" customHeight="1" x14ac:dyDescent="0.2"/>
    <row r="26866" ht="12.75" hidden="1" customHeight="1" x14ac:dyDescent="0.2"/>
    <row r="26867" ht="12.75" hidden="1" customHeight="1" x14ac:dyDescent="0.2"/>
    <row r="26868" ht="12.75" hidden="1" customHeight="1" x14ac:dyDescent="0.2"/>
    <row r="26869" ht="12.75" hidden="1" customHeight="1" x14ac:dyDescent="0.2"/>
    <row r="26870" ht="12.75" hidden="1" customHeight="1" x14ac:dyDescent="0.2"/>
    <row r="26871" ht="12.75" hidden="1" customHeight="1" x14ac:dyDescent="0.2"/>
    <row r="26872" ht="12.75" hidden="1" customHeight="1" x14ac:dyDescent="0.2"/>
    <row r="26873" ht="12.75" hidden="1" customHeight="1" x14ac:dyDescent="0.2"/>
    <row r="26874" ht="12.75" hidden="1" customHeight="1" x14ac:dyDescent="0.2"/>
    <row r="26875" ht="12.75" hidden="1" customHeight="1" x14ac:dyDescent="0.2"/>
    <row r="26876" ht="12.75" hidden="1" customHeight="1" x14ac:dyDescent="0.2"/>
    <row r="26877" ht="12.75" hidden="1" customHeight="1" x14ac:dyDescent="0.2"/>
    <row r="26878" ht="12.75" hidden="1" customHeight="1" x14ac:dyDescent="0.2"/>
    <row r="26879" ht="12.75" hidden="1" customHeight="1" x14ac:dyDescent="0.2"/>
    <row r="26880" ht="12.75" hidden="1" customHeight="1" x14ac:dyDescent="0.2"/>
    <row r="26881" ht="12.75" hidden="1" customHeight="1" x14ac:dyDescent="0.2"/>
    <row r="26882" ht="12.75" hidden="1" customHeight="1" x14ac:dyDescent="0.2"/>
    <row r="26883" ht="12.75" hidden="1" customHeight="1" x14ac:dyDescent="0.2"/>
    <row r="26884" ht="12.75" hidden="1" customHeight="1" x14ac:dyDescent="0.2"/>
    <row r="26885" ht="12.75" hidden="1" customHeight="1" x14ac:dyDescent="0.2"/>
    <row r="26886" ht="12.75" hidden="1" customHeight="1" x14ac:dyDescent="0.2"/>
    <row r="26887" ht="12.75" hidden="1" customHeight="1" x14ac:dyDescent="0.2"/>
    <row r="26888" ht="12.75" hidden="1" customHeight="1" x14ac:dyDescent="0.2"/>
    <row r="26889" ht="12.75" hidden="1" customHeight="1" x14ac:dyDescent="0.2"/>
    <row r="26890" ht="12.75" hidden="1" customHeight="1" x14ac:dyDescent="0.2"/>
    <row r="26891" ht="12.75" hidden="1" customHeight="1" x14ac:dyDescent="0.2"/>
    <row r="26892" ht="12.75" hidden="1" customHeight="1" x14ac:dyDescent="0.2"/>
    <row r="26893" ht="12.75" hidden="1" customHeight="1" x14ac:dyDescent="0.2"/>
    <row r="26894" ht="12.75" hidden="1" customHeight="1" x14ac:dyDescent="0.2"/>
    <row r="26895" ht="12.75" hidden="1" customHeight="1" x14ac:dyDescent="0.2"/>
    <row r="26896" ht="12.75" hidden="1" customHeight="1" x14ac:dyDescent="0.2"/>
    <row r="26897" ht="12.75" hidden="1" customHeight="1" x14ac:dyDescent="0.2"/>
    <row r="26898" ht="12.75" hidden="1" customHeight="1" x14ac:dyDescent="0.2"/>
    <row r="26899" ht="12.75" hidden="1" customHeight="1" x14ac:dyDescent="0.2"/>
    <row r="26900" ht="12.75" hidden="1" customHeight="1" x14ac:dyDescent="0.2"/>
    <row r="26901" ht="12.75" hidden="1" customHeight="1" x14ac:dyDescent="0.2"/>
    <row r="26902" ht="12.75" hidden="1" customHeight="1" x14ac:dyDescent="0.2"/>
    <row r="26903" ht="12.75" hidden="1" customHeight="1" x14ac:dyDescent="0.2"/>
    <row r="26904" ht="12.75" hidden="1" customHeight="1" x14ac:dyDescent="0.2"/>
    <row r="26905" ht="12.75" hidden="1" customHeight="1" x14ac:dyDescent="0.2"/>
    <row r="26906" ht="12.75" hidden="1" customHeight="1" x14ac:dyDescent="0.2"/>
    <row r="26907" ht="12.75" hidden="1" customHeight="1" x14ac:dyDescent="0.2"/>
    <row r="26908" ht="12.75" hidden="1" customHeight="1" x14ac:dyDescent="0.2"/>
    <row r="26909" ht="12.75" hidden="1" customHeight="1" x14ac:dyDescent="0.2"/>
    <row r="26910" ht="12.75" hidden="1" customHeight="1" x14ac:dyDescent="0.2"/>
    <row r="26911" ht="12.75" hidden="1" customHeight="1" x14ac:dyDescent="0.2"/>
    <row r="26912" ht="12.75" hidden="1" customHeight="1" x14ac:dyDescent="0.2"/>
    <row r="26913" ht="12.75" hidden="1" customHeight="1" x14ac:dyDescent="0.2"/>
    <row r="26914" ht="12.75" hidden="1" customHeight="1" x14ac:dyDescent="0.2"/>
    <row r="26915" ht="12.75" hidden="1" customHeight="1" x14ac:dyDescent="0.2"/>
    <row r="26916" ht="12.75" hidden="1" customHeight="1" x14ac:dyDescent="0.2"/>
    <row r="26917" ht="12.75" hidden="1" customHeight="1" x14ac:dyDescent="0.2"/>
    <row r="26918" ht="12.75" hidden="1" customHeight="1" x14ac:dyDescent="0.2"/>
    <row r="26919" ht="12.75" hidden="1" customHeight="1" x14ac:dyDescent="0.2"/>
    <row r="26920" ht="12.75" hidden="1" customHeight="1" x14ac:dyDescent="0.2"/>
    <row r="26921" ht="12.75" hidden="1" customHeight="1" x14ac:dyDescent="0.2"/>
    <row r="26922" ht="12.75" hidden="1" customHeight="1" x14ac:dyDescent="0.2"/>
    <row r="26923" ht="12.75" hidden="1" customHeight="1" x14ac:dyDescent="0.2"/>
    <row r="26924" ht="12.75" hidden="1" customHeight="1" x14ac:dyDescent="0.2"/>
    <row r="26925" ht="12.75" hidden="1" customHeight="1" x14ac:dyDescent="0.2"/>
    <row r="26926" ht="12.75" hidden="1" customHeight="1" x14ac:dyDescent="0.2"/>
    <row r="26927" ht="12.75" hidden="1" customHeight="1" x14ac:dyDescent="0.2"/>
    <row r="26928" ht="12.75" hidden="1" customHeight="1" x14ac:dyDescent="0.2"/>
    <row r="26929" ht="12.75" hidden="1" customHeight="1" x14ac:dyDescent="0.2"/>
    <row r="26930" ht="12.75" hidden="1" customHeight="1" x14ac:dyDescent="0.2"/>
    <row r="26931" ht="12.75" hidden="1" customHeight="1" x14ac:dyDescent="0.2"/>
    <row r="26932" ht="12.75" hidden="1" customHeight="1" x14ac:dyDescent="0.2"/>
    <row r="26933" ht="12.75" hidden="1" customHeight="1" x14ac:dyDescent="0.2"/>
    <row r="26934" ht="12.75" hidden="1" customHeight="1" x14ac:dyDescent="0.2"/>
    <row r="26935" ht="12.75" hidden="1" customHeight="1" x14ac:dyDescent="0.2"/>
    <row r="26936" ht="12.75" hidden="1" customHeight="1" x14ac:dyDescent="0.2"/>
    <row r="26937" ht="12.75" hidden="1" customHeight="1" x14ac:dyDescent="0.2"/>
    <row r="26938" ht="12.75" hidden="1" customHeight="1" x14ac:dyDescent="0.2"/>
    <row r="26939" ht="12.75" hidden="1" customHeight="1" x14ac:dyDescent="0.2"/>
    <row r="26940" ht="12.75" hidden="1" customHeight="1" x14ac:dyDescent="0.2"/>
    <row r="26941" ht="12.75" hidden="1" customHeight="1" x14ac:dyDescent="0.2"/>
    <row r="26942" ht="12.75" hidden="1" customHeight="1" x14ac:dyDescent="0.2"/>
    <row r="26943" ht="12.75" hidden="1" customHeight="1" x14ac:dyDescent="0.2"/>
    <row r="26944" ht="12.75" hidden="1" customHeight="1" x14ac:dyDescent="0.2"/>
    <row r="26945" ht="12.75" hidden="1" customHeight="1" x14ac:dyDescent="0.2"/>
    <row r="26946" ht="12.75" hidden="1" customHeight="1" x14ac:dyDescent="0.2"/>
    <row r="26947" ht="12.75" hidden="1" customHeight="1" x14ac:dyDescent="0.2"/>
    <row r="26948" ht="12.75" hidden="1" customHeight="1" x14ac:dyDescent="0.2"/>
    <row r="26949" ht="12.75" hidden="1" customHeight="1" x14ac:dyDescent="0.2"/>
    <row r="26950" ht="12.75" hidden="1" customHeight="1" x14ac:dyDescent="0.2"/>
    <row r="26951" ht="12.75" hidden="1" customHeight="1" x14ac:dyDescent="0.2"/>
    <row r="26952" ht="12.75" hidden="1" customHeight="1" x14ac:dyDescent="0.2"/>
    <row r="26953" ht="12.75" hidden="1" customHeight="1" x14ac:dyDescent="0.2"/>
    <row r="26954" ht="12.75" hidden="1" customHeight="1" x14ac:dyDescent="0.2"/>
    <row r="26955" ht="12.75" hidden="1" customHeight="1" x14ac:dyDescent="0.2"/>
    <row r="26956" ht="12.75" hidden="1" customHeight="1" x14ac:dyDescent="0.2"/>
    <row r="26957" ht="12.75" hidden="1" customHeight="1" x14ac:dyDescent="0.2"/>
    <row r="26958" ht="12.75" hidden="1" customHeight="1" x14ac:dyDescent="0.2"/>
    <row r="26959" ht="12.75" hidden="1" customHeight="1" x14ac:dyDescent="0.2"/>
    <row r="26960" ht="12.75" hidden="1" customHeight="1" x14ac:dyDescent="0.2"/>
    <row r="26961" ht="12.75" hidden="1" customHeight="1" x14ac:dyDescent="0.2"/>
    <row r="26962" ht="12.75" hidden="1" customHeight="1" x14ac:dyDescent="0.2"/>
    <row r="26963" ht="12.75" hidden="1" customHeight="1" x14ac:dyDescent="0.2"/>
    <row r="26964" ht="12.75" hidden="1" customHeight="1" x14ac:dyDescent="0.2"/>
    <row r="26965" ht="12.75" hidden="1" customHeight="1" x14ac:dyDescent="0.2"/>
    <row r="26966" ht="12.75" hidden="1" customHeight="1" x14ac:dyDescent="0.2"/>
    <row r="26967" ht="12.75" hidden="1" customHeight="1" x14ac:dyDescent="0.2"/>
    <row r="26968" ht="12.75" hidden="1" customHeight="1" x14ac:dyDescent="0.2"/>
    <row r="26969" ht="12.75" hidden="1" customHeight="1" x14ac:dyDescent="0.2"/>
    <row r="26970" ht="12.75" hidden="1" customHeight="1" x14ac:dyDescent="0.2"/>
    <row r="26971" ht="12.75" hidden="1" customHeight="1" x14ac:dyDescent="0.2"/>
    <row r="26972" ht="12.75" hidden="1" customHeight="1" x14ac:dyDescent="0.2"/>
    <row r="26973" ht="12.75" hidden="1" customHeight="1" x14ac:dyDescent="0.2"/>
    <row r="26974" ht="12.75" hidden="1" customHeight="1" x14ac:dyDescent="0.2"/>
    <row r="26975" ht="12.75" hidden="1" customHeight="1" x14ac:dyDescent="0.2"/>
    <row r="26976" ht="12.75" hidden="1" customHeight="1" x14ac:dyDescent="0.2"/>
    <row r="26977" ht="12.75" hidden="1" customHeight="1" x14ac:dyDescent="0.2"/>
    <row r="26978" ht="12.75" hidden="1" customHeight="1" x14ac:dyDescent="0.2"/>
    <row r="26979" ht="12.75" hidden="1" customHeight="1" x14ac:dyDescent="0.2"/>
    <row r="26980" ht="12.75" hidden="1" customHeight="1" x14ac:dyDescent="0.2"/>
    <row r="26981" ht="12.75" hidden="1" customHeight="1" x14ac:dyDescent="0.2"/>
    <row r="26982" ht="12.75" hidden="1" customHeight="1" x14ac:dyDescent="0.2"/>
    <row r="26983" ht="12.75" hidden="1" customHeight="1" x14ac:dyDescent="0.2"/>
    <row r="26984" ht="12.75" hidden="1" customHeight="1" x14ac:dyDescent="0.2"/>
    <row r="26985" ht="12.75" hidden="1" customHeight="1" x14ac:dyDescent="0.2"/>
    <row r="26986" ht="12.75" hidden="1" customHeight="1" x14ac:dyDescent="0.2"/>
    <row r="26987" ht="12.75" hidden="1" customHeight="1" x14ac:dyDescent="0.2"/>
    <row r="26988" ht="12.75" hidden="1" customHeight="1" x14ac:dyDescent="0.2"/>
    <row r="26989" ht="12.75" hidden="1" customHeight="1" x14ac:dyDescent="0.2"/>
    <row r="26990" ht="12.75" hidden="1" customHeight="1" x14ac:dyDescent="0.2"/>
    <row r="26991" ht="12.75" hidden="1" customHeight="1" x14ac:dyDescent="0.2"/>
    <row r="26992" ht="12.75" hidden="1" customHeight="1" x14ac:dyDescent="0.2"/>
    <row r="26993" ht="12.75" hidden="1" customHeight="1" x14ac:dyDescent="0.2"/>
    <row r="26994" ht="12.75" hidden="1" customHeight="1" x14ac:dyDescent="0.2"/>
    <row r="26995" ht="12.75" hidden="1" customHeight="1" x14ac:dyDescent="0.2"/>
    <row r="26996" ht="12.75" hidden="1" customHeight="1" x14ac:dyDescent="0.2"/>
    <row r="26997" ht="12.75" hidden="1" customHeight="1" x14ac:dyDescent="0.2"/>
    <row r="26998" ht="12.75" hidden="1" customHeight="1" x14ac:dyDescent="0.2"/>
    <row r="26999" ht="12.75" hidden="1" customHeight="1" x14ac:dyDescent="0.2"/>
    <row r="27000" ht="12.75" hidden="1" customHeight="1" x14ac:dyDescent="0.2"/>
    <row r="27001" ht="12.75" hidden="1" customHeight="1" x14ac:dyDescent="0.2"/>
    <row r="27002" ht="12.75" hidden="1" customHeight="1" x14ac:dyDescent="0.2"/>
    <row r="27003" ht="12.75" hidden="1" customHeight="1" x14ac:dyDescent="0.2"/>
    <row r="27004" ht="12.75" hidden="1" customHeight="1" x14ac:dyDescent="0.2"/>
    <row r="27005" ht="12.75" hidden="1" customHeight="1" x14ac:dyDescent="0.2"/>
    <row r="27006" ht="12.75" hidden="1" customHeight="1" x14ac:dyDescent="0.2"/>
    <row r="27007" ht="12.75" hidden="1" customHeight="1" x14ac:dyDescent="0.2"/>
    <row r="27008" ht="12.75" hidden="1" customHeight="1" x14ac:dyDescent="0.2"/>
    <row r="27009" ht="12.75" hidden="1" customHeight="1" x14ac:dyDescent="0.2"/>
    <row r="27010" ht="12.75" hidden="1" customHeight="1" x14ac:dyDescent="0.2"/>
    <row r="27011" ht="12.75" hidden="1" customHeight="1" x14ac:dyDescent="0.2"/>
    <row r="27012" ht="12.75" hidden="1" customHeight="1" x14ac:dyDescent="0.2"/>
    <row r="27013" ht="12.75" hidden="1" customHeight="1" x14ac:dyDescent="0.2"/>
    <row r="27014" ht="12.75" hidden="1" customHeight="1" x14ac:dyDescent="0.2"/>
    <row r="27015" ht="12.75" hidden="1" customHeight="1" x14ac:dyDescent="0.2"/>
    <row r="27016" ht="12.75" hidden="1" customHeight="1" x14ac:dyDescent="0.2"/>
    <row r="27017" ht="12.75" hidden="1" customHeight="1" x14ac:dyDescent="0.2"/>
    <row r="27018" ht="12.75" hidden="1" customHeight="1" x14ac:dyDescent="0.2"/>
    <row r="27019" ht="12.75" hidden="1" customHeight="1" x14ac:dyDescent="0.2"/>
    <row r="27020" ht="12.75" hidden="1" customHeight="1" x14ac:dyDescent="0.2"/>
    <row r="27021" ht="12.75" hidden="1" customHeight="1" x14ac:dyDescent="0.2"/>
    <row r="27022" ht="12.75" hidden="1" customHeight="1" x14ac:dyDescent="0.2"/>
    <row r="27023" ht="12.75" hidden="1" customHeight="1" x14ac:dyDescent="0.2"/>
    <row r="27024" ht="12.75" hidden="1" customHeight="1" x14ac:dyDescent="0.2"/>
    <row r="27025" ht="12.75" hidden="1" customHeight="1" x14ac:dyDescent="0.2"/>
    <row r="27026" ht="12.75" hidden="1" customHeight="1" x14ac:dyDescent="0.2"/>
    <row r="27027" ht="12.75" hidden="1" customHeight="1" x14ac:dyDescent="0.2"/>
    <row r="27028" ht="12.75" hidden="1" customHeight="1" x14ac:dyDescent="0.2"/>
    <row r="27029" ht="12.75" hidden="1" customHeight="1" x14ac:dyDescent="0.2"/>
    <row r="27030" ht="12.75" hidden="1" customHeight="1" x14ac:dyDescent="0.2"/>
    <row r="27031" ht="12.75" hidden="1" customHeight="1" x14ac:dyDescent="0.2"/>
    <row r="27032" ht="12.75" hidden="1" customHeight="1" x14ac:dyDescent="0.2"/>
    <row r="27033" ht="12.75" hidden="1" customHeight="1" x14ac:dyDescent="0.2"/>
    <row r="27034" ht="12.75" hidden="1" customHeight="1" x14ac:dyDescent="0.2"/>
    <row r="27035" ht="12.75" hidden="1" customHeight="1" x14ac:dyDescent="0.2"/>
    <row r="27036" ht="12.75" hidden="1" customHeight="1" x14ac:dyDescent="0.2"/>
    <row r="27037" ht="12.75" hidden="1" customHeight="1" x14ac:dyDescent="0.2"/>
    <row r="27038" ht="12.75" hidden="1" customHeight="1" x14ac:dyDescent="0.2"/>
    <row r="27039" ht="12.75" hidden="1" customHeight="1" x14ac:dyDescent="0.2"/>
    <row r="27040" ht="12.75" hidden="1" customHeight="1" x14ac:dyDescent="0.2"/>
    <row r="27041" ht="12.75" hidden="1" customHeight="1" x14ac:dyDescent="0.2"/>
    <row r="27042" ht="12.75" hidden="1" customHeight="1" x14ac:dyDescent="0.2"/>
    <row r="27043" ht="12.75" hidden="1" customHeight="1" x14ac:dyDescent="0.2"/>
    <row r="27044" ht="12.75" hidden="1" customHeight="1" x14ac:dyDescent="0.2"/>
    <row r="27045" ht="12.75" hidden="1" customHeight="1" x14ac:dyDescent="0.2"/>
    <row r="27046" ht="12.75" hidden="1" customHeight="1" x14ac:dyDescent="0.2"/>
    <row r="27047" ht="12.75" hidden="1" customHeight="1" x14ac:dyDescent="0.2"/>
    <row r="27048" ht="12.75" hidden="1" customHeight="1" x14ac:dyDescent="0.2"/>
    <row r="27049" ht="12.75" hidden="1" customHeight="1" x14ac:dyDescent="0.2"/>
    <row r="27050" ht="12.75" hidden="1" customHeight="1" x14ac:dyDescent="0.2"/>
    <row r="27051" ht="12.75" hidden="1" customHeight="1" x14ac:dyDescent="0.2"/>
    <row r="27052" ht="12.75" hidden="1" customHeight="1" x14ac:dyDescent="0.2"/>
    <row r="27053" ht="12.75" hidden="1" customHeight="1" x14ac:dyDescent="0.2"/>
    <row r="27054" ht="12.75" hidden="1" customHeight="1" x14ac:dyDescent="0.2"/>
    <row r="27055" ht="12.75" hidden="1" customHeight="1" x14ac:dyDescent="0.2"/>
    <row r="27056" ht="12.75" hidden="1" customHeight="1" x14ac:dyDescent="0.2"/>
    <row r="27057" ht="12.75" hidden="1" customHeight="1" x14ac:dyDescent="0.2"/>
    <row r="27058" ht="12.75" hidden="1" customHeight="1" x14ac:dyDescent="0.2"/>
    <row r="27059" ht="12.75" hidden="1" customHeight="1" x14ac:dyDescent="0.2"/>
    <row r="27060" ht="12.75" hidden="1" customHeight="1" x14ac:dyDescent="0.2"/>
    <row r="27061" ht="12.75" hidden="1" customHeight="1" x14ac:dyDescent="0.2"/>
    <row r="27062" ht="12.75" hidden="1" customHeight="1" x14ac:dyDescent="0.2"/>
    <row r="27063" ht="12.75" hidden="1" customHeight="1" x14ac:dyDescent="0.2"/>
    <row r="27064" ht="12.75" hidden="1" customHeight="1" x14ac:dyDescent="0.2"/>
    <row r="27065" ht="12.75" hidden="1" customHeight="1" x14ac:dyDescent="0.2"/>
    <row r="27066" ht="12.75" hidden="1" customHeight="1" x14ac:dyDescent="0.2"/>
    <row r="27067" ht="12.75" hidden="1" customHeight="1" x14ac:dyDescent="0.2"/>
    <row r="27068" ht="12.75" hidden="1" customHeight="1" x14ac:dyDescent="0.2"/>
    <row r="27069" ht="12.75" hidden="1" customHeight="1" x14ac:dyDescent="0.2"/>
    <row r="27070" ht="12.75" hidden="1" customHeight="1" x14ac:dyDescent="0.2"/>
    <row r="27071" ht="12.75" hidden="1" customHeight="1" x14ac:dyDescent="0.2"/>
    <row r="27072" ht="12.75" hidden="1" customHeight="1" x14ac:dyDescent="0.2"/>
    <row r="27073" ht="12.75" hidden="1" customHeight="1" x14ac:dyDescent="0.2"/>
    <row r="27074" ht="12.75" hidden="1" customHeight="1" x14ac:dyDescent="0.2"/>
    <row r="27075" ht="12.75" hidden="1" customHeight="1" x14ac:dyDescent="0.2"/>
    <row r="27076" ht="12.75" hidden="1" customHeight="1" x14ac:dyDescent="0.2"/>
    <row r="27077" ht="12.75" hidden="1" customHeight="1" x14ac:dyDescent="0.2"/>
    <row r="27078" ht="12.75" hidden="1" customHeight="1" x14ac:dyDescent="0.2"/>
    <row r="27079" ht="12.75" hidden="1" customHeight="1" x14ac:dyDescent="0.2"/>
    <row r="27080" ht="12.75" hidden="1" customHeight="1" x14ac:dyDescent="0.2"/>
    <row r="27081" ht="12.75" hidden="1" customHeight="1" x14ac:dyDescent="0.2"/>
    <row r="27082" ht="12.75" hidden="1" customHeight="1" x14ac:dyDescent="0.2"/>
    <row r="27083" ht="12.75" hidden="1" customHeight="1" x14ac:dyDescent="0.2"/>
    <row r="27084" ht="12.75" hidden="1" customHeight="1" x14ac:dyDescent="0.2"/>
    <row r="27085" ht="12.75" hidden="1" customHeight="1" x14ac:dyDescent="0.2"/>
    <row r="27086" ht="12.75" hidden="1" customHeight="1" x14ac:dyDescent="0.2"/>
    <row r="27087" ht="12.75" hidden="1" customHeight="1" x14ac:dyDescent="0.2"/>
    <row r="27088" ht="12.75" hidden="1" customHeight="1" x14ac:dyDescent="0.2"/>
    <row r="27089" ht="12.75" hidden="1" customHeight="1" x14ac:dyDescent="0.2"/>
    <row r="27090" ht="12.75" hidden="1" customHeight="1" x14ac:dyDescent="0.2"/>
    <row r="27091" ht="12.75" hidden="1" customHeight="1" x14ac:dyDescent="0.2"/>
    <row r="27092" ht="12.75" hidden="1" customHeight="1" x14ac:dyDescent="0.2"/>
    <row r="27093" ht="12.75" hidden="1" customHeight="1" x14ac:dyDescent="0.2"/>
    <row r="27094" ht="12.75" hidden="1" customHeight="1" x14ac:dyDescent="0.2"/>
    <row r="27095" ht="12.75" hidden="1" customHeight="1" x14ac:dyDescent="0.2"/>
    <row r="27096" ht="12.75" hidden="1" customHeight="1" x14ac:dyDescent="0.2"/>
    <row r="27097" ht="12.75" hidden="1" customHeight="1" x14ac:dyDescent="0.2"/>
    <row r="27098" ht="12.75" hidden="1" customHeight="1" x14ac:dyDescent="0.2"/>
    <row r="27099" ht="12.75" hidden="1" customHeight="1" x14ac:dyDescent="0.2"/>
    <row r="27100" ht="12.75" hidden="1" customHeight="1" x14ac:dyDescent="0.2"/>
    <row r="27101" ht="12.75" hidden="1" customHeight="1" x14ac:dyDescent="0.2"/>
    <row r="27102" ht="12.75" hidden="1" customHeight="1" x14ac:dyDescent="0.2"/>
    <row r="27103" ht="12.75" hidden="1" customHeight="1" x14ac:dyDescent="0.2"/>
    <row r="27104" ht="12.75" hidden="1" customHeight="1" x14ac:dyDescent="0.2"/>
    <row r="27105" ht="12.75" hidden="1" customHeight="1" x14ac:dyDescent="0.2"/>
    <row r="27106" ht="12.75" hidden="1" customHeight="1" x14ac:dyDescent="0.2"/>
    <row r="27107" ht="12.75" hidden="1" customHeight="1" x14ac:dyDescent="0.2"/>
    <row r="27108" ht="12.75" hidden="1" customHeight="1" x14ac:dyDescent="0.2"/>
    <row r="27109" ht="12.75" hidden="1" customHeight="1" x14ac:dyDescent="0.2"/>
    <row r="27110" ht="12.75" hidden="1" customHeight="1" x14ac:dyDescent="0.2"/>
    <row r="27111" ht="12.75" hidden="1" customHeight="1" x14ac:dyDescent="0.2"/>
    <row r="27112" ht="12.75" hidden="1" customHeight="1" x14ac:dyDescent="0.2"/>
    <row r="27113" ht="12.75" hidden="1" customHeight="1" x14ac:dyDescent="0.2"/>
    <row r="27114" ht="12.75" hidden="1" customHeight="1" x14ac:dyDescent="0.2"/>
    <row r="27115" ht="12.75" hidden="1" customHeight="1" x14ac:dyDescent="0.2"/>
    <row r="27116" ht="12.75" hidden="1" customHeight="1" x14ac:dyDescent="0.2"/>
    <row r="27117" ht="12.75" hidden="1" customHeight="1" x14ac:dyDescent="0.2"/>
    <row r="27118" ht="12.75" hidden="1" customHeight="1" x14ac:dyDescent="0.2"/>
    <row r="27119" ht="12.75" hidden="1" customHeight="1" x14ac:dyDescent="0.2"/>
    <row r="27120" ht="12.75" hidden="1" customHeight="1" x14ac:dyDescent="0.2"/>
    <row r="27121" ht="12.75" hidden="1" customHeight="1" x14ac:dyDescent="0.2"/>
    <row r="27122" ht="12.75" hidden="1" customHeight="1" x14ac:dyDescent="0.2"/>
    <row r="27123" ht="12.75" hidden="1" customHeight="1" x14ac:dyDescent="0.2"/>
    <row r="27124" ht="12.75" hidden="1" customHeight="1" x14ac:dyDescent="0.2"/>
    <row r="27125" ht="12.75" hidden="1" customHeight="1" x14ac:dyDescent="0.2"/>
    <row r="27126" ht="12.75" hidden="1" customHeight="1" x14ac:dyDescent="0.2"/>
    <row r="27127" ht="12.75" hidden="1" customHeight="1" x14ac:dyDescent="0.2"/>
    <row r="27128" ht="12.75" hidden="1" customHeight="1" x14ac:dyDescent="0.2"/>
    <row r="27129" ht="12.75" hidden="1" customHeight="1" x14ac:dyDescent="0.2"/>
    <row r="27130" ht="12.75" hidden="1" customHeight="1" x14ac:dyDescent="0.2"/>
    <row r="27131" ht="12.75" hidden="1" customHeight="1" x14ac:dyDescent="0.2"/>
    <row r="27132" ht="12.75" hidden="1" customHeight="1" x14ac:dyDescent="0.2"/>
    <row r="27133" ht="12.75" hidden="1" customHeight="1" x14ac:dyDescent="0.2"/>
    <row r="27134" ht="12.75" hidden="1" customHeight="1" x14ac:dyDescent="0.2"/>
    <row r="27135" ht="12.75" hidden="1" customHeight="1" x14ac:dyDescent="0.2"/>
    <row r="27136" ht="12.75" hidden="1" customHeight="1" x14ac:dyDescent="0.2"/>
    <row r="27137" ht="12.75" hidden="1" customHeight="1" x14ac:dyDescent="0.2"/>
    <row r="27138" ht="12.75" hidden="1" customHeight="1" x14ac:dyDescent="0.2"/>
    <row r="27139" ht="12.75" hidden="1" customHeight="1" x14ac:dyDescent="0.2"/>
    <row r="27140" ht="12.75" hidden="1" customHeight="1" x14ac:dyDescent="0.2"/>
    <row r="27141" ht="12.75" hidden="1" customHeight="1" x14ac:dyDescent="0.2"/>
    <row r="27142" ht="12.75" hidden="1" customHeight="1" x14ac:dyDescent="0.2"/>
    <row r="27143" ht="12.75" hidden="1" customHeight="1" x14ac:dyDescent="0.2"/>
    <row r="27144" ht="12.75" hidden="1" customHeight="1" x14ac:dyDescent="0.2"/>
    <row r="27145" ht="12.75" hidden="1" customHeight="1" x14ac:dyDescent="0.2"/>
    <row r="27146" ht="12.75" hidden="1" customHeight="1" x14ac:dyDescent="0.2"/>
    <row r="27147" ht="12.75" hidden="1" customHeight="1" x14ac:dyDescent="0.2"/>
    <row r="27148" ht="12.75" hidden="1" customHeight="1" x14ac:dyDescent="0.2"/>
    <row r="27149" ht="12.75" hidden="1" customHeight="1" x14ac:dyDescent="0.2"/>
    <row r="27150" ht="12.75" hidden="1" customHeight="1" x14ac:dyDescent="0.2"/>
    <row r="27151" ht="12.75" hidden="1" customHeight="1" x14ac:dyDescent="0.2"/>
    <row r="27152" ht="12.75" hidden="1" customHeight="1" x14ac:dyDescent="0.2"/>
    <row r="27153" ht="12.75" hidden="1" customHeight="1" x14ac:dyDescent="0.2"/>
    <row r="27154" ht="12.75" hidden="1" customHeight="1" x14ac:dyDescent="0.2"/>
    <row r="27155" ht="12.75" hidden="1" customHeight="1" x14ac:dyDescent="0.2"/>
    <row r="27156" ht="12.75" hidden="1" customHeight="1" x14ac:dyDescent="0.2"/>
    <row r="27157" ht="12.75" hidden="1" customHeight="1" x14ac:dyDescent="0.2"/>
    <row r="27158" ht="12.75" hidden="1" customHeight="1" x14ac:dyDescent="0.2"/>
    <row r="27159" ht="12.75" hidden="1" customHeight="1" x14ac:dyDescent="0.2"/>
    <row r="27160" ht="12.75" hidden="1" customHeight="1" x14ac:dyDescent="0.2"/>
    <row r="27161" ht="12.75" hidden="1" customHeight="1" x14ac:dyDescent="0.2"/>
    <row r="27162" ht="12.75" hidden="1" customHeight="1" x14ac:dyDescent="0.2"/>
    <row r="27163" ht="12.75" hidden="1" customHeight="1" x14ac:dyDescent="0.2"/>
    <row r="27164" ht="12.75" hidden="1" customHeight="1" x14ac:dyDescent="0.2"/>
    <row r="27165" ht="12.75" hidden="1" customHeight="1" x14ac:dyDescent="0.2"/>
    <row r="27166" ht="12.75" hidden="1" customHeight="1" x14ac:dyDescent="0.2"/>
    <row r="27167" ht="12.75" hidden="1" customHeight="1" x14ac:dyDescent="0.2"/>
    <row r="27168" ht="12.75" hidden="1" customHeight="1" x14ac:dyDescent="0.2"/>
    <row r="27169" ht="12.75" hidden="1" customHeight="1" x14ac:dyDescent="0.2"/>
    <row r="27170" ht="12.75" hidden="1" customHeight="1" x14ac:dyDescent="0.2"/>
    <row r="27171" ht="12.75" hidden="1" customHeight="1" x14ac:dyDescent="0.2"/>
    <row r="27172" ht="12.75" hidden="1" customHeight="1" x14ac:dyDescent="0.2"/>
    <row r="27173" ht="12.75" hidden="1" customHeight="1" x14ac:dyDescent="0.2"/>
    <row r="27174" ht="12.75" hidden="1" customHeight="1" x14ac:dyDescent="0.2"/>
    <row r="27175" ht="12.75" hidden="1" customHeight="1" x14ac:dyDescent="0.2"/>
    <row r="27176" ht="12.75" hidden="1" customHeight="1" x14ac:dyDescent="0.2"/>
    <row r="27177" ht="12.75" hidden="1" customHeight="1" x14ac:dyDescent="0.2"/>
    <row r="27178" ht="12.75" hidden="1" customHeight="1" x14ac:dyDescent="0.2"/>
    <row r="27179" ht="12.75" hidden="1" customHeight="1" x14ac:dyDescent="0.2"/>
    <row r="27180" ht="12.75" hidden="1" customHeight="1" x14ac:dyDescent="0.2"/>
    <row r="27181" ht="12.75" hidden="1" customHeight="1" x14ac:dyDescent="0.2"/>
    <row r="27182" ht="12.75" hidden="1" customHeight="1" x14ac:dyDescent="0.2"/>
    <row r="27183" ht="12.75" hidden="1" customHeight="1" x14ac:dyDescent="0.2"/>
    <row r="27184" ht="12.75" hidden="1" customHeight="1" x14ac:dyDescent="0.2"/>
    <row r="27185" ht="12.75" hidden="1" customHeight="1" x14ac:dyDescent="0.2"/>
    <row r="27186" ht="12.75" hidden="1" customHeight="1" x14ac:dyDescent="0.2"/>
    <row r="27187" ht="12.75" hidden="1" customHeight="1" x14ac:dyDescent="0.2"/>
    <row r="27188" ht="12.75" hidden="1" customHeight="1" x14ac:dyDescent="0.2"/>
    <row r="27189" ht="12.75" hidden="1" customHeight="1" x14ac:dyDescent="0.2"/>
    <row r="27190" ht="12.75" hidden="1" customHeight="1" x14ac:dyDescent="0.2"/>
    <row r="27191" ht="12.75" hidden="1" customHeight="1" x14ac:dyDescent="0.2"/>
    <row r="27192" ht="12.75" hidden="1" customHeight="1" x14ac:dyDescent="0.2"/>
    <row r="27193" ht="12.75" hidden="1" customHeight="1" x14ac:dyDescent="0.2"/>
    <row r="27194" ht="12.75" hidden="1" customHeight="1" x14ac:dyDescent="0.2"/>
    <row r="27195" ht="12.75" hidden="1" customHeight="1" x14ac:dyDescent="0.2"/>
    <row r="27196" ht="12.75" hidden="1" customHeight="1" x14ac:dyDescent="0.2"/>
    <row r="27197" ht="12.75" hidden="1" customHeight="1" x14ac:dyDescent="0.2"/>
    <row r="27198" ht="12.75" hidden="1" customHeight="1" x14ac:dyDescent="0.2"/>
    <row r="27199" ht="12.75" hidden="1" customHeight="1" x14ac:dyDescent="0.2"/>
    <row r="27200" ht="12.75" hidden="1" customHeight="1" x14ac:dyDescent="0.2"/>
    <row r="27201" ht="12.75" hidden="1" customHeight="1" x14ac:dyDescent="0.2"/>
    <row r="27202" ht="12.75" hidden="1" customHeight="1" x14ac:dyDescent="0.2"/>
    <row r="27203" ht="12.75" hidden="1" customHeight="1" x14ac:dyDescent="0.2"/>
    <row r="27204" ht="12.75" hidden="1" customHeight="1" x14ac:dyDescent="0.2"/>
    <row r="27205" ht="12.75" hidden="1" customHeight="1" x14ac:dyDescent="0.2"/>
    <row r="27206" ht="12.75" hidden="1" customHeight="1" x14ac:dyDescent="0.2"/>
    <row r="27207" ht="12.75" hidden="1" customHeight="1" x14ac:dyDescent="0.2"/>
    <row r="27208" ht="12.75" hidden="1" customHeight="1" x14ac:dyDescent="0.2"/>
    <row r="27209" ht="12.75" hidden="1" customHeight="1" x14ac:dyDescent="0.2"/>
    <row r="27210" ht="12.75" hidden="1" customHeight="1" x14ac:dyDescent="0.2"/>
    <row r="27211" ht="12.75" hidden="1" customHeight="1" x14ac:dyDescent="0.2"/>
    <row r="27212" ht="12.75" hidden="1" customHeight="1" x14ac:dyDescent="0.2"/>
    <row r="27213" ht="12.75" hidden="1" customHeight="1" x14ac:dyDescent="0.2"/>
    <row r="27214" ht="12.75" hidden="1" customHeight="1" x14ac:dyDescent="0.2"/>
    <row r="27215" ht="12.75" hidden="1" customHeight="1" x14ac:dyDescent="0.2"/>
    <row r="27216" ht="12.75" hidden="1" customHeight="1" x14ac:dyDescent="0.2"/>
    <row r="27217" ht="12.75" hidden="1" customHeight="1" x14ac:dyDescent="0.2"/>
    <row r="27218" ht="12.75" hidden="1" customHeight="1" x14ac:dyDescent="0.2"/>
    <row r="27219" ht="12.75" hidden="1" customHeight="1" x14ac:dyDescent="0.2"/>
    <row r="27220" ht="12.75" hidden="1" customHeight="1" x14ac:dyDescent="0.2"/>
    <row r="27221" ht="12.75" hidden="1" customHeight="1" x14ac:dyDescent="0.2"/>
    <row r="27222" ht="12.75" hidden="1" customHeight="1" x14ac:dyDescent="0.2"/>
    <row r="27223" ht="12.75" hidden="1" customHeight="1" x14ac:dyDescent="0.2"/>
    <row r="27224" ht="12.75" hidden="1" customHeight="1" x14ac:dyDescent="0.2"/>
    <row r="27225" ht="12.75" hidden="1" customHeight="1" x14ac:dyDescent="0.2"/>
    <row r="27226" ht="12.75" hidden="1" customHeight="1" x14ac:dyDescent="0.2"/>
    <row r="27227" ht="12.75" hidden="1" customHeight="1" x14ac:dyDescent="0.2"/>
    <row r="27228" ht="12.75" hidden="1" customHeight="1" x14ac:dyDescent="0.2"/>
    <row r="27229" ht="12.75" hidden="1" customHeight="1" x14ac:dyDescent="0.2"/>
    <row r="27230" ht="12.75" hidden="1" customHeight="1" x14ac:dyDescent="0.2"/>
    <row r="27231" ht="12.75" hidden="1" customHeight="1" x14ac:dyDescent="0.2"/>
    <row r="27232" ht="12.75" hidden="1" customHeight="1" x14ac:dyDescent="0.2"/>
    <row r="27233" ht="12.75" hidden="1" customHeight="1" x14ac:dyDescent="0.2"/>
    <row r="27234" ht="12.75" hidden="1" customHeight="1" x14ac:dyDescent="0.2"/>
    <row r="27235" ht="12.75" hidden="1" customHeight="1" x14ac:dyDescent="0.2"/>
    <row r="27236" ht="12.75" hidden="1" customHeight="1" x14ac:dyDescent="0.2"/>
    <row r="27237" ht="12.75" hidden="1" customHeight="1" x14ac:dyDescent="0.2"/>
    <row r="27238" ht="12.75" hidden="1" customHeight="1" x14ac:dyDescent="0.2"/>
    <row r="27239" ht="12.75" hidden="1" customHeight="1" x14ac:dyDescent="0.2"/>
    <row r="27240" ht="12.75" hidden="1" customHeight="1" x14ac:dyDescent="0.2"/>
    <row r="27241" ht="12.75" hidden="1" customHeight="1" x14ac:dyDescent="0.2"/>
    <row r="27242" ht="12.75" hidden="1" customHeight="1" x14ac:dyDescent="0.2"/>
    <row r="27243" ht="12.75" hidden="1" customHeight="1" x14ac:dyDescent="0.2"/>
    <row r="27244" ht="12.75" hidden="1" customHeight="1" x14ac:dyDescent="0.2"/>
    <row r="27245" ht="12.75" hidden="1" customHeight="1" x14ac:dyDescent="0.2"/>
    <row r="27246" ht="12.75" hidden="1" customHeight="1" x14ac:dyDescent="0.2"/>
    <row r="27247" ht="12.75" hidden="1" customHeight="1" x14ac:dyDescent="0.2"/>
    <row r="27248" ht="12.75" hidden="1" customHeight="1" x14ac:dyDescent="0.2"/>
    <row r="27249" ht="12.75" hidden="1" customHeight="1" x14ac:dyDescent="0.2"/>
    <row r="27250" ht="12.75" hidden="1" customHeight="1" x14ac:dyDescent="0.2"/>
    <row r="27251" ht="12.75" hidden="1" customHeight="1" x14ac:dyDescent="0.2"/>
    <row r="27252" ht="12.75" hidden="1" customHeight="1" x14ac:dyDescent="0.2"/>
    <row r="27253" ht="12.75" hidden="1" customHeight="1" x14ac:dyDescent="0.2"/>
    <row r="27254" ht="12.75" hidden="1" customHeight="1" x14ac:dyDescent="0.2"/>
    <row r="27255" ht="12.75" hidden="1" customHeight="1" x14ac:dyDescent="0.2"/>
    <row r="27256" ht="12.75" hidden="1" customHeight="1" x14ac:dyDescent="0.2"/>
    <row r="27257" ht="12.75" hidden="1" customHeight="1" x14ac:dyDescent="0.2"/>
    <row r="27258" ht="12.75" hidden="1" customHeight="1" x14ac:dyDescent="0.2"/>
    <row r="27259" ht="12.75" hidden="1" customHeight="1" x14ac:dyDescent="0.2"/>
    <row r="27260" ht="12.75" hidden="1" customHeight="1" x14ac:dyDescent="0.2"/>
    <row r="27261" ht="12.75" hidden="1" customHeight="1" x14ac:dyDescent="0.2"/>
    <row r="27262" ht="12.75" hidden="1" customHeight="1" x14ac:dyDescent="0.2"/>
    <row r="27263" ht="12.75" hidden="1" customHeight="1" x14ac:dyDescent="0.2"/>
    <row r="27264" ht="12.75" hidden="1" customHeight="1" x14ac:dyDescent="0.2"/>
    <row r="27265" ht="12.75" hidden="1" customHeight="1" x14ac:dyDescent="0.2"/>
    <row r="27266" ht="12.75" hidden="1" customHeight="1" x14ac:dyDescent="0.2"/>
    <row r="27267" ht="12.75" hidden="1" customHeight="1" x14ac:dyDescent="0.2"/>
    <row r="27268" ht="12.75" hidden="1" customHeight="1" x14ac:dyDescent="0.2"/>
    <row r="27269" ht="12.75" hidden="1" customHeight="1" x14ac:dyDescent="0.2"/>
    <row r="27270" ht="12.75" hidden="1" customHeight="1" x14ac:dyDescent="0.2"/>
    <row r="27271" ht="12.75" hidden="1" customHeight="1" x14ac:dyDescent="0.2"/>
    <row r="27272" ht="12.75" hidden="1" customHeight="1" x14ac:dyDescent="0.2"/>
    <row r="27273" ht="12.75" hidden="1" customHeight="1" x14ac:dyDescent="0.2"/>
    <row r="27274" ht="12.75" hidden="1" customHeight="1" x14ac:dyDescent="0.2"/>
    <row r="27275" ht="12.75" hidden="1" customHeight="1" x14ac:dyDescent="0.2"/>
    <row r="27276" ht="12.75" hidden="1" customHeight="1" x14ac:dyDescent="0.2"/>
    <row r="27277" ht="12.75" hidden="1" customHeight="1" x14ac:dyDescent="0.2"/>
    <row r="27278" ht="12.75" hidden="1" customHeight="1" x14ac:dyDescent="0.2"/>
    <row r="27279" ht="12.75" hidden="1" customHeight="1" x14ac:dyDescent="0.2"/>
    <row r="27280" ht="12.75" hidden="1" customHeight="1" x14ac:dyDescent="0.2"/>
    <row r="27281" ht="12.75" hidden="1" customHeight="1" x14ac:dyDescent="0.2"/>
    <row r="27282" ht="12.75" hidden="1" customHeight="1" x14ac:dyDescent="0.2"/>
    <row r="27283" ht="12.75" hidden="1" customHeight="1" x14ac:dyDescent="0.2"/>
    <row r="27284" ht="12.75" hidden="1" customHeight="1" x14ac:dyDescent="0.2"/>
    <row r="27285" ht="12.75" hidden="1" customHeight="1" x14ac:dyDescent="0.2"/>
    <row r="27286" ht="12.75" hidden="1" customHeight="1" x14ac:dyDescent="0.2"/>
    <row r="27287" ht="12.75" hidden="1" customHeight="1" x14ac:dyDescent="0.2"/>
    <row r="27288" ht="12.75" hidden="1" customHeight="1" x14ac:dyDescent="0.2"/>
    <row r="27289" ht="12.75" hidden="1" customHeight="1" x14ac:dyDescent="0.2"/>
    <row r="27290" ht="12.75" hidden="1" customHeight="1" x14ac:dyDescent="0.2"/>
    <row r="27291" ht="12.75" hidden="1" customHeight="1" x14ac:dyDescent="0.2"/>
    <row r="27292" ht="12.75" hidden="1" customHeight="1" x14ac:dyDescent="0.2"/>
    <row r="27293" ht="12.75" hidden="1" customHeight="1" x14ac:dyDescent="0.2"/>
    <row r="27294" ht="12.75" hidden="1" customHeight="1" x14ac:dyDescent="0.2"/>
    <row r="27295" ht="12.75" hidden="1" customHeight="1" x14ac:dyDescent="0.2"/>
    <row r="27296" ht="12.75" hidden="1" customHeight="1" x14ac:dyDescent="0.2"/>
    <row r="27297" ht="12.75" hidden="1" customHeight="1" x14ac:dyDescent="0.2"/>
    <row r="27298" ht="12.75" hidden="1" customHeight="1" x14ac:dyDescent="0.2"/>
    <row r="27299" ht="12.75" hidden="1" customHeight="1" x14ac:dyDescent="0.2"/>
    <row r="27300" ht="12.75" hidden="1" customHeight="1" x14ac:dyDescent="0.2"/>
    <row r="27301" ht="12.75" hidden="1" customHeight="1" x14ac:dyDescent="0.2"/>
    <row r="27302" ht="12.75" hidden="1" customHeight="1" x14ac:dyDescent="0.2"/>
    <row r="27303" ht="12.75" hidden="1" customHeight="1" x14ac:dyDescent="0.2"/>
    <row r="27304" ht="12.75" hidden="1" customHeight="1" x14ac:dyDescent="0.2"/>
    <row r="27305" ht="12.75" hidden="1" customHeight="1" x14ac:dyDescent="0.2"/>
    <row r="27306" ht="12.75" hidden="1" customHeight="1" x14ac:dyDescent="0.2"/>
    <row r="27307" ht="12.75" hidden="1" customHeight="1" x14ac:dyDescent="0.2"/>
    <row r="27308" ht="12.75" hidden="1" customHeight="1" x14ac:dyDescent="0.2"/>
    <row r="27309" ht="12.75" hidden="1" customHeight="1" x14ac:dyDescent="0.2"/>
    <row r="27310" ht="12.75" hidden="1" customHeight="1" x14ac:dyDescent="0.2"/>
    <row r="27311" ht="12.75" hidden="1" customHeight="1" x14ac:dyDescent="0.2"/>
    <row r="27312" ht="12.75" hidden="1" customHeight="1" x14ac:dyDescent="0.2"/>
    <row r="27313" ht="12.75" hidden="1" customHeight="1" x14ac:dyDescent="0.2"/>
    <row r="27314" ht="12.75" hidden="1" customHeight="1" x14ac:dyDescent="0.2"/>
    <row r="27315" ht="12.75" hidden="1" customHeight="1" x14ac:dyDescent="0.2"/>
    <row r="27316" ht="12.75" hidden="1" customHeight="1" x14ac:dyDescent="0.2"/>
    <row r="27317" ht="12.75" hidden="1" customHeight="1" x14ac:dyDescent="0.2"/>
    <row r="27318" ht="12.75" hidden="1" customHeight="1" x14ac:dyDescent="0.2"/>
    <row r="27319" ht="12.75" hidden="1" customHeight="1" x14ac:dyDescent="0.2"/>
    <row r="27320" ht="12.75" hidden="1" customHeight="1" x14ac:dyDescent="0.2"/>
    <row r="27321" ht="12.75" hidden="1" customHeight="1" x14ac:dyDescent="0.2"/>
    <row r="27322" ht="12.75" hidden="1" customHeight="1" x14ac:dyDescent="0.2"/>
    <row r="27323" ht="12.75" hidden="1" customHeight="1" x14ac:dyDescent="0.2"/>
    <row r="27324" ht="12.75" hidden="1" customHeight="1" x14ac:dyDescent="0.2"/>
    <row r="27325" ht="12.75" hidden="1" customHeight="1" x14ac:dyDescent="0.2"/>
    <row r="27326" ht="12.75" hidden="1" customHeight="1" x14ac:dyDescent="0.2"/>
    <row r="27327" ht="12.75" hidden="1" customHeight="1" x14ac:dyDescent="0.2"/>
    <row r="27328" ht="12.75" hidden="1" customHeight="1" x14ac:dyDescent="0.2"/>
    <row r="27329" ht="12.75" hidden="1" customHeight="1" x14ac:dyDescent="0.2"/>
    <row r="27330" ht="12.75" hidden="1" customHeight="1" x14ac:dyDescent="0.2"/>
    <row r="27331" ht="12.75" hidden="1" customHeight="1" x14ac:dyDescent="0.2"/>
    <row r="27332" ht="12.75" hidden="1" customHeight="1" x14ac:dyDescent="0.2"/>
    <row r="27333" ht="12.75" hidden="1" customHeight="1" x14ac:dyDescent="0.2"/>
    <row r="27334" ht="12.75" hidden="1" customHeight="1" x14ac:dyDescent="0.2"/>
    <row r="27335" ht="12.75" hidden="1" customHeight="1" x14ac:dyDescent="0.2"/>
    <row r="27336" ht="12.75" hidden="1" customHeight="1" x14ac:dyDescent="0.2"/>
    <row r="27337" ht="12.75" hidden="1" customHeight="1" x14ac:dyDescent="0.2"/>
    <row r="27338" ht="12.75" hidden="1" customHeight="1" x14ac:dyDescent="0.2"/>
    <row r="27339" ht="12.75" hidden="1" customHeight="1" x14ac:dyDescent="0.2"/>
    <row r="27340" ht="12.75" hidden="1" customHeight="1" x14ac:dyDescent="0.2"/>
    <row r="27341" ht="12.75" hidden="1" customHeight="1" x14ac:dyDescent="0.2"/>
    <row r="27342" ht="12.75" hidden="1" customHeight="1" x14ac:dyDescent="0.2"/>
    <row r="27343" ht="12.75" hidden="1" customHeight="1" x14ac:dyDescent="0.2"/>
    <row r="27344" ht="12.75" hidden="1" customHeight="1" x14ac:dyDescent="0.2"/>
    <row r="27345" ht="12.75" hidden="1" customHeight="1" x14ac:dyDescent="0.2"/>
    <row r="27346" ht="12.75" hidden="1" customHeight="1" x14ac:dyDescent="0.2"/>
    <row r="27347" ht="12.75" hidden="1" customHeight="1" x14ac:dyDescent="0.2"/>
    <row r="27348" ht="12.75" hidden="1" customHeight="1" x14ac:dyDescent="0.2"/>
    <row r="27349" ht="12.75" hidden="1" customHeight="1" x14ac:dyDescent="0.2"/>
    <row r="27350" ht="12.75" hidden="1" customHeight="1" x14ac:dyDescent="0.2"/>
    <row r="27351" ht="12.75" hidden="1" customHeight="1" x14ac:dyDescent="0.2"/>
    <row r="27352" ht="12.75" hidden="1" customHeight="1" x14ac:dyDescent="0.2"/>
    <row r="27353" ht="12.75" hidden="1" customHeight="1" x14ac:dyDescent="0.2"/>
    <row r="27354" ht="12.75" hidden="1" customHeight="1" x14ac:dyDescent="0.2"/>
    <row r="27355" ht="12.75" hidden="1" customHeight="1" x14ac:dyDescent="0.2"/>
    <row r="27356" ht="12.75" hidden="1" customHeight="1" x14ac:dyDescent="0.2"/>
    <row r="27357" ht="12.75" hidden="1" customHeight="1" x14ac:dyDescent="0.2"/>
    <row r="27358" ht="12.75" hidden="1" customHeight="1" x14ac:dyDescent="0.2"/>
    <row r="27359" ht="12.75" hidden="1" customHeight="1" x14ac:dyDescent="0.2"/>
    <row r="27360" ht="12.75" hidden="1" customHeight="1" x14ac:dyDescent="0.2"/>
    <row r="27361" ht="12.75" hidden="1" customHeight="1" x14ac:dyDescent="0.2"/>
    <row r="27362" ht="12.75" hidden="1" customHeight="1" x14ac:dyDescent="0.2"/>
    <row r="27363" ht="12.75" hidden="1" customHeight="1" x14ac:dyDescent="0.2"/>
    <row r="27364" ht="12.75" hidden="1" customHeight="1" x14ac:dyDescent="0.2"/>
    <row r="27365" ht="12.75" hidden="1" customHeight="1" x14ac:dyDescent="0.2"/>
    <row r="27366" ht="12.75" hidden="1" customHeight="1" x14ac:dyDescent="0.2"/>
    <row r="27367" ht="12.75" hidden="1" customHeight="1" x14ac:dyDescent="0.2"/>
    <row r="27368" ht="12.75" hidden="1" customHeight="1" x14ac:dyDescent="0.2"/>
    <row r="27369" ht="12.75" hidden="1" customHeight="1" x14ac:dyDescent="0.2"/>
    <row r="27370" ht="12.75" hidden="1" customHeight="1" x14ac:dyDescent="0.2"/>
    <row r="27371" ht="12.75" hidden="1" customHeight="1" x14ac:dyDescent="0.2"/>
    <row r="27372" ht="12.75" hidden="1" customHeight="1" x14ac:dyDescent="0.2"/>
    <row r="27373" ht="12.75" hidden="1" customHeight="1" x14ac:dyDescent="0.2"/>
    <row r="27374" ht="12.75" hidden="1" customHeight="1" x14ac:dyDescent="0.2"/>
    <row r="27375" ht="12.75" hidden="1" customHeight="1" x14ac:dyDescent="0.2"/>
    <row r="27376" ht="12.75" hidden="1" customHeight="1" x14ac:dyDescent="0.2"/>
    <row r="27377" ht="12.75" hidden="1" customHeight="1" x14ac:dyDescent="0.2"/>
    <row r="27378" ht="12.75" hidden="1" customHeight="1" x14ac:dyDescent="0.2"/>
    <row r="27379" ht="12.75" hidden="1" customHeight="1" x14ac:dyDescent="0.2"/>
    <row r="27380" ht="12.75" hidden="1" customHeight="1" x14ac:dyDescent="0.2"/>
    <row r="27381" ht="12.75" hidden="1" customHeight="1" x14ac:dyDescent="0.2"/>
    <row r="27382" ht="12.75" hidden="1" customHeight="1" x14ac:dyDescent="0.2"/>
    <row r="27383" ht="12.75" hidden="1" customHeight="1" x14ac:dyDescent="0.2"/>
    <row r="27384" ht="12.75" hidden="1" customHeight="1" x14ac:dyDescent="0.2"/>
    <row r="27385" ht="12.75" hidden="1" customHeight="1" x14ac:dyDescent="0.2"/>
    <row r="27386" ht="12.75" hidden="1" customHeight="1" x14ac:dyDescent="0.2"/>
    <row r="27387" ht="12.75" hidden="1" customHeight="1" x14ac:dyDescent="0.2"/>
    <row r="27388" ht="12.75" hidden="1" customHeight="1" x14ac:dyDescent="0.2"/>
    <row r="27389" ht="12.75" hidden="1" customHeight="1" x14ac:dyDescent="0.2"/>
    <row r="27390" ht="12.75" hidden="1" customHeight="1" x14ac:dyDescent="0.2"/>
    <row r="27391" ht="12.75" hidden="1" customHeight="1" x14ac:dyDescent="0.2"/>
    <row r="27392" ht="12.75" hidden="1" customHeight="1" x14ac:dyDescent="0.2"/>
    <row r="27393" ht="12.75" hidden="1" customHeight="1" x14ac:dyDescent="0.2"/>
    <row r="27394" ht="12.75" hidden="1" customHeight="1" x14ac:dyDescent="0.2"/>
    <row r="27395" ht="12.75" hidden="1" customHeight="1" x14ac:dyDescent="0.2"/>
    <row r="27396" ht="12.75" hidden="1" customHeight="1" x14ac:dyDescent="0.2"/>
    <row r="27397" ht="12.75" hidden="1" customHeight="1" x14ac:dyDescent="0.2"/>
    <row r="27398" ht="12.75" hidden="1" customHeight="1" x14ac:dyDescent="0.2"/>
    <row r="27399" ht="12.75" hidden="1" customHeight="1" x14ac:dyDescent="0.2"/>
    <row r="27400" ht="12.75" hidden="1" customHeight="1" x14ac:dyDescent="0.2"/>
    <row r="27401" ht="12.75" hidden="1" customHeight="1" x14ac:dyDescent="0.2"/>
    <row r="27402" ht="12.75" hidden="1" customHeight="1" x14ac:dyDescent="0.2"/>
    <row r="27403" ht="12.75" hidden="1" customHeight="1" x14ac:dyDescent="0.2"/>
    <row r="27404" ht="12.75" hidden="1" customHeight="1" x14ac:dyDescent="0.2"/>
    <row r="27405" ht="12.75" hidden="1" customHeight="1" x14ac:dyDescent="0.2"/>
    <row r="27406" ht="12.75" hidden="1" customHeight="1" x14ac:dyDescent="0.2"/>
    <row r="27407" ht="12.75" hidden="1" customHeight="1" x14ac:dyDescent="0.2"/>
    <row r="27408" ht="12.75" hidden="1" customHeight="1" x14ac:dyDescent="0.2"/>
    <row r="27409" ht="12.75" hidden="1" customHeight="1" x14ac:dyDescent="0.2"/>
    <row r="27410" ht="12.75" hidden="1" customHeight="1" x14ac:dyDescent="0.2"/>
    <row r="27411" ht="12.75" hidden="1" customHeight="1" x14ac:dyDescent="0.2"/>
    <row r="27412" ht="12.75" hidden="1" customHeight="1" x14ac:dyDescent="0.2"/>
    <row r="27413" ht="12.75" hidden="1" customHeight="1" x14ac:dyDescent="0.2"/>
    <row r="27414" ht="12.75" hidden="1" customHeight="1" x14ac:dyDescent="0.2"/>
    <row r="27415" ht="12.75" hidden="1" customHeight="1" x14ac:dyDescent="0.2"/>
    <row r="27416" ht="12.75" hidden="1" customHeight="1" x14ac:dyDescent="0.2"/>
    <row r="27417" ht="12.75" hidden="1" customHeight="1" x14ac:dyDescent="0.2"/>
    <row r="27418" ht="12.75" hidden="1" customHeight="1" x14ac:dyDescent="0.2"/>
    <row r="27419" ht="12.75" hidden="1" customHeight="1" x14ac:dyDescent="0.2"/>
    <row r="27420" ht="12.75" hidden="1" customHeight="1" x14ac:dyDescent="0.2"/>
    <row r="27421" ht="12.75" hidden="1" customHeight="1" x14ac:dyDescent="0.2"/>
    <row r="27422" ht="12.75" hidden="1" customHeight="1" x14ac:dyDescent="0.2"/>
    <row r="27423" ht="12.75" hidden="1" customHeight="1" x14ac:dyDescent="0.2"/>
    <row r="27424" ht="12.75" hidden="1" customHeight="1" x14ac:dyDescent="0.2"/>
    <row r="27425" ht="12.75" hidden="1" customHeight="1" x14ac:dyDescent="0.2"/>
    <row r="27426" ht="12.75" hidden="1" customHeight="1" x14ac:dyDescent="0.2"/>
    <row r="27427" ht="12.75" hidden="1" customHeight="1" x14ac:dyDescent="0.2"/>
    <row r="27428" ht="12.75" hidden="1" customHeight="1" x14ac:dyDescent="0.2"/>
    <row r="27429" ht="12.75" hidden="1" customHeight="1" x14ac:dyDescent="0.2"/>
    <row r="27430" ht="12.75" hidden="1" customHeight="1" x14ac:dyDescent="0.2"/>
    <row r="27431" ht="12.75" hidden="1" customHeight="1" x14ac:dyDescent="0.2"/>
    <row r="27432" ht="12.75" hidden="1" customHeight="1" x14ac:dyDescent="0.2"/>
    <row r="27433" ht="12.75" hidden="1" customHeight="1" x14ac:dyDescent="0.2"/>
    <row r="27434" ht="12.75" hidden="1" customHeight="1" x14ac:dyDescent="0.2"/>
    <row r="27435" ht="12.75" hidden="1" customHeight="1" x14ac:dyDescent="0.2"/>
    <row r="27436" ht="12.75" hidden="1" customHeight="1" x14ac:dyDescent="0.2"/>
    <row r="27437" ht="12.75" hidden="1" customHeight="1" x14ac:dyDescent="0.2"/>
    <row r="27438" ht="12.75" hidden="1" customHeight="1" x14ac:dyDescent="0.2"/>
    <row r="27439" ht="12.75" hidden="1" customHeight="1" x14ac:dyDescent="0.2"/>
    <row r="27440" ht="12.75" hidden="1" customHeight="1" x14ac:dyDescent="0.2"/>
    <row r="27441" ht="12.75" hidden="1" customHeight="1" x14ac:dyDescent="0.2"/>
    <row r="27442" ht="12.75" hidden="1" customHeight="1" x14ac:dyDescent="0.2"/>
    <row r="27443" ht="12.75" hidden="1" customHeight="1" x14ac:dyDescent="0.2"/>
    <row r="27444" ht="12.75" hidden="1" customHeight="1" x14ac:dyDescent="0.2"/>
    <row r="27445" ht="12.75" hidden="1" customHeight="1" x14ac:dyDescent="0.2"/>
    <row r="27446" ht="12.75" hidden="1" customHeight="1" x14ac:dyDescent="0.2"/>
    <row r="27447" ht="12.75" hidden="1" customHeight="1" x14ac:dyDescent="0.2"/>
    <row r="27448" ht="12.75" hidden="1" customHeight="1" x14ac:dyDescent="0.2"/>
    <row r="27449" ht="12.75" hidden="1" customHeight="1" x14ac:dyDescent="0.2"/>
    <row r="27450" ht="12.75" hidden="1" customHeight="1" x14ac:dyDescent="0.2"/>
    <row r="27451" ht="12.75" hidden="1" customHeight="1" x14ac:dyDescent="0.2"/>
    <row r="27452" ht="12.75" hidden="1" customHeight="1" x14ac:dyDescent="0.2"/>
    <row r="27453" ht="12.75" hidden="1" customHeight="1" x14ac:dyDescent="0.2"/>
    <row r="27454" ht="12.75" hidden="1" customHeight="1" x14ac:dyDescent="0.2"/>
    <row r="27455" ht="12.75" hidden="1" customHeight="1" x14ac:dyDescent="0.2"/>
    <row r="27456" ht="12.75" hidden="1" customHeight="1" x14ac:dyDescent="0.2"/>
    <row r="27457" ht="12.75" hidden="1" customHeight="1" x14ac:dyDescent="0.2"/>
    <row r="27458" ht="12.75" hidden="1" customHeight="1" x14ac:dyDescent="0.2"/>
    <row r="27459" ht="12.75" hidden="1" customHeight="1" x14ac:dyDescent="0.2"/>
    <row r="27460" ht="12.75" hidden="1" customHeight="1" x14ac:dyDescent="0.2"/>
    <row r="27461" ht="12.75" hidden="1" customHeight="1" x14ac:dyDescent="0.2"/>
    <row r="27462" ht="12.75" hidden="1" customHeight="1" x14ac:dyDescent="0.2"/>
    <row r="27463" ht="12.75" hidden="1" customHeight="1" x14ac:dyDescent="0.2"/>
    <row r="27464" ht="12.75" hidden="1" customHeight="1" x14ac:dyDescent="0.2"/>
    <row r="27465" ht="12.75" hidden="1" customHeight="1" x14ac:dyDescent="0.2"/>
    <row r="27466" ht="12.75" hidden="1" customHeight="1" x14ac:dyDescent="0.2"/>
    <row r="27467" ht="12.75" hidden="1" customHeight="1" x14ac:dyDescent="0.2"/>
    <row r="27468" ht="12.75" hidden="1" customHeight="1" x14ac:dyDescent="0.2"/>
    <row r="27469" ht="12.75" hidden="1" customHeight="1" x14ac:dyDescent="0.2"/>
    <row r="27470" ht="12.75" hidden="1" customHeight="1" x14ac:dyDescent="0.2"/>
    <row r="27471" ht="12.75" hidden="1" customHeight="1" x14ac:dyDescent="0.2"/>
    <row r="27472" ht="12.75" hidden="1" customHeight="1" x14ac:dyDescent="0.2"/>
    <row r="27473" ht="12.75" hidden="1" customHeight="1" x14ac:dyDescent="0.2"/>
    <row r="27474" ht="12.75" hidden="1" customHeight="1" x14ac:dyDescent="0.2"/>
    <row r="27475" ht="12.75" hidden="1" customHeight="1" x14ac:dyDescent="0.2"/>
    <row r="27476" ht="12.75" hidden="1" customHeight="1" x14ac:dyDescent="0.2"/>
    <row r="27477" ht="12.75" hidden="1" customHeight="1" x14ac:dyDescent="0.2"/>
    <row r="27478" ht="12.75" hidden="1" customHeight="1" x14ac:dyDescent="0.2"/>
    <row r="27479" ht="12.75" hidden="1" customHeight="1" x14ac:dyDescent="0.2"/>
    <row r="27480" ht="12.75" hidden="1" customHeight="1" x14ac:dyDescent="0.2"/>
    <row r="27481" ht="12.75" hidden="1" customHeight="1" x14ac:dyDescent="0.2"/>
    <row r="27482" ht="12.75" hidden="1" customHeight="1" x14ac:dyDescent="0.2"/>
    <row r="27483" ht="12.75" hidden="1" customHeight="1" x14ac:dyDescent="0.2"/>
    <row r="27484" ht="12.75" hidden="1" customHeight="1" x14ac:dyDescent="0.2"/>
    <row r="27485" ht="12.75" hidden="1" customHeight="1" x14ac:dyDescent="0.2"/>
    <row r="27486" ht="12.75" hidden="1" customHeight="1" x14ac:dyDescent="0.2"/>
    <row r="27487" ht="12.75" hidden="1" customHeight="1" x14ac:dyDescent="0.2"/>
    <row r="27488" ht="12.75" hidden="1" customHeight="1" x14ac:dyDescent="0.2"/>
    <row r="27489" ht="12.75" hidden="1" customHeight="1" x14ac:dyDescent="0.2"/>
    <row r="27490" ht="12.75" hidden="1" customHeight="1" x14ac:dyDescent="0.2"/>
    <row r="27491" ht="12.75" hidden="1" customHeight="1" x14ac:dyDescent="0.2"/>
    <row r="27492" ht="12.75" hidden="1" customHeight="1" x14ac:dyDescent="0.2"/>
    <row r="27493" ht="12.75" hidden="1" customHeight="1" x14ac:dyDescent="0.2"/>
    <row r="27494" ht="12.75" hidden="1" customHeight="1" x14ac:dyDescent="0.2"/>
    <row r="27495" ht="12.75" hidden="1" customHeight="1" x14ac:dyDescent="0.2"/>
    <row r="27496" ht="12.75" hidden="1" customHeight="1" x14ac:dyDescent="0.2"/>
    <row r="27497" ht="12.75" hidden="1" customHeight="1" x14ac:dyDescent="0.2"/>
    <row r="27498" ht="12.75" hidden="1" customHeight="1" x14ac:dyDescent="0.2"/>
    <row r="27499" ht="12.75" hidden="1" customHeight="1" x14ac:dyDescent="0.2"/>
    <row r="27500" ht="12.75" hidden="1" customHeight="1" x14ac:dyDescent="0.2"/>
    <row r="27501" ht="12.75" hidden="1" customHeight="1" x14ac:dyDescent="0.2"/>
    <row r="27502" ht="12.75" hidden="1" customHeight="1" x14ac:dyDescent="0.2"/>
    <row r="27503" ht="12.75" hidden="1" customHeight="1" x14ac:dyDescent="0.2"/>
    <row r="27504" ht="12.75" hidden="1" customHeight="1" x14ac:dyDescent="0.2"/>
    <row r="27505" ht="12.75" hidden="1" customHeight="1" x14ac:dyDescent="0.2"/>
    <row r="27506" ht="12.75" hidden="1" customHeight="1" x14ac:dyDescent="0.2"/>
    <row r="27507" ht="12.75" hidden="1" customHeight="1" x14ac:dyDescent="0.2"/>
    <row r="27508" ht="12.75" hidden="1" customHeight="1" x14ac:dyDescent="0.2"/>
    <row r="27509" ht="12.75" hidden="1" customHeight="1" x14ac:dyDescent="0.2"/>
    <row r="27510" ht="12.75" hidden="1" customHeight="1" x14ac:dyDescent="0.2"/>
    <row r="27511" ht="12.75" hidden="1" customHeight="1" x14ac:dyDescent="0.2"/>
    <row r="27512" ht="12.75" hidden="1" customHeight="1" x14ac:dyDescent="0.2"/>
    <row r="27513" ht="12.75" hidden="1" customHeight="1" x14ac:dyDescent="0.2"/>
    <row r="27514" ht="12.75" hidden="1" customHeight="1" x14ac:dyDescent="0.2"/>
    <row r="27515" ht="12.75" hidden="1" customHeight="1" x14ac:dyDescent="0.2"/>
    <row r="27516" ht="12.75" hidden="1" customHeight="1" x14ac:dyDescent="0.2"/>
    <row r="27517" ht="12.75" hidden="1" customHeight="1" x14ac:dyDescent="0.2"/>
    <row r="27518" ht="12.75" hidden="1" customHeight="1" x14ac:dyDescent="0.2"/>
    <row r="27519" ht="12.75" hidden="1" customHeight="1" x14ac:dyDescent="0.2"/>
    <row r="27520" ht="12.75" hidden="1" customHeight="1" x14ac:dyDescent="0.2"/>
    <row r="27521" ht="12.75" hidden="1" customHeight="1" x14ac:dyDescent="0.2"/>
    <row r="27522" ht="12.75" hidden="1" customHeight="1" x14ac:dyDescent="0.2"/>
    <row r="27523" ht="12.75" hidden="1" customHeight="1" x14ac:dyDescent="0.2"/>
    <row r="27524" ht="12.75" hidden="1" customHeight="1" x14ac:dyDescent="0.2"/>
    <row r="27525" ht="12.75" hidden="1" customHeight="1" x14ac:dyDescent="0.2"/>
    <row r="27526" ht="12.75" hidden="1" customHeight="1" x14ac:dyDescent="0.2"/>
    <row r="27527" ht="12.75" hidden="1" customHeight="1" x14ac:dyDescent="0.2"/>
    <row r="27528" ht="12.75" hidden="1" customHeight="1" x14ac:dyDescent="0.2"/>
    <row r="27529" ht="12.75" hidden="1" customHeight="1" x14ac:dyDescent="0.2"/>
    <row r="27530" ht="12.75" hidden="1" customHeight="1" x14ac:dyDescent="0.2"/>
    <row r="27531" ht="12.75" hidden="1" customHeight="1" x14ac:dyDescent="0.2"/>
    <row r="27532" ht="12.75" hidden="1" customHeight="1" x14ac:dyDescent="0.2"/>
    <row r="27533" ht="12.75" hidden="1" customHeight="1" x14ac:dyDescent="0.2"/>
    <row r="27534" ht="12.75" hidden="1" customHeight="1" x14ac:dyDescent="0.2"/>
    <row r="27535" ht="12.75" hidden="1" customHeight="1" x14ac:dyDescent="0.2"/>
    <row r="27536" ht="12.75" hidden="1" customHeight="1" x14ac:dyDescent="0.2"/>
    <row r="27537" ht="12.75" hidden="1" customHeight="1" x14ac:dyDescent="0.2"/>
    <row r="27538" ht="12.75" hidden="1" customHeight="1" x14ac:dyDescent="0.2"/>
    <row r="27539" ht="12.75" hidden="1" customHeight="1" x14ac:dyDescent="0.2"/>
    <row r="27540" ht="12.75" hidden="1" customHeight="1" x14ac:dyDescent="0.2"/>
    <row r="27541" ht="12.75" hidden="1" customHeight="1" x14ac:dyDescent="0.2"/>
    <row r="27542" ht="12.75" hidden="1" customHeight="1" x14ac:dyDescent="0.2"/>
    <row r="27543" ht="12.75" hidden="1" customHeight="1" x14ac:dyDescent="0.2"/>
    <row r="27544" ht="12.75" hidden="1" customHeight="1" x14ac:dyDescent="0.2"/>
    <row r="27545" ht="12.75" hidden="1" customHeight="1" x14ac:dyDescent="0.2"/>
    <row r="27546" ht="12.75" hidden="1" customHeight="1" x14ac:dyDescent="0.2"/>
    <row r="27547" ht="12.75" hidden="1" customHeight="1" x14ac:dyDescent="0.2"/>
    <row r="27548" ht="12.75" hidden="1" customHeight="1" x14ac:dyDescent="0.2"/>
    <row r="27549" ht="12.75" hidden="1" customHeight="1" x14ac:dyDescent="0.2"/>
    <row r="27550" ht="12.75" hidden="1" customHeight="1" x14ac:dyDescent="0.2"/>
    <row r="27551" ht="12.75" hidden="1" customHeight="1" x14ac:dyDescent="0.2"/>
    <row r="27552" ht="12.75" hidden="1" customHeight="1" x14ac:dyDescent="0.2"/>
    <row r="27553" ht="12.75" hidden="1" customHeight="1" x14ac:dyDescent="0.2"/>
    <row r="27554" ht="12.75" hidden="1" customHeight="1" x14ac:dyDescent="0.2"/>
    <row r="27555" ht="12.75" hidden="1" customHeight="1" x14ac:dyDescent="0.2"/>
    <row r="27556" ht="12.75" hidden="1" customHeight="1" x14ac:dyDescent="0.2"/>
    <row r="27557" ht="12.75" hidden="1" customHeight="1" x14ac:dyDescent="0.2"/>
    <row r="27558" ht="12.75" hidden="1" customHeight="1" x14ac:dyDescent="0.2"/>
    <row r="27559" ht="12.75" hidden="1" customHeight="1" x14ac:dyDescent="0.2"/>
    <row r="27560" ht="12.75" hidden="1" customHeight="1" x14ac:dyDescent="0.2"/>
    <row r="27561" ht="12.75" hidden="1" customHeight="1" x14ac:dyDescent="0.2"/>
    <row r="27562" ht="12.75" hidden="1" customHeight="1" x14ac:dyDescent="0.2"/>
    <row r="27563" ht="12.75" hidden="1" customHeight="1" x14ac:dyDescent="0.2"/>
    <row r="27564" ht="12.75" hidden="1" customHeight="1" x14ac:dyDescent="0.2"/>
    <row r="27565" ht="12.75" hidden="1" customHeight="1" x14ac:dyDescent="0.2"/>
    <row r="27566" ht="12.75" hidden="1" customHeight="1" x14ac:dyDescent="0.2"/>
    <row r="27567" ht="12.75" hidden="1" customHeight="1" x14ac:dyDescent="0.2"/>
    <row r="27568" ht="12.75" hidden="1" customHeight="1" x14ac:dyDescent="0.2"/>
    <row r="27569" ht="12.75" hidden="1" customHeight="1" x14ac:dyDescent="0.2"/>
    <row r="27570" ht="12.75" hidden="1" customHeight="1" x14ac:dyDescent="0.2"/>
    <row r="27571" ht="12.75" hidden="1" customHeight="1" x14ac:dyDescent="0.2"/>
    <row r="27572" ht="12.75" hidden="1" customHeight="1" x14ac:dyDescent="0.2"/>
    <row r="27573" ht="12.75" hidden="1" customHeight="1" x14ac:dyDescent="0.2"/>
    <row r="27574" ht="12.75" hidden="1" customHeight="1" x14ac:dyDescent="0.2"/>
    <row r="27575" ht="12.75" hidden="1" customHeight="1" x14ac:dyDescent="0.2"/>
    <row r="27576" ht="12.75" hidden="1" customHeight="1" x14ac:dyDescent="0.2"/>
    <row r="27577" ht="12.75" hidden="1" customHeight="1" x14ac:dyDescent="0.2"/>
    <row r="27578" ht="12.75" hidden="1" customHeight="1" x14ac:dyDescent="0.2"/>
    <row r="27579" ht="12.75" hidden="1" customHeight="1" x14ac:dyDescent="0.2"/>
    <row r="27580" ht="12.75" hidden="1" customHeight="1" x14ac:dyDescent="0.2"/>
    <row r="27581" ht="12.75" hidden="1" customHeight="1" x14ac:dyDescent="0.2"/>
    <row r="27582" ht="12.75" hidden="1" customHeight="1" x14ac:dyDescent="0.2"/>
    <row r="27583" ht="12.75" hidden="1" customHeight="1" x14ac:dyDescent="0.2"/>
    <row r="27584" ht="12.75" hidden="1" customHeight="1" x14ac:dyDescent="0.2"/>
    <row r="27585" ht="12.75" hidden="1" customHeight="1" x14ac:dyDescent="0.2"/>
    <row r="27586" ht="12.75" hidden="1" customHeight="1" x14ac:dyDescent="0.2"/>
    <row r="27587" ht="12.75" hidden="1" customHeight="1" x14ac:dyDescent="0.2"/>
    <row r="27588" ht="12.75" hidden="1" customHeight="1" x14ac:dyDescent="0.2"/>
    <row r="27589" ht="12.75" hidden="1" customHeight="1" x14ac:dyDescent="0.2"/>
    <row r="27590" ht="12.75" hidden="1" customHeight="1" x14ac:dyDescent="0.2"/>
    <row r="27591" ht="12.75" hidden="1" customHeight="1" x14ac:dyDescent="0.2"/>
    <row r="27592" ht="12.75" hidden="1" customHeight="1" x14ac:dyDescent="0.2"/>
    <row r="27593" ht="12.75" hidden="1" customHeight="1" x14ac:dyDescent="0.2"/>
    <row r="27594" ht="12.75" hidden="1" customHeight="1" x14ac:dyDescent="0.2"/>
    <row r="27595" ht="12.75" hidden="1" customHeight="1" x14ac:dyDescent="0.2"/>
    <row r="27596" ht="12.75" hidden="1" customHeight="1" x14ac:dyDescent="0.2"/>
    <row r="27597" ht="12.75" hidden="1" customHeight="1" x14ac:dyDescent="0.2"/>
    <row r="27598" ht="12.75" hidden="1" customHeight="1" x14ac:dyDescent="0.2"/>
    <row r="27599" ht="12.75" hidden="1" customHeight="1" x14ac:dyDescent="0.2"/>
    <row r="27600" ht="12.75" hidden="1" customHeight="1" x14ac:dyDescent="0.2"/>
    <row r="27601" ht="12.75" hidden="1" customHeight="1" x14ac:dyDescent="0.2"/>
    <row r="27602" ht="12.75" hidden="1" customHeight="1" x14ac:dyDescent="0.2"/>
    <row r="27603" ht="12.75" hidden="1" customHeight="1" x14ac:dyDescent="0.2"/>
    <row r="27604" ht="12.75" hidden="1" customHeight="1" x14ac:dyDescent="0.2"/>
    <row r="27605" ht="12.75" hidden="1" customHeight="1" x14ac:dyDescent="0.2"/>
    <row r="27606" ht="12.75" hidden="1" customHeight="1" x14ac:dyDescent="0.2"/>
    <row r="27607" ht="12.75" hidden="1" customHeight="1" x14ac:dyDescent="0.2"/>
    <row r="27608" ht="12.75" hidden="1" customHeight="1" x14ac:dyDescent="0.2"/>
    <row r="27609" ht="12.75" hidden="1" customHeight="1" x14ac:dyDescent="0.2"/>
    <row r="27610" ht="12.75" hidden="1" customHeight="1" x14ac:dyDescent="0.2"/>
    <row r="27611" ht="12.75" hidden="1" customHeight="1" x14ac:dyDescent="0.2"/>
    <row r="27612" ht="12.75" hidden="1" customHeight="1" x14ac:dyDescent="0.2"/>
    <row r="27613" ht="12.75" hidden="1" customHeight="1" x14ac:dyDescent="0.2"/>
    <row r="27614" ht="12.75" hidden="1" customHeight="1" x14ac:dyDescent="0.2"/>
    <row r="27615" ht="12.75" hidden="1" customHeight="1" x14ac:dyDescent="0.2"/>
    <row r="27616" ht="12.75" hidden="1" customHeight="1" x14ac:dyDescent="0.2"/>
    <row r="27617" ht="12.75" hidden="1" customHeight="1" x14ac:dyDescent="0.2"/>
    <row r="27618" ht="12.75" hidden="1" customHeight="1" x14ac:dyDescent="0.2"/>
    <row r="27619" ht="12.75" hidden="1" customHeight="1" x14ac:dyDescent="0.2"/>
    <row r="27620" ht="12.75" hidden="1" customHeight="1" x14ac:dyDescent="0.2"/>
    <row r="27621" ht="12.75" hidden="1" customHeight="1" x14ac:dyDescent="0.2"/>
    <row r="27622" ht="12.75" hidden="1" customHeight="1" x14ac:dyDescent="0.2"/>
    <row r="27623" ht="12.75" hidden="1" customHeight="1" x14ac:dyDescent="0.2"/>
    <row r="27624" ht="12.75" hidden="1" customHeight="1" x14ac:dyDescent="0.2"/>
    <row r="27625" ht="12.75" hidden="1" customHeight="1" x14ac:dyDescent="0.2"/>
    <row r="27626" ht="12.75" hidden="1" customHeight="1" x14ac:dyDescent="0.2"/>
    <row r="27627" ht="12.75" hidden="1" customHeight="1" x14ac:dyDescent="0.2"/>
    <row r="27628" ht="12.75" hidden="1" customHeight="1" x14ac:dyDescent="0.2"/>
    <row r="27629" ht="12.75" hidden="1" customHeight="1" x14ac:dyDescent="0.2"/>
    <row r="27630" ht="12.75" hidden="1" customHeight="1" x14ac:dyDescent="0.2"/>
    <row r="27631" ht="12.75" hidden="1" customHeight="1" x14ac:dyDescent="0.2"/>
    <row r="27632" ht="12.75" hidden="1" customHeight="1" x14ac:dyDescent="0.2"/>
    <row r="27633" ht="12.75" hidden="1" customHeight="1" x14ac:dyDescent="0.2"/>
    <row r="27634" ht="12.75" hidden="1" customHeight="1" x14ac:dyDescent="0.2"/>
    <row r="27635" ht="12.75" hidden="1" customHeight="1" x14ac:dyDescent="0.2"/>
    <row r="27636" ht="12.75" hidden="1" customHeight="1" x14ac:dyDescent="0.2"/>
    <row r="27637" ht="12.75" hidden="1" customHeight="1" x14ac:dyDescent="0.2"/>
    <row r="27638" ht="12.75" hidden="1" customHeight="1" x14ac:dyDescent="0.2"/>
    <row r="27639" ht="12.75" hidden="1" customHeight="1" x14ac:dyDescent="0.2"/>
    <row r="27640" ht="12.75" hidden="1" customHeight="1" x14ac:dyDescent="0.2"/>
    <row r="27641" ht="12.75" hidden="1" customHeight="1" x14ac:dyDescent="0.2"/>
    <row r="27642" ht="12.75" hidden="1" customHeight="1" x14ac:dyDescent="0.2"/>
    <row r="27643" ht="12.75" hidden="1" customHeight="1" x14ac:dyDescent="0.2"/>
    <row r="27644" ht="12.75" hidden="1" customHeight="1" x14ac:dyDescent="0.2"/>
    <row r="27645" ht="12.75" hidden="1" customHeight="1" x14ac:dyDescent="0.2"/>
    <row r="27646" ht="12.75" hidden="1" customHeight="1" x14ac:dyDescent="0.2"/>
    <row r="27647" ht="12.75" hidden="1" customHeight="1" x14ac:dyDescent="0.2"/>
    <row r="27648" ht="12.75" hidden="1" customHeight="1" x14ac:dyDescent="0.2"/>
    <row r="27649" ht="12.75" hidden="1" customHeight="1" x14ac:dyDescent="0.2"/>
    <row r="27650" ht="12.75" hidden="1" customHeight="1" x14ac:dyDescent="0.2"/>
    <row r="27651" ht="12.75" hidden="1" customHeight="1" x14ac:dyDescent="0.2"/>
    <row r="27652" ht="12.75" hidden="1" customHeight="1" x14ac:dyDescent="0.2"/>
    <row r="27653" ht="12.75" hidden="1" customHeight="1" x14ac:dyDescent="0.2"/>
    <row r="27654" ht="12.75" hidden="1" customHeight="1" x14ac:dyDescent="0.2"/>
    <row r="27655" ht="12.75" hidden="1" customHeight="1" x14ac:dyDescent="0.2"/>
    <row r="27656" ht="12.75" hidden="1" customHeight="1" x14ac:dyDescent="0.2"/>
    <row r="27657" ht="12.75" hidden="1" customHeight="1" x14ac:dyDescent="0.2"/>
    <row r="27658" ht="12.75" hidden="1" customHeight="1" x14ac:dyDescent="0.2"/>
    <row r="27659" ht="12.75" hidden="1" customHeight="1" x14ac:dyDescent="0.2"/>
    <row r="27660" ht="12.75" hidden="1" customHeight="1" x14ac:dyDescent="0.2"/>
    <row r="27661" ht="12.75" hidden="1" customHeight="1" x14ac:dyDescent="0.2"/>
    <row r="27662" ht="12.75" hidden="1" customHeight="1" x14ac:dyDescent="0.2"/>
    <row r="27663" ht="12.75" hidden="1" customHeight="1" x14ac:dyDescent="0.2"/>
    <row r="27664" ht="12.75" hidden="1" customHeight="1" x14ac:dyDescent="0.2"/>
    <row r="27665" ht="12.75" hidden="1" customHeight="1" x14ac:dyDescent="0.2"/>
    <row r="27666" ht="12.75" hidden="1" customHeight="1" x14ac:dyDescent="0.2"/>
    <row r="27667" ht="12.75" hidden="1" customHeight="1" x14ac:dyDescent="0.2"/>
    <row r="27668" ht="12.75" hidden="1" customHeight="1" x14ac:dyDescent="0.2"/>
    <row r="27669" ht="12.75" hidden="1" customHeight="1" x14ac:dyDescent="0.2"/>
    <row r="27670" ht="12.75" hidden="1" customHeight="1" x14ac:dyDescent="0.2"/>
    <row r="27671" ht="12.75" hidden="1" customHeight="1" x14ac:dyDescent="0.2"/>
    <row r="27672" ht="12.75" hidden="1" customHeight="1" x14ac:dyDescent="0.2"/>
    <row r="27673" ht="12.75" hidden="1" customHeight="1" x14ac:dyDescent="0.2"/>
    <row r="27674" ht="12.75" hidden="1" customHeight="1" x14ac:dyDescent="0.2"/>
    <row r="27675" ht="12.75" hidden="1" customHeight="1" x14ac:dyDescent="0.2"/>
    <row r="27676" ht="12.75" hidden="1" customHeight="1" x14ac:dyDescent="0.2"/>
    <row r="27677" ht="12.75" hidden="1" customHeight="1" x14ac:dyDescent="0.2"/>
    <row r="27678" ht="12.75" hidden="1" customHeight="1" x14ac:dyDescent="0.2"/>
    <row r="27679" ht="12.75" hidden="1" customHeight="1" x14ac:dyDescent="0.2"/>
    <row r="27680" ht="12.75" hidden="1" customHeight="1" x14ac:dyDescent="0.2"/>
    <row r="27681" ht="12.75" hidden="1" customHeight="1" x14ac:dyDescent="0.2"/>
    <row r="27682" ht="12.75" hidden="1" customHeight="1" x14ac:dyDescent="0.2"/>
    <row r="27683" ht="12.75" hidden="1" customHeight="1" x14ac:dyDescent="0.2"/>
    <row r="27684" ht="12.75" hidden="1" customHeight="1" x14ac:dyDescent="0.2"/>
    <row r="27685" ht="12.75" hidden="1" customHeight="1" x14ac:dyDescent="0.2"/>
    <row r="27686" ht="12.75" hidden="1" customHeight="1" x14ac:dyDescent="0.2"/>
    <row r="27687" ht="12.75" hidden="1" customHeight="1" x14ac:dyDescent="0.2"/>
    <row r="27688" ht="12.75" hidden="1" customHeight="1" x14ac:dyDescent="0.2"/>
    <row r="27689" ht="12.75" hidden="1" customHeight="1" x14ac:dyDescent="0.2"/>
    <row r="27690" ht="12.75" hidden="1" customHeight="1" x14ac:dyDescent="0.2"/>
    <row r="27691" ht="12.75" hidden="1" customHeight="1" x14ac:dyDescent="0.2"/>
    <row r="27692" ht="12.75" hidden="1" customHeight="1" x14ac:dyDescent="0.2"/>
    <row r="27693" ht="12.75" hidden="1" customHeight="1" x14ac:dyDescent="0.2"/>
    <row r="27694" ht="12.75" hidden="1" customHeight="1" x14ac:dyDescent="0.2"/>
    <row r="27695" ht="12.75" hidden="1" customHeight="1" x14ac:dyDescent="0.2"/>
    <row r="27696" ht="12.75" hidden="1" customHeight="1" x14ac:dyDescent="0.2"/>
    <row r="27697" ht="12.75" hidden="1" customHeight="1" x14ac:dyDescent="0.2"/>
    <row r="27698" ht="12.75" hidden="1" customHeight="1" x14ac:dyDescent="0.2"/>
    <row r="27699" ht="12.75" hidden="1" customHeight="1" x14ac:dyDescent="0.2"/>
    <row r="27700" ht="12.75" hidden="1" customHeight="1" x14ac:dyDescent="0.2"/>
    <row r="27701" ht="12.75" hidden="1" customHeight="1" x14ac:dyDescent="0.2"/>
    <row r="27702" ht="12.75" hidden="1" customHeight="1" x14ac:dyDescent="0.2"/>
    <row r="27703" ht="12.75" hidden="1" customHeight="1" x14ac:dyDescent="0.2"/>
    <row r="27704" ht="12.75" hidden="1" customHeight="1" x14ac:dyDescent="0.2"/>
    <row r="27705" ht="12.75" hidden="1" customHeight="1" x14ac:dyDescent="0.2"/>
    <row r="27706" ht="12.75" hidden="1" customHeight="1" x14ac:dyDescent="0.2"/>
    <row r="27707" ht="12.75" hidden="1" customHeight="1" x14ac:dyDescent="0.2"/>
    <row r="27708" ht="12.75" hidden="1" customHeight="1" x14ac:dyDescent="0.2"/>
    <row r="27709" ht="12.75" hidden="1" customHeight="1" x14ac:dyDescent="0.2"/>
    <row r="27710" ht="12.75" hidden="1" customHeight="1" x14ac:dyDescent="0.2"/>
    <row r="27711" ht="12.75" hidden="1" customHeight="1" x14ac:dyDescent="0.2"/>
    <row r="27712" ht="12.75" hidden="1" customHeight="1" x14ac:dyDescent="0.2"/>
    <row r="27713" ht="12.75" hidden="1" customHeight="1" x14ac:dyDescent="0.2"/>
    <row r="27714" ht="12.75" hidden="1" customHeight="1" x14ac:dyDescent="0.2"/>
    <row r="27715" ht="12.75" hidden="1" customHeight="1" x14ac:dyDescent="0.2"/>
    <row r="27716" ht="12.75" hidden="1" customHeight="1" x14ac:dyDescent="0.2"/>
    <row r="27717" ht="12.75" hidden="1" customHeight="1" x14ac:dyDescent="0.2"/>
    <row r="27718" ht="12.75" hidden="1" customHeight="1" x14ac:dyDescent="0.2"/>
    <row r="27719" ht="12.75" hidden="1" customHeight="1" x14ac:dyDescent="0.2"/>
    <row r="27720" ht="12.75" hidden="1" customHeight="1" x14ac:dyDescent="0.2"/>
    <row r="27721" ht="12.75" hidden="1" customHeight="1" x14ac:dyDescent="0.2"/>
    <row r="27722" ht="12.75" hidden="1" customHeight="1" x14ac:dyDescent="0.2"/>
    <row r="27723" ht="12.75" hidden="1" customHeight="1" x14ac:dyDescent="0.2"/>
    <row r="27724" ht="12.75" hidden="1" customHeight="1" x14ac:dyDescent="0.2"/>
    <row r="27725" ht="12.75" hidden="1" customHeight="1" x14ac:dyDescent="0.2"/>
    <row r="27726" ht="12.75" hidden="1" customHeight="1" x14ac:dyDescent="0.2"/>
    <row r="27727" ht="12.75" hidden="1" customHeight="1" x14ac:dyDescent="0.2"/>
    <row r="27728" ht="12.75" hidden="1" customHeight="1" x14ac:dyDescent="0.2"/>
    <row r="27729" ht="12.75" hidden="1" customHeight="1" x14ac:dyDescent="0.2"/>
    <row r="27730" ht="12.75" hidden="1" customHeight="1" x14ac:dyDescent="0.2"/>
    <row r="27731" ht="12.75" hidden="1" customHeight="1" x14ac:dyDescent="0.2"/>
    <row r="27732" ht="12.75" hidden="1" customHeight="1" x14ac:dyDescent="0.2"/>
    <row r="27733" ht="12.75" hidden="1" customHeight="1" x14ac:dyDescent="0.2"/>
    <row r="27734" ht="12.75" hidden="1" customHeight="1" x14ac:dyDescent="0.2"/>
    <row r="27735" ht="12.75" hidden="1" customHeight="1" x14ac:dyDescent="0.2"/>
    <row r="27736" ht="12.75" hidden="1" customHeight="1" x14ac:dyDescent="0.2"/>
    <row r="27737" ht="12.75" hidden="1" customHeight="1" x14ac:dyDescent="0.2"/>
    <row r="27738" ht="12.75" hidden="1" customHeight="1" x14ac:dyDescent="0.2"/>
    <row r="27739" ht="12.75" hidden="1" customHeight="1" x14ac:dyDescent="0.2"/>
    <row r="27740" ht="12.75" hidden="1" customHeight="1" x14ac:dyDescent="0.2"/>
    <row r="27741" ht="12.75" hidden="1" customHeight="1" x14ac:dyDescent="0.2"/>
    <row r="27742" ht="12.75" hidden="1" customHeight="1" x14ac:dyDescent="0.2"/>
    <row r="27743" ht="12.75" hidden="1" customHeight="1" x14ac:dyDescent="0.2"/>
    <row r="27744" ht="12.75" hidden="1" customHeight="1" x14ac:dyDescent="0.2"/>
    <row r="27745" ht="12.75" hidden="1" customHeight="1" x14ac:dyDescent="0.2"/>
    <row r="27746" ht="12.75" hidden="1" customHeight="1" x14ac:dyDescent="0.2"/>
    <row r="27747" ht="12.75" hidden="1" customHeight="1" x14ac:dyDescent="0.2"/>
    <row r="27748" ht="12.75" hidden="1" customHeight="1" x14ac:dyDescent="0.2"/>
    <row r="27749" ht="12.75" hidden="1" customHeight="1" x14ac:dyDescent="0.2"/>
    <row r="27750" ht="12.75" hidden="1" customHeight="1" x14ac:dyDescent="0.2"/>
    <row r="27751" ht="12.75" hidden="1" customHeight="1" x14ac:dyDescent="0.2"/>
    <row r="27752" ht="12.75" hidden="1" customHeight="1" x14ac:dyDescent="0.2"/>
    <row r="27753" ht="12.75" hidden="1" customHeight="1" x14ac:dyDescent="0.2"/>
    <row r="27754" ht="12.75" hidden="1" customHeight="1" x14ac:dyDescent="0.2"/>
    <row r="27755" ht="12.75" hidden="1" customHeight="1" x14ac:dyDescent="0.2"/>
    <row r="27756" ht="12.75" hidden="1" customHeight="1" x14ac:dyDescent="0.2"/>
    <row r="27757" ht="12.75" hidden="1" customHeight="1" x14ac:dyDescent="0.2"/>
    <row r="27758" ht="12.75" hidden="1" customHeight="1" x14ac:dyDescent="0.2"/>
    <row r="27759" ht="12.75" hidden="1" customHeight="1" x14ac:dyDescent="0.2"/>
    <row r="27760" ht="12.75" hidden="1" customHeight="1" x14ac:dyDescent="0.2"/>
    <row r="27761" ht="12.75" hidden="1" customHeight="1" x14ac:dyDescent="0.2"/>
    <row r="27762" ht="12.75" hidden="1" customHeight="1" x14ac:dyDescent="0.2"/>
    <row r="27763" ht="12.75" hidden="1" customHeight="1" x14ac:dyDescent="0.2"/>
    <row r="27764" ht="12.75" hidden="1" customHeight="1" x14ac:dyDescent="0.2"/>
    <row r="27765" ht="12.75" hidden="1" customHeight="1" x14ac:dyDescent="0.2"/>
    <row r="27766" ht="12.75" hidden="1" customHeight="1" x14ac:dyDescent="0.2"/>
    <row r="27767" ht="12.75" hidden="1" customHeight="1" x14ac:dyDescent="0.2"/>
    <row r="27768" ht="12.75" hidden="1" customHeight="1" x14ac:dyDescent="0.2"/>
    <row r="27769" ht="12.75" hidden="1" customHeight="1" x14ac:dyDescent="0.2"/>
    <row r="27770" ht="12.75" hidden="1" customHeight="1" x14ac:dyDescent="0.2"/>
    <row r="27771" ht="12.75" hidden="1" customHeight="1" x14ac:dyDescent="0.2"/>
    <row r="27772" ht="12.75" hidden="1" customHeight="1" x14ac:dyDescent="0.2"/>
    <row r="27773" ht="12.75" hidden="1" customHeight="1" x14ac:dyDescent="0.2"/>
    <row r="27774" ht="12.75" hidden="1" customHeight="1" x14ac:dyDescent="0.2"/>
    <row r="27775" ht="12.75" hidden="1" customHeight="1" x14ac:dyDescent="0.2"/>
    <row r="27776" ht="12.75" hidden="1" customHeight="1" x14ac:dyDescent="0.2"/>
    <row r="27777" ht="12.75" hidden="1" customHeight="1" x14ac:dyDescent="0.2"/>
    <row r="27778" ht="12.75" hidden="1" customHeight="1" x14ac:dyDescent="0.2"/>
    <row r="27779" ht="12.75" hidden="1" customHeight="1" x14ac:dyDescent="0.2"/>
    <row r="27780" ht="12.75" hidden="1" customHeight="1" x14ac:dyDescent="0.2"/>
    <row r="27781" ht="12.75" hidden="1" customHeight="1" x14ac:dyDescent="0.2"/>
    <row r="27782" ht="12.75" hidden="1" customHeight="1" x14ac:dyDescent="0.2"/>
    <row r="27783" ht="12.75" hidden="1" customHeight="1" x14ac:dyDescent="0.2"/>
    <row r="27784" ht="12.75" hidden="1" customHeight="1" x14ac:dyDescent="0.2"/>
    <row r="27785" ht="12.75" hidden="1" customHeight="1" x14ac:dyDescent="0.2"/>
    <row r="27786" ht="12.75" hidden="1" customHeight="1" x14ac:dyDescent="0.2"/>
    <row r="27787" ht="12.75" hidden="1" customHeight="1" x14ac:dyDescent="0.2"/>
    <row r="27788" ht="12.75" hidden="1" customHeight="1" x14ac:dyDescent="0.2"/>
    <row r="27789" ht="12.75" hidden="1" customHeight="1" x14ac:dyDescent="0.2"/>
    <row r="27790" ht="12.75" hidden="1" customHeight="1" x14ac:dyDescent="0.2"/>
    <row r="27791" ht="12.75" hidden="1" customHeight="1" x14ac:dyDescent="0.2"/>
    <row r="27792" ht="12.75" hidden="1" customHeight="1" x14ac:dyDescent="0.2"/>
    <row r="27793" ht="12.75" hidden="1" customHeight="1" x14ac:dyDescent="0.2"/>
    <row r="27794" ht="12.75" hidden="1" customHeight="1" x14ac:dyDescent="0.2"/>
    <row r="27795" ht="12.75" hidden="1" customHeight="1" x14ac:dyDescent="0.2"/>
    <row r="27796" ht="12.75" hidden="1" customHeight="1" x14ac:dyDescent="0.2"/>
    <row r="27797" ht="12.75" hidden="1" customHeight="1" x14ac:dyDescent="0.2"/>
    <row r="27798" ht="12.75" hidden="1" customHeight="1" x14ac:dyDescent="0.2"/>
    <row r="27799" ht="12.75" hidden="1" customHeight="1" x14ac:dyDescent="0.2"/>
    <row r="27800" ht="12.75" hidden="1" customHeight="1" x14ac:dyDescent="0.2"/>
    <row r="27801" ht="12.75" hidden="1" customHeight="1" x14ac:dyDescent="0.2"/>
    <row r="27802" ht="12.75" hidden="1" customHeight="1" x14ac:dyDescent="0.2"/>
    <row r="27803" ht="12.75" hidden="1" customHeight="1" x14ac:dyDescent="0.2"/>
    <row r="27804" ht="12.75" hidden="1" customHeight="1" x14ac:dyDescent="0.2"/>
    <row r="27805" ht="12.75" hidden="1" customHeight="1" x14ac:dyDescent="0.2"/>
    <row r="27806" ht="12.75" hidden="1" customHeight="1" x14ac:dyDescent="0.2"/>
    <row r="27807" ht="12.75" hidden="1" customHeight="1" x14ac:dyDescent="0.2"/>
    <row r="27808" ht="12.75" hidden="1" customHeight="1" x14ac:dyDescent="0.2"/>
    <row r="27809" ht="12.75" hidden="1" customHeight="1" x14ac:dyDescent="0.2"/>
    <row r="27810" ht="12.75" hidden="1" customHeight="1" x14ac:dyDescent="0.2"/>
    <row r="27811" ht="12.75" hidden="1" customHeight="1" x14ac:dyDescent="0.2"/>
    <row r="27812" ht="12.75" hidden="1" customHeight="1" x14ac:dyDescent="0.2"/>
    <row r="27813" ht="12.75" hidden="1" customHeight="1" x14ac:dyDescent="0.2"/>
    <row r="27814" ht="12.75" hidden="1" customHeight="1" x14ac:dyDescent="0.2"/>
    <row r="27815" ht="12.75" hidden="1" customHeight="1" x14ac:dyDescent="0.2"/>
    <row r="27816" ht="12.75" hidden="1" customHeight="1" x14ac:dyDescent="0.2"/>
    <row r="27817" ht="12.75" hidden="1" customHeight="1" x14ac:dyDescent="0.2"/>
    <row r="27818" ht="12.75" hidden="1" customHeight="1" x14ac:dyDescent="0.2"/>
    <row r="27819" ht="12.75" hidden="1" customHeight="1" x14ac:dyDescent="0.2"/>
    <row r="27820" ht="12.75" hidden="1" customHeight="1" x14ac:dyDescent="0.2"/>
    <row r="27821" ht="12.75" hidden="1" customHeight="1" x14ac:dyDescent="0.2"/>
    <row r="27822" ht="12.75" hidden="1" customHeight="1" x14ac:dyDescent="0.2"/>
    <row r="27823" ht="12.75" hidden="1" customHeight="1" x14ac:dyDescent="0.2"/>
    <row r="27824" ht="12.75" hidden="1" customHeight="1" x14ac:dyDescent="0.2"/>
    <row r="27825" ht="12.75" hidden="1" customHeight="1" x14ac:dyDescent="0.2"/>
    <row r="27826" ht="12.75" hidden="1" customHeight="1" x14ac:dyDescent="0.2"/>
    <row r="27827" ht="12.75" hidden="1" customHeight="1" x14ac:dyDescent="0.2"/>
    <row r="27828" ht="12.75" hidden="1" customHeight="1" x14ac:dyDescent="0.2"/>
    <row r="27829" ht="12.75" hidden="1" customHeight="1" x14ac:dyDescent="0.2"/>
    <row r="27830" ht="12.75" hidden="1" customHeight="1" x14ac:dyDescent="0.2"/>
    <row r="27831" ht="12.75" hidden="1" customHeight="1" x14ac:dyDescent="0.2"/>
    <row r="27832" ht="12.75" hidden="1" customHeight="1" x14ac:dyDescent="0.2"/>
    <row r="27833" ht="12.75" hidden="1" customHeight="1" x14ac:dyDescent="0.2"/>
    <row r="27834" ht="12.75" hidden="1" customHeight="1" x14ac:dyDescent="0.2"/>
    <row r="27835" ht="12.75" hidden="1" customHeight="1" x14ac:dyDescent="0.2"/>
    <row r="27836" ht="12.75" hidden="1" customHeight="1" x14ac:dyDescent="0.2"/>
    <row r="27837" ht="12.75" hidden="1" customHeight="1" x14ac:dyDescent="0.2"/>
    <row r="27838" ht="12.75" hidden="1" customHeight="1" x14ac:dyDescent="0.2"/>
    <row r="27839" ht="12.75" hidden="1" customHeight="1" x14ac:dyDescent="0.2"/>
    <row r="27840" ht="12.75" hidden="1" customHeight="1" x14ac:dyDescent="0.2"/>
    <row r="27841" ht="12.75" hidden="1" customHeight="1" x14ac:dyDescent="0.2"/>
    <row r="27842" ht="12.75" hidden="1" customHeight="1" x14ac:dyDescent="0.2"/>
    <row r="27843" ht="12.75" hidden="1" customHeight="1" x14ac:dyDescent="0.2"/>
    <row r="27844" ht="12.75" hidden="1" customHeight="1" x14ac:dyDescent="0.2"/>
    <row r="27845" ht="12.75" hidden="1" customHeight="1" x14ac:dyDescent="0.2"/>
    <row r="27846" ht="12.75" hidden="1" customHeight="1" x14ac:dyDescent="0.2"/>
    <row r="27847" ht="12.75" hidden="1" customHeight="1" x14ac:dyDescent="0.2"/>
    <row r="27848" ht="12.75" hidden="1" customHeight="1" x14ac:dyDescent="0.2"/>
    <row r="27849" ht="12.75" hidden="1" customHeight="1" x14ac:dyDescent="0.2"/>
    <row r="27850" ht="12.75" hidden="1" customHeight="1" x14ac:dyDescent="0.2"/>
    <row r="27851" ht="12.75" hidden="1" customHeight="1" x14ac:dyDescent="0.2"/>
    <row r="27852" ht="12.75" hidden="1" customHeight="1" x14ac:dyDescent="0.2"/>
    <row r="27853" ht="12.75" hidden="1" customHeight="1" x14ac:dyDescent="0.2"/>
    <row r="27854" ht="12.75" hidden="1" customHeight="1" x14ac:dyDescent="0.2"/>
    <row r="27855" ht="12.75" hidden="1" customHeight="1" x14ac:dyDescent="0.2"/>
    <row r="27856" ht="12.75" hidden="1" customHeight="1" x14ac:dyDescent="0.2"/>
    <row r="27857" ht="12.75" hidden="1" customHeight="1" x14ac:dyDescent="0.2"/>
    <row r="27858" ht="12.75" hidden="1" customHeight="1" x14ac:dyDescent="0.2"/>
    <row r="27859" ht="12.75" hidden="1" customHeight="1" x14ac:dyDescent="0.2"/>
    <row r="27860" ht="12.75" hidden="1" customHeight="1" x14ac:dyDescent="0.2"/>
    <row r="27861" ht="12.75" hidden="1" customHeight="1" x14ac:dyDescent="0.2"/>
    <row r="27862" ht="12.75" hidden="1" customHeight="1" x14ac:dyDescent="0.2"/>
    <row r="27863" ht="12.75" hidden="1" customHeight="1" x14ac:dyDescent="0.2"/>
    <row r="27864" ht="12.75" hidden="1" customHeight="1" x14ac:dyDescent="0.2"/>
    <row r="27865" ht="12.75" hidden="1" customHeight="1" x14ac:dyDescent="0.2"/>
    <row r="27866" ht="12.75" hidden="1" customHeight="1" x14ac:dyDescent="0.2"/>
    <row r="27867" ht="12.75" hidden="1" customHeight="1" x14ac:dyDescent="0.2"/>
    <row r="27868" ht="12.75" hidden="1" customHeight="1" x14ac:dyDescent="0.2"/>
    <row r="27869" ht="12.75" hidden="1" customHeight="1" x14ac:dyDescent="0.2"/>
    <row r="27870" ht="12.75" hidden="1" customHeight="1" x14ac:dyDescent="0.2"/>
    <row r="27871" ht="12.75" hidden="1" customHeight="1" x14ac:dyDescent="0.2"/>
    <row r="27872" ht="12.75" hidden="1" customHeight="1" x14ac:dyDescent="0.2"/>
    <row r="27873" ht="12.75" hidden="1" customHeight="1" x14ac:dyDescent="0.2"/>
    <row r="27874" ht="12.75" hidden="1" customHeight="1" x14ac:dyDescent="0.2"/>
    <row r="27875" ht="12.75" hidden="1" customHeight="1" x14ac:dyDescent="0.2"/>
    <row r="27876" ht="12.75" hidden="1" customHeight="1" x14ac:dyDescent="0.2"/>
    <row r="27877" ht="12.75" hidden="1" customHeight="1" x14ac:dyDescent="0.2"/>
    <row r="27878" ht="12.75" hidden="1" customHeight="1" x14ac:dyDescent="0.2"/>
    <row r="27879" ht="12.75" hidden="1" customHeight="1" x14ac:dyDescent="0.2"/>
    <row r="27880" ht="12.75" hidden="1" customHeight="1" x14ac:dyDescent="0.2"/>
    <row r="27881" ht="12.75" hidden="1" customHeight="1" x14ac:dyDescent="0.2"/>
    <row r="27882" ht="12.75" hidden="1" customHeight="1" x14ac:dyDescent="0.2"/>
    <row r="27883" ht="12.75" hidden="1" customHeight="1" x14ac:dyDescent="0.2"/>
    <row r="27884" ht="12.75" hidden="1" customHeight="1" x14ac:dyDescent="0.2"/>
    <row r="27885" ht="12.75" hidden="1" customHeight="1" x14ac:dyDescent="0.2"/>
    <row r="27886" ht="12.75" hidden="1" customHeight="1" x14ac:dyDescent="0.2"/>
    <row r="27887" ht="12.75" hidden="1" customHeight="1" x14ac:dyDescent="0.2"/>
    <row r="27888" ht="12.75" hidden="1" customHeight="1" x14ac:dyDescent="0.2"/>
    <row r="27889" ht="12.75" hidden="1" customHeight="1" x14ac:dyDescent="0.2"/>
    <row r="27890" ht="12.75" hidden="1" customHeight="1" x14ac:dyDescent="0.2"/>
    <row r="27891" ht="12.75" hidden="1" customHeight="1" x14ac:dyDescent="0.2"/>
    <row r="27892" ht="12.75" hidden="1" customHeight="1" x14ac:dyDescent="0.2"/>
    <row r="27893" ht="12.75" hidden="1" customHeight="1" x14ac:dyDescent="0.2"/>
    <row r="27894" ht="12.75" hidden="1" customHeight="1" x14ac:dyDescent="0.2"/>
    <row r="27895" ht="12.75" hidden="1" customHeight="1" x14ac:dyDescent="0.2"/>
    <row r="27896" ht="12.75" hidden="1" customHeight="1" x14ac:dyDescent="0.2"/>
    <row r="27897" ht="12.75" hidden="1" customHeight="1" x14ac:dyDescent="0.2"/>
    <row r="27898" ht="12.75" hidden="1" customHeight="1" x14ac:dyDescent="0.2"/>
    <row r="27899" ht="12.75" hidden="1" customHeight="1" x14ac:dyDescent="0.2"/>
    <row r="27900" ht="12.75" hidden="1" customHeight="1" x14ac:dyDescent="0.2"/>
    <row r="27901" ht="12.75" hidden="1" customHeight="1" x14ac:dyDescent="0.2"/>
    <row r="27902" ht="12.75" hidden="1" customHeight="1" x14ac:dyDescent="0.2"/>
    <row r="27903" ht="12.75" hidden="1" customHeight="1" x14ac:dyDescent="0.2"/>
    <row r="27904" ht="12.75" hidden="1" customHeight="1" x14ac:dyDescent="0.2"/>
    <row r="27905" ht="12.75" hidden="1" customHeight="1" x14ac:dyDescent="0.2"/>
    <row r="27906" ht="12.75" hidden="1" customHeight="1" x14ac:dyDescent="0.2"/>
    <row r="27907" ht="12.75" hidden="1" customHeight="1" x14ac:dyDescent="0.2"/>
    <row r="27908" ht="12.75" hidden="1" customHeight="1" x14ac:dyDescent="0.2"/>
    <row r="27909" ht="12.75" hidden="1" customHeight="1" x14ac:dyDescent="0.2"/>
    <row r="27910" ht="12.75" hidden="1" customHeight="1" x14ac:dyDescent="0.2"/>
    <row r="27911" ht="12.75" hidden="1" customHeight="1" x14ac:dyDescent="0.2"/>
    <row r="27912" ht="12.75" hidden="1" customHeight="1" x14ac:dyDescent="0.2"/>
    <row r="27913" ht="12.75" hidden="1" customHeight="1" x14ac:dyDescent="0.2"/>
    <row r="27914" ht="12.75" hidden="1" customHeight="1" x14ac:dyDescent="0.2"/>
    <row r="27915" ht="12.75" hidden="1" customHeight="1" x14ac:dyDescent="0.2"/>
    <row r="27916" ht="12.75" hidden="1" customHeight="1" x14ac:dyDescent="0.2"/>
    <row r="27917" ht="12.75" hidden="1" customHeight="1" x14ac:dyDescent="0.2"/>
    <row r="27918" ht="12.75" hidden="1" customHeight="1" x14ac:dyDescent="0.2"/>
    <row r="27919" ht="12.75" hidden="1" customHeight="1" x14ac:dyDescent="0.2"/>
    <row r="27920" ht="12.75" hidden="1" customHeight="1" x14ac:dyDescent="0.2"/>
    <row r="27921" ht="12.75" hidden="1" customHeight="1" x14ac:dyDescent="0.2"/>
    <row r="27922" ht="12.75" hidden="1" customHeight="1" x14ac:dyDescent="0.2"/>
    <row r="27923" ht="12.75" hidden="1" customHeight="1" x14ac:dyDescent="0.2"/>
    <row r="27924" ht="12.75" hidden="1" customHeight="1" x14ac:dyDescent="0.2"/>
    <row r="27925" ht="12.75" hidden="1" customHeight="1" x14ac:dyDescent="0.2"/>
    <row r="27926" ht="12.75" hidden="1" customHeight="1" x14ac:dyDescent="0.2"/>
    <row r="27927" ht="12.75" hidden="1" customHeight="1" x14ac:dyDescent="0.2"/>
    <row r="27928" ht="12.75" hidden="1" customHeight="1" x14ac:dyDescent="0.2"/>
    <row r="27929" ht="12.75" hidden="1" customHeight="1" x14ac:dyDescent="0.2"/>
    <row r="27930" ht="12.75" hidden="1" customHeight="1" x14ac:dyDescent="0.2"/>
    <row r="27931" ht="12.75" hidden="1" customHeight="1" x14ac:dyDescent="0.2"/>
    <row r="27932" ht="12.75" hidden="1" customHeight="1" x14ac:dyDescent="0.2"/>
    <row r="27933" ht="12.75" hidden="1" customHeight="1" x14ac:dyDescent="0.2"/>
    <row r="27934" ht="12.75" hidden="1" customHeight="1" x14ac:dyDescent="0.2"/>
    <row r="27935" ht="12.75" hidden="1" customHeight="1" x14ac:dyDescent="0.2"/>
    <row r="27936" ht="12.75" hidden="1" customHeight="1" x14ac:dyDescent="0.2"/>
    <row r="27937" ht="12.75" hidden="1" customHeight="1" x14ac:dyDescent="0.2"/>
    <row r="27938" ht="12.75" hidden="1" customHeight="1" x14ac:dyDescent="0.2"/>
    <row r="27939" ht="12.75" hidden="1" customHeight="1" x14ac:dyDescent="0.2"/>
    <row r="27940" ht="12.75" hidden="1" customHeight="1" x14ac:dyDescent="0.2"/>
    <row r="27941" ht="12.75" hidden="1" customHeight="1" x14ac:dyDescent="0.2"/>
    <row r="27942" ht="12.75" hidden="1" customHeight="1" x14ac:dyDescent="0.2"/>
    <row r="27943" ht="12.75" hidden="1" customHeight="1" x14ac:dyDescent="0.2"/>
    <row r="27944" ht="12.75" hidden="1" customHeight="1" x14ac:dyDescent="0.2"/>
    <row r="27945" ht="12.75" hidden="1" customHeight="1" x14ac:dyDescent="0.2"/>
    <row r="27946" ht="12.75" hidden="1" customHeight="1" x14ac:dyDescent="0.2"/>
    <row r="27947" ht="12.75" hidden="1" customHeight="1" x14ac:dyDescent="0.2"/>
    <row r="27948" ht="12.75" hidden="1" customHeight="1" x14ac:dyDescent="0.2"/>
    <row r="27949" ht="12.75" hidden="1" customHeight="1" x14ac:dyDescent="0.2"/>
    <row r="27950" ht="12.75" hidden="1" customHeight="1" x14ac:dyDescent="0.2"/>
    <row r="27951" ht="12.75" hidden="1" customHeight="1" x14ac:dyDescent="0.2"/>
    <row r="27952" ht="12.75" hidden="1" customHeight="1" x14ac:dyDescent="0.2"/>
    <row r="27953" ht="12.75" hidden="1" customHeight="1" x14ac:dyDescent="0.2"/>
    <row r="27954" ht="12.75" hidden="1" customHeight="1" x14ac:dyDescent="0.2"/>
    <row r="27955" ht="12.75" hidden="1" customHeight="1" x14ac:dyDescent="0.2"/>
    <row r="27956" ht="12.75" hidden="1" customHeight="1" x14ac:dyDescent="0.2"/>
    <row r="27957" ht="12.75" hidden="1" customHeight="1" x14ac:dyDescent="0.2"/>
    <row r="27958" ht="12.75" hidden="1" customHeight="1" x14ac:dyDescent="0.2"/>
    <row r="27959" ht="12.75" hidden="1" customHeight="1" x14ac:dyDescent="0.2"/>
    <row r="27960" ht="12.75" hidden="1" customHeight="1" x14ac:dyDescent="0.2"/>
    <row r="27961" ht="12.75" hidden="1" customHeight="1" x14ac:dyDescent="0.2"/>
    <row r="27962" ht="12.75" hidden="1" customHeight="1" x14ac:dyDescent="0.2"/>
    <row r="27963" ht="12.75" hidden="1" customHeight="1" x14ac:dyDescent="0.2"/>
    <row r="27964" ht="12.75" hidden="1" customHeight="1" x14ac:dyDescent="0.2"/>
    <row r="27965" ht="12.75" hidden="1" customHeight="1" x14ac:dyDescent="0.2"/>
    <row r="27966" ht="12.75" hidden="1" customHeight="1" x14ac:dyDescent="0.2"/>
    <row r="27967" ht="12.75" hidden="1" customHeight="1" x14ac:dyDescent="0.2"/>
    <row r="27968" ht="12.75" hidden="1" customHeight="1" x14ac:dyDescent="0.2"/>
    <row r="27969" ht="12.75" hidden="1" customHeight="1" x14ac:dyDescent="0.2"/>
    <row r="27970" ht="12.75" hidden="1" customHeight="1" x14ac:dyDescent="0.2"/>
    <row r="27971" ht="12.75" hidden="1" customHeight="1" x14ac:dyDescent="0.2"/>
    <row r="27972" ht="12.75" hidden="1" customHeight="1" x14ac:dyDescent="0.2"/>
    <row r="27973" ht="12.75" hidden="1" customHeight="1" x14ac:dyDescent="0.2"/>
    <row r="27974" ht="12.75" hidden="1" customHeight="1" x14ac:dyDescent="0.2"/>
    <row r="27975" ht="12.75" hidden="1" customHeight="1" x14ac:dyDescent="0.2"/>
    <row r="27976" ht="12.75" hidden="1" customHeight="1" x14ac:dyDescent="0.2"/>
    <row r="27977" ht="12.75" hidden="1" customHeight="1" x14ac:dyDescent="0.2"/>
    <row r="27978" ht="12.75" hidden="1" customHeight="1" x14ac:dyDescent="0.2"/>
    <row r="27979" ht="12.75" hidden="1" customHeight="1" x14ac:dyDescent="0.2"/>
    <row r="27980" ht="12.75" hidden="1" customHeight="1" x14ac:dyDescent="0.2"/>
    <row r="27981" ht="12.75" hidden="1" customHeight="1" x14ac:dyDescent="0.2"/>
    <row r="27982" ht="12.75" hidden="1" customHeight="1" x14ac:dyDescent="0.2"/>
    <row r="27983" ht="12.75" hidden="1" customHeight="1" x14ac:dyDescent="0.2"/>
    <row r="27984" ht="12.75" hidden="1" customHeight="1" x14ac:dyDescent="0.2"/>
    <row r="27985" ht="12.75" hidden="1" customHeight="1" x14ac:dyDescent="0.2"/>
    <row r="27986" ht="12.75" hidden="1" customHeight="1" x14ac:dyDescent="0.2"/>
    <row r="27987" ht="12.75" hidden="1" customHeight="1" x14ac:dyDescent="0.2"/>
    <row r="27988" ht="12.75" hidden="1" customHeight="1" x14ac:dyDescent="0.2"/>
    <row r="27989" ht="12.75" hidden="1" customHeight="1" x14ac:dyDescent="0.2"/>
    <row r="27990" ht="12.75" hidden="1" customHeight="1" x14ac:dyDescent="0.2"/>
    <row r="27991" ht="12.75" hidden="1" customHeight="1" x14ac:dyDescent="0.2"/>
    <row r="27992" ht="12.75" hidden="1" customHeight="1" x14ac:dyDescent="0.2"/>
    <row r="27993" ht="12.75" hidden="1" customHeight="1" x14ac:dyDescent="0.2"/>
    <row r="27994" ht="12.75" hidden="1" customHeight="1" x14ac:dyDescent="0.2"/>
    <row r="27995" ht="12.75" hidden="1" customHeight="1" x14ac:dyDescent="0.2"/>
    <row r="27996" ht="12.75" hidden="1" customHeight="1" x14ac:dyDescent="0.2"/>
    <row r="27997" ht="12.75" hidden="1" customHeight="1" x14ac:dyDescent="0.2"/>
    <row r="27998" ht="12.75" hidden="1" customHeight="1" x14ac:dyDescent="0.2"/>
    <row r="27999" ht="12.75" hidden="1" customHeight="1" x14ac:dyDescent="0.2"/>
    <row r="28000" ht="12.75" hidden="1" customHeight="1" x14ac:dyDescent="0.2"/>
    <row r="28001" ht="12.75" hidden="1" customHeight="1" x14ac:dyDescent="0.2"/>
    <row r="28002" ht="12.75" hidden="1" customHeight="1" x14ac:dyDescent="0.2"/>
    <row r="28003" ht="12.75" hidden="1" customHeight="1" x14ac:dyDescent="0.2"/>
    <row r="28004" ht="12.75" hidden="1" customHeight="1" x14ac:dyDescent="0.2"/>
    <row r="28005" ht="12.75" hidden="1" customHeight="1" x14ac:dyDescent="0.2"/>
    <row r="28006" ht="12.75" hidden="1" customHeight="1" x14ac:dyDescent="0.2"/>
    <row r="28007" ht="12.75" hidden="1" customHeight="1" x14ac:dyDescent="0.2"/>
    <row r="28008" ht="12.75" hidden="1" customHeight="1" x14ac:dyDescent="0.2"/>
    <row r="28009" ht="12.75" hidden="1" customHeight="1" x14ac:dyDescent="0.2"/>
    <row r="28010" ht="12.75" hidden="1" customHeight="1" x14ac:dyDescent="0.2"/>
    <row r="28011" ht="12.75" hidden="1" customHeight="1" x14ac:dyDescent="0.2"/>
    <row r="28012" ht="12.75" hidden="1" customHeight="1" x14ac:dyDescent="0.2"/>
    <row r="28013" ht="12.75" hidden="1" customHeight="1" x14ac:dyDescent="0.2"/>
    <row r="28014" ht="12.75" hidden="1" customHeight="1" x14ac:dyDescent="0.2"/>
    <row r="28015" ht="12.75" hidden="1" customHeight="1" x14ac:dyDescent="0.2"/>
    <row r="28016" ht="12.75" hidden="1" customHeight="1" x14ac:dyDescent="0.2"/>
    <row r="28017" ht="12.75" hidden="1" customHeight="1" x14ac:dyDescent="0.2"/>
    <row r="28018" ht="12.75" hidden="1" customHeight="1" x14ac:dyDescent="0.2"/>
    <row r="28019" ht="12.75" hidden="1" customHeight="1" x14ac:dyDescent="0.2"/>
    <row r="28020" ht="12.75" hidden="1" customHeight="1" x14ac:dyDescent="0.2"/>
    <row r="28021" ht="12.75" hidden="1" customHeight="1" x14ac:dyDescent="0.2"/>
    <row r="28022" ht="12.75" hidden="1" customHeight="1" x14ac:dyDescent="0.2"/>
    <row r="28023" ht="12.75" hidden="1" customHeight="1" x14ac:dyDescent="0.2"/>
    <row r="28024" ht="12.75" hidden="1" customHeight="1" x14ac:dyDescent="0.2"/>
    <row r="28025" ht="12.75" hidden="1" customHeight="1" x14ac:dyDescent="0.2"/>
    <row r="28026" ht="12.75" hidden="1" customHeight="1" x14ac:dyDescent="0.2"/>
    <row r="28027" ht="12.75" hidden="1" customHeight="1" x14ac:dyDescent="0.2"/>
    <row r="28028" ht="12.75" hidden="1" customHeight="1" x14ac:dyDescent="0.2"/>
    <row r="28029" ht="12.75" hidden="1" customHeight="1" x14ac:dyDescent="0.2"/>
    <row r="28030" ht="12.75" hidden="1" customHeight="1" x14ac:dyDescent="0.2"/>
    <row r="28031" ht="12.75" hidden="1" customHeight="1" x14ac:dyDescent="0.2"/>
    <row r="28032" ht="12.75" hidden="1" customHeight="1" x14ac:dyDescent="0.2"/>
    <row r="28033" ht="12.75" hidden="1" customHeight="1" x14ac:dyDescent="0.2"/>
    <row r="28034" ht="12.75" hidden="1" customHeight="1" x14ac:dyDescent="0.2"/>
    <row r="28035" ht="12.75" hidden="1" customHeight="1" x14ac:dyDescent="0.2"/>
    <row r="28036" ht="12.75" hidden="1" customHeight="1" x14ac:dyDescent="0.2"/>
    <row r="28037" ht="12.75" hidden="1" customHeight="1" x14ac:dyDescent="0.2"/>
    <row r="28038" ht="12.75" hidden="1" customHeight="1" x14ac:dyDescent="0.2"/>
    <row r="28039" ht="12.75" hidden="1" customHeight="1" x14ac:dyDescent="0.2"/>
    <row r="28040" ht="12.75" hidden="1" customHeight="1" x14ac:dyDescent="0.2"/>
    <row r="28041" ht="12.75" hidden="1" customHeight="1" x14ac:dyDescent="0.2"/>
    <row r="28042" ht="12.75" hidden="1" customHeight="1" x14ac:dyDescent="0.2"/>
    <row r="28043" ht="12.75" hidden="1" customHeight="1" x14ac:dyDescent="0.2"/>
    <row r="28044" ht="12.75" hidden="1" customHeight="1" x14ac:dyDescent="0.2"/>
    <row r="28045" ht="12.75" hidden="1" customHeight="1" x14ac:dyDescent="0.2"/>
    <row r="28046" ht="12.75" hidden="1" customHeight="1" x14ac:dyDescent="0.2"/>
    <row r="28047" ht="12.75" hidden="1" customHeight="1" x14ac:dyDescent="0.2"/>
    <row r="28048" ht="12.75" hidden="1" customHeight="1" x14ac:dyDescent="0.2"/>
    <row r="28049" ht="12.75" hidden="1" customHeight="1" x14ac:dyDescent="0.2"/>
    <row r="28050" ht="12.75" hidden="1" customHeight="1" x14ac:dyDescent="0.2"/>
    <row r="28051" ht="12.75" hidden="1" customHeight="1" x14ac:dyDescent="0.2"/>
    <row r="28052" ht="12.75" hidden="1" customHeight="1" x14ac:dyDescent="0.2"/>
    <row r="28053" ht="12.75" hidden="1" customHeight="1" x14ac:dyDescent="0.2"/>
    <row r="28054" ht="12.75" hidden="1" customHeight="1" x14ac:dyDescent="0.2"/>
    <row r="28055" ht="12.75" hidden="1" customHeight="1" x14ac:dyDescent="0.2"/>
    <row r="28056" ht="12.75" hidden="1" customHeight="1" x14ac:dyDescent="0.2"/>
    <row r="28057" ht="12.75" hidden="1" customHeight="1" x14ac:dyDescent="0.2"/>
    <row r="28058" ht="12.75" hidden="1" customHeight="1" x14ac:dyDescent="0.2"/>
    <row r="28059" ht="12.75" hidden="1" customHeight="1" x14ac:dyDescent="0.2"/>
    <row r="28060" ht="12.75" hidden="1" customHeight="1" x14ac:dyDescent="0.2"/>
    <row r="28061" ht="12.75" hidden="1" customHeight="1" x14ac:dyDescent="0.2"/>
    <row r="28062" ht="12.75" hidden="1" customHeight="1" x14ac:dyDescent="0.2"/>
    <row r="28063" ht="12.75" hidden="1" customHeight="1" x14ac:dyDescent="0.2"/>
    <row r="28064" ht="12.75" hidden="1" customHeight="1" x14ac:dyDescent="0.2"/>
    <row r="28065" ht="12.75" hidden="1" customHeight="1" x14ac:dyDescent="0.2"/>
    <row r="28066" ht="12.75" hidden="1" customHeight="1" x14ac:dyDescent="0.2"/>
    <row r="28067" ht="12.75" hidden="1" customHeight="1" x14ac:dyDescent="0.2"/>
    <row r="28068" ht="12.75" hidden="1" customHeight="1" x14ac:dyDescent="0.2"/>
    <row r="28069" ht="12.75" hidden="1" customHeight="1" x14ac:dyDescent="0.2"/>
    <row r="28070" ht="12.75" hidden="1" customHeight="1" x14ac:dyDescent="0.2"/>
    <row r="28071" ht="12.75" hidden="1" customHeight="1" x14ac:dyDescent="0.2"/>
    <row r="28072" ht="12.75" hidden="1" customHeight="1" x14ac:dyDescent="0.2"/>
    <row r="28073" ht="12.75" hidden="1" customHeight="1" x14ac:dyDescent="0.2"/>
    <row r="28074" ht="12.75" hidden="1" customHeight="1" x14ac:dyDescent="0.2"/>
    <row r="28075" ht="12.75" hidden="1" customHeight="1" x14ac:dyDescent="0.2"/>
    <row r="28076" ht="12.75" hidden="1" customHeight="1" x14ac:dyDescent="0.2"/>
    <row r="28077" ht="12.75" hidden="1" customHeight="1" x14ac:dyDescent="0.2"/>
    <row r="28078" ht="12.75" hidden="1" customHeight="1" x14ac:dyDescent="0.2"/>
    <row r="28079" ht="12.75" hidden="1" customHeight="1" x14ac:dyDescent="0.2"/>
    <row r="28080" ht="12.75" hidden="1" customHeight="1" x14ac:dyDescent="0.2"/>
    <row r="28081" ht="12.75" hidden="1" customHeight="1" x14ac:dyDescent="0.2"/>
    <row r="28082" ht="12.75" hidden="1" customHeight="1" x14ac:dyDescent="0.2"/>
    <row r="28083" ht="12.75" hidden="1" customHeight="1" x14ac:dyDescent="0.2"/>
    <row r="28084" ht="12.75" hidden="1" customHeight="1" x14ac:dyDescent="0.2"/>
    <row r="28085" ht="12.75" hidden="1" customHeight="1" x14ac:dyDescent="0.2"/>
    <row r="28086" ht="12.75" hidden="1" customHeight="1" x14ac:dyDescent="0.2"/>
    <row r="28087" ht="12.75" hidden="1" customHeight="1" x14ac:dyDescent="0.2"/>
    <row r="28088" ht="12.75" hidden="1" customHeight="1" x14ac:dyDescent="0.2"/>
    <row r="28089" ht="12.75" hidden="1" customHeight="1" x14ac:dyDescent="0.2"/>
    <row r="28090" ht="12.75" hidden="1" customHeight="1" x14ac:dyDescent="0.2"/>
    <row r="28091" ht="12.75" hidden="1" customHeight="1" x14ac:dyDescent="0.2"/>
    <row r="28092" ht="12.75" hidden="1" customHeight="1" x14ac:dyDescent="0.2"/>
    <row r="28093" ht="12.75" hidden="1" customHeight="1" x14ac:dyDescent="0.2"/>
    <row r="28094" ht="12.75" hidden="1" customHeight="1" x14ac:dyDescent="0.2"/>
    <row r="28095" ht="12.75" hidden="1" customHeight="1" x14ac:dyDescent="0.2"/>
    <row r="28096" ht="12.75" hidden="1" customHeight="1" x14ac:dyDescent="0.2"/>
    <row r="28097" ht="12.75" hidden="1" customHeight="1" x14ac:dyDescent="0.2"/>
    <row r="28098" ht="12.75" hidden="1" customHeight="1" x14ac:dyDescent="0.2"/>
    <row r="28099" ht="12.75" hidden="1" customHeight="1" x14ac:dyDescent="0.2"/>
    <row r="28100" ht="12.75" hidden="1" customHeight="1" x14ac:dyDescent="0.2"/>
    <row r="28101" ht="12.75" hidden="1" customHeight="1" x14ac:dyDescent="0.2"/>
    <row r="28102" ht="12.75" hidden="1" customHeight="1" x14ac:dyDescent="0.2"/>
    <row r="28103" ht="12.75" hidden="1" customHeight="1" x14ac:dyDescent="0.2"/>
    <row r="28104" ht="12.75" hidden="1" customHeight="1" x14ac:dyDescent="0.2"/>
    <row r="28105" ht="12.75" hidden="1" customHeight="1" x14ac:dyDescent="0.2"/>
    <row r="28106" ht="12.75" hidden="1" customHeight="1" x14ac:dyDescent="0.2"/>
    <row r="28107" ht="12.75" hidden="1" customHeight="1" x14ac:dyDescent="0.2"/>
    <row r="28108" ht="12.75" hidden="1" customHeight="1" x14ac:dyDescent="0.2"/>
    <row r="28109" ht="12.75" hidden="1" customHeight="1" x14ac:dyDescent="0.2"/>
    <row r="28110" ht="12.75" hidden="1" customHeight="1" x14ac:dyDescent="0.2"/>
    <row r="28111" ht="12.75" hidden="1" customHeight="1" x14ac:dyDescent="0.2"/>
    <row r="28112" ht="12.75" hidden="1" customHeight="1" x14ac:dyDescent="0.2"/>
    <row r="28113" ht="12.75" hidden="1" customHeight="1" x14ac:dyDescent="0.2"/>
    <row r="28114" ht="12.75" hidden="1" customHeight="1" x14ac:dyDescent="0.2"/>
    <row r="28115" ht="12.75" hidden="1" customHeight="1" x14ac:dyDescent="0.2"/>
    <row r="28116" ht="12.75" hidden="1" customHeight="1" x14ac:dyDescent="0.2"/>
    <row r="28117" ht="12.75" hidden="1" customHeight="1" x14ac:dyDescent="0.2"/>
    <row r="28118" ht="12.75" hidden="1" customHeight="1" x14ac:dyDescent="0.2"/>
    <row r="28119" ht="12.75" hidden="1" customHeight="1" x14ac:dyDescent="0.2"/>
    <row r="28120" ht="12.75" hidden="1" customHeight="1" x14ac:dyDescent="0.2"/>
    <row r="28121" ht="12.75" hidden="1" customHeight="1" x14ac:dyDescent="0.2"/>
    <row r="28122" ht="12.75" hidden="1" customHeight="1" x14ac:dyDescent="0.2"/>
    <row r="28123" ht="12.75" hidden="1" customHeight="1" x14ac:dyDescent="0.2"/>
    <row r="28124" ht="12.75" hidden="1" customHeight="1" x14ac:dyDescent="0.2"/>
    <row r="28125" ht="12.75" hidden="1" customHeight="1" x14ac:dyDescent="0.2"/>
    <row r="28126" ht="12.75" hidden="1" customHeight="1" x14ac:dyDescent="0.2"/>
    <row r="28127" ht="12.75" hidden="1" customHeight="1" x14ac:dyDescent="0.2"/>
    <row r="28128" ht="12.75" hidden="1" customHeight="1" x14ac:dyDescent="0.2"/>
    <row r="28129" ht="12.75" hidden="1" customHeight="1" x14ac:dyDescent="0.2"/>
    <row r="28130" ht="12.75" hidden="1" customHeight="1" x14ac:dyDescent="0.2"/>
    <row r="28131" ht="12.75" hidden="1" customHeight="1" x14ac:dyDescent="0.2"/>
    <row r="28132" ht="12.75" hidden="1" customHeight="1" x14ac:dyDescent="0.2"/>
    <row r="28133" ht="12.75" hidden="1" customHeight="1" x14ac:dyDescent="0.2"/>
    <row r="28134" ht="12.75" hidden="1" customHeight="1" x14ac:dyDescent="0.2"/>
    <row r="28135" ht="12.75" hidden="1" customHeight="1" x14ac:dyDescent="0.2"/>
    <row r="28136" ht="12.75" hidden="1" customHeight="1" x14ac:dyDescent="0.2"/>
    <row r="28137" ht="12.75" hidden="1" customHeight="1" x14ac:dyDescent="0.2"/>
    <row r="28138" ht="12.75" hidden="1" customHeight="1" x14ac:dyDescent="0.2"/>
    <row r="28139" ht="12.75" hidden="1" customHeight="1" x14ac:dyDescent="0.2"/>
    <row r="28140" ht="12.75" hidden="1" customHeight="1" x14ac:dyDescent="0.2"/>
    <row r="28141" ht="12.75" hidden="1" customHeight="1" x14ac:dyDescent="0.2"/>
    <row r="28142" ht="12.75" hidden="1" customHeight="1" x14ac:dyDescent="0.2"/>
    <row r="28143" ht="12.75" hidden="1" customHeight="1" x14ac:dyDescent="0.2"/>
    <row r="28144" ht="12.75" hidden="1" customHeight="1" x14ac:dyDescent="0.2"/>
    <row r="28145" ht="12.75" hidden="1" customHeight="1" x14ac:dyDescent="0.2"/>
    <row r="28146" ht="12.75" hidden="1" customHeight="1" x14ac:dyDescent="0.2"/>
    <row r="28147" ht="12.75" hidden="1" customHeight="1" x14ac:dyDescent="0.2"/>
    <row r="28148" ht="12.75" hidden="1" customHeight="1" x14ac:dyDescent="0.2"/>
    <row r="28149" ht="12.75" hidden="1" customHeight="1" x14ac:dyDescent="0.2"/>
    <row r="28150" ht="12.75" hidden="1" customHeight="1" x14ac:dyDescent="0.2"/>
    <row r="28151" ht="12.75" hidden="1" customHeight="1" x14ac:dyDescent="0.2"/>
    <row r="28152" ht="12.75" hidden="1" customHeight="1" x14ac:dyDescent="0.2"/>
    <row r="28153" ht="12.75" hidden="1" customHeight="1" x14ac:dyDescent="0.2"/>
    <row r="28154" ht="12.75" hidden="1" customHeight="1" x14ac:dyDescent="0.2"/>
    <row r="28155" ht="12.75" hidden="1" customHeight="1" x14ac:dyDescent="0.2"/>
    <row r="28156" ht="12.75" hidden="1" customHeight="1" x14ac:dyDescent="0.2"/>
    <row r="28157" ht="12.75" hidden="1" customHeight="1" x14ac:dyDescent="0.2"/>
    <row r="28158" ht="12.75" hidden="1" customHeight="1" x14ac:dyDescent="0.2"/>
    <row r="28159" ht="12.75" hidden="1" customHeight="1" x14ac:dyDescent="0.2"/>
    <row r="28160" ht="12.75" hidden="1" customHeight="1" x14ac:dyDescent="0.2"/>
    <row r="28161" ht="12.75" hidden="1" customHeight="1" x14ac:dyDescent="0.2"/>
    <row r="28162" ht="12.75" hidden="1" customHeight="1" x14ac:dyDescent="0.2"/>
    <row r="28163" ht="12.75" hidden="1" customHeight="1" x14ac:dyDescent="0.2"/>
    <row r="28164" ht="12.75" hidden="1" customHeight="1" x14ac:dyDescent="0.2"/>
    <row r="28165" ht="12.75" hidden="1" customHeight="1" x14ac:dyDescent="0.2"/>
    <row r="28166" ht="12.75" hidden="1" customHeight="1" x14ac:dyDescent="0.2"/>
    <row r="28167" ht="12.75" hidden="1" customHeight="1" x14ac:dyDescent="0.2"/>
    <row r="28168" ht="12.75" hidden="1" customHeight="1" x14ac:dyDescent="0.2"/>
    <row r="28169" ht="12.75" hidden="1" customHeight="1" x14ac:dyDescent="0.2"/>
    <row r="28170" ht="12.75" hidden="1" customHeight="1" x14ac:dyDescent="0.2"/>
    <row r="28171" ht="12.75" hidden="1" customHeight="1" x14ac:dyDescent="0.2"/>
    <row r="28172" ht="12.75" hidden="1" customHeight="1" x14ac:dyDescent="0.2"/>
    <row r="28173" ht="12.75" hidden="1" customHeight="1" x14ac:dyDescent="0.2"/>
    <row r="28174" ht="12.75" hidden="1" customHeight="1" x14ac:dyDescent="0.2"/>
    <row r="28175" ht="12.75" hidden="1" customHeight="1" x14ac:dyDescent="0.2"/>
    <row r="28176" ht="12.75" hidden="1" customHeight="1" x14ac:dyDescent="0.2"/>
    <row r="28177" ht="12.75" hidden="1" customHeight="1" x14ac:dyDescent="0.2"/>
    <row r="28178" ht="12.75" hidden="1" customHeight="1" x14ac:dyDescent="0.2"/>
    <row r="28179" ht="12.75" hidden="1" customHeight="1" x14ac:dyDescent="0.2"/>
    <row r="28180" ht="12.75" hidden="1" customHeight="1" x14ac:dyDescent="0.2"/>
    <row r="28181" ht="12.75" hidden="1" customHeight="1" x14ac:dyDescent="0.2"/>
    <row r="28182" ht="12.75" hidden="1" customHeight="1" x14ac:dyDescent="0.2"/>
    <row r="28183" ht="12.75" hidden="1" customHeight="1" x14ac:dyDescent="0.2"/>
    <row r="28184" ht="12.75" hidden="1" customHeight="1" x14ac:dyDescent="0.2"/>
    <row r="28185" ht="12.75" hidden="1" customHeight="1" x14ac:dyDescent="0.2"/>
    <row r="28186" ht="12.75" hidden="1" customHeight="1" x14ac:dyDescent="0.2"/>
    <row r="28187" ht="12.75" hidden="1" customHeight="1" x14ac:dyDescent="0.2"/>
    <row r="28188" ht="12.75" hidden="1" customHeight="1" x14ac:dyDescent="0.2"/>
    <row r="28189" ht="12.75" hidden="1" customHeight="1" x14ac:dyDescent="0.2"/>
    <row r="28190" ht="12.75" hidden="1" customHeight="1" x14ac:dyDescent="0.2"/>
    <row r="28191" ht="12.75" hidden="1" customHeight="1" x14ac:dyDescent="0.2"/>
    <row r="28192" ht="12.75" hidden="1" customHeight="1" x14ac:dyDescent="0.2"/>
    <row r="28193" ht="12.75" hidden="1" customHeight="1" x14ac:dyDescent="0.2"/>
    <row r="28194" ht="12.75" hidden="1" customHeight="1" x14ac:dyDescent="0.2"/>
    <row r="28195" ht="12.75" hidden="1" customHeight="1" x14ac:dyDescent="0.2"/>
    <row r="28196" ht="12.75" hidden="1" customHeight="1" x14ac:dyDescent="0.2"/>
    <row r="28197" ht="12.75" hidden="1" customHeight="1" x14ac:dyDescent="0.2"/>
    <row r="28198" ht="12.75" hidden="1" customHeight="1" x14ac:dyDescent="0.2"/>
    <row r="28199" ht="12.75" hidden="1" customHeight="1" x14ac:dyDescent="0.2"/>
    <row r="28200" ht="12.75" hidden="1" customHeight="1" x14ac:dyDescent="0.2"/>
    <row r="28201" ht="12.75" hidden="1" customHeight="1" x14ac:dyDescent="0.2"/>
    <row r="28202" ht="12.75" hidden="1" customHeight="1" x14ac:dyDescent="0.2"/>
    <row r="28203" ht="12.75" hidden="1" customHeight="1" x14ac:dyDescent="0.2"/>
    <row r="28204" ht="12.75" hidden="1" customHeight="1" x14ac:dyDescent="0.2"/>
    <row r="28205" ht="12.75" hidden="1" customHeight="1" x14ac:dyDescent="0.2"/>
    <row r="28206" ht="12.75" hidden="1" customHeight="1" x14ac:dyDescent="0.2"/>
    <row r="28207" ht="12.75" hidden="1" customHeight="1" x14ac:dyDescent="0.2"/>
    <row r="28208" ht="12.75" hidden="1" customHeight="1" x14ac:dyDescent="0.2"/>
    <row r="28209" ht="12.75" hidden="1" customHeight="1" x14ac:dyDescent="0.2"/>
    <row r="28210" ht="12.75" hidden="1" customHeight="1" x14ac:dyDescent="0.2"/>
    <row r="28211" ht="12.75" hidden="1" customHeight="1" x14ac:dyDescent="0.2"/>
    <row r="28212" ht="12.75" hidden="1" customHeight="1" x14ac:dyDescent="0.2"/>
    <row r="28213" ht="12.75" hidden="1" customHeight="1" x14ac:dyDescent="0.2"/>
    <row r="28214" ht="12.75" hidden="1" customHeight="1" x14ac:dyDescent="0.2"/>
    <row r="28215" ht="12.75" hidden="1" customHeight="1" x14ac:dyDescent="0.2"/>
    <row r="28216" ht="12.75" hidden="1" customHeight="1" x14ac:dyDescent="0.2"/>
    <row r="28217" ht="12.75" hidden="1" customHeight="1" x14ac:dyDescent="0.2"/>
    <row r="28218" ht="12.75" hidden="1" customHeight="1" x14ac:dyDescent="0.2"/>
    <row r="28219" ht="12.75" hidden="1" customHeight="1" x14ac:dyDescent="0.2"/>
    <row r="28220" ht="12.75" hidden="1" customHeight="1" x14ac:dyDescent="0.2"/>
    <row r="28221" ht="12.75" hidden="1" customHeight="1" x14ac:dyDescent="0.2"/>
    <row r="28222" ht="12.75" hidden="1" customHeight="1" x14ac:dyDescent="0.2"/>
    <row r="28223" ht="12.75" hidden="1" customHeight="1" x14ac:dyDescent="0.2"/>
    <row r="28224" ht="12.75" hidden="1" customHeight="1" x14ac:dyDescent="0.2"/>
    <row r="28225" ht="12.75" hidden="1" customHeight="1" x14ac:dyDescent="0.2"/>
    <row r="28226" ht="12.75" hidden="1" customHeight="1" x14ac:dyDescent="0.2"/>
    <row r="28227" ht="12.75" hidden="1" customHeight="1" x14ac:dyDescent="0.2"/>
    <row r="28228" ht="12.75" hidden="1" customHeight="1" x14ac:dyDescent="0.2"/>
    <row r="28229" ht="12.75" hidden="1" customHeight="1" x14ac:dyDescent="0.2"/>
    <row r="28230" ht="12.75" hidden="1" customHeight="1" x14ac:dyDescent="0.2"/>
    <row r="28231" ht="12.75" hidden="1" customHeight="1" x14ac:dyDescent="0.2"/>
    <row r="28232" ht="12.75" hidden="1" customHeight="1" x14ac:dyDescent="0.2"/>
    <row r="28233" ht="12.75" hidden="1" customHeight="1" x14ac:dyDescent="0.2"/>
    <row r="28234" ht="12.75" hidden="1" customHeight="1" x14ac:dyDescent="0.2"/>
    <row r="28235" ht="12.75" hidden="1" customHeight="1" x14ac:dyDescent="0.2"/>
    <row r="28236" ht="12.75" hidden="1" customHeight="1" x14ac:dyDescent="0.2"/>
    <row r="28237" ht="12.75" hidden="1" customHeight="1" x14ac:dyDescent="0.2"/>
    <row r="28238" ht="12.75" hidden="1" customHeight="1" x14ac:dyDescent="0.2"/>
    <row r="28239" ht="12.75" hidden="1" customHeight="1" x14ac:dyDescent="0.2"/>
    <row r="28240" ht="12.75" hidden="1" customHeight="1" x14ac:dyDescent="0.2"/>
    <row r="28241" ht="12.75" hidden="1" customHeight="1" x14ac:dyDescent="0.2"/>
    <row r="28242" ht="12.75" hidden="1" customHeight="1" x14ac:dyDescent="0.2"/>
    <row r="28243" ht="12.75" hidden="1" customHeight="1" x14ac:dyDescent="0.2"/>
    <row r="28244" ht="12.75" hidden="1" customHeight="1" x14ac:dyDescent="0.2"/>
    <row r="28245" ht="12.75" hidden="1" customHeight="1" x14ac:dyDescent="0.2"/>
    <row r="28246" ht="12.75" hidden="1" customHeight="1" x14ac:dyDescent="0.2"/>
    <row r="28247" ht="12.75" hidden="1" customHeight="1" x14ac:dyDescent="0.2"/>
    <row r="28248" ht="12.75" hidden="1" customHeight="1" x14ac:dyDescent="0.2"/>
    <row r="28249" ht="12.75" hidden="1" customHeight="1" x14ac:dyDescent="0.2"/>
    <row r="28250" ht="12.75" hidden="1" customHeight="1" x14ac:dyDescent="0.2"/>
    <row r="28251" ht="12.75" hidden="1" customHeight="1" x14ac:dyDescent="0.2"/>
    <row r="28252" ht="12.75" hidden="1" customHeight="1" x14ac:dyDescent="0.2"/>
    <row r="28253" ht="12.75" hidden="1" customHeight="1" x14ac:dyDescent="0.2"/>
    <row r="28254" ht="12.75" hidden="1" customHeight="1" x14ac:dyDescent="0.2"/>
    <row r="28255" ht="12.75" hidden="1" customHeight="1" x14ac:dyDescent="0.2"/>
    <row r="28256" ht="12.75" hidden="1" customHeight="1" x14ac:dyDescent="0.2"/>
    <row r="28257" ht="12.75" hidden="1" customHeight="1" x14ac:dyDescent="0.2"/>
    <row r="28258" ht="12.75" hidden="1" customHeight="1" x14ac:dyDescent="0.2"/>
    <row r="28259" ht="12.75" hidden="1" customHeight="1" x14ac:dyDescent="0.2"/>
    <row r="28260" ht="12.75" hidden="1" customHeight="1" x14ac:dyDescent="0.2"/>
    <row r="28261" ht="12.75" hidden="1" customHeight="1" x14ac:dyDescent="0.2"/>
    <row r="28262" ht="12.75" hidden="1" customHeight="1" x14ac:dyDescent="0.2"/>
    <row r="28263" ht="12.75" hidden="1" customHeight="1" x14ac:dyDescent="0.2"/>
    <row r="28264" ht="12.75" hidden="1" customHeight="1" x14ac:dyDescent="0.2"/>
    <row r="28265" ht="12.75" hidden="1" customHeight="1" x14ac:dyDescent="0.2"/>
    <row r="28266" ht="12.75" hidden="1" customHeight="1" x14ac:dyDescent="0.2"/>
    <row r="28267" ht="12.75" hidden="1" customHeight="1" x14ac:dyDescent="0.2"/>
    <row r="28268" ht="12.75" hidden="1" customHeight="1" x14ac:dyDescent="0.2"/>
    <row r="28269" ht="12.75" hidden="1" customHeight="1" x14ac:dyDescent="0.2"/>
    <row r="28270" ht="12.75" hidden="1" customHeight="1" x14ac:dyDescent="0.2"/>
    <row r="28271" ht="12.75" hidden="1" customHeight="1" x14ac:dyDescent="0.2"/>
    <row r="28272" ht="12.75" hidden="1" customHeight="1" x14ac:dyDescent="0.2"/>
    <row r="28273" ht="12.75" hidden="1" customHeight="1" x14ac:dyDescent="0.2"/>
    <row r="28274" ht="12.75" hidden="1" customHeight="1" x14ac:dyDescent="0.2"/>
    <row r="28275" ht="12.75" hidden="1" customHeight="1" x14ac:dyDescent="0.2"/>
    <row r="28276" ht="12.75" hidden="1" customHeight="1" x14ac:dyDescent="0.2"/>
    <row r="28277" ht="12.75" hidden="1" customHeight="1" x14ac:dyDescent="0.2"/>
    <row r="28278" ht="12.75" hidden="1" customHeight="1" x14ac:dyDescent="0.2"/>
    <row r="28279" ht="12.75" hidden="1" customHeight="1" x14ac:dyDescent="0.2"/>
    <row r="28280" ht="12.75" hidden="1" customHeight="1" x14ac:dyDescent="0.2"/>
    <row r="28281" ht="12.75" hidden="1" customHeight="1" x14ac:dyDescent="0.2"/>
    <row r="28282" ht="12.75" hidden="1" customHeight="1" x14ac:dyDescent="0.2"/>
    <row r="28283" ht="12.75" hidden="1" customHeight="1" x14ac:dyDescent="0.2"/>
    <row r="28284" ht="12.75" hidden="1" customHeight="1" x14ac:dyDescent="0.2"/>
    <row r="28285" ht="12.75" hidden="1" customHeight="1" x14ac:dyDescent="0.2"/>
    <row r="28286" ht="12.75" hidden="1" customHeight="1" x14ac:dyDescent="0.2"/>
    <row r="28287" ht="12.75" hidden="1" customHeight="1" x14ac:dyDescent="0.2"/>
    <row r="28288" ht="12.75" hidden="1" customHeight="1" x14ac:dyDescent="0.2"/>
    <row r="28289" ht="12.75" hidden="1" customHeight="1" x14ac:dyDescent="0.2"/>
    <row r="28290" ht="12.75" hidden="1" customHeight="1" x14ac:dyDescent="0.2"/>
    <row r="28291" ht="12.75" hidden="1" customHeight="1" x14ac:dyDescent="0.2"/>
    <row r="28292" ht="12.75" hidden="1" customHeight="1" x14ac:dyDescent="0.2"/>
    <row r="28293" ht="12.75" hidden="1" customHeight="1" x14ac:dyDescent="0.2"/>
    <row r="28294" ht="12.75" hidden="1" customHeight="1" x14ac:dyDescent="0.2"/>
    <row r="28295" ht="12.75" hidden="1" customHeight="1" x14ac:dyDescent="0.2"/>
    <row r="28296" ht="12.75" hidden="1" customHeight="1" x14ac:dyDescent="0.2"/>
    <row r="28297" ht="12.75" hidden="1" customHeight="1" x14ac:dyDescent="0.2"/>
    <row r="28298" ht="12.75" hidden="1" customHeight="1" x14ac:dyDescent="0.2"/>
    <row r="28299" ht="12.75" hidden="1" customHeight="1" x14ac:dyDescent="0.2"/>
    <row r="28300" ht="12.75" hidden="1" customHeight="1" x14ac:dyDescent="0.2"/>
    <row r="28301" ht="12.75" hidden="1" customHeight="1" x14ac:dyDescent="0.2"/>
    <row r="28302" ht="12.75" hidden="1" customHeight="1" x14ac:dyDescent="0.2"/>
    <row r="28303" ht="12.75" hidden="1" customHeight="1" x14ac:dyDescent="0.2"/>
    <row r="28304" ht="12.75" hidden="1" customHeight="1" x14ac:dyDescent="0.2"/>
    <row r="28305" ht="12.75" hidden="1" customHeight="1" x14ac:dyDescent="0.2"/>
    <row r="28306" ht="12.75" hidden="1" customHeight="1" x14ac:dyDescent="0.2"/>
    <row r="28307" ht="12.75" hidden="1" customHeight="1" x14ac:dyDescent="0.2"/>
    <row r="28308" ht="12.75" hidden="1" customHeight="1" x14ac:dyDescent="0.2"/>
    <row r="28309" ht="12.75" hidden="1" customHeight="1" x14ac:dyDescent="0.2"/>
    <row r="28310" ht="12.75" hidden="1" customHeight="1" x14ac:dyDescent="0.2"/>
    <row r="28311" ht="12.75" hidden="1" customHeight="1" x14ac:dyDescent="0.2"/>
    <row r="28312" ht="12.75" hidden="1" customHeight="1" x14ac:dyDescent="0.2"/>
    <row r="28313" ht="12.75" hidden="1" customHeight="1" x14ac:dyDescent="0.2"/>
    <row r="28314" ht="12.75" hidden="1" customHeight="1" x14ac:dyDescent="0.2"/>
    <row r="28315" ht="12.75" hidden="1" customHeight="1" x14ac:dyDescent="0.2"/>
    <row r="28316" ht="12.75" hidden="1" customHeight="1" x14ac:dyDescent="0.2"/>
    <row r="28317" ht="12.75" hidden="1" customHeight="1" x14ac:dyDescent="0.2"/>
    <row r="28318" ht="12.75" hidden="1" customHeight="1" x14ac:dyDescent="0.2"/>
    <row r="28319" ht="12.75" hidden="1" customHeight="1" x14ac:dyDescent="0.2"/>
    <row r="28320" ht="12.75" hidden="1" customHeight="1" x14ac:dyDescent="0.2"/>
    <row r="28321" ht="12.75" hidden="1" customHeight="1" x14ac:dyDescent="0.2"/>
    <row r="28322" ht="12.75" hidden="1" customHeight="1" x14ac:dyDescent="0.2"/>
    <row r="28323" ht="12.75" hidden="1" customHeight="1" x14ac:dyDescent="0.2"/>
    <row r="28324" ht="12.75" hidden="1" customHeight="1" x14ac:dyDescent="0.2"/>
    <row r="28325" ht="12.75" hidden="1" customHeight="1" x14ac:dyDescent="0.2"/>
    <row r="28326" ht="12.75" hidden="1" customHeight="1" x14ac:dyDescent="0.2"/>
    <row r="28327" ht="12.75" hidden="1" customHeight="1" x14ac:dyDescent="0.2"/>
    <row r="28328" ht="12.75" hidden="1" customHeight="1" x14ac:dyDescent="0.2"/>
    <row r="28329" ht="12.75" hidden="1" customHeight="1" x14ac:dyDescent="0.2"/>
    <row r="28330" ht="12.75" hidden="1" customHeight="1" x14ac:dyDescent="0.2"/>
    <row r="28331" ht="12.75" hidden="1" customHeight="1" x14ac:dyDescent="0.2"/>
    <row r="28332" ht="12.75" hidden="1" customHeight="1" x14ac:dyDescent="0.2"/>
    <row r="28333" ht="12.75" hidden="1" customHeight="1" x14ac:dyDescent="0.2"/>
    <row r="28334" ht="12.75" hidden="1" customHeight="1" x14ac:dyDescent="0.2"/>
    <row r="28335" ht="12.75" hidden="1" customHeight="1" x14ac:dyDescent="0.2"/>
    <row r="28336" ht="12.75" hidden="1" customHeight="1" x14ac:dyDescent="0.2"/>
    <row r="28337" ht="12.75" hidden="1" customHeight="1" x14ac:dyDescent="0.2"/>
    <row r="28338" ht="12.75" hidden="1" customHeight="1" x14ac:dyDescent="0.2"/>
    <row r="28339" ht="12.75" hidden="1" customHeight="1" x14ac:dyDescent="0.2"/>
    <row r="28340" ht="12.75" hidden="1" customHeight="1" x14ac:dyDescent="0.2"/>
    <row r="28341" ht="12.75" hidden="1" customHeight="1" x14ac:dyDescent="0.2"/>
    <row r="28342" ht="12.75" hidden="1" customHeight="1" x14ac:dyDescent="0.2"/>
    <row r="28343" ht="12.75" hidden="1" customHeight="1" x14ac:dyDescent="0.2"/>
    <row r="28344" ht="12.75" hidden="1" customHeight="1" x14ac:dyDescent="0.2"/>
    <row r="28345" ht="12.75" hidden="1" customHeight="1" x14ac:dyDescent="0.2"/>
    <row r="28346" ht="12.75" hidden="1" customHeight="1" x14ac:dyDescent="0.2"/>
    <row r="28347" ht="12.75" hidden="1" customHeight="1" x14ac:dyDescent="0.2"/>
    <row r="28348" ht="12.75" hidden="1" customHeight="1" x14ac:dyDescent="0.2"/>
    <row r="28349" ht="12.75" hidden="1" customHeight="1" x14ac:dyDescent="0.2"/>
    <row r="28350" ht="12.75" hidden="1" customHeight="1" x14ac:dyDescent="0.2"/>
    <row r="28351" ht="12.75" hidden="1" customHeight="1" x14ac:dyDescent="0.2"/>
    <row r="28352" ht="12.75" hidden="1" customHeight="1" x14ac:dyDescent="0.2"/>
    <row r="28353" ht="12.75" hidden="1" customHeight="1" x14ac:dyDescent="0.2"/>
    <row r="28354" ht="12.75" hidden="1" customHeight="1" x14ac:dyDescent="0.2"/>
    <row r="28355" ht="12.75" hidden="1" customHeight="1" x14ac:dyDescent="0.2"/>
    <row r="28356" ht="12.75" hidden="1" customHeight="1" x14ac:dyDescent="0.2"/>
    <row r="28357" ht="12.75" hidden="1" customHeight="1" x14ac:dyDescent="0.2"/>
    <row r="28358" ht="12.75" hidden="1" customHeight="1" x14ac:dyDescent="0.2"/>
    <row r="28359" ht="12.75" hidden="1" customHeight="1" x14ac:dyDescent="0.2"/>
    <row r="28360" ht="12.75" hidden="1" customHeight="1" x14ac:dyDescent="0.2"/>
    <row r="28361" ht="12.75" hidden="1" customHeight="1" x14ac:dyDescent="0.2"/>
    <row r="28362" ht="12.75" hidden="1" customHeight="1" x14ac:dyDescent="0.2"/>
    <row r="28363" ht="12.75" hidden="1" customHeight="1" x14ac:dyDescent="0.2"/>
    <row r="28364" ht="12.75" hidden="1" customHeight="1" x14ac:dyDescent="0.2"/>
    <row r="28365" ht="12.75" hidden="1" customHeight="1" x14ac:dyDescent="0.2"/>
    <row r="28366" ht="12.75" hidden="1" customHeight="1" x14ac:dyDescent="0.2"/>
    <row r="28367" ht="12.75" hidden="1" customHeight="1" x14ac:dyDescent="0.2"/>
    <row r="28368" ht="12.75" hidden="1" customHeight="1" x14ac:dyDescent="0.2"/>
    <row r="28369" ht="12.75" hidden="1" customHeight="1" x14ac:dyDescent="0.2"/>
    <row r="28370" ht="12.75" hidden="1" customHeight="1" x14ac:dyDescent="0.2"/>
    <row r="28371" ht="12.75" hidden="1" customHeight="1" x14ac:dyDescent="0.2"/>
    <row r="28372" ht="12.75" hidden="1" customHeight="1" x14ac:dyDescent="0.2"/>
    <row r="28373" ht="12.75" hidden="1" customHeight="1" x14ac:dyDescent="0.2"/>
    <row r="28374" ht="12.75" hidden="1" customHeight="1" x14ac:dyDescent="0.2"/>
    <row r="28375" ht="12.75" hidden="1" customHeight="1" x14ac:dyDescent="0.2"/>
    <row r="28376" ht="12.75" hidden="1" customHeight="1" x14ac:dyDescent="0.2"/>
    <row r="28377" ht="12.75" hidden="1" customHeight="1" x14ac:dyDescent="0.2"/>
    <row r="28378" ht="12.75" hidden="1" customHeight="1" x14ac:dyDescent="0.2"/>
    <row r="28379" ht="12.75" hidden="1" customHeight="1" x14ac:dyDescent="0.2"/>
    <row r="28380" ht="12.75" hidden="1" customHeight="1" x14ac:dyDescent="0.2"/>
    <row r="28381" ht="12.75" hidden="1" customHeight="1" x14ac:dyDescent="0.2"/>
    <row r="28382" ht="12.75" hidden="1" customHeight="1" x14ac:dyDescent="0.2"/>
    <row r="28383" ht="12.75" hidden="1" customHeight="1" x14ac:dyDescent="0.2"/>
    <row r="28384" ht="12.75" hidden="1" customHeight="1" x14ac:dyDescent="0.2"/>
    <row r="28385" ht="12.75" hidden="1" customHeight="1" x14ac:dyDescent="0.2"/>
    <row r="28386" ht="12.75" hidden="1" customHeight="1" x14ac:dyDescent="0.2"/>
    <row r="28387" ht="12.75" hidden="1" customHeight="1" x14ac:dyDescent="0.2"/>
    <row r="28388" ht="12.75" hidden="1" customHeight="1" x14ac:dyDescent="0.2"/>
    <row r="28389" ht="12.75" hidden="1" customHeight="1" x14ac:dyDescent="0.2"/>
    <row r="28390" ht="12.75" hidden="1" customHeight="1" x14ac:dyDescent="0.2"/>
    <row r="28391" ht="12.75" hidden="1" customHeight="1" x14ac:dyDescent="0.2"/>
    <row r="28392" ht="12.75" hidden="1" customHeight="1" x14ac:dyDescent="0.2"/>
    <row r="28393" ht="12.75" hidden="1" customHeight="1" x14ac:dyDescent="0.2"/>
    <row r="28394" ht="12.75" hidden="1" customHeight="1" x14ac:dyDescent="0.2"/>
    <row r="28395" ht="12.75" hidden="1" customHeight="1" x14ac:dyDescent="0.2"/>
    <row r="28396" ht="12.75" hidden="1" customHeight="1" x14ac:dyDescent="0.2"/>
    <row r="28397" ht="12.75" hidden="1" customHeight="1" x14ac:dyDescent="0.2"/>
    <row r="28398" ht="12.75" hidden="1" customHeight="1" x14ac:dyDescent="0.2"/>
    <row r="28399" ht="12.75" hidden="1" customHeight="1" x14ac:dyDescent="0.2"/>
    <row r="28400" ht="12.75" hidden="1" customHeight="1" x14ac:dyDescent="0.2"/>
    <row r="28401" ht="12.75" hidden="1" customHeight="1" x14ac:dyDescent="0.2"/>
    <row r="28402" ht="12.75" hidden="1" customHeight="1" x14ac:dyDescent="0.2"/>
    <row r="28403" ht="12.75" hidden="1" customHeight="1" x14ac:dyDescent="0.2"/>
    <row r="28404" ht="12.75" hidden="1" customHeight="1" x14ac:dyDescent="0.2"/>
    <row r="28405" ht="12.75" hidden="1" customHeight="1" x14ac:dyDescent="0.2"/>
    <row r="28406" ht="12.75" hidden="1" customHeight="1" x14ac:dyDescent="0.2"/>
    <row r="28407" ht="12.75" hidden="1" customHeight="1" x14ac:dyDescent="0.2"/>
    <row r="28408" ht="12.75" hidden="1" customHeight="1" x14ac:dyDescent="0.2"/>
    <row r="28409" ht="12.75" hidden="1" customHeight="1" x14ac:dyDescent="0.2"/>
    <row r="28410" ht="12.75" hidden="1" customHeight="1" x14ac:dyDescent="0.2"/>
    <row r="28411" ht="12.75" hidden="1" customHeight="1" x14ac:dyDescent="0.2"/>
    <row r="28412" ht="12.75" hidden="1" customHeight="1" x14ac:dyDescent="0.2"/>
    <row r="28413" ht="12.75" hidden="1" customHeight="1" x14ac:dyDescent="0.2"/>
    <row r="28414" ht="12.75" hidden="1" customHeight="1" x14ac:dyDescent="0.2"/>
    <row r="28415" ht="12.75" hidden="1" customHeight="1" x14ac:dyDescent="0.2"/>
    <row r="28416" ht="12.75" hidden="1" customHeight="1" x14ac:dyDescent="0.2"/>
    <row r="28417" ht="12.75" hidden="1" customHeight="1" x14ac:dyDescent="0.2"/>
    <row r="28418" ht="12.75" hidden="1" customHeight="1" x14ac:dyDescent="0.2"/>
    <row r="28419" ht="12.75" hidden="1" customHeight="1" x14ac:dyDescent="0.2"/>
    <row r="28420" ht="12.75" hidden="1" customHeight="1" x14ac:dyDescent="0.2"/>
    <row r="28421" ht="12.75" hidden="1" customHeight="1" x14ac:dyDescent="0.2"/>
    <row r="28422" ht="12.75" hidden="1" customHeight="1" x14ac:dyDescent="0.2"/>
    <row r="28423" ht="12.75" hidden="1" customHeight="1" x14ac:dyDescent="0.2"/>
    <row r="28424" ht="12.75" hidden="1" customHeight="1" x14ac:dyDescent="0.2"/>
    <row r="28425" ht="12.75" hidden="1" customHeight="1" x14ac:dyDescent="0.2"/>
    <row r="28426" ht="12.75" hidden="1" customHeight="1" x14ac:dyDescent="0.2"/>
    <row r="28427" ht="12.75" hidden="1" customHeight="1" x14ac:dyDescent="0.2"/>
    <row r="28428" ht="12.75" hidden="1" customHeight="1" x14ac:dyDescent="0.2"/>
    <row r="28429" ht="12.75" hidden="1" customHeight="1" x14ac:dyDescent="0.2"/>
    <row r="28430" ht="12.75" hidden="1" customHeight="1" x14ac:dyDescent="0.2"/>
    <row r="28431" ht="12.75" hidden="1" customHeight="1" x14ac:dyDescent="0.2"/>
    <row r="28432" ht="12.75" hidden="1" customHeight="1" x14ac:dyDescent="0.2"/>
    <row r="28433" ht="12.75" hidden="1" customHeight="1" x14ac:dyDescent="0.2"/>
    <row r="28434" ht="12.75" hidden="1" customHeight="1" x14ac:dyDescent="0.2"/>
    <row r="28435" ht="12.75" hidden="1" customHeight="1" x14ac:dyDescent="0.2"/>
    <row r="28436" ht="12.75" hidden="1" customHeight="1" x14ac:dyDescent="0.2"/>
    <row r="28437" ht="12.75" hidden="1" customHeight="1" x14ac:dyDescent="0.2"/>
    <row r="28438" ht="12.75" hidden="1" customHeight="1" x14ac:dyDescent="0.2"/>
    <row r="28439" ht="12.75" hidden="1" customHeight="1" x14ac:dyDescent="0.2"/>
    <row r="28440" ht="12.75" hidden="1" customHeight="1" x14ac:dyDescent="0.2"/>
    <row r="28441" ht="12.75" hidden="1" customHeight="1" x14ac:dyDescent="0.2"/>
    <row r="28442" ht="12.75" hidden="1" customHeight="1" x14ac:dyDescent="0.2"/>
    <row r="28443" ht="12.75" hidden="1" customHeight="1" x14ac:dyDescent="0.2"/>
    <row r="28444" ht="12.75" hidden="1" customHeight="1" x14ac:dyDescent="0.2"/>
    <row r="28445" ht="12.75" hidden="1" customHeight="1" x14ac:dyDescent="0.2"/>
    <row r="28446" ht="12.75" hidden="1" customHeight="1" x14ac:dyDescent="0.2"/>
    <row r="28447" ht="12.75" hidden="1" customHeight="1" x14ac:dyDescent="0.2"/>
    <row r="28448" ht="12.75" hidden="1" customHeight="1" x14ac:dyDescent="0.2"/>
    <row r="28449" ht="12.75" hidden="1" customHeight="1" x14ac:dyDescent="0.2"/>
    <row r="28450" ht="12.75" hidden="1" customHeight="1" x14ac:dyDescent="0.2"/>
    <row r="28451" ht="12.75" hidden="1" customHeight="1" x14ac:dyDescent="0.2"/>
    <row r="28452" ht="12.75" hidden="1" customHeight="1" x14ac:dyDescent="0.2"/>
    <row r="28453" ht="12.75" hidden="1" customHeight="1" x14ac:dyDescent="0.2"/>
    <row r="28454" ht="12.75" hidden="1" customHeight="1" x14ac:dyDescent="0.2"/>
    <row r="28455" ht="12.75" hidden="1" customHeight="1" x14ac:dyDescent="0.2"/>
    <row r="28456" ht="12.75" hidden="1" customHeight="1" x14ac:dyDescent="0.2"/>
    <row r="28457" ht="12.75" hidden="1" customHeight="1" x14ac:dyDescent="0.2"/>
    <row r="28458" ht="12.75" hidden="1" customHeight="1" x14ac:dyDescent="0.2"/>
    <row r="28459" ht="12.75" hidden="1" customHeight="1" x14ac:dyDescent="0.2"/>
    <row r="28460" ht="12.75" hidden="1" customHeight="1" x14ac:dyDescent="0.2"/>
    <row r="28461" ht="12.75" hidden="1" customHeight="1" x14ac:dyDescent="0.2"/>
    <row r="28462" ht="12.75" hidden="1" customHeight="1" x14ac:dyDescent="0.2"/>
    <row r="28463" ht="12.75" hidden="1" customHeight="1" x14ac:dyDescent="0.2"/>
    <row r="28464" ht="12.75" hidden="1" customHeight="1" x14ac:dyDescent="0.2"/>
    <row r="28465" ht="12.75" hidden="1" customHeight="1" x14ac:dyDescent="0.2"/>
    <row r="28466" ht="12.75" hidden="1" customHeight="1" x14ac:dyDescent="0.2"/>
    <row r="28467" ht="12.75" hidden="1" customHeight="1" x14ac:dyDescent="0.2"/>
    <row r="28468" ht="12.75" hidden="1" customHeight="1" x14ac:dyDescent="0.2"/>
    <row r="28469" ht="12.75" hidden="1" customHeight="1" x14ac:dyDescent="0.2"/>
    <row r="28470" ht="12.75" hidden="1" customHeight="1" x14ac:dyDescent="0.2"/>
    <row r="28471" ht="12.75" hidden="1" customHeight="1" x14ac:dyDescent="0.2"/>
    <row r="28472" ht="12.75" hidden="1" customHeight="1" x14ac:dyDescent="0.2"/>
    <row r="28473" ht="12.75" hidden="1" customHeight="1" x14ac:dyDescent="0.2"/>
    <row r="28474" ht="12.75" hidden="1" customHeight="1" x14ac:dyDescent="0.2"/>
    <row r="28475" ht="12.75" hidden="1" customHeight="1" x14ac:dyDescent="0.2"/>
    <row r="28476" ht="12.75" hidden="1" customHeight="1" x14ac:dyDescent="0.2"/>
    <row r="28477" ht="12.75" hidden="1" customHeight="1" x14ac:dyDescent="0.2"/>
    <row r="28478" ht="12.75" hidden="1" customHeight="1" x14ac:dyDescent="0.2"/>
    <row r="28479" ht="12.75" hidden="1" customHeight="1" x14ac:dyDescent="0.2"/>
    <row r="28480" ht="12.75" hidden="1" customHeight="1" x14ac:dyDescent="0.2"/>
    <row r="28481" ht="12.75" hidden="1" customHeight="1" x14ac:dyDescent="0.2"/>
    <row r="28482" ht="12.75" hidden="1" customHeight="1" x14ac:dyDescent="0.2"/>
    <row r="28483" ht="12.75" hidden="1" customHeight="1" x14ac:dyDescent="0.2"/>
    <row r="28484" ht="12.75" hidden="1" customHeight="1" x14ac:dyDescent="0.2"/>
    <row r="28485" ht="12.75" hidden="1" customHeight="1" x14ac:dyDescent="0.2"/>
    <row r="28486" ht="12.75" hidden="1" customHeight="1" x14ac:dyDescent="0.2"/>
    <row r="28487" ht="12.75" hidden="1" customHeight="1" x14ac:dyDescent="0.2"/>
    <row r="28488" ht="12.75" hidden="1" customHeight="1" x14ac:dyDescent="0.2"/>
    <row r="28489" ht="12.75" hidden="1" customHeight="1" x14ac:dyDescent="0.2"/>
    <row r="28490" ht="12.75" hidden="1" customHeight="1" x14ac:dyDescent="0.2"/>
    <row r="28491" ht="12.75" hidden="1" customHeight="1" x14ac:dyDescent="0.2"/>
    <row r="28492" ht="12.75" hidden="1" customHeight="1" x14ac:dyDescent="0.2"/>
    <row r="28493" ht="12.75" hidden="1" customHeight="1" x14ac:dyDescent="0.2"/>
    <row r="28494" ht="12.75" hidden="1" customHeight="1" x14ac:dyDescent="0.2"/>
    <row r="28495" ht="12.75" hidden="1" customHeight="1" x14ac:dyDescent="0.2"/>
    <row r="28496" ht="12.75" hidden="1" customHeight="1" x14ac:dyDescent="0.2"/>
    <row r="28497" ht="12.75" hidden="1" customHeight="1" x14ac:dyDescent="0.2"/>
    <row r="28498" ht="12.75" hidden="1" customHeight="1" x14ac:dyDescent="0.2"/>
    <row r="28499" ht="12.75" hidden="1" customHeight="1" x14ac:dyDescent="0.2"/>
    <row r="28500" ht="12.75" hidden="1" customHeight="1" x14ac:dyDescent="0.2"/>
    <row r="28501" ht="12.75" hidden="1" customHeight="1" x14ac:dyDescent="0.2"/>
    <row r="28502" ht="12.75" hidden="1" customHeight="1" x14ac:dyDescent="0.2"/>
    <row r="28503" ht="12.75" hidden="1" customHeight="1" x14ac:dyDescent="0.2"/>
    <row r="28504" ht="12.75" hidden="1" customHeight="1" x14ac:dyDescent="0.2"/>
    <row r="28505" ht="12.75" hidden="1" customHeight="1" x14ac:dyDescent="0.2"/>
    <row r="28506" ht="12.75" hidden="1" customHeight="1" x14ac:dyDescent="0.2"/>
    <row r="28507" ht="12.75" hidden="1" customHeight="1" x14ac:dyDescent="0.2"/>
    <row r="28508" ht="12.75" hidden="1" customHeight="1" x14ac:dyDescent="0.2"/>
    <row r="28509" ht="12.75" hidden="1" customHeight="1" x14ac:dyDescent="0.2"/>
    <row r="28510" ht="12.75" hidden="1" customHeight="1" x14ac:dyDescent="0.2"/>
    <row r="28511" ht="12.75" hidden="1" customHeight="1" x14ac:dyDescent="0.2"/>
    <row r="28512" ht="12.75" hidden="1" customHeight="1" x14ac:dyDescent="0.2"/>
    <row r="28513" ht="12.75" hidden="1" customHeight="1" x14ac:dyDescent="0.2"/>
    <row r="28514" ht="12.75" hidden="1" customHeight="1" x14ac:dyDescent="0.2"/>
    <row r="28515" ht="12.75" hidden="1" customHeight="1" x14ac:dyDescent="0.2"/>
    <row r="28516" ht="12.75" hidden="1" customHeight="1" x14ac:dyDescent="0.2"/>
    <row r="28517" ht="12.75" hidden="1" customHeight="1" x14ac:dyDescent="0.2"/>
    <row r="28518" ht="12.75" hidden="1" customHeight="1" x14ac:dyDescent="0.2"/>
    <row r="28519" ht="12.75" hidden="1" customHeight="1" x14ac:dyDescent="0.2"/>
    <row r="28520" ht="12.75" hidden="1" customHeight="1" x14ac:dyDescent="0.2"/>
    <row r="28521" ht="12.75" hidden="1" customHeight="1" x14ac:dyDescent="0.2"/>
    <row r="28522" ht="12.75" hidden="1" customHeight="1" x14ac:dyDescent="0.2"/>
    <row r="28523" ht="12.75" hidden="1" customHeight="1" x14ac:dyDescent="0.2"/>
    <row r="28524" ht="12.75" hidden="1" customHeight="1" x14ac:dyDescent="0.2"/>
    <row r="28525" ht="12.75" hidden="1" customHeight="1" x14ac:dyDescent="0.2"/>
    <row r="28526" ht="12.75" hidden="1" customHeight="1" x14ac:dyDescent="0.2"/>
    <row r="28527" ht="12.75" hidden="1" customHeight="1" x14ac:dyDescent="0.2"/>
    <row r="28528" ht="12.75" hidden="1" customHeight="1" x14ac:dyDescent="0.2"/>
    <row r="28529" ht="12.75" hidden="1" customHeight="1" x14ac:dyDescent="0.2"/>
    <row r="28530" ht="12.75" hidden="1" customHeight="1" x14ac:dyDescent="0.2"/>
    <row r="28531" ht="12.75" hidden="1" customHeight="1" x14ac:dyDescent="0.2"/>
    <row r="28532" ht="12.75" hidden="1" customHeight="1" x14ac:dyDescent="0.2"/>
    <row r="28533" ht="12.75" hidden="1" customHeight="1" x14ac:dyDescent="0.2"/>
    <row r="28534" ht="12.75" hidden="1" customHeight="1" x14ac:dyDescent="0.2"/>
    <row r="28535" ht="12.75" hidden="1" customHeight="1" x14ac:dyDescent="0.2"/>
    <row r="28536" ht="12.75" hidden="1" customHeight="1" x14ac:dyDescent="0.2"/>
    <row r="28537" ht="12.75" hidden="1" customHeight="1" x14ac:dyDescent="0.2"/>
    <row r="28538" ht="12.75" hidden="1" customHeight="1" x14ac:dyDescent="0.2"/>
    <row r="28539" ht="12.75" hidden="1" customHeight="1" x14ac:dyDescent="0.2"/>
    <row r="28540" ht="12.75" hidden="1" customHeight="1" x14ac:dyDescent="0.2"/>
    <row r="28541" ht="12.75" hidden="1" customHeight="1" x14ac:dyDescent="0.2"/>
    <row r="28542" ht="12.75" hidden="1" customHeight="1" x14ac:dyDescent="0.2"/>
    <row r="28543" ht="12.75" hidden="1" customHeight="1" x14ac:dyDescent="0.2"/>
    <row r="28544" ht="12.75" hidden="1" customHeight="1" x14ac:dyDescent="0.2"/>
    <row r="28545" ht="12.75" hidden="1" customHeight="1" x14ac:dyDescent="0.2"/>
    <row r="28546" ht="12.75" hidden="1" customHeight="1" x14ac:dyDescent="0.2"/>
    <row r="28547" ht="12.75" hidden="1" customHeight="1" x14ac:dyDescent="0.2"/>
    <row r="28548" ht="12.75" hidden="1" customHeight="1" x14ac:dyDescent="0.2"/>
    <row r="28549" ht="12.75" hidden="1" customHeight="1" x14ac:dyDescent="0.2"/>
    <row r="28550" ht="12.75" hidden="1" customHeight="1" x14ac:dyDescent="0.2"/>
    <row r="28551" ht="12.75" hidden="1" customHeight="1" x14ac:dyDescent="0.2"/>
    <row r="28552" ht="12.75" hidden="1" customHeight="1" x14ac:dyDescent="0.2"/>
    <row r="28553" ht="12.75" hidden="1" customHeight="1" x14ac:dyDescent="0.2"/>
    <row r="28554" ht="12.75" hidden="1" customHeight="1" x14ac:dyDescent="0.2"/>
    <row r="28555" ht="12.75" hidden="1" customHeight="1" x14ac:dyDescent="0.2"/>
    <row r="28556" ht="12.75" hidden="1" customHeight="1" x14ac:dyDescent="0.2"/>
    <row r="28557" ht="12.75" hidden="1" customHeight="1" x14ac:dyDescent="0.2"/>
    <row r="28558" ht="12.75" hidden="1" customHeight="1" x14ac:dyDescent="0.2"/>
    <row r="28559" ht="12.75" hidden="1" customHeight="1" x14ac:dyDescent="0.2"/>
    <row r="28560" ht="12.75" hidden="1" customHeight="1" x14ac:dyDescent="0.2"/>
    <row r="28561" ht="12.75" hidden="1" customHeight="1" x14ac:dyDescent="0.2"/>
    <row r="28562" ht="12.75" hidden="1" customHeight="1" x14ac:dyDescent="0.2"/>
    <row r="28563" ht="12.75" hidden="1" customHeight="1" x14ac:dyDescent="0.2"/>
    <row r="28564" ht="12.75" hidden="1" customHeight="1" x14ac:dyDescent="0.2"/>
    <row r="28565" ht="12.75" hidden="1" customHeight="1" x14ac:dyDescent="0.2"/>
    <row r="28566" ht="12.75" hidden="1" customHeight="1" x14ac:dyDescent="0.2"/>
    <row r="28567" ht="12.75" hidden="1" customHeight="1" x14ac:dyDescent="0.2"/>
    <row r="28568" ht="12.75" hidden="1" customHeight="1" x14ac:dyDescent="0.2"/>
    <row r="28569" ht="12.75" hidden="1" customHeight="1" x14ac:dyDescent="0.2"/>
    <row r="28570" ht="12.75" hidden="1" customHeight="1" x14ac:dyDescent="0.2"/>
    <row r="28571" ht="12.75" hidden="1" customHeight="1" x14ac:dyDescent="0.2"/>
    <row r="28572" ht="12.75" hidden="1" customHeight="1" x14ac:dyDescent="0.2"/>
    <row r="28573" ht="12.75" hidden="1" customHeight="1" x14ac:dyDescent="0.2"/>
    <row r="28574" ht="12.75" hidden="1" customHeight="1" x14ac:dyDescent="0.2"/>
    <row r="28575" ht="12.75" hidden="1" customHeight="1" x14ac:dyDescent="0.2"/>
    <row r="28576" ht="12.75" hidden="1" customHeight="1" x14ac:dyDescent="0.2"/>
    <row r="28577" ht="12.75" hidden="1" customHeight="1" x14ac:dyDescent="0.2"/>
    <row r="28578" ht="12.75" hidden="1" customHeight="1" x14ac:dyDescent="0.2"/>
    <row r="28579" ht="12.75" hidden="1" customHeight="1" x14ac:dyDescent="0.2"/>
    <row r="28580" ht="12.75" hidden="1" customHeight="1" x14ac:dyDescent="0.2"/>
    <row r="28581" ht="12.75" hidden="1" customHeight="1" x14ac:dyDescent="0.2"/>
    <row r="28582" ht="12.75" hidden="1" customHeight="1" x14ac:dyDescent="0.2"/>
    <row r="28583" ht="12.75" hidden="1" customHeight="1" x14ac:dyDescent="0.2"/>
    <row r="28584" ht="12.75" hidden="1" customHeight="1" x14ac:dyDescent="0.2"/>
    <row r="28585" ht="12.75" hidden="1" customHeight="1" x14ac:dyDescent="0.2"/>
    <row r="28586" ht="12.75" hidden="1" customHeight="1" x14ac:dyDescent="0.2"/>
    <row r="28587" ht="12.75" hidden="1" customHeight="1" x14ac:dyDescent="0.2"/>
    <row r="28588" ht="12.75" hidden="1" customHeight="1" x14ac:dyDescent="0.2"/>
    <row r="28589" ht="12.75" hidden="1" customHeight="1" x14ac:dyDescent="0.2"/>
    <row r="28590" ht="12.75" hidden="1" customHeight="1" x14ac:dyDescent="0.2"/>
    <row r="28591" ht="12.75" hidden="1" customHeight="1" x14ac:dyDescent="0.2"/>
    <row r="28592" ht="12.75" hidden="1" customHeight="1" x14ac:dyDescent="0.2"/>
    <row r="28593" ht="12.75" hidden="1" customHeight="1" x14ac:dyDescent="0.2"/>
    <row r="28594" ht="12.75" hidden="1" customHeight="1" x14ac:dyDescent="0.2"/>
    <row r="28595" ht="12.75" hidden="1" customHeight="1" x14ac:dyDescent="0.2"/>
    <row r="28596" ht="12.75" hidden="1" customHeight="1" x14ac:dyDescent="0.2"/>
    <row r="28597" ht="12.75" hidden="1" customHeight="1" x14ac:dyDescent="0.2"/>
    <row r="28598" ht="12.75" hidden="1" customHeight="1" x14ac:dyDescent="0.2"/>
    <row r="28599" ht="12.75" hidden="1" customHeight="1" x14ac:dyDescent="0.2"/>
    <row r="28600" ht="12.75" hidden="1" customHeight="1" x14ac:dyDescent="0.2"/>
    <row r="28601" ht="12.75" hidden="1" customHeight="1" x14ac:dyDescent="0.2"/>
    <row r="28602" ht="12.75" hidden="1" customHeight="1" x14ac:dyDescent="0.2"/>
    <row r="28603" ht="12.75" hidden="1" customHeight="1" x14ac:dyDescent="0.2"/>
    <row r="28604" ht="12.75" hidden="1" customHeight="1" x14ac:dyDescent="0.2"/>
    <row r="28605" ht="12.75" hidden="1" customHeight="1" x14ac:dyDescent="0.2"/>
    <row r="28606" ht="12.75" hidden="1" customHeight="1" x14ac:dyDescent="0.2"/>
    <row r="28607" ht="12.75" hidden="1" customHeight="1" x14ac:dyDescent="0.2"/>
    <row r="28608" ht="12.75" hidden="1" customHeight="1" x14ac:dyDescent="0.2"/>
    <row r="28609" ht="12.75" hidden="1" customHeight="1" x14ac:dyDescent="0.2"/>
    <row r="28610" ht="12.75" hidden="1" customHeight="1" x14ac:dyDescent="0.2"/>
    <row r="28611" ht="12.75" hidden="1" customHeight="1" x14ac:dyDescent="0.2"/>
    <row r="28612" ht="12.75" hidden="1" customHeight="1" x14ac:dyDescent="0.2"/>
    <row r="28613" ht="12.75" hidden="1" customHeight="1" x14ac:dyDescent="0.2"/>
    <row r="28614" ht="12.75" hidden="1" customHeight="1" x14ac:dyDescent="0.2"/>
    <row r="28615" ht="12.75" hidden="1" customHeight="1" x14ac:dyDescent="0.2"/>
    <row r="28616" ht="12.75" hidden="1" customHeight="1" x14ac:dyDescent="0.2"/>
    <row r="28617" ht="12.75" hidden="1" customHeight="1" x14ac:dyDescent="0.2"/>
    <row r="28618" ht="12.75" hidden="1" customHeight="1" x14ac:dyDescent="0.2"/>
    <row r="28619" ht="12.75" hidden="1" customHeight="1" x14ac:dyDescent="0.2"/>
    <row r="28620" ht="12.75" hidden="1" customHeight="1" x14ac:dyDescent="0.2"/>
    <row r="28621" ht="12.75" hidden="1" customHeight="1" x14ac:dyDescent="0.2"/>
    <row r="28622" ht="12.75" hidden="1" customHeight="1" x14ac:dyDescent="0.2"/>
    <row r="28623" ht="12.75" hidden="1" customHeight="1" x14ac:dyDescent="0.2"/>
    <row r="28624" ht="12.75" hidden="1" customHeight="1" x14ac:dyDescent="0.2"/>
    <row r="28625" ht="12.75" hidden="1" customHeight="1" x14ac:dyDescent="0.2"/>
    <row r="28626" ht="12.75" hidden="1" customHeight="1" x14ac:dyDescent="0.2"/>
    <row r="28627" ht="12.75" hidden="1" customHeight="1" x14ac:dyDescent="0.2"/>
    <row r="28628" ht="12.75" hidden="1" customHeight="1" x14ac:dyDescent="0.2"/>
    <row r="28629" ht="12.75" hidden="1" customHeight="1" x14ac:dyDescent="0.2"/>
    <row r="28630" ht="12.75" hidden="1" customHeight="1" x14ac:dyDescent="0.2"/>
    <row r="28631" ht="12.75" hidden="1" customHeight="1" x14ac:dyDescent="0.2"/>
    <row r="28632" ht="12.75" hidden="1" customHeight="1" x14ac:dyDescent="0.2"/>
    <row r="28633" ht="12.75" hidden="1" customHeight="1" x14ac:dyDescent="0.2"/>
    <row r="28634" ht="12.75" hidden="1" customHeight="1" x14ac:dyDescent="0.2"/>
    <row r="28635" ht="12.75" hidden="1" customHeight="1" x14ac:dyDescent="0.2"/>
    <row r="28636" ht="12.75" hidden="1" customHeight="1" x14ac:dyDescent="0.2"/>
    <row r="28637" ht="12.75" hidden="1" customHeight="1" x14ac:dyDescent="0.2"/>
    <row r="28638" ht="12.75" hidden="1" customHeight="1" x14ac:dyDescent="0.2"/>
    <row r="28639" ht="12.75" hidden="1" customHeight="1" x14ac:dyDescent="0.2"/>
    <row r="28640" ht="12.75" hidden="1" customHeight="1" x14ac:dyDescent="0.2"/>
    <row r="28641" ht="12.75" hidden="1" customHeight="1" x14ac:dyDescent="0.2"/>
    <row r="28642" ht="12.75" hidden="1" customHeight="1" x14ac:dyDescent="0.2"/>
    <row r="28643" ht="12.75" hidden="1" customHeight="1" x14ac:dyDescent="0.2"/>
    <row r="28644" ht="12.75" hidden="1" customHeight="1" x14ac:dyDescent="0.2"/>
    <row r="28645" ht="12.75" hidden="1" customHeight="1" x14ac:dyDescent="0.2"/>
    <row r="28646" ht="12.75" hidden="1" customHeight="1" x14ac:dyDescent="0.2"/>
    <row r="28647" ht="12.75" hidden="1" customHeight="1" x14ac:dyDescent="0.2"/>
    <row r="28648" ht="12.75" hidden="1" customHeight="1" x14ac:dyDescent="0.2"/>
    <row r="28649" ht="12.75" hidden="1" customHeight="1" x14ac:dyDescent="0.2"/>
    <row r="28650" ht="12.75" hidden="1" customHeight="1" x14ac:dyDescent="0.2"/>
    <row r="28651" ht="12.75" hidden="1" customHeight="1" x14ac:dyDescent="0.2"/>
    <row r="28652" ht="12.75" hidden="1" customHeight="1" x14ac:dyDescent="0.2"/>
    <row r="28653" ht="12.75" hidden="1" customHeight="1" x14ac:dyDescent="0.2"/>
    <row r="28654" ht="12.75" hidden="1" customHeight="1" x14ac:dyDescent="0.2"/>
    <row r="28655" ht="12.75" hidden="1" customHeight="1" x14ac:dyDescent="0.2"/>
    <row r="28656" ht="12.75" hidden="1" customHeight="1" x14ac:dyDescent="0.2"/>
    <row r="28657" ht="12.75" hidden="1" customHeight="1" x14ac:dyDescent="0.2"/>
    <row r="28658" ht="12.75" hidden="1" customHeight="1" x14ac:dyDescent="0.2"/>
    <row r="28659" ht="12.75" hidden="1" customHeight="1" x14ac:dyDescent="0.2"/>
    <row r="28660" ht="12.75" hidden="1" customHeight="1" x14ac:dyDescent="0.2"/>
    <row r="28661" ht="12.75" hidden="1" customHeight="1" x14ac:dyDescent="0.2"/>
    <row r="28662" ht="12.75" hidden="1" customHeight="1" x14ac:dyDescent="0.2"/>
    <row r="28663" ht="12.75" hidden="1" customHeight="1" x14ac:dyDescent="0.2"/>
    <row r="28664" ht="12.75" hidden="1" customHeight="1" x14ac:dyDescent="0.2"/>
    <row r="28665" ht="12.75" hidden="1" customHeight="1" x14ac:dyDescent="0.2"/>
    <row r="28666" ht="12.75" hidden="1" customHeight="1" x14ac:dyDescent="0.2"/>
    <row r="28667" ht="12.75" hidden="1" customHeight="1" x14ac:dyDescent="0.2"/>
    <row r="28668" ht="12.75" hidden="1" customHeight="1" x14ac:dyDescent="0.2"/>
    <row r="28669" ht="12.75" hidden="1" customHeight="1" x14ac:dyDescent="0.2"/>
    <row r="28670" ht="12.75" hidden="1" customHeight="1" x14ac:dyDescent="0.2"/>
    <row r="28671" ht="12.75" hidden="1" customHeight="1" x14ac:dyDescent="0.2"/>
    <row r="28672" ht="12.75" hidden="1" customHeight="1" x14ac:dyDescent="0.2"/>
    <row r="28673" ht="12.75" hidden="1" customHeight="1" x14ac:dyDescent="0.2"/>
    <row r="28674" ht="12.75" hidden="1" customHeight="1" x14ac:dyDescent="0.2"/>
    <row r="28675" ht="12.75" hidden="1" customHeight="1" x14ac:dyDescent="0.2"/>
    <row r="28676" ht="12.75" hidden="1" customHeight="1" x14ac:dyDescent="0.2"/>
    <row r="28677" ht="12.75" hidden="1" customHeight="1" x14ac:dyDescent="0.2"/>
    <row r="28678" ht="12.75" hidden="1" customHeight="1" x14ac:dyDescent="0.2"/>
    <row r="28679" ht="12.75" hidden="1" customHeight="1" x14ac:dyDescent="0.2"/>
    <row r="28680" ht="12.75" hidden="1" customHeight="1" x14ac:dyDescent="0.2"/>
    <row r="28681" ht="12.75" hidden="1" customHeight="1" x14ac:dyDescent="0.2"/>
    <row r="28682" ht="12.75" hidden="1" customHeight="1" x14ac:dyDescent="0.2"/>
    <row r="28683" ht="12.75" hidden="1" customHeight="1" x14ac:dyDescent="0.2"/>
    <row r="28684" ht="12.75" hidden="1" customHeight="1" x14ac:dyDescent="0.2"/>
    <row r="28685" ht="12.75" hidden="1" customHeight="1" x14ac:dyDescent="0.2"/>
    <row r="28686" ht="12.75" hidden="1" customHeight="1" x14ac:dyDescent="0.2"/>
    <row r="28687" ht="12.75" hidden="1" customHeight="1" x14ac:dyDescent="0.2"/>
    <row r="28688" ht="12.75" hidden="1" customHeight="1" x14ac:dyDescent="0.2"/>
    <row r="28689" ht="12.75" hidden="1" customHeight="1" x14ac:dyDescent="0.2"/>
    <row r="28690" ht="12.75" hidden="1" customHeight="1" x14ac:dyDescent="0.2"/>
    <row r="28691" ht="12.75" hidden="1" customHeight="1" x14ac:dyDescent="0.2"/>
    <row r="28692" ht="12.75" hidden="1" customHeight="1" x14ac:dyDescent="0.2"/>
    <row r="28693" ht="12.75" hidden="1" customHeight="1" x14ac:dyDescent="0.2"/>
    <row r="28694" ht="12.75" hidden="1" customHeight="1" x14ac:dyDescent="0.2"/>
    <row r="28695" ht="12.75" hidden="1" customHeight="1" x14ac:dyDescent="0.2"/>
    <row r="28696" ht="12.75" hidden="1" customHeight="1" x14ac:dyDescent="0.2"/>
    <row r="28697" ht="12.75" hidden="1" customHeight="1" x14ac:dyDescent="0.2"/>
    <row r="28698" ht="12.75" hidden="1" customHeight="1" x14ac:dyDescent="0.2"/>
    <row r="28699" ht="12.75" hidden="1" customHeight="1" x14ac:dyDescent="0.2"/>
    <row r="28700" ht="12.75" hidden="1" customHeight="1" x14ac:dyDescent="0.2"/>
    <row r="28701" ht="12.75" hidden="1" customHeight="1" x14ac:dyDescent="0.2"/>
    <row r="28702" ht="12.75" hidden="1" customHeight="1" x14ac:dyDescent="0.2"/>
    <row r="28703" ht="12.75" hidden="1" customHeight="1" x14ac:dyDescent="0.2"/>
    <row r="28704" ht="12.75" hidden="1" customHeight="1" x14ac:dyDescent="0.2"/>
    <row r="28705" ht="12.75" hidden="1" customHeight="1" x14ac:dyDescent="0.2"/>
    <row r="28706" ht="12.75" hidden="1" customHeight="1" x14ac:dyDescent="0.2"/>
    <row r="28707" ht="12.75" hidden="1" customHeight="1" x14ac:dyDescent="0.2"/>
    <row r="28708" ht="12.75" hidden="1" customHeight="1" x14ac:dyDescent="0.2"/>
    <row r="28709" ht="12.75" hidden="1" customHeight="1" x14ac:dyDescent="0.2"/>
    <row r="28710" ht="12.75" hidden="1" customHeight="1" x14ac:dyDescent="0.2"/>
    <row r="28711" ht="12.75" hidden="1" customHeight="1" x14ac:dyDescent="0.2"/>
    <row r="28712" ht="12.75" hidden="1" customHeight="1" x14ac:dyDescent="0.2"/>
    <row r="28713" ht="12.75" hidden="1" customHeight="1" x14ac:dyDescent="0.2"/>
    <row r="28714" ht="12.75" hidden="1" customHeight="1" x14ac:dyDescent="0.2"/>
    <row r="28715" ht="12.75" hidden="1" customHeight="1" x14ac:dyDescent="0.2"/>
    <row r="28716" ht="12.75" hidden="1" customHeight="1" x14ac:dyDescent="0.2"/>
    <row r="28717" ht="12.75" hidden="1" customHeight="1" x14ac:dyDescent="0.2"/>
    <row r="28718" ht="12.75" hidden="1" customHeight="1" x14ac:dyDescent="0.2"/>
    <row r="28719" ht="12.75" hidden="1" customHeight="1" x14ac:dyDescent="0.2"/>
    <row r="28720" ht="12.75" hidden="1" customHeight="1" x14ac:dyDescent="0.2"/>
    <row r="28721" ht="12.75" hidden="1" customHeight="1" x14ac:dyDescent="0.2"/>
    <row r="28722" ht="12.75" hidden="1" customHeight="1" x14ac:dyDescent="0.2"/>
    <row r="28723" ht="12.75" hidden="1" customHeight="1" x14ac:dyDescent="0.2"/>
    <row r="28724" ht="12.75" hidden="1" customHeight="1" x14ac:dyDescent="0.2"/>
    <row r="28725" ht="12.75" hidden="1" customHeight="1" x14ac:dyDescent="0.2"/>
    <row r="28726" ht="12.75" hidden="1" customHeight="1" x14ac:dyDescent="0.2"/>
    <row r="28727" ht="12.75" hidden="1" customHeight="1" x14ac:dyDescent="0.2"/>
    <row r="28728" ht="12.75" hidden="1" customHeight="1" x14ac:dyDescent="0.2"/>
    <row r="28729" ht="12.75" hidden="1" customHeight="1" x14ac:dyDescent="0.2"/>
    <row r="28730" ht="12.75" hidden="1" customHeight="1" x14ac:dyDescent="0.2"/>
    <row r="28731" ht="12.75" hidden="1" customHeight="1" x14ac:dyDescent="0.2"/>
    <row r="28732" ht="12.75" hidden="1" customHeight="1" x14ac:dyDescent="0.2"/>
    <row r="28733" ht="12.75" hidden="1" customHeight="1" x14ac:dyDescent="0.2"/>
    <row r="28734" ht="12.75" hidden="1" customHeight="1" x14ac:dyDescent="0.2"/>
    <row r="28735" ht="12.75" hidden="1" customHeight="1" x14ac:dyDescent="0.2"/>
    <row r="28736" ht="12.75" hidden="1" customHeight="1" x14ac:dyDescent="0.2"/>
    <row r="28737" ht="12.75" hidden="1" customHeight="1" x14ac:dyDescent="0.2"/>
    <row r="28738" ht="12.75" hidden="1" customHeight="1" x14ac:dyDescent="0.2"/>
    <row r="28739" ht="12.75" hidden="1" customHeight="1" x14ac:dyDescent="0.2"/>
    <row r="28740" ht="12.75" hidden="1" customHeight="1" x14ac:dyDescent="0.2"/>
    <row r="28741" ht="12.75" hidden="1" customHeight="1" x14ac:dyDescent="0.2"/>
    <row r="28742" ht="12.75" hidden="1" customHeight="1" x14ac:dyDescent="0.2"/>
    <row r="28743" ht="12.75" hidden="1" customHeight="1" x14ac:dyDescent="0.2"/>
    <row r="28744" ht="12.75" hidden="1" customHeight="1" x14ac:dyDescent="0.2"/>
    <row r="28745" ht="12.75" hidden="1" customHeight="1" x14ac:dyDescent="0.2"/>
    <row r="28746" ht="12.75" hidden="1" customHeight="1" x14ac:dyDescent="0.2"/>
    <row r="28747" ht="12.75" hidden="1" customHeight="1" x14ac:dyDescent="0.2"/>
    <row r="28748" ht="12.75" hidden="1" customHeight="1" x14ac:dyDescent="0.2"/>
    <row r="28749" ht="12.75" hidden="1" customHeight="1" x14ac:dyDescent="0.2"/>
    <row r="28750" ht="12.75" hidden="1" customHeight="1" x14ac:dyDescent="0.2"/>
    <row r="28751" ht="12.75" hidden="1" customHeight="1" x14ac:dyDescent="0.2"/>
    <row r="28752" ht="12.75" hidden="1" customHeight="1" x14ac:dyDescent="0.2"/>
    <row r="28753" ht="12.75" hidden="1" customHeight="1" x14ac:dyDescent="0.2"/>
    <row r="28754" ht="12.75" hidden="1" customHeight="1" x14ac:dyDescent="0.2"/>
    <row r="28755" ht="12.75" hidden="1" customHeight="1" x14ac:dyDescent="0.2"/>
    <row r="28756" ht="12.75" hidden="1" customHeight="1" x14ac:dyDescent="0.2"/>
    <row r="28757" ht="12.75" hidden="1" customHeight="1" x14ac:dyDescent="0.2"/>
    <row r="28758" ht="12.75" hidden="1" customHeight="1" x14ac:dyDescent="0.2"/>
    <row r="28759" ht="12.75" hidden="1" customHeight="1" x14ac:dyDescent="0.2"/>
    <row r="28760" ht="12.75" hidden="1" customHeight="1" x14ac:dyDescent="0.2"/>
    <row r="28761" ht="12.75" hidden="1" customHeight="1" x14ac:dyDescent="0.2"/>
    <row r="28762" ht="12.75" hidden="1" customHeight="1" x14ac:dyDescent="0.2"/>
    <row r="28763" ht="12.75" hidden="1" customHeight="1" x14ac:dyDescent="0.2"/>
    <row r="28764" ht="12.75" hidden="1" customHeight="1" x14ac:dyDescent="0.2"/>
    <row r="28765" ht="12.75" hidden="1" customHeight="1" x14ac:dyDescent="0.2"/>
    <row r="28766" ht="12.75" hidden="1" customHeight="1" x14ac:dyDescent="0.2"/>
    <row r="28767" ht="12.75" hidden="1" customHeight="1" x14ac:dyDescent="0.2"/>
    <row r="28768" ht="12.75" hidden="1" customHeight="1" x14ac:dyDescent="0.2"/>
    <row r="28769" ht="12.75" hidden="1" customHeight="1" x14ac:dyDescent="0.2"/>
    <row r="28770" ht="12.75" hidden="1" customHeight="1" x14ac:dyDescent="0.2"/>
    <row r="28771" ht="12.75" hidden="1" customHeight="1" x14ac:dyDescent="0.2"/>
    <row r="28772" ht="12.75" hidden="1" customHeight="1" x14ac:dyDescent="0.2"/>
    <row r="28773" ht="12.75" hidden="1" customHeight="1" x14ac:dyDescent="0.2"/>
    <row r="28774" ht="12.75" hidden="1" customHeight="1" x14ac:dyDescent="0.2"/>
    <row r="28775" ht="12.75" hidden="1" customHeight="1" x14ac:dyDescent="0.2"/>
    <row r="28776" ht="12.75" hidden="1" customHeight="1" x14ac:dyDescent="0.2"/>
    <row r="28777" ht="12.75" hidden="1" customHeight="1" x14ac:dyDescent="0.2"/>
    <row r="28778" ht="12.75" hidden="1" customHeight="1" x14ac:dyDescent="0.2"/>
    <row r="28779" ht="12.75" hidden="1" customHeight="1" x14ac:dyDescent="0.2"/>
    <row r="28780" ht="12.75" hidden="1" customHeight="1" x14ac:dyDescent="0.2"/>
    <row r="28781" ht="12.75" hidden="1" customHeight="1" x14ac:dyDescent="0.2"/>
    <row r="28782" ht="12.75" hidden="1" customHeight="1" x14ac:dyDescent="0.2"/>
    <row r="28783" ht="12.75" hidden="1" customHeight="1" x14ac:dyDescent="0.2"/>
    <row r="28784" ht="12.75" hidden="1" customHeight="1" x14ac:dyDescent="0.2"/>
    <row r="28785" ht="12.75" hidden="1" customHeight="1" x14ac:dyDescent="0.2"/>
    <row r="28786" ht="12.75" hidden="1" customHeight="1" x14ac:dyDescent="0.2"/>
    <row r="28787" ht="12.75" hidden="1" customHeight="1" x14ac:dyDescent="0.2"/>
    <row r="28788" ht="12.75" hidden="1" customHeight="1" x14ac:dyDescent="0.2"/>
    <row r="28789" ht="12.75" hidden="1" customHeight="1" x14ac:dyDescent="0.2"/>
    <row r="28790" ht="12.75" hidden="1" customHeight="1" x14ac:dyDescent="0.2"/>
    <row r="28791" ht="12.75" hidden="1" customHeight="1" x14ac:dyDescent="0.2"/>
    <row r="28792" ht="12.75" hidden="1" customHeight="1" x14ac:dyDescent="0.2"/>
    <row r="28793" ht="12.75" hidden="1" customHeight="1" x14ac:dyDescent="0.2"/>
    <row r="28794" ht="12.75" hidden="1" customHeight="1" x14ac:dyDescent="0.2"/>
    <row r="28795" ht="12.75" hidden="1" customHeight="1" x14ac:dyDescent="0.2"/>
    <row r="28796" ht="12.75" hidden="1" customHeight="1" x14ac:dyDescent="0.2"/>
    <row r="28797" ht="12.75" hidden="1" customHeight="1" x14ac:dyDescent="0.2"/>
    <row r="28798" ht="12.75" hidden="1" customHeight="1" x14ac:dyDescent="0.2"/>
    <row r="28799" ht="12.75" hidden="1" customHeight="1" x14ac:dyDescent="0.2"/>
    <row r="28800" ht="12.75" hidden="1" customHeight="1" x14ac:dyDescent="0.2"/>
    <row r="28801" ht="12.75" hidden="1" customHeight="1" x14ac:dyDescent="0.2"/>
    <row r="28802" ht="12.75" hidden="1" customHeight="1" x14ac:dyDescent="0.2"/>
    <row r="28803" ht="12.75" hidden="1" customHeight="1" x14ac:dyDescent="0.2"/>
    <row r="28804" ht="12.75" hidden="1" customHeight="1" x14ac:dyDescent="0.2"/>
    <row r="28805" ht="12.75" hidden="1" customHeight="1" x14ac:dyDescent="0.2"/>
    <row r="28806" ht="12.75" hidden="1" customHeight="1" x14ac:dyDescent="0.2"/>
    <row r="28807" ht="12.75" hidden="1" customHeight="1" x14ac:dyDescent="0.2"/>
    <row r="28808" ht="12.75" hidden="1" customHeight="1" x14ac:dyDescent="0.2"/>
    <row r="28809" ht="12.75" hidden="1" customHeight="1" x14ac:dyDescent="0.2"/>
    <row r="28810" ht="12.75" hidden="1" customHeight="1" x14ac:dyDescent="0.2"/>
    <row r="28811" ht="12.75" hidden="1" customHeight="1" x14ac:dyDescent="0.2"/>
    <row r="28812" ht="12.75" hidden="1" customHeight="1" x14ac:dyDescent="0.2"/>
    <row r="28813" ht="12.75" hidden="1" customHeight="1" x14ac:dyDescent="0.2"/>
    <row r="28814" ht="12.75" hidden="1" customHeight="1" x14ac:dyDescent="0.2"/>
    <row r="28815" ht="12.75" hidden="1" customHeight="1" x14ac:dyDescent="0.2"/>
    <row r="28816" ht="12.75" hidden="1" customHeight="1" x14ac:dyDescent="0.2"/>
    <row r="28817" ht="12.75" hidden="1" customHeight="1" x14ac:dyDescent="0.2"/>
    <row r="28818" ht="12.75" hidden="1" customHeight="1" x14ac:dyDescent="0.2"/>
    <row r="28819" ht="12.75" hidden="1" customHeight="1" x14ac:dyDescent="0.2"/>
    <row r="28820" ht="12.75" hidden="1" customHeight="1" x14ac:dyDescent="0.2"/>
    <row r="28821" ht="12.75" hidden="1" customHeight="1" x14ac:dyDescent="0.2"/>
    <row r="28822" ht="12.75" hidden="1" customHeight="1" x14ac:dyDescent="0.2"/>
    <row r="28823" ht="12.75" hidden="1" customHeight="1" x14ac:dyDescent="0.2"/>
    <row r="28824" ht="12.75" hidden="1" customHeight="1" x14ac:dyDescent="0.2"/>
    <row r="28825" ht="12.75" hidden="1" customHeight="1" x14ac:dyDescent="0.2"/>
    <row r="28826" ht="12.75" hidden="1" customHeight="1" x14ac:dyDescent="0.2"/>
    <row r="28827" ht="12.75" hidden="1" customHeight="1" x14ac:dyDescent="0.2"/>
    <row r="28828" ht="12.75" hidden="1" customHeight="1" x14ac:dyDescent="0.2"/>
    <row r="28829" ht="12.75" hidden="1" customHeight="1" x14ac:dyDescent="0.2"/>
    <row r="28830" ht="12.75" hidden="1" customHeight="1" x14ac:dyDescent="0.2"/>
    <row r="28831" ht="12.75" hidden="1" customHeight="1" x14ac:dyDescent="0.2"/>
    <row r="28832" ht="12.75" hidden="1" customHeight="1" x14ac:dyDescent="0.2"/>
    <row r="28833" ht="12.75" hidden="1" customHeight="1" x14ac:dyDescent="0.2"/>
    <row r="28834" ht="12.75" hidden="1" customHeight="1" x14ac:dyDescent="0.2"/>
    <row r="28835" ht="12.75" hidden="1" customHeight="1" x14ac:dyDescent="0.2"/>
    <row r="28836" ht="12.75" hidden="1" customHeight="1" x14ac:dyDescent="0.2"/>
    <row r="28837" ht="12.75" hidden="1" customHeight="1" x14ac:dyDescent="0.2"/>
    <row r="28838" ht="12.75" hidden="1" customHeight="1" x14ac:dyDescent="0.2"/>
    <row r="28839" ht="12.75" hidden="1" customHeight="1" x14ac:dyDescent="0.2"/>
    <row r="28840" ht="12.75" hidden="1" customHeight="1" x14ac:dyDescent="0.2"/>
    <row r="28841" ht="12.75" hidden="1" customHeight="1" x14ac:dyDescent="0.2"/>
    <row r="28842" ht="12.75" hidden="1" customHeight="1" x14ac:dyDescent="0.2"/>
    <row r="28843" ht="12.75" hidden="1" customHeight="1" x14ac:dyDescent="0.2"/>
    <row r="28844" ht="12.75" hidden="1" customHeight="1" x14ac:dyDescent="0.2"/>
    <row r="28845" ht="12.75" hidden="1" customHeight="1" x14ac:dyDescent="0.2"/>
    <row r="28846" ht="12.75" hidden="1" customHeight="1" x14ac:dyDescent="0.2"/>
    <row r="28847" ht="12.75" hidden="1" customHeight="1" x14ac:dyDescent="0.2"/>
    <row r="28848" ht="12.75" hidden="1" customHeight="1" x14ac:dyDescent="0.2"/>
    <row r="28849" ht="12.75" hidden="1" customHeight="1" x14ac:dyDescent="0.2"/>
    <row r="28850" ht="12.75" hidden="1" customHeight="1" x14ac:dyDescent="0.2"/>
    <row r="28851" ht="12.75" hidden="1" customHeight="1" x14ac:dyDescent="0.2"/>
    <row r="28852" ht="12.75" hidden="1" customHeight="1" x14ac:dyDescent="0.2"/>
    <row r="28853" ht="12.75" hidden="1" customHeight="1" x14ac:dyDescent="0.2"/>
    <row r="28854" ht="12.75" hidden="1" customHeight="1" x14ac:dyDescent="0.2"/>
    <row r="28855" ht="12.75" hidden="1" customHeight="1" x14ac:dyDescent="0.2"/>
    <row r="28856" ht="12.75" hidden="1" customHeight="1" x14ac:dyDescent="0.2"/>
    <row r="28857" ht="12.75" hidden="1" customHeight="1" x14ac:dyDescent="0.2"/>
    <row r="28858" ht="12.75" hidden="1" customHeight="1" x14ac:dyDescent="0.2"/>
    <row r="28859" ht="12.75" hidden="1" customHeight="1" x14ac:dyDescent="0.2"/>
    <row r="28860" ht="12.75" hidden="1" customHeight="1" x14ac:dyDescent="0.2"/>
    <row r="28861" ht="12.75" hidden="1" customHeight="1" x14ac:dyDescent="0.2"/>
    <row r="28862" ht="12.75" hidden="1" customHeight="1" x14ac:dyDescent="0.2"/>
    <row r="28863" ht="12.75" hidden="1" customHeight="1" x14ac:dyDescent="0.2"/>
    <row r="28864" ht="12.75" hidden="1" customHeight="1" x14ac:dyDescent="0.2"/>
    <row r="28865" ht="12.75" hidden="1" customHeight="1" x14ac:dyDescent="0.2"/>
    <row r="28866" ht="12.75" hidden="1" customHeight="1" x14ac:dyDescent="0.2"/>
    <row r="28867" ht="12.75" hidden="1" customHeight="1" x14ac:dyDescent="0.2"/>
    <row r="28868" ht="12.75" hidden="1" customHeight="1" x14ac:dyDescent="0.2"/>
    <row r="28869" ht="12.75" hidden="1" customHeight="1" x14ac:dyDescent="0.2"/>
    <row r="28870" ht="12.75" hidden="1" customHeight="1" x14ac:dyDescent="0.2"/>
    <row r="28871" ht="12.75" hidden="1" customHeight="1" x14ac:dyDescent="0.2"/>
    <row r="28872" ht="12.75" hidden="1" customHeight="1" x14ac:dyDescent="0.2"/>
    <row r="28873" ht="12.75" hidden="1" customHeight="1" x14ac:dyDescent="0.2"/>
    <row r="28874" ht="12.75" hidden="1" customHeight="1" x14ac:dyDescent="0.2"/>
    <row r="28875" ht="12.75" hidden="1" customHeight="1" x14ac:dyDescent="0.2"/>
    <row r="28876" ht="12.75" hidden="1" customHeight="1" x14ac:dyDescent="0.2"/>
    <row r="28877" ht="12.75" hidden="1" customHeight="1" x14ac:dyDescent="0.2"/>
    <row r="28878" ht="12.75" hidden="1" customHeight="1" x14ac:dyDescent="0.2"/>
    <row r="28879" ht="12.75" hidden="1" customHeight="1" x14ac:dyDescent="0.2"/>
    <row r="28880" ht="12.75" hidden="1" customHeight="1" x14ac:dyDescent="0.2"/>
    <row r="28881" ht="12.75" hidden="1" customHeight="1" x14ac:dyDescent="0.2"/>
    <row r="28882" ht="12.75" hidden="1" customHeight="1" x14ac:dyDescent="0.2"/>
    <row r="28883" ht="12.75" hidden="1" customHeight="1" x14ac:dyDescent="0.2"/>
    <row r="28884" ht="12.75" hidden="1" customHeight="1" x14ac:dyDescent="0.2"/>
    <row r="28885" ht="12.75" hidden="1" customHeight="1" x14ac:dyDescent="0.2"/>
    <row r="28886" ht="12.75" hidden="1" customHeight="1" x14ac:dyDescent="0.2"/>
    <row r="28887" ht="12.75" hidden="1" customHeight="1" x14ac:dyDescent="0.2"/>
    <row r="28888" ht="12.75" hidden="1" customHeight="1" x14ac:dyDescent="0.2"/>
    <row r="28889" ht="12.75" hidden="1" customHeight="1" x14ac:dyDescent="0.2"/>
    <row r="28890" ht="12.75" hidden="1" customHeight="1" x14ac:dyDescent="0.2"/>
    <row r="28891" ht="12.75" hidden="1" customHeight="1" x14ac:dyDescent="0.2"/>
    <row r="28892" ht="12.75" hidden="1" customHeight="1" x14ac:dyDescent="0.2"/>
    <row r="28893" ht="12.75" hidden="1" customHeight="1" x14ac:dyDescent="0.2"/>
    <row r="28894" ht="12.75" hidden="1" customHeight="1" x14ac:dyDescent="0.2"/>
    <row r="28895" ht="12.75" hidden="1" customHeight="1" x14ac:dyDescent="0.2"/>
    <row r="28896" ht="12.75" hidden="1" customHeight="1" x14ac:dyDescent="0.2"/>
    <row r="28897" ht="12.75" hidden="1" customHeight="1" x14ac:dyDescent="0.2"/>
    <row r="28898" ht="12.75" hidden="1" customHeight="1" x14ac:dyDescent="0.2"/>
    <row r="28899" ht="12.75" hidden="1" customHeight="1" x14ac:dyDescent="0.2"/>
    <row r="28900" ht="12.75" hidden="1" customHeight="1" x14ac:dyDescent="0.2"/>
    <row r="28901" ht="12.75" hidden="1" customHeight="1" x14ac:dyDescent="0.2"/>
    <row r="28902" ht="12.75" hidden="1" customHeight="1" x14ac:dyDescent="0.2"/>
    <row r="28903" ht="12.75" hidden="1" customHeight="1" x14ac:dyDescent="0.2"/>
    <row r="28904" ht="12.75" hidden="1" customHeight="1" x14ac:dyDescent="0.2"/>
    <row r="28905" ht="12.75" hidden="1" customHeight="1" x14ac:dyDescent="0.2"/>
    <row r="28906" ht="12.75" hidden="1" customHeight="1" x14ac:dyDescent="0.2"/>
    <row r="28907" ht="12.75" hidden="1" customHeight="1" x14ac:dyDescent="0.2"/>
    <row r="28908" ht="12.75" hidden="1" customHeight="1" x14ac:dyDescent="0.2"/>
    <row r="28909" ht="12.75" hidden="1" customHeight="1" x14ac:dyDescent="0.2"/>
    <row r="28910" ht="12.75" hidden="1" customHeight="1" x14ac:dyDescent="0.2"/>
    <row r="28911" ht="12.75" hidden="1" customHeight="1" x14ac:dyDescent="0.2"/>
    <row r="28912" ht="12.75" hidden="1" customHeight="1" x14ac:dyDescent="0.2"/>
    <row r="28913" ht="12.75" hidden="1" customHeight="1" x14ac:dyDescent="0.2"/>
    <row r="28914" ht="12.75" hidden="1" customHeight="1" x14ac:dyDescent="0.2"/>
    <row r="28915" ht="12.75" hidden="1" customHeight="1" x14ac:dyDescent="0.2"/>
    <row r="28916" ht="12.75" hidden="1" customHeight="1" x14ac:dyDescent="0.2"/>
    <row r="28917" ht="12.75" hidden="1" customHeight="1" x14ac:dyDescent="0.2"/>
    <row r="28918" ht="12.75" hidden="1" customHeight="1" x14ac:dyDescent="0.2"/>
    <row r="28919" ht="12.75" hidden="1" customHeight="1" x14ac:dyDescent="0.2"/>
    <row r="28920" ht="12.75" hidden="1" customHeight="1" x14ac:dyDescent="0.2"/>
    <row r="28921" ht="12.75" hidden="1" customHeight="1" x14ac:dyDescent="0.2"/>
    <row r="28922" ht="12.75" hidden="1" customHeight="1" x14ac:dyDescent="0.2"/>
    <row r="28923" ht="12.75" hidden="1" customHeight="1" x14ac:dyDescent="0.2"/>
    <row r="28924" ht="12.75" hidden="1" customHeight="1" x14ac:dyDescent="0.2"/>
    <row r="28925" ht="12.75" hidden="1" customHeight="1" x14ac:dyDescent="0.2"/>
    <row r="28926" ht="12.75" hidden="1" customHeight="1" x14ac:dyDescent="0.2"/>
    <row r="28927" ht="12.75" hidden="1" customHeight="1" x14ac:dyDescent="0.2"/>
    <row r="28928" ht="12.75" hidden="1" customHeight="1" x14ac:dyDescent="0.2"/>
    <row r="28929" ht="12.75" hidden="1" customHeight="1" x14ac:dyDescent="0.2"/>
    <row r="28930" ht="12.75" hidden="1" customHeight="1" x14ac:dyDescent="0.2"/>
    <row r="28931" ht="12.75" hidden="1" customHeight="1" x14ac:dyDescent="0.2"/>
    <row r="28932" ht="12.75" hidden="1" customHeight="1" x14ac:dyDescent="0.2"/>
    <row r="28933" ht="12.75" hidden="1" customHeight="1" x14ac:dyDescent="0.2"/>
    <row r="28934" ht="12.75" hidden="1" customHeight="1" x14ac:dyDescent="0.2"/>
    <row r="28935" ht="12.75" hidden="1" customHeight="1" x14ac:dyDescent="0.2"/>
    <row r="28936" ht="12.75" hidden="1" customHeight="1" x14ac:dyDescent="0.2"/>
    <row r="28937" ht="12.75" hidden="1" customHeight="1" x14ac:dyDescent="0.2"/>
    <row r="28938" ht="12.75" hidden="1" customHeight="1" x14ac:dyDescent="0.2"/>
    <row r="28939" ht="12.75" hidden="1" customHeight="1" x14ac:dyDescent="0.2"/>
    <row r="28940" ht="12.75" hidden="1" customHeight="1" x14ac:dyDescent="0.2"/>
    <row r="28941" ht="12.75" hidden="1" customHeight="1" x14ac:dyDescent="0.2"/>
    <row r="28942" ht="12.75" hidden="1" customHeight="1" x14ac:dyDescent="0.2"/>
    <row r="28943" ht="12.75" hidden="1" customHeight="1" x14ac:dyDescent="0.2"/>
    <row r="28944" ht="12.75" hidden="1" customHeight="1" x14ac:dyDescent="0.2"/>
    <row r="28945" ht="12.75" hidden="1" customHeight="1" x14ac:dyDescent="0.2"/>
    <row r="28946" ht="12.75" hidden="1" customHeight="1" x14ac:dyDescent="0.2"/>
    <row r="28947" ht="12.75" hidden="1" customHeight="1" x14ac:dyDescent="0.2"/>
    <row r="28948" ht="12.75" hidden="1" customHeight="1" x14ac:dyDescent="0.2"/>
    <row r="28949" ht="12.75" hidden="1" customHeight="1" x14ac:dyDescent="0.2"/>
    <row r="28950" ht="12.75" hidden="1" customHeight="1" x14ac:dyDescent="0.2"/>
    <row r="28951" ht="12.75" hidden="1" customHeight="1" x14ac:dyDescent="0.2"/>
    <row r="28952" ht="12.75" hidden="1" customHeight="1" x14ac:dyDescent="0.2"/>
    <row r="28953" ht="12.75" hidden="1" customHeight="1" x14ac:dyDescent="0.2"/>
    <row r="28954" ht="12.75" hidden="1" customHeight="1" x14ac:dyDescent="0.2"/>
    <row r="28955" ht="12.75" hidden="1" customHeight="1" x14ac:dyDescent="0.2"/>
    <row r="28956" ht="12.75" hidden="1" customHeight="1" x14ac:dyDescent="0.2"/>
    <row r="28957" ht="12.75" hidden="1" customHeight="1" x14ac:dyDescent="0.2"/>
    <row r="28958" ht="12.75" hidden="1" customHeight="1" x14ac:dyDescent="0.2"/>
    <row r="28959" ht="12.75" hidden="1" customHeight="1" x14ac:dyDescent="0.2"/>
    <row r="28960" ht="12.75" hidden="1" customHeight="1" x14ac:dyDescent="0.2"/>
    <row r="28961" ht="12.75" hidden="1" customHeight="1" x14ac:dyDescent="0.2"/>
    <row r="28962" ht="12.75" hidden="1" customHeight="1" x14ac:dyDescent="0.2"/>
    <row r="28963" ht="12.75" hidden="1" customHeight="1" x14ac:dyDescent="0.2"/>
    <row r="28964" ht="12.75" hidden="1" customHeight="1" x14ac:dyDescent="0.2"/>
    <row r="28965" ht="12.75" hidden="1" customHeight="1" x14ac:dyDescent="0.2"/>
    <row r="28966" ht="12.75" hidden="1" customHeight="1" x14ac:dyDescent="0.2"/>
    <row r="28967" ht="12.75" hidden="1" customHeight="1" x14ac:dyDescent="0.2"/>
    <row r="28968" ht="12.75" hidden="1" customHeight="1" x14ac:dyDescent="0.2"/>
    <row r="28969" ht="12.75" hidden="1" customHeight="1" x14ac:dyDescent="0.2"/>
    <row r="28970" ht="12.75" hidden="1" customHeight="1" x14ac:dyDescent="0.2"/>
    <row r="28971" ht="12.75" hidden="1" customHeight="1" x14ac:dyDescent="0.2"/>
    <row r="28972" ht="12.75" hidden="1" customHeight="1" x14ac:dyDescent="0.2"/>
    <row r="28973" ht="12.75" hidden="1" customHeight="1" x14ac:dyDescent="0.2"/>
    <row r="28974" ht="12.75" hidden="1" customHeight="1" x14ac:dyDescent="0.2"/>
    <row r="28975" ht="12.75" hidden="1" customHeight="1" x14ac:dyDescent="0.2"/>
    <row r="28976" ht="12.75" hidden="1" customHeight="1" x14ac:dyDescent="0.2"/>
    <row r="28977" ht="12.75" hidden="1" customHeight="1" x14ac:dyDescent="0.2"/>
    <row r="28978" ht="12.75" hidden="1" customHeight="1" x14ac:dyDescent="0.2"/>
    <row r="28979" ht="12.75" hidden="1" customHeight="1" x14ac:dyDescent="0.2"/>
    <row r="28980" ht="12.75" hidden="1" customHeight="1" x14ac:dyDescent="0.2"/>
    <row r="28981" ht="12.75" hidden="1" customHeight="1" x14ac:dyDescent="0.2"/>
    <row r="28982" ht="12.75" hidden="1" customHeight="1" x14ac:dyDescent="0.2"/>
    <row r="28983" ht="12.75" hidden="1" customHeight="1" x14ac:dyDescent="0.2"/>
    <row r="28984" ht="12.75" hidden="1" customHeight="1" x14ac:dyDescent="0.2"/>
    <row r="28985" ht="12.75" hidden="1" customHeight="1" x14ac:dyDescent="0.2"/>
    <row r="28986" ht="12.75" hidden="1" customHeight="1" x14ac:dyDescent="0.2"/>
    <row r="28987" ht="12.75" hidden="1" customHeight="1" x14ac:dyDescent="0.2"/>
    <row r="28988" ht="12.75" hidden="1" customHeight="1" x14ac:dyDescent="0.2"/>
    <row r="28989" ht="12.75" hidden="1" customHeight="1" x14ac:dyDescent="0.2"/>
    <row r="28990" ht="12.75" hidden="1" customHeight="1" x14ac:dyDescent="0.2"/>
    <row r="28991" ht="12.75" hidden="1" customHeight="1" x14ac:dyDescent="0.2"/>
    <row r="28992" ht="12.75" hidden="1" customHeight="1" x14ac:dyDescent="0.2"/>
    <row r="28993" ht="12.75" hidden="1" customHeight="1" x14ac:dyDescent="0.2"/>
    <row r="28994" ht="12.75" hidden="1" customHeight="1" x14ac:dyDescent="0.2"/>
    <row r="28995" ht="12.75" hidden="1" customHeight="1" x14ac:dyDescent="0.2"/>
    <row r="28996" ht="12.75" hidden="1" customHeight="1" x14ac:dyDescent="0.2"/>
    <row r="28997" ht="12.75" hidden="1" customHeight="1" x14ac:dyDescent="0.2"/>
    <row r="28998" ht="12.75" hidden="1" customHeight="1" x14ac:dyDescent="0.2"/>
    <row r="28999" ht="12.75" hidden="1" customHeight="1" x14ac:dyDescent="0.2"/>
    <row r="29000" ht="12.75" hidden="1" customHeight="1" x14ac:dyDescent="0.2"/>
    <row r="29001" ht="12.75" hidden="1" customHeight="1" x14ac:dyDescent="0.2"/>
    <row r="29002" ht="12.75" hidden="1" customHeight="1" x14ac:dyDescent="0.2"/>
    <row r="29003" ht="12.75" hidden="1" customHeight="1" x14ac:dyDescent="0.2"/>
    <row r="29004" ht="12.75" hidden="1" customHeight="1" x14ac:dyDescent="0.2"/>
    <row r="29005" ht="12.75" hidden="1" customHeight="1" x14ac:dyDescent="0.2"/>
    <row r="29006" ht="12.75" hidden="1" customHeight="1" x14ac:dyDescent="0.2"/>
    <row r="29007" ht="12.75" hidden="1" customHeight="1" x14ac:dyDescent="0.2"/>
    <row r="29008" ht="12.75" hidden="1" customHeight="1" x14ac:dyDescent="0.2"/>
    <row r="29009" ht="12.75" hidden="1" customHeight="1" x14ac:dyDescent="0.2"/>
    <row r="29010" ht="12.75" hidden="1" customHeight="1" x14ac:dyDescent="0.2"/>
    <row r="29011" ht="12.75" hidden="1" customHeight="1" x14ac:dyDescent="0.2"/>
    <row r="29012" ht="12.75" hidden="1" customHeight="1" x14ac:dyDescent="0.2"/>
    <row r="29013" ht="12.75" hidden="1" customHeight="1" x14ac:dyDescent="0.2"/>
    <row r="29014" ht="12.75" hidden="1" customHeight="1" x14ac:dyDescent="0.2"/>
    <row r="29015" ht="12.75" hidden="1" customHeight="1" x14ac:dyDescent="0.2"/>
    <row r="29016" ht="12.75" hidden="1" customHeight="1" x14ac:dyDescent="0.2"/>
    <row r="29017" ht="12.75" hidden="1" customHeight="1" x14ac:dyDescent="0.2"/>
    <row r="29018" ht="12.75" hidden="1" customHeight="1" x14ac:dyDescent="0.2"/>
    <row r="29019" ht="12.75" hidden="1" customHeight="1" x14ac:dyDescent="0.2"/>
    <row r="29020" ht="12.75" hidden="1" customHeight="1" x14ac:dyDescent="0.2"/>
    <row r="29021" ht="12.75" hidden="1" customHeight="1" x14ac:dyDescent="0.2"/>
    <row r="29022" ht="12.75" hidden="1" customHeight="1" x14ac:dyDescent="0.2"/>
    <row r="29023" ht="12.75" hidden="1" customHeight="1" x14ac:dyDescent="0.2"/>
    <row r="29024" ht="12.75" hidden="1" customHeight="1" x14ac:dyDescent="0.2"/>
    <row r="29025" ht="12.75" hidden="1" customHeight="1" x14ac:dyDescent="0.2"/>
    <row r="29026" ht="12.75" hidden="1" customHeight="1" x14ac:dyDescent="0.2"/>
    <row r="29027" ht="12.75" hidden="1" customHeight="1" x14ac:dyDescent="0.2"/>
    <row r="29028" ht="12.75" hidden="1" customHeight="1" x14ac:dyDescent="0.2"/>
    <row r="29029" ht="12.75" hidden="1" customHeight="1" x14ac:dyDescent="0.2"/>
    <row r="29030" ht="12.75" hidden="1" customHeight="1" x14ac:dyDescent="0.2"/>
    <row r="29031" ht="12.75" hidden="1" customHeight="1" x14ac:dyDescent="0.2"/>
    <row r="29032" ht="12.75" hidden="1" customHeight="1" x14ac:dyDescent="0.2"/>
    <row r="29033" ht="12.75" hidden="1" customHeight="1" x14ac:dyDescent="0.2"/>
    <row r="29034" ht="12.75" hidden="1" customHeight="1" x14ac:dyDescent="0.2"/>
    <row r="29035" ht="12.75" hidden="1" customHeight="1" x14ac:dyDescent="0.2"/>
    <row r="29036" ht="12.75" hidden="1" customHeight="1" x14ac:dyDescent="0.2"/>
    <row r="29037" ht="12.75" hidden="1" customHeight="1" x14ac:dyDescent="0.2"/>
    <row r="29038" ht="12.75" hidden="1" customHeight="1" x14ac:dyDescent="0.2"/>
    <row r="29039" ht="12.75" hidden="1" customHeight="1" x14ac:dyDescent="0.2"/>
    <row r="29040" ht="12.75" hidden="1" customHeight="1" x14ac:dyDescent="0.2"/>
    <row r="29041" ht="12.75" hidden="1" customHeight="1" x14ac:dyDescent="0.2"/>
    <row r="29042" ht="12.75" hidden="1" customHeight="1" x14ac:dyDescent="0.2"/>
    <row r="29043" ht="12.75" hidden="1" customHeight="1" x14ac:dyDescent="0.2"/>
    <row r="29044" ht="12.75" hidden="1" customHeight="1" x14ac:dyDescent="0.2"/>
    <row r="29045" ht="12.75" hidden="1" customHeight="1" x14ac:dyDescent="0.2"/>
    <row r="29046" ht="12.75" hidden="1" customHeight="1" x14ac:dyDescent="0.2"/>
    <row r="29047" ht="12.75" hidden="1" customHeight="1" x14ac:dyDescent="0.2"/>
    <row r="29048" ht="12.75" hidden="1" customHeight="1" x14ac:dyDescent="0.2"/>
    <row r="29049" ht="12.75" hidden="1" customHeight="1" x14ac:dyDescent="0.2"/>
    <row r="29050" ht="12.75" hidden="1" customHeight="1" x14ac:dyDescent="0.2"/>
    <row r="29051" ht="12.75" hidden="1" customHeight="1" x14ac:dyDescent="0.2"/>
    <row r="29052" ht="12.75" hidden="1" customHeight="1" x14ac:dyDescent="0.2"/>
    <row r="29053" ht="12.75" hidden="1" customHeight="1" x14ac:dyDescent="0.2"/>
    <row r="29054" ht="12.75" hidden="1" customHeight="1" x14ac:dyDescent="0.2"/>
    <row r="29055" ht="12.75" hidden="1" customHeight="1" x14ac:dyDescent="0.2"/>
    <row r="29056" ht="12.75" hidden="1" customHeight="1" x14ac:dyDescent="0.2"/>
    <row r="29057" ht="12.75" hidden="1" customHeight="1" x14ac:dyDescent="0.2"/>
    <row r="29058" ht="12.75" hidden="1" customHeight="1" x14ac:dyDescent="0.2"/>
    <row r="29059" ht="12.75" hidden="1" customHeight="1" x14ac:dyDescent="0.2"/>
    <row r="29060" ht="12.75" hidden="1" customHeight="1" x14ac:dyDescent="0.2"/>
    <row r="29061" ht="12.75" hidden="1" customHeight="1" x14ac:dyDescent="0.2"/>
    <row r="29062" ht="12.75" hidden="1" customHeight="1" x14ac:dyDescent="0.2"/>
    <row r="29063" ht="12.75" hidden="1" customHeight="1" x14ac:dyDescent="0.2"/>
    <row r="29064" ht="12.75" hidden="1" customHeight="1" x14ac:dyDescent="0.2"/>
    <row r="29065" ht="12.75" hidden="1" customHeight="1" x14ac:dyDescent="0.2"/>
    <row r="29066" ht="12.75" hidden="1" customHeight="1" x14ac:dyDescent="0.2"/>
    <row r="29067" ht="12.75" hidden="1" customHeight="1" x14ac:dyDescent="0.2"/>
    <row r="29068" ht="12.75" hidden="1" customHeight="1" x14ac:dyDescent="0.2"/>
    <row r="29069" ht="12.75" hidden="1" customHeight="1" x14ac:dyDescent="0.2"/>
    <row r="29070" ht="12.75" hidden="1" customHeight="1" x14ac:dyDescent="0.2"/>
    <row r="29071" ht="12.75" hidden="1" customHeight="1" x14ac:dyDescent="0.2"/>
    <row r="29072" ht="12.75" hidden="1" customHeight="1" x14ac:dyDescent="0.2"/>
    <row r="29073" ht="12.75" hidden="1" customHeight="1" x14ac:dyDescent="0.2"/>
    <row r="29074" ht="12.75" hidden="1" customHeight="1" x14ac:dyDescent="0.2"/>
    <row r="29075" ht="12.75" hidden="1" customHeight="1" x14ac:dyDescent="0.2"/>
    <row r="29076" ht="12.75" hidden="1" customHeight="1" x14ac:dyDescent="0.2"/>
    <row r="29077" ht="12.75" hidden="1" customHeight="1" x14ac:dyDescent="0.2"/>
    <row r="29078" ht="12.75" hidden="1" customHeight="1" x14ac:dyDescent="0.2"/>
    <row r="29079" ht="12.75" hidden="1" customHeight="1" x14ac:dyDescent="0.2"/>
    <row r="29080" ht="12.75" hidden="1" customHeight="1" x14ac:dyDescent="0.2"/>
    <row r="29081" ht="12.75" hidden="1" customHeight="1" x14ac:dyDescent="0.2"/>
    <row r="29082" ht="12.75" hidden="1" customHeight="1" x14ac:dyDescent="0.2"/>
    <row r="29083" ht="12.75" hidden="1" customHeight="1" x14ac:dyDescent="0.2"/>
    <row r="29084" ht="12.75" hidden="1" customHeight="1" x14ac:dyDescent="0.2"/>
    <row r="29085" ht="12.75" hidden="1" customHeight="1" x14ac:dyDescent="0.2"/>
    <row r="29086" ht="12.75" hidden="1" customHeight="1" x14ac:dyDescent="0.2"/>
    <row r="29087" ht="12.75" hidden="1" customHeight="1" x14ac:dyDescent="0.2"/>
    <row r="29088" ht="12.75" hidden="1" customHeight="1" x14ac:dyDescent="0.2"/>
    <row r="29089" ht="12.75" hidden="1" customHeight="1" x14ac:dyDescent="0.2"/>
    <row r="29090" ht="12.75" hidden="1" customHeight="1" x14ac:dyDescent="0.2"/>
    <row r="29091" ht="12.75" hidden="1" customHeight="1" x14ac:dyDescent="0.2"/>
    <row r="29092" ht="12.75" hidden="1" customHeight="1" x14ac:dyDescent="0.2"/>
    <row r="29093" ht="12.75" hidden="1" customHeight="1" x14ac:dyDescent="0.2"/>
    <row r="29094" ht="12.75" hidden="1" customHeight="1" x14ac:dyDescent="0.2"/>
    <row r="29095" ht="12.75" hidden="1" customHeight="1" x14ac:dyDescent="0.2"/>
    <row r="29096" ht="12.75" hidden="1" customHeight="1" x14ac:dyDescent="0.2"/>
    <row r="29097" ht="12.75" hidden="1" customHeight="1" x14ac:dyDescent="0.2"/>
    <row r="29098" ht="12.75" hidden="1" customHeight="1" x14ac:dyDescent="0.2"/>
    <row r="29099" ht="12.75" hidden="1" customHeight="1" x14ac:dyDescent="0.2"/>
    <row r="29100" ht="12.75" hidden="1" customHeight="1" x14ac:dyDescent="0.2"/>
    <row r="29101" ht="12.75" hidden="1" customHeight="1" x14ac:dyDescent="0.2"/>
    <row r="29102" ht="12.75" hidden="1" customHeight="1" x14ac:dyDescent="0.2"/>
    <row r="29103" ht="12.75" hidden="1" customHeight="1" x14ac:dyDescent="0.2"/>
    <row r="29104" ht="12.75" hidden="1" customHeight="1" x14ac:dyDescent="0.2"/>
    <row r="29105" ht="12.75" hidden="1" customHeight="1" x14ac:dyDescent="0.2"/>
    <row r="29106" ht="12.75" hidden="1" customHeight="1" x14ac:dyDescent="0.2"/>
    <row r="29107" ht="12.75" hidden="1" customHeight="1" x14ac:dyDescent="0.2"/>
    <row r="29108" ht="12.75" hidden="1" customHeight="1" x14ac:dyDescent="0.2"/>
    <row r="29109" ht="12.75" hidden="1" customHeight="1" x14ac:dyDescent="0.2"/>
    <row r="29110" ht="12.75" hidden="1" customHeight="1" x14ac:dyDescent="0.2"/>
    <row r="29111" ht="12.75" hidden="1" customHeight="1" x14ac:dyDescent="0.2"/>
    <row r="29112" ht="12.75" hidden="1" customHeight="1" x14ac:dyDescent="0.2"/>
    <row r="29113" ht="12.75" hidden="1" customHeight="1" x14ac:dyDescent="0.2"/>
    <row r="29114" ht="12.75" hidden="1" customHeight="1" x14ac:dyDescent="0.2"/>
    <row r="29115" ht="12.75" hidden="1" customHeight="1" x14ac:dyDescent="0.2"/>
    <row r="29116" ht="12.75" hidden="1" customHeight="1" x14ac:dyDescent="0.2"/>
    <row r="29117" ht="12.75" hidden="1" customHeight="1" x14ac:dyDescent="0.2"/>
    <row r="29118" ht="12.75" hidden="1" customHeight="1" x14ac:dyDescent="0.2"/>
    <row r="29119" ht="12.75" hidden="1" customHeight="1" x14ac:dyDescent="0.2"/>
    <row r="29120" ht="12.75" hidden="1" customHeight="1" x14ac:dyDescent="0.2"/>
    <row r="29121" ht="12.75" hidden="1" customHeight="1" x14ac:dyDescent="0.2"/>
    <row r="29122" ht="12.75" hidden="1" customHeight="1" x14ac:dyDescent="0.2"/>
    <row r="29123" ht="12.75" hidden="1" customHeight="1" x14ac:dyDescent="0.2"/>
    <row r="29124" ht="12.75" hidden="1" customHeight="1" x14ac:dyDescent="0.2"/>
    <row r="29125" ht="12.75" hidden="1" customHeight="1" x14ac:dyDescent="0.2"/>
    <row r="29126" ht="12.75" hidden="1" customHeight="1" x14ac:dyDescent="0.2"/>
    <row r="29127" ht="12.75" hidden="1" customHeight="1" x14ac:dyDescent="0.2"/>
    <row r="29128" ht="12.75" hidden="1" customHeight="1" x14ac:dyDescent="0.2"/>
    <row r="29129" ht="12.75" hidden="1" customHeight="1" x14ac:dyDescent="0.2"/>
    <row r="29130" ht="12.75" hidden="1" customHeight="1" x14ac:dyDescent="0.2"/>
    <row r="29131" ht="12.75" hidden="1" customHeight="1" x14ac:dyDescent="0.2"/>
    <row r="29132" ht="12.75" hidden="1" customHeight="1" x14ac:dyDescent="0.2"/>
    <row r="29133" ht="12.75" hidden="1" customHeight="1" x14ac:dyDescent="0.2"/>
    <row r="29134" ht="12.75" hidden="1" customHeight="1" x14ac:dyDescent="0.2"/>
    <row r="29135" ht="12.75" hidden="1" customHeight="1" x14ac:dyDescent="0.2"/>
    <row r="29136" ht="12.75" hidden="1" customHeight="1" x14ac:dyDescent="0.2"/>
    <row r="29137" ht="12.75" hidden="1" customHeight="1" x14ac:dyDescent="0.2"/>
    <row r="29138" ht="12.75" hidden="1" customHeight="1" x14ac:dyDescent="0.2"/>
    <row r="29139" ht="12.75" hidden="1" customHeight="1" x14ac:dyDescent="0.2"/>
    <row r="29140" ht="12.75" hidden="1" customHeight="1" x14ac:dyDescent="0.2"/>
    <row r="29141" ht="12.75" hidden="1" customHeight="1" x14ac:dyDescent="0.2"/>
    <row r="29142" ht="12.75" hidden="1" customHeight="1" x14ac:dyDescent="0.2"/>
    <row r="29143" ht="12.75" hidden="1" customHeight="1" x14ac:dyDescent="0.2"/>
    <row r="29144" ht="12.75" hidden="1" customHeight="1" x14ac:dyDescent="0.2"/>
    <row r="29145" ht="12.75" hidden="1" customHeight="1" x14ac:dyDescent="0.2"/>
    <row r="29146" ht="12.75" hidden="1" customHeight="1" x14ac:dyDescent="0.2"/>
    <row r="29147" ht="12.75" hidden="1" customHeight="1" x14ac:dyDescent="0.2"/>
    <row r="29148" ht="12.75" hidden="1" customHeight="1" x14ac:dyDescent="0.2"/>
    <row r="29149" ht="12.75" hidden="1" customHeight="1" x14ac:dyDescent="0.2"/>
    <row r="29150" ht="12.75" hidden="1" customHeight="1" x14ac:dyDescent="0.2"/>
    <row r="29151" ht="12.75" hidden="1" customHeight="1" x14ac:dyDescent="0.2"/>
    <row r="29152" ht="12.75" hidden="1" customHeight="1" x14ac:dyDescent="0.2"/>
    <row r="29153" ht="12.75" hidden="1" customHeight="1" x14ac:dyDescent="0.2"/>
    <row r="29154" ht="12.75" hidden="1" customHeight="1" x14ac:dyDescent="0.2"/>
    <row r="29155" ht="12.75" hidden="1" customHeight="1" x14ac:dyDescent="0.2"/>
    <row r="29156" ht="12.75" hidden="1" customHeight="1" x14ac:dyDescent="0.2"/>
    <row r="29157" ht="12.75" hidden="1" customHeight="1" x14ac:dyDescent="0.2"/>
    <row r="29158" ht="12.75" hidden="1" customHeight="1" x14ac:dyDescent="0.2"/>
    <row r="29159" ht="12.75" hidden="1" customHeight="1" x14ac:dyDescent="0.2"/>
    <row r="29160" ht="12.75" hidden="1" customHeight="1" x14ac:dyDescent="0.2"/>
    <row r="29161" ht="12.75" hidden="1" customHeight="1" x14ac:dyDescent="0.2"/>
    <row r="29162" ht="12.75" hidden="1" customHeight="1" x14ac:dyDescent="0.2"/>
    <row r="29163" ht="12.75" hidden="1" customHeight="1" x14ac:dyDescent="0.2"/>
    <row r="29164" ht="12.75" hidden="1" customHeight="1" x14ac:dyDescent="0.2"/>
    <row r="29165" ht="12.75" hidden="1" customHeight="1" x14ac:dyDescent="0.2"/>
    <row r="29166" ht="12.75" hidden="1" customHeight="1" x14ac:dyDescent="0.2"/>
    <row r="29167" ht="12.75" hidden="1" customHeight="1" x14ac:dyDescent="0.2"/>
    <row r="29168" ht="12.75" hidden="1" customHeight="1" x14ac:dyDescent="0.2"/>
    <row r="29169" ht="12.75" hidden="1" customHeight="1" x14ac:dyDescent="0.2"/>
    <row r="29170" ht="12.75" hidden="1" customHeight="1" x14ac:dyDescent="0.2"/>
    <row r="29171" ht="12.75" hidden="1" customHeight="1" x14ac:dyDescent="0.2"/>
    <row r="29172" ht="12.75" hidden="1" customHeight="1" x14ac:dyDescent="0.2"/>
    <row r="29173" ht="12.75" hidden="1" customHeight="1" x14ac:dyDescent="0.2"/>
    <row r="29174" ht="12.75" hidden="1" customHeight="1" x14ac:dyDescent="0.2"/>
    <row r="29175" ht="12.75" hidden="1" customHeight="1" x14ac:dyDescent="0.2"/>
    <row r="29176" ht="12.75" hidden="1" customHeight="1" x14ac:dyDescent="0.2"/>
    <row r="29177" ht="12.75" hidden="1" customHeight="1" x14ac:dyDescent="0.2"/>
    <row r="29178" ht="12.75" hidden="1" customHeight="1" x14ac:dyDescent="0.2"/>
    <row r="29179" ht="12.75" hidden="1" customHeight="1" x14ac:dyDescent="0.2"/>
    <row r="29180" ht="12.75" hidden="1" customHeight="1" x14ac:dyDescent="0.2"/>
    <row r="29181" ht="12.75" hidden="1" customHeight="1" x14ac:dyDescent="0.2"/>
    <row r="29182" ht="12.75" hidden="1" customHeight="1" x14ac:dyDescent="0.2"/>
    <row r="29183" ht="12.75" hidden="1" customHeight="1" x14ac:dyDescent="0.2"/>
    <row r="29184" ht="12.75" hidden="1" customHeight="1" x14ac:dyDescent="0.2"/>
    <row r="29185" ht="12.75" hidden="1" customHeight="1" x14ac:dyDescent="0.2"/>
    <row r="29186" ht="12.75" hidden="1" customHeight="1" x14ac:dyDescent="0.2"/>
    <row r="29187" ht="12.75" hidden="1" customHeight="1" x14ac:dyDescent="0.2"/>
    <row r="29188" ht="12.75" hidden="1" customHeight="1" x14ac:dyDescent="0.2"/>
    <row r="29189" ht="12.75" hidden="1" customHeight="1" x14ac:dyDescent="0.2"/>
    <row r="29190" ht="12.75" hidden="1" customHeight="1" x14ac:dyDescent="0.2"/>
    <row r="29191" ht="12.75" hidden="1" customHeight="1" x14ac:dyDescent="0.2"/>
    <row r="29192" ht="12.75" hidden="1" customHeight="1" x14ac:dyDescent="0.2"/>
    <row r="29193" ht="12.75" hidden="1" customHeight="1" x14ac:dyDescent="0.2"/>
    <row r="29194" ht="12.75" hidden="1" customHeight="1" x14ac:dyDescent="0.2"/>
    <row r="29195" ht="12.75" hidden="1" customHeight="1" x14ac:dyDescent="0.2"/>
    <row r="29196" ht="12.75" hidden="1" customHeight="1" x14ac:dyDescent="0.2"/>
    <row r="29197" ht="12.75" hidden="1" customHeight="1" x14ac:dyDescent="0.2"/>
    <row r="29198" ht="12.75" hidden="1" customHeight="1" x14ac:dyDescent="0.2"/>
    <row r="29199" ht="12.75" hidden="1" customHeight="1" x14ac:dyDescent="0.2"/>
    <row r="29200" ht="12.75" hidden="1" customHeight="1" x14ac:dyDescent="0.2"/>
    <row r="29201" ht="12.75" hidden="1" customHeight="1" x14ac:dyDescent="0.2"/>
    <row r="29202" ht="12.75" hidden="1" customHeight="1" x14ac:dyDescent="0.2"/>
    <row r="29203" ht="12.75" hidden="1" customHeight="1" x14ac:dyDescent="0.2"/>
    <row r="29204" ht="12.75" hidden="1" customHeight="1" x14ac:dyDescent="0.2"/>
    <row r="29205" ht="12.75" hidden="1" customHeight="1" x14ac:dyDescent="0.2"/>
    <row r="29206" ht="12.75" hidden="1" customHeight="1" x14ac:dyDescent="0.2"/>
    <row r="29207" ht="12.75" hidden="1" customHeight="1" x14ac:dyDescent="0.2"/>
    <row r="29208" ht="12.75" hidden="1" customHeight="1" x14ac:dyDescent="0.2"/>
    <row r="29209" ht="12.75" hidden="1" customHeight="1" x14ac:dyDescent="0.2"/>
    <row r="29210" ht="12.75" hidden="1" customHeight="1" x14ac:dyDescent="0.2"/>
    <row r="29211" ht="12.75" hidden="1" customHeight="1" x14ac:dyDescent="0.2"/>
    <row r="29212" ht="12.75" hidden="1" customHeight="1" x14ac:dyDescent="0.2"/>
    <row r="29213" ht="12.75" hidden="1" customHeight="1" x14ac:dyDescent="0.2"/>
    <row r="29214" ht="12.75" hidden="1" customHeight="1" x14ac:dyDescent="0.2"/>
    <row r="29215" ht="12.75" hidden="1" customHeight="1" x14ac:dyDescent="0.2"/>
    <row r="29216" ht="12.75" hidden="1" customHeight="1" x14ac:dyDescent="0.2"/>
    <row r="29217" ht="12.75" hidden="1" customHeight="1" x14ac:dyDescent="0.2"/>
    <row r="29218" ht="12.75" hidden="1" customHeight="1" x14ac:dyDescent="0.2"/>
    <row r="29219" ht="12.75" hidden="1" customHeight="1" x14ac:dyDescent="0.2"/>
    <row r="29220" ht="12.75" hidden="1" customHeight="1" x14ac:dyDescent="0.2"/>
    <row r="29221" ht="12.75" hidden="1" customHeight="1" x14ac:dyDescent="0.2"/>
    <row r="29222" ht="12.75" hidden="1" customHeight="1" x14ac:dyDescent="0.2"/>
    <row r="29223" ht="12.75" hidden="1" customHeight="1" x14ac:dyDescent="0.2"/>
    <row r="29224" ht="12.75" hidden="1" customHeight="1" x14ac:dyDescent="0.2"/>
    <row r="29225" ht="12.75" hidden="1" customHeight="1" x14ac:dyDescent="0.2"/>
    <row r="29226" ht="12.75" hidden="1" customHeight="1" x14ac:dyDescent="0.2"/>
    <row r="29227" ht="12.75" hidden="1" customHeight="1" x14ac:dyDescent="0.2"/>
    <row r="29228" ht="12.75" hidden="1" customHeight="1" x14ac:dyDescent="0.2"/>
    <row r="29229" ht="12.75" hidden="1" customHeight="1" x14ac:dyDescent="0.2"/>
    <row r="29230" ht="12.75" hidden="1" customHeight="1" x14ac:dyDescent="0.2"/>
    <row r="29231" ht="12.75" hidden="1" customHeight="1" x14ac:dyDescent="0.2"/>
    <row r="29232" ht="12.75" hidden="1" customHeight="1" x14ac:dyDescent="0.2"/>
    <row r="29233" ht="12.75" hidden="1" customHeight="1" x14ac:dyDescent="0.2"/>
    <row r="29234" ht="12.75" hidden="1" customHeight="1" x14ac:dyDescent="0.2"/>
    <row r="29235" ht="12.75" hidden="1" customHeight="1" x14ac:dyDescent="0.2"/>
    <row r="29236" ht="12.75" hidden="1" customHeight="1" x14ac:dyDescent="0.2"/>
    <row r="29237" ht="12.75" hidden="1" customHeight="1" x14ac:dyDescent="0.2"/>
    <row r="29238" ht="12.75" hidden="1" customHeight="1" x14ac:dyDescent="0.2"/>
    <row r="29239" ht="12.75" hidden="1" customHeight="1" x14ac:dyDescent="0.2"/>
    <row r="29240" ht="12.75" hidden="1" customHeight="1" x14ac:dyDescent="0.2"/>
    <row r="29241" ht="12.75" hidden="1" customHeight="1" x14ac:dyDescent="0.2"/>
    <row r="29242" ht="12.75" hidden="1" customHeight="1" x14ac:dyDescent="0.2"/>
    <row r="29243" ht="12.75" hidden="1" customHeight="1" x14ac:dyDescent="0.2"/>
    <row r="29244" ht="12.75" hidden="1" customHeight="1" x14ac:dyDescent="0.2"/>
    <row r="29245" ht="12.75" hidden="1" customHeight="1" x14ac:dyDescent="0.2"/>
    <row r="29246" ht="12.75" hidden="1" customHeight="1" x14ac:dyDescent="0.2"/>
    <row r="29247" ht="12.75" hidden="1" customHeight="1" x14ac:dyDescent="0.2"/>
    <row r="29248" ht="12.75" hidden="1" customHeight="1" x14ac:dyDescent="0.2"/>
    <row r="29249" ht="12.75" hidden="1" customHeight="1" x14ac:dyDescent="0.2"/>
    <row r="29250" ht="12.75" hidden="1" customHeight="1" x14ac:dyDescent="0.2"/>
    <row r="29251" ht="12.75" hidden="1" customHeight="1" x14ac:dyDescent="0.2"/>
    <row r="29252" ht="12.75" hidden="1" customHeight="1" x14ac:dyDescent="0.2"/>
    <row r="29253" ht="12.75" hidden="1" customHeight="1" x14ac:dyDescent="0.2"/>
    <row r="29254" ht="12.75" hidden="1" customHeight="1" x14ac:dyDescent="0.2"/>
    <row r="29255" ht="12.75" hidden="1" customHeight="1" x14ac:dyDescent="0.2"/>
    <row r="29256" ht="12.75" hidden="1" customHeight="1" x14ac:dyDescent="0.2"/>
    <row r="29257" ht="12.75" hidden="1" customHeight="1" x14ac:dyDescent="0.2"/>
    <row r="29258" ht="12.75" hidden="1" customHeight="1" x14ac:dyDescent="0.2"/>
    <row r="29259" ht="12.75" hidden="1" customHeight="1" x14ac:dyDescent="0.2"/>
    <row r="29260" ht="12.75" hidden="1" customHeight="1" x14ac:dyDescent="0.2"/>
    <row r="29261" ht="12.75" hidden="1" customHeight="1" x14ac:dyDescent="0.2"/>
    <row r="29262" ht="12.75" hidden="1" customHeight="1" x14ac:dyDescent="0.2"/>
    <row r="29263" ht="12.75" hidden="1" customHeight="1" x14ac:dyDescent="0.2"/>
    <row r="29264" ht="12.75" hidden="1" customHeight="1" x14ac:dyDescent="0.2"/>
    <row r="29265" ht="12.75" hidden="1" customHeight="1" x14ac:dyDescent="0.2"/>
    <row r="29266" ht="12.75" hidden="1" customHeight="1" x14ac:dyDescent="0.2"/>
    <row r="29267" ht="12.75" hidden="1" customHeight="1" x14ac:dyDescent="0.2"/>
    <row r="29268" ht="12.75" hidden="1" customHeight="1" x14ac:dyDescent="0.2"/>
    <row r="29269" ht="12.75" hidden="1" customHeight="1" x14ac:dyDescent="0.2"/>
    <row r="29270" ht="12.75" hidden="1" customHeight="1" x14ac:dyDescent="0.2"/>
    <row r="29271" ht="12.75" hidden="1" customHeight="1" x14ac:dyDescent="0.2"/>
    <row r="29272" ht="12.75" hidden="1" customHeight="1" x14ac:dyDescent="0.2"/>
    <row r="29273" ht="12.75" hidden="1" customHeight="1" x14ac:dyDescent="0.2"/>
    <row r="29274" ht="12.75" hidden="1" customHeight="1" x14ac:dyDescent="0.2"/>
    <row r="29275" ht="12.75" hidden="1" customHeight="1" x14ac:dyDescent="0.2"/>
    <row r="29276" ht="12.75" hidden="1" customHeight="1" x14ac:dyDescent="0.2"/>
    <row r="29277" ht="12.75" hidden="1" customHeight="1" x14ac:dyDescent="0.2"/>
    <row r="29278" ht="12.75" hidden="1" customHeight="1" x14ac:dyDescent="0.2"/>
    <row r="29279" ht="12.75" hidden="1" customHeight="1" x14ac:dyDescent="0.2"/>
    <row r="29280" ht="12.75" hidden="1" customHeight="1" x14ac:dyDescent="0.2"/>
    <row r="29281" ht="12.75" hidden="1" customHeight="1" x14ac:dyDescent="0.2"/>
    <row r="29282" ht="12.75" hidden="1" customHeight="1" x14ac:dyDescent="0.2"/>
    <row r="29283" ht="12.75" hidden="1" customHeight="1" x14ac:dyDescent="0.2"/>
    <row r="29284" ht="12.75" hidden="1" customHeight="1" x14ac:dyDescent="0.2"/>
    <row r="29285" ht="12.75" hidden="1" customHeight="1" x14ac:dyDescent="0.2"/>
    <row r="29286" ht="12.75" hidden="1" customHeight="1" x14ac:dyDescent="0.2"/>
    <row r="29287" ht="12.75" hidden="1" customHeight="1" x14ac:dyDescent="0.2"/>
    <row r="29288" ht="12.75" hidden="1" customHeight="1" x14ac:dyDescent="0.2"/>
    <row r="29289" ht="12.75" hidden="1" customHeight="1" x14ac:dyDescent="0.2"/>
    <row r="29290" ht="12.75" hidden="1" customHeight="1" x14ac:dyDescent="0.2"/>
    <row r="29291" ht="12.75" hidden="1" customHeight="1" x14ac:dyDescent="0.2"/>
    <row r="29292" ht="12.75" hidden="1" customHeight="1" x14ac:dyDescent="0.2"/>
    <row r="29293" ht="12.75" hidden="1" customHeight="1" x14ac:dyDescent="0.2"/>
    <row r="29294" ht="12.75" hidden="1" customHeight="1" x14ac:dyDescent="0.2"/>
    <row r="29295" ht="12.75" hidden="1" customHeight="1" x14ac:dyDescent="0.2"/>
    <row r="29296" ht="12.75" hidden="1" customHeight="1" x14ac:dyDescent="0.2"/>
    <row r="29297" ht="12.75" hidden="1" customHeight="1" x14ac:dyDescent="0.2"/>
    <row r="29298" ht="12.75" hidden="1" customHeight="1" x14ac:dyDescent="0.2"/>
    <row r="29299" ht="12.75" hidden="1" customHeight="1" x14ac:dyDescent="0.2"/>
    <row r="29300" ht="12.75" hidden="1" customHeight="1" x14ac:dyDescent="0.2"/>
    <row r="29301" ht="12.75" hidden="1" customHeight="1" x14ac:dyDescent="0.2"/>
    <row r="29302" ht="12.75" hidden="1" customHeight="1" x14ac:dyDescent="0.2"/>
    <row r="29303" ht="12.75" hidden="1" customHeight="1" x14ac:dyDescent="0.2"/>
    <row r="29304" ht="12.75" hidden="1" customHeight="1" x14ac:dyDescent="0.2"/>
    <row r="29305" ht="12.75" hidden="1" customHeight="1" x14ac:dyDescent="0.2"/>
    <row r="29306" ht="12.75" hidden="1" customHeight="1" x14ac:dyDescent="0.2"/>
    <row r="29307" ht="12.75" hidden="1" customHeight="1" x14ac:dyDescent="0.2"/>
    <row r="29308" ht="12.75" hidden="1" customHeight="1" x14ac:dyDescent="0.2"/>
    <row r="29309" ht="12.75" hidden="1" customHeight="1" x14ac:dyDescent="0.2"/>
    <row r="29310" ht="12.75" hidden="1" customHeight="1" x14ac:dyDescent="0.2"/>
    <row r="29311" ht="12.75" hidden="1" customHeight="1" x14ac:dyDescent="0.2"/>
    <row r="29312" ht="12.75" hidden="1" customHeight="1" x14ac:dyDescent="0.2"/>
    <row r="29313" ht="12.75" hidden="1" customHeight="1" x14ac:dyDescent="0.2"/>
    <row r="29314" ht="12.75" hidden="1" customHeight="1" x14ac:dyDescent="0.2"/>
    <row r="29315" ht="12.75" hidden="1" customHeight="1" x14ac:dyDescent="0.2"/>
    <row r="29316" ht="12.75" hidden="1" customHeight="1" x14ac:dyDescent="0.2"/>
    <row r="29317" ht="12.75" hidden="1" customHeight="1" x14ac:dyDescent="0.2"/>
    <row r="29318" ht="12.75" hidden="1" customHeight="1" x14ac:dyDescent="0.2"/>
    <row r="29319" ht="12.75" hidden="1" customHeight="1" x14ac:dyDescent="0.2"/>
    <row r="29320" ht="12.75" hidden="1" customHeight="1" x14ac:dyDescent="0.2"/>
    <row r="29321" ht="12.75" hidden="1" customHeight="1" x14ac:dyDescent="0.2"/>
    <row r="29322" ht="12.75" hidden="1" customHeight="1" x14ac:dyDescent="0.2"/>
    <row r="29323" ht="12.75" hidden="1" customHeight="1" x14ac:dyDescent="0.2"/>
    <row r="29324" ht="12.75" hidden="1" customHeight="1" x14ac:dyDescent="0.2"/>
    <row r="29325" ht="12.75" hidden="1" customHeight="1" x14ac:dyDescent="0.2"/>
    <row r="29326" ht="12.75" hidden="1" customHeight="1" x14ac:dyDescent="0.2"/>
    <row r="29327" ht="12.75" hidden="1" customHeight="1" x14ac:dyDescent="0.2"/>
    <row r="29328" ht="12.75" hidden="1" customHeight="1" x14ac:dyDescent="0.2"/>
    <row r="29329" ht="12.75" hidden="1" customHeight="1" x14ac:dyDescent="0.2"/>
    <row r="29330" ht="12.75" hidden="1" customHeight="1" x14ac:dyDescent="0.2"/>
    <row r="29331" ht="12.75" hidden="1" customHeight="1" x14ac:dyDescent="0.2"/>
    <row r="29332" ht="12.75" hidden="1" customHeight="1" x14ac:dyDescent="0.2"/>
    <row r="29333" ht="12.75" hidden="1" customHeight="1" x14ac:dyDescent="0.2"/>
    <row r="29334" ht="12.75" hidden="1" customHeight="1" x14ac:dyDescent="0.2"/>
    <row r="29335" ht="12.75" hidden="1" customHeight="1" x14ac:dyDescent="0.2"/>
    <row r="29336" ht="12.75" hidden="1" customHeight="1" x14ac:dyDescent="0.2"/>
    <row r="29337" ht="12.75" hidden="1" customHeight="1" x14ac:dyDescent="0.2"/>
    <row r="29338" ht="12.75" hidden="1" customHeight="1" x14ac:dyDescent="0.2"/>
    <row r="29339" ht="12.75" hidden="1" customHeight="1" x14ac:dyDescent="0.2"/>
    <row r="29340" ht="12.75" hidden="1" customHeight="1" x14ac:dyDescent="0.2"/>
    <row r="29341" ht="12.75" hidden="1" customHeight="1" x14ac:dyDescent="0.2"/>
    <row r="29342" ht="12.75" hidden="1" customHeight="1" x14ac:dyDescent="0.2"/>
    <row r="29343" ht="12.75" hidden="1" customHeight="1" x14ac:dyDescent="0.2"/>
    <row r="29344" ht="12.75" hidden="1" customHeight="1" x14ac:dyDescent="0.2"/>
    <row r="29345" ht="12.75" hidden="1" customHeight="1" x14ac:dyDescent="0.2"/>
    <row r="29346" ht="12.75" hidden="1" customHeight="1" x14ac:dyDescent="0.2"/>
    <row r="29347" ht="12.75" hidden="1" customHeight="1" x14ac:dyDescent="0.2"/>
    <row r="29348" ht="12.75" hidden="1" customHeight="1" x14ac:dyDescent="0.2"/>
    <row r="29349" ht="12.75" hidden="1" customHeight="1" x14ac:dyDescent="0.2"/>
    <row r="29350" ht="12.75" hidden="1" customHeight="1" x14ac:dyDescent="0.2"/>
    <row r="29351" ht="12.75" hidden="1" customHeight="1" x14ac:dyDescent="0.2"/>
    <row r="29352" ht="12.75" hidden="1" customHeight="1" x14ac:dyDescent="0.2"/>
    <row r="29353" ht="12.75" hidden="1" customHeight="1" x14ac:dyDescent="0.2"/>
    <row r="29354" ht="12.75" hidden="1" customHeight="1" x14ac:dyDescent="0.2"/>
    <row r="29355" ht="12.75" hidden="1" customHeight="1" x14ac:dyDescent="0.2"/>
    <row r="29356" ht="12.75" hidden="1" customHeight="1" x14ac:dyDescent="0.2"/>
    <row r="29357" ht="12.75" hidden="1" customHeight="1" x14ac:dyDescent="0.2"/>
    <row r="29358" ht="12.75" hidden="1" customHeight="1" x14ac:dyDescent="0.2"/>
    <row r="29359" ht="12.75" hidden="1" customHeight="1" x14ac:dyDescent="0.2"/>
    <row r="29360" ht="12.75" hidden="1" customHeight="1" x14ac:dyDescent="0.2"/>
    <row r="29361" ht="12.75" hidden="1" customHeight="1" x14ac:dyDescent="0.2"/>
    <row r="29362" ht="12.75" hidden="1" customHeight="1" x14ac:dyDescent="0.2"/>
    <row r="29363" ht="12.75" hidden="1" customHeight="1" x14ac:dyDescent="0.2"/>
    <row r="29364" ht="12.75" hidden="1" customHeight="1" x14ac:dyDescent="0.2"/>
    <row r="29365" ht="12.75" hidden="1" customHeight="1" x14ac:dyDescent="0.2"/>
    <row r="29366" ht="12.75" hidden="1" customHeight="1" x14ac:dyDescent="0.2"/>
    <row r="29367" ht="12.75" hidden="1" customHeight="1" x14ac:dyDescent="0.2"/>
    <row r="29368" ht="12.75" hidden="1" customHeight="1" x14ac:dyDescent="0.2"/>
    <row r="29369" ht="12.75" hidden="1" customHeight="1" x14ac:dyDescent="0.2"/>
    <row r="29370" ht="12.75" hidden="1" customHeight="1" x14ac:dyDescent="0.2"/>
    <row r="29371" ht="12.75" hidden="1" customHeight="1" x14ac:dyDescent="0.2"/>
    <row r="29372" ht="12.75" hidden="1" customHeight="1" x14ac:dyDescent="0.2"/>
    <row r="29373" ht="12.75" hidden="1" customHeight="1" x14ac:dyDescent="0.2"/>
    <row r="29374" ht="12.75" hidden="1" customHeight="1" x14ac:dyDescent="0.2"/>
    <row r="29375" ht="12.75" hidden="1" customHeight="1" x14ac:dyDescent="0.2"/>
    <row r="29376" ht="12.75" hidden="1" customHeight="1" x14ac:dyDescent="0.2"/>
    <row r="29377" ht="12.75" hidden="1" customHeight="1" x14ac:dyDescent="0.2"/>
    <row r="29378" ht="12.75" hidden="1" customHeight="1" x14ac:dyDescent="0.2"/>
    <row r="29379" ht="12.75" hidden="1" customHeight="1" x14ac:dyDescent="0.2"/>
    <row r="29380" ht="12.75" hidden="1" customHeight="1" x14ac:dyDescent="0.2"/>
    <row r="29381" ht="12.75" hidden="1" customHeight="1" x14ac:dyDescent="0.2"/>
    <row r="29382" ht="12.75" hidden="1" customHeight="1" x14ac:dyDescent="0.2"/>
    <row r="29383" ht="12.75" hidden="1" customHeight="1" x14ac:dyDescent="0.2"/>
    <row r="29384" ht="12.75" hidden="1" customHeight="1" x14ac:dyDescent="0.2"/>
    <row r="29385" ht="12.75" hidden="1" customHeight="1" x14ac:dyDescent="0.2"/>
    <row r="29386" ht="12.75" hidden="1" customHeight="1" x14ac:dyDescent="0.2"/>
    <row r="29387" ht="12.75" hidden="1" customHeight="1" x14ac:dyDescent="0.2"/>
    <row r="29388" ht="12.75" hidden="1" customHeight="1" x14ac:dyDescent="0.2"/>
    <row r="29389" ht="12.75" hidden="1" customHeight="1" x14ac:dyDescent="0.2"/>
    <row r="29390" ht="12.75" hidden="1" customHeight="1" x14ac:dyDescent="0.2"/>
    <row r="29391" ht="12.75" hidden="1" customHeight="1" x14ac:dyDescent="0.2"/>
    <row r="29392" ht="12.75" hidden="1" customHeight="1" x14ac:dyDescent="0.2"/>
    <row r="29393" ht="12.75" hidden="1" customHeight="1" x14ac:dyDescent="0.2"/>
    <row r="29394" ht="12.75" hidden="1" customHeight="1" x14ac:dyDescent="0.2"/>
    <row r="29395" ht="12.75" hidden="1" customHeight="1" x14ac:dyDescent="0.2"/>
    <row r="29396" ht="12.75" hidden="1" customHeight="1" x14ac:dyDescent="0.2"/>
    <row r="29397" ht="12.75" hidden="1" customHeight="1" x14ac:dyDescent="0.2"/>
    <row r="29398" ht="12.75" hidden="1" customHeight="1" x14ac:dyDescent="0.2"/>
    <row r="29399" ht="12.75" hidden="1" customHeight="1" x14ac:dyDescent="0.2"/>
    <row r="29400" ht="12.75" hidden="1" customHeight="1" x14ac:dyDescent="0.2"/>
    <row r="29401" ht="12.75" hidden="1" customHeight="1" x14ac:dyDescent="0.2"/>
    <row r="29402" ht="12.75" hidden="1" customHeight="1" x14ac:dyDescent="0.2"/>
    <row r="29403" ht="12.75" hidden="1" customHeight="1" x14ac:dyDescent="0.2"/>
    <row r="29404" ht="12.75" hidden="1" customHeight="1" x14ac:dyDescent="0.2"/>
    <row r="29405" ht="12.75" hidden="1" customHeight="1" x14ac:dyDescent="0.2"/>
    <row r="29406" ht="12.75" hidden="1" customHeight="1" x14ac:dyDescent="0.2"/>
    <row r="29407" ht="12.75" hidden="1" customHeight="1" x14ac:dyDescent="0.2"/>
    <row r="29408" ht="12.75" hidden="1" customHeight="1" x14ac:dyDescent="0.2"/>
    <row r="29409" ht="12.75" hidden="1" customHeight="1" x14ac:dyDescent="0.2"/>
    <row r="29410" ht="12.75" hidden="1" customHeight="1" x14ac:dyDescent="0.2"/>
    <row r="29411" ht="12.75" hidden="1" customHeight="1" x14ac:dyDescent="0.2"/>
    <row r="29412" ht="12.75" hidden="1" customHeight="1" x14ac:dyDescent="0.2"/>
    <row r="29413" ht="12.75" hidden="1" customHeight="1" x14ac:dyDescent="0.2"/>
    <row r="29414" ht="12.75" hidden="1" customHeight="1" x14ac:dyDescent="0.2"/>
    <row r="29415" ht="12.75" hidden="1" customHeight="1" x14ac:dyDescent="0.2"/>
    <row r="29416" ht="12.75" hidden="1" customHeight="1" x14ac:dyDescent="0.2"/>
    <row r="29417" ht="12.75" hidden="1" customHeight="1" x14ac:dyDescent="0.2"/>
    <row r="29418" ht="12.75" hidden="1" customHeight="1" x14ac:dyDescent="0.2"/>
    <row r="29419" ht="12.75" hidden="1" customHeight="1" x14ac:dyDescent="0.2"/>
    <row r="29420" ht="12.75" hidden="1" customHeight="1" x14ac:dyDescent="0.2"/>
    <row r="29421" ht="12.75" hidden="1" customHeight="1" x14ac:dyDescent="0.2"/>
    <row r="29422" ht="12.75" hidden="1" customHeight="1" x14ac:dyDescent="0.2"/>
    <row r="29423" ht="12.75" hidden="1" customHeight="1" x14ac:dyDescent="0.2"/>
    <row r="29424" ht="12.75" hidden="1" customHeight="1" x14ac:dyDescent="0.2"/>
    <row r="29425" ht="12.75" hidden="1" customHeight="1" x14ac:dyDescent="0.2"/>
    <row r="29426" ht="12.75" hidden="1" customHeight="1" x14ac:dyDescent="0.2"/>
    <row r="29427" ht="12.75" hidden="1" customHeight="1" x14ac:dyDescent="0.2"/>
    <row r="29428" ht="12.75" hidden="1" customHeight="1" x14ac:dyDescent="0.2"/>
    <row r="29429" ht="12.75" hidden="1" customHeight="1" x14ac:dyDescent="0.2"/>
    <row r="29430" ht="12.75" hidden="1" customHeight="1" x14ac:dyDescent="0.2"/>
    <row r="29431" ht="12.75" hidden="1" customHeight="1" x14ac:dyDescent="0.2"/>
    <row r="29432" ht="12.75" hidden="1" customHeight="1" x14ac:dyDescent="0.2"/>
    <row r="29433" ht="12.75" hidden="1" customHeight="1" x14ac:dyDescent="0.2"/>
    <row r="29434" ht="12.75" hidden="1" customHeight="1" x14ac:dyDescent="0.2"/>
    <row r="29435" ht="12.75" hidden="1" customHeight="1" x14ac:dyDescent="0.2"/>
    <row r="29436" ht="12.75" hidden="1" customHeight="1" x14ac:dyDescent="0.2"/>
    <row r="29437" ht="12.75" hidden="1" customHeight="1" x14ac:dyDescent="0.2"/>
    <row r="29438" ht="12.75" hidden="1" customHeight="1" x14ac:dyDescent="0.2"/>
    <row r="29439" ht="12.75" hidden="1" customHeight="1" x14ac:dyDescent="0.2"/>
    <row r="29440" ht="12.75" hidden="1" customHeight="1" x14ac:dyDescent="0.2"/>
    <row r="29441" ht="12.75" hidden="1" customHeight="1" x14ac:dyDescent="0.2"/>
    <row r="29442" ht="12.75" hidden="1" customHeight="1" x14ac:dyDescent="0.2"/>
    <row r="29443" ht="12.75" hidden="1" customHeight="1" x14ac:dyDescent="0.2"/>
    <row r="29444" ht="12.75" hidden="1" customHeight="1" x14ac:dyDescent="0.2"/>
    <row r="29445" ht="12.75" hidden="1" customHeight="1" x14ac:dyDescent="0.2"/>
    <row r="29446" ht="12.75" hidden="1" customHeight="1" x14ac:dyDescent="0.2"/>
    <row r="29447" ht="12.75" hidden="1" customHeight="1" x14ac:dyDescent="0.2"/>
    <row r="29448" ht="12.75" hidden="1" customHeight="1" x14ac:dyDescent="0.2"/>
    <row r="29449" ht="12.75" hidden="1" customHeight="1" x14ac:dyDescent="0.2"/>
    <row r="29450" ht="12.75" hidden="1" customHeight="1" x14ac:dyDescent="0.2"/>
    <row r="29451" ht="12.75" hidden="1" customHeight="1" x14ac:dyDescent="0.2"/>
    <row r="29452" ht="12.75" hidden="1" customHeight="1" x14ac:dyDescent="0.2"/>
    <row r="29453" ht="12.75" hidden="1" customHeight="1" x14ac:dyDescent="0.2"/>
    <row r="29454" ht="12.75" hidden="1" customHeight="1" x14ac:dyDescent="0.2"/>
    <row r="29455" ht="12.75" hidden="1" customHeight="1" x14ac:dyDescent="0.2"/>
    <row r="29456" ht="12.75" hidden="1" customHeight="1" x14ac:dyDescent="0.2"/>
    <row r="29457" ht="12.75" hidden="1" customHeight="1" x14ac:dyDescent="0.2"/>
    <row r="29458" ht="12.75" hidden="1" customHeight="1" x14ac:dyDescent="0.2"/>
    <row r="29459" ht="12.75" hidden="1" customHeight="1" x14ac:dyDescent="0.2"/>
    <row r="29460" ht="12.75" hidden="1" customHeight="1" x14ac:dyDescent="0.2"/>
    <row r="29461" ht="12.75" hidden="1" customHeight="1" x14ac:dyDescent="0.2"/>
    <row r="29462" ht="12.75" hidden="1" customHeight="1" x14ac:dyDescent="0.2"/>
    <row r="29463" ht="12.75" hidden="1" customHeight="1" x14ac:dyDescent="0.2"/>
    <row r="29464" ht="12.75" hidden="1" customHeight="1" x14ac:dyDescent="0.2"/>
    <row r="29465" ht="12.75" hidden="1" customHeight="1" x14ac:dyDescent="0.2"/>
    <row r="29466" ht="12.75" hidden="1" customHeight="1" x14ac:dyDescent="0.2"/>
    <row r="29467" ht="12.75" hidden="1" customHeight="1" x14ac:dyDescent="0.2"/>
    <row r="29468" ht="12.75" hidden="1" customHeight="1" x14ac:dyDescent="0.2"/>
    <row r="29469" ht="12.75" hidden="1" customHeight="1" x14ac:dyDescent="0.2"/>
    <row r="29470" ht="12.75" hidden="1" customHeight="1" x14ac:dyDescent="0.2"/>
    <row r="29471" ht="12.75" hidden="1" customHeight="1" x14ac:dyDescent="0.2"/>
    <row r="29472" ht="12.75" hidden="1" customHeight="1" x14ac:dyDescent="0.2"/>
    <row r="29473" ht="12.75" hidden="1" customHeight="1" x14ac:dyDescent="0.2"/>
    <row r="29474" ht="12.75" hidden="1" customHeight="1" x14ac:dyDescent="0.2"/>
    <row r="29475" ht="12.75" hidden="1" customHeight="1" x14ac:dyDescent="0.2"/>
    <row r="29476" ht="12.75" hidden="1" customHeight="1" x14ac:dyDescent="0.2"/>
    <row r="29477" ht="12.75" hidden="1" customHeight="1" x14ac:dyDescent="0.2"/>
    <row r="29478" ht="12.75" hidden="1" customHeight="1" x14ac:dyDescent="0.2"/>
    <row r="29479" ht="12.75" hidden="1" customHeight="1" x14ac:dyDescent="0.2"/>
    <row r="29480" ht="12.75" hidden="1" customHeight="1" x14ac:dyDescent="0.2"/>
    <row r="29481" ht="12.75" hidden="1" customHeight="1" x14ac:dyDescent="0.2"/>
    <row r="29482" ht="12.75" hidden="1" customHeight="1" x14ac:dyDescent="0.2"/>
    <row r="29483" ht="12.75" hidden="1" customHeight="1" x14ac:dyDescent="0.2"/>
    <row r="29484" ht="12.75" hidden="1" customHeight="1" x14ac:dyDescent="0.2"/>
    <row r="29485" ht="12.75" hidden="1" customHeight="1" x14ac:dyDescent="0.2"/>
    <row r="29486" ht="12.75" hidden="1" customHeight="1" x14ac:dyDescent="0.2"/>
    <row r="29487" ht="12.75" hidden="1" customHeight="1" x14ac:dyDescent="0.2"/>
    <row r="29488" ht="12.75" hidden="1" customHeight="1" x14ac:dyDescent="0.2"/>
    <row r="29489" ht="12.75" hidden="1" customHeight="1" x14ac:dyDescent="0.2"/>
    <row r="29490" ht="12.75" hidden="1" customHeight="1" x14ac:dyDescent="0.2"/>
    <row r="29491" ht="12.75" hidden="1" customHeight="1" x14ac:dyDescent="0.2"/>
    <row r="29492" ht="12.75" hidden="1" customHeight="1" x14ac:dyDescent="0.2"/>
    <row r="29493" ht="12.75" hidden="1" customHeight="1" x14ac:dyDescent="0.2"/>
    <row r="29494" ht="12.75" hidden="1" customHeight="1" x14ac:dyDescent="0.2"/>
    <row r="29495" ht="12.75" hidden="1" customHeight="1" x14ac:dyDescent="0.2"/>
    <row r="29496" ht="12.75" hidden="1" customHeight="1" x14ac:dyDescent="0.2"/>
    <row r="29497" ht="12.75" hidden="1" customHeight="1" x14ac:dyDescent="0.2"/>
    <row r="29498" ht="12.75" hidden="1" customHeight="1" x14ac:dyDescent="0.2"/>
    <row r="29499" ht="12.75" hidden="1" customHeight="1" x14ac:dyDescent="0.2"/>
    <row r="29500" ht="12.75" hidden="1" customHeight="1" x14ac:dyDescent="0.2"/>
    <row r="29501" ht="12.75" hidden="1" customHeight="1" x14ac:dyDescent="0.2"/>
    <row r="29502" ht="12.75" hidden="1" customHeight="1" x14ac:dyDescent="0.2"/>
    <row r="29503" ht="12.75" hidden="1" customHeight="1" x14ac:dyDescent="0.2"/>
    <row r="29504" ht="12.75" hidden="1" customHeight="1" x14ac:dyDescent="0.2"/>
    <row r="29505" ht="12.75" hidden="1" customHeight="1" x14ac:dyDescent="0.2"/>
    <row r="29506" ht="12.75" hidden="1" customHeight="1" x14ac:dyDescent="0.2"/>
    <row r="29507" ht="12.75" hidden="1" customHeight="1" x14ac:dyDescent="0.2"/>
    <row r="29508" ht="12.75" hidden="1" customHeight="1" x14ac:dyDescent="0.2"/>
    <row r="29509" ht="12.75" hidden="1" customHeight="1" x14ac:dyDescent="0.2"/>
    <row r="29510" ht="12.75" hidden="1" customHeight="1" x14ac:dyDescent="0.2"/>
    <row r="29511" ht="12.75" hidden="1" customHeight="1" x14ac:dyDescent="0.2"/>
    <row r="29512" ht="12.75" hidden="1" customHeight="1" x14ac:dyDescent="0.2"/>
    <row r="29513" ht="12.75" hidden="1" customHeight="1" x14ac:dyDescent="0.2"/>
    <row r="29514" ht="12.75" hidden="1" customHeight="1" x14ac:dyDescent="0.2"/>
    <row r="29515" ht="12.75" hidden="1" customHeight="1" x14ac:dyDescent="0.2"/>
    <row r="29516" ht="12.75" hidden="1" customHeight="1" x14ac:dyDescent="0.2"/>
    <row r="29517" ht="12.75" hidden="1" customHeight="1" x14ac:dyDescent="0.2"/>
    <row r="29518" ht="12.75" hidden="1" customHeight="1" x14ac:dyDescent="0.2"/>
    <row r="29519" ht="12.75" hidden="1" customHeight="1" x14ac:dyDescent="0.2"/>
    <row r="29520" ht="12.75" hidden="1" customHeight="1" x14ac:dyDescent="0.2"/>
    <row r="29521" ht="12.75" hidden="1" customHeight="1" x14ac:dyDescent="0.2"/>
    <row r="29522" ht="12.75" hidden="1" customHeight="1" x14ac:dyDescent="0.2"/>
    <row r="29523" ht="12.75" hidden="1" customHeight="1" x14ac:dyDescent="0.2"/>
    <row r="29524" ht="12.75" hidden="1" customHeight="1" x14ac:dyDescent="0.2"/>
    <row r="29525" ht="12.75" hidden="1" customHeight="1" x14ac:dyDescent="0.2"/>
    <row r="29526" ht="12.75" hidden="1" customHeight="1" x14ac:dyDescent="0.2"/>
    <row r="29527" ht="12.75" hidden="1" customHeight="1" x14ac:dyDescent="0.2"/>
    <row r="29528" ht="12.75" hidden="1" customHeight="1" x14ac:dyDescent="0.2"/>
    <row r="29529" ht="12.75" hidden="1" customHeight="1" x14ac:dyDescent="0.2"/>
    <row r="29530" ht="12.75" hidden="1" customHeight="1" x14ac:dyDescent="0.2"/>
    <row r="29531" ht="12.75" hidden="1" customHeight="1" x14ac:dyDescent="0.2"/>
    <row r="29532" ht="12.75" hidden="1" customHeight="1" x14ac:dyDescent="0.2"/>
    <row r="29533" ht="12.75" hidden="1" customHeight="1" x14ac:dyDescent="0.2"/>
    <row r="29534" ht="12.75" hidden="1" customHeight="1" x14ac:dyDescent="0.2"/>
    <row r="29535" ht="12.75" hidden="1" customHeight="1" x14ac:dyDescent="0.2"/>
    <row r="29536" ht="12.75" hidden="1" customHeight="1" x14ac:dyDescent="0.2"/>
    <row r="29537" ht="12.75" hidden="1" customHeight="1" x14ac:dyDescent="0.2"/>
    <row r="29538" ht="12.75" hidden="1" customHeight="1" x14ac:dyDescent="0.2"/>
    <row r="29539" ht="12.75" hidden="1" customHeight="1" x14ac:dyDescent="0.2"/>
    <row r="29540" ht="12.75" hidden="1" customHeight="1" x14ac:dyDescent="0.2"/>
    <row r="29541" ht="12.75" hidden="1" customHeight="1" x14ac:dyDescent="0.2"/>
    <row r="29542" ht="12.75" hidden="1" customHeight="1" x14ac:dyDescent="0.2"/>
    <row r="29543" ht="12.75" hidden="1" customHeight="1" x14ac:dyDescent="0.2"/>
    <row r="29544" ht="12.75" hidden="1" customHeight="1" x14ac:dyDescent="0.2"/>
    <row r="29545" ht="12.75" hidden="1" customHeight="1" x14ac:dyDescent="0.2"/>
    <row r="29546" ht="12.75" hidden="1" customHeight="1" x14ac:dyDescent="0.2"/>
    <row r="29547" ht="12.75" hidden="1" customHeight="1" x14ac:dyDescent="0.2"/>
    <row r="29548" ht="12.75" hidden="1" customHeight="1" x14ac:dyDescent="0.2"/>
    <row r="29549" ht="12.75" hidden="1" customHeight="1" x14ac:dyDescent="0.2"/>
    <row r="29550" ht="12.75" hidden="1" customHeight="1" x14ac:dyDescent="0.2"/>
    <row r="29551" ht="12.75" hidden="1" customHeight="1" x14ac:dyDescent="0.2"/>
    <row r="29552" ht="12.75" hidden="1" customHeight="1" x14ac:dyDescent="0.2"/>
    <row r="29553" ht="12.75" hidden="1" customHeight="1" x14ac:dyDescent="0.2"/>
    <row r="29554" ht="12.75" hidden="1" customHeight="1" x14ac:dyDescent="0.2"/>
    <row r="29555" ht="12.75" hidden="1" customHeight="1" x14ac:dyDescent="0.2"/>
    <row r="29556" ht="12.75" hidden="1" customHeight="1" x14ac:dyDescent="0.2"/>
    <row r="29557" ht="12.75" hidden="1" customHeight="1" x14ac:dyDescent="0.2"/>
    <row r="29558" ht="12.75" hidden="1" customHeight="1" x14ac:dyDescent="0.2"/>
    <row r="29559" ht="12.75" hidden="1" customHeight="1" x14ac:dyDescent="0.2"/>
    <row r="29560" ht="12.75" hidden="1" customHeight="1" x14ac:dyDescent="0.2"/>
    <row r="29561" ht="12.75" hidden="1" customHeight="1" x14ac:dyDescent="0.2"/>
    <row r="29562" ht="12.75" hidden="1" customHeight="1" x14ac:dyDescent="0.2"/>
    <row r="29563" ht="12.75" hidden="1" customHeight="1" x14ac:dyDescent="0.2"/>
    <row r="29564" ht="12.75" hidden="1" customHeight="1" x14ac:dyDescent="0.2"/>
    <row r="29565" ht="12.75" hidden="1" customHeight="1" x14ac:dyDescent="0.2"/>
    <row r="29566" ht="12.75" hidden="1" customHeight="1" x14ac:dyDescent="0.2"/>
    <row r="29567" ht="12.75" hidden="1" customHeight="1" x14ac:dyDescent="0.2"/>
    <row r="29568" ht="12.75" hidden="1" customHeight="1" x14ac:dyDescent="0.2"/>
    <row r="29569" ht="12.75" hidden="1" customHeight="1" x14ac:dyDescent="0.2"/>
    <row r="29570" ht="12.75" hidden="1" customHeight="1" x14ac:dyDescent="0.2"/>
    <row r="29571" ht="12.75" hidden="1" customHeight="1" x14ac:dyDescent="0.2"/>
    <row r="29572" ht="12.75" hidden="1" customHeight="1" x14ac:dyDescent="0.2"/>
    <row r="29573" ht="12.75" hidden="1" customHeight="1" x14ac:dyDescent="0.2"/>
    <row r="29574" ht="12.75" hidden="1" customHeight="1" x14ac:dyDescent="0.2"/>
    <row r="29575" ht="12.75" hidden="1" customHeight="1" x14ac:dyDescent="0.2"/>
    <row r="29576" ht="12.75" hidden="1" customHeight="1" x14ac:dyDescent="0.2"/>
    <row r="29577" ht="12.75" hidden="1" customHeight="1" x14ac:dyDescent="0.2"/>
    <row r="29578" ht="12.75" hidden="1" customHeight="1" x14ac:dyDescent="0.2"/>
    <row r="29579" ht="12.75" hidden="1" customHeight="1" x14ac:dyDescent="0.2"/>
    <row r="29580" ht="12.75" hidden="1" customHeight="1" x14ac:dyDescent="0.2"/>
    <row r="29581" ht="12.75" hidden="1" customHeight="1" x14ac:dyDescent="0.2"/>
    <row r="29582" ht="12.75" hidden="1" customHeight="1" x14ac:dyDescent="0.2"/>
    <row r="29583" ht="12.75" hidden="1" customHeight="1" x14ac:dyDescent="0.2"/>
    <row r="29584" ht="12.75" hidden="1" customHeight="1" x14ac:dyDescent="0.2"/>
    <row r="29585" ht="12.75" hidden="1" customHeight="1" x14ac:dyDescent="0.2"/>
    <row r="29586" ht="12.75" hidden="1" customHeight="1" x14ac:dyDescent="0.2"/>
    <row r="29587" ht="12.75" hidden="1" customHeight="1" x14ac:dyDescent="0.2"/>
    <row r="29588" ht="12.75" hidden="1" customHeight="1" x14ac:dyDescent="0.2"/>
    <row r="29589" ht="12.75" hidden="1" customHeight="1" x14ac:dyDescent="0.2"/>
    <row r="29590" ht="12.75" hidden="1" customHeight="1" x14ac:dyDescent="0.2"/>
    <row r="29591" ht="12.75" hidden="1" customHeight="1" x14ac:dyDescent="0.2"/>
    <row r="29592" ht="12.75" hidden="1" customHeight="1" x14ac:dyDescent="0.2"/>
    <row r="29593" ht="12.75" hidden="1" customHeight="1" x14ac:dyDescent="0.2"/>
    <row r="29594" ht="12.75" hidden="1" customHeight="1" x14ac:dyDescent="0.2"/>
    <row r="29595" ht="12.75" hidden="1" customHeight="1" x14ac:dyDescent="0.2"/>
    <row r="29596" ht="12.75" hidden="1" customHeight="1" x14ac:dyDescent="0.2"/>
    <row r="29597" ht="12.75" hidden="1" customHeight="1" x14ac:dyDescent="0.2"/>
    <row r="29598" ht="12.75" hidden="1" customHeight="1" x14ac:dyDescent="0.2"/>
    <row r="29599" ht="12.75" hidden="1" customHeight="1" x14ac:dyDescent="0.2"/>
    <row r="29600" ht="12.75" hidden="1" customHeight="1" x14ac:dyDescent="0.2"/>
    <row r="29601" ht="12.75" hidden="1" customHeight="1" x14ac:dyDescent="0.2"/>
    <row r="29602" ht="12.75" hidden="1" customHeight="1" x14ac:dyDescent="0.2"/>
    <row r="29603" ht="12.75" hidden="1" customHeight="1" x14ac:dyDescent="0.2"/>
    <row r="29604" ht="12.75" hidden="1" customHeight="1" x14ac:dyDescent="0.2"/>
    <row r="29605" ht="12.75" hidden="1" customHeight="1" x14ac:dyDescent="0.2"/>
    <row r="29606" ht="12.75" hidden="1" customHeight="1" x14ac:dyDescent="0.2"/>
    <row r="29607" ht="12.75" hidden="1" customHeight="1" x14ac:dyDescent="0.2"/>
    <row r="29608" ht="12.75" hidden="1" customHeight="1" x14ac:dyDescent="0.2"/>
    <row r="29609" ht="12.75" hidden="1" customHeight="1" x14ac:dyDescent="0.2"/>
    <row r="29610" ht="12.75" hidden="1" customHeight="1" x14ac:dyDescent="0.2"/>
    <row r="29611" ht="12.75" hidden="1" customHeight="1" x14ac:dyDescent="0.2"/>
    <row r="29612" ht="12.75" hidden="1" customHeight="1" x14ac:dyDescent="0.2"/>
    <row r="29613" ht="12.75" hidden="1" customHeight="1" x14ac:dyDescent="0.2"/>
    <row r="29614" ht="12.75" hidden="1" customHeight="1" x14ac:dyDescent="0.2"/>
    <row r="29615" ht="12.75" hidden="1" customHeight="1" x14ac:dyDescent="0.2"/>
    <row r="29616" ht="12.75" hidden="1" customHeight="1" x14ac:dyDescent="0.2"/>
    <row r="29617" ht="12.75" hidden="1" customHeight="1" x14ac:dyDescent="0.2"/>
    <row r="29618" ht="12.75" hidden="1" customHeight="1" x14ac:dyDescent="0.2"/>
    <row r="29619" ht="12.75" hidden="1" customHeight="1" x14ac:dyDescent="0.2"/>
    <row r="29620" ht="12.75" hidden="1" customHeight="1" x14ac:dyDescent="0.2"/>
    <row r="29621" ht="12.75" hidden="1" customHeight="1" x14ac:dyDescent="0.2"/>
    <row r="29622" ht="12.75" hidden="1" customHeight="1" x14ac:dyDescent="0.2"/>
    <row r="29623" ht="12.75" hidden="1" customHeight="1" x14ac:dyDescent="0.2"/>
    <row r="29624" ht="12.75" hidden="1" customHeight="1" x14ac:dyDescent="0.2"/>
    <row r="29625" ht="12.75" hidden="1" customHeight="1" x14ac:dyDescent="0.2"/>
    <row r="29626" ht="12.75" hidden="1" customHeight="1" x14ac:dyDescent="0.2"/>
    <row r="29627" ht="12.75" hidden="1" customHeight="1" x14ac:dyDescent="0.2"/>
    <row r="29628" ht="12.75" hidden="1" customHeight="1" x14ac:dyDescent="0.2"/>
    <row r="29629" ht="12.75" hidden="1" customHeight="1" x14ac:dyDescent="0.2"/>
    <row r="29630" ht="12.75" hidden="1" customHeight="1" x14ac:dyDescent="0.2"/>
    <row r="29631" ht="12.75" hidden="1" customHeight="1" x14ac:dyDescent="0.2"/>
    <row r="29632" ht="12.75" hidden="1" customHeight="1" x14ac:dyDescent="0.2"/>
    <row r="29633" ht="12.75" hidden="1" customHeight="1" x14ac:dyDescent="0.2"/>
    <row r="29634" ht="12.75" hidden="1" customHeight="1" x14ac:dyDescent="0.2"/>
    <row r="29635" ht="12.75" hidden="1" customHeight="1" x14ac:dyDescent="0.2"/>
    <row r="29636" ht="12.75" hidden="1" customHeight="1" x14ac:dyDescent="0.2"/>
    <row r="29637" ht="12.75" hidden="1" customHeight="1" x14ac:dyDescent="0.2"/>
    <row r="29638" ht="12.75" hidden="1" customHeight="1" x14ac:dyDescent="0.2"/>
    <row r="29639" ht="12.75" hidden="1" customHeight="1" x14ac:dyDescent="0.2"/>
    <row r="29640" ht="12.75" hidden="1" customHeight="1" x14ac:dyDescent="0.2"/>
    <row r="29641" ht="12.75" hidden="1" customHeight="1" x14ac:dyDescent="0.2"/>
    <row r="29642" ht="12.75" hidden="1" customHeight="1" x14ac:dyDescent="0.2"/>
    <row r="29643" ht="12.75" hidden="1" customHeight="1" x14ac:dyDescent="0.2"/>
    <row r="29644" ht="12.75" hidden="1" customHeight="1" x14ac:dyDescent="0.2"/>
    <row r="29645" ht="12.75" hidden="1" customHeight="1" x14ac:dyDescent="0.2"/>
    <row r="29646" ht="12.75" hidden="1" customHeight="1" x14ac:dyDescent="0.2"/>
    <row r="29647" ht="12.75" hidden="1" customHeight="1" x14ac:dyDescent="0.2"/>
    <row r="29648" ht="12.75" hidden="1" customHeight="1" x14ac:dyDescent="0.2"/>
    <row r="29649" ht="12.75" hidden="1" customHeight="1" x14ac:dyDescent="0.2"/>
    <row r="29650" ht="12.75" hidden="1" customHeight="1" x14ac:dyDescent="0.2"/>
    <row r="29651" ht="12.75" hidden="1" customHeight="1" x14ac:dyDescent="0.2"/>
    <row r="29652" ht="12.75" hidden="1" customHeight="1" x14ac:dyDescent="0.2"/>
    <row r="29653" ht="12.75" hidden="1" customHeight="1" x14ac:dyDescent="0.2"/>
    <row r="29654" ht="12.75" hidden="1" customHeight="1" x14ac:dyDescent="0.2"/>
    <row r="29655" ht="12.75" hidden="1" customHeight="1" x14ac:dyDescent="0.2"/>
    <row r="29656" ht="12.75" hidden="1" customHeight="1" x14ac:dyDescent="0.2"/>
    <row r="29657" ht="12.75" hidden="1" customHeight="1" x14ac:dyDescent="0.2"/>
    <row r="29658" ht="12.75" hidden="1" customHeight="1" x14ac:dyDescent="0.2"/>
    <row r="29659" ht="12.75" hidden="1" customHeight="1" x14ac:dyDescent="0.2"/>
    <row r="29660" ht="12.75" hidden="1" customHeight="1" x14ac:dyDescent="0.2"/>
    <row r="29661" ht="12.75" hidden="1" customHeight="1" x14ac:dyDescent="0.2"/>
    <row r="29662" ht="12.75" hidden="1" customHeight="1" x14ac:dyDescent="0.2"/>
    <row r="29663" ht="12.75" hidden="1" customHeight="1" x14ac:dyDescent="0.2"/>
    <row r="29664" ht="12.75" hidden="1" customHeight="1" x14ac:dyDescent="0.2"/>
    <row r="29665" ht="12.75" hidden="1" customHeight="1" x14ac:dyDescent="0.2"/>
    <row r="29666" ht="12.75" hidden="1" customHeight="1" x14ac:dyDescent="0.2"/>
    <row r="29667" ht="12.75" hidden="1" customHeight="1" x14ac:dyDescent="0.2"/>
    <row r="29668" ht="12.75" hidden="1" customHeight="1" x14ac:dyDescent="0.2"/>
    <row r="29669" ht="12.75" hidden="1" customHeight="1" x14ac:dyDescent="0.2"/>
    <row r="29670" ht="12.75" hidden="1" customHeight="1" x14ac:dyDescent="0.2"/>
    <row r="29671" ht="12.75" hidden="1" customHeight="1" x14ac:dyDescent="0.2"/>
    <row r="29672" ht="12.75" hidden="1" customHeight="1" x14ac:dyDescent="0.2"/>
    <row r="29673" ht="12.75" hidden="1" customHeight="1" x14ac:dyDescent="0.2"/>
    <row r="29674" ht="12.75" hidden="1" customHeight="1" x14ac:dyDescent="0.2"/>
    <row r="29675" ht="12.75" hidden="1" customHeight="1" x14ac:dyDescent="0.2"/>
    <row r="29676" ht="12.75" hidden="1" customHeight="1" x14ac:dyDescent="0.2"/>
    <row r="29677" ht="12.75" hidden="1" customHeight="1" x14ac:dyDescent="0.2"/>
    <row r="29678" ht="12.75" hidden="1" customHeight="1" x14ac:dyDescent="0.2"/>
    <row r="29679" ht="12.75" hidden="1" customHeight="1" x14ac:dyDescent="0.2"/>
    <row r="29680" ht="12.75" hidden="1" customHeight="1" x14ac:dyDescent="0.2"/>
    <row r="29681" ht="12.75" hidden="1" customHeight="1" x14ac:dyDescent="0.2"/>
    <row r="29682" ht="12.75" hidden="1" customHeight="1" x14ac:dyDescent="0.2"/>
    <row r="29683" ht="12.75" hidden="1" customHeight="1" x14ac:dyDescent="0.2"/>
    <row r="29684" ht="12.75" hidden="1" customHeight="1" x14ac:dyDescent="0.2"/>
    <row r="29685" ht="12.75" hidden="1" customHeight="1" x14ac:dyDescent="0.2"/>
    <row r="29686" ht="12.75" hidden="1" customHeight="1" x14ac:dyDescent="0.2"/>
    <row r="29687" ht="12.75" hidden="1" customHeight="1" x14ac:dyDescent="0.2"/>
    <row r="29688" ht="12.75" hidden="1" customHeight="1" x14ac:dyDescent="0.2"/>
    <row r="29689" ht="12.75" hidden="1" customHeight="1" x14ac:dyDescent="0.2"/>
    <row r="29690" ht="12.75" hidden="1" customHeight="1" x14ac:dyDescent="0.2"/>
    <row r="29691" ht="12.75" hidden="1" customHeight="1" x14ac:dyDescent="0.2"/>
    <row r="29692" ht="12.75" hidden="1" customHeight="1" x14ac:dyDescent="0.2"/>
    <row r="29693" ht="12.75" hidden="1" customHeight="1" x14ac:dyDescent="0.2"/>
    <row r="29694" ht="12.75" hidden="1" customHeight="1" x14ac:dyDescent="0.2"/>
    <row r="29695" ht="12.75" hidden="1" customHeight="1" x14ac:dyDescent="0.2"/>
    <row r="29696" ht="12.75" hidden="1" customHeight="1" x14ac:dyDescent="0.2"/>
    <row r="29697" ht="12.75" hidden="1" customHeight="1" x14ac:dyDescent="0.2"/>
    <row r="29698" ht="12.75" hidden="1" customHeight="1" x14ac:dyDescent="0.2"/>
    <row r="29699" ht="12.75" hidden="1" customHeight="1" x14ac:dyDescent="0.2"/>
    <row r="29700" ht="12.75" hidden="1" customHeight="1" x14ac:dyDescent="0.2"/>
    <row r="29701" ht="12.75" hidden="1" customHeight="1" x14ac:dyDescent="0.2"/>
    <row r="29702" ht="12.75" hidden="1" customHeight="1" x14ac:dyDescent="0.2"/>
    <row r="29703" ht="12.75" hidden="1" customHeight="1" x14ac:dyDescent="0.2"/>
    <row r="29704" ht="12.75" hidden="1" customHeight="1" x14ac:dyDescent="0.2"/>
    <row r="29705" ht="12.75" hidden="1" customHeight="1" x14ac:dyDescent="0.2"/>
    <row r="29706" ht="12.75" hidden="1" customHeight="1" x14ac:dyDescent="0.2"/>
    <row r="29707" ht="12.75" hidden="1" customHeight="1" x14ac:dyDescent="0.2"/>
    <row r="29708" ht="12.75" hidden="1" customHeight="1" x14ac:dyDescent="0.2"/>
    <row r="29709" ht="12.75" hidden="1" customHeight="1" x14ac:dyDescent="0.2"/>
    <row r="29710" ht="12.75" hidden="1" customHeight="1" x14ac:dyDescent="0.2"/>
    <row r="29711" ht="12.75" hidden="1" customHeight="1" x14ac:dyDescent="0.2"/>
    <row r="29712" ht="12.75" hidden="1" customHeight="1" x14ac:dyDescent="0.2"/>
    <row r="29713" ht="12.75" hidden="1" customHeight="1" x14ac:dyDescent="0.2"/>
    <row r="29714" ht="12.75" hidden="1" customHeight="1" x14ac:dyDescent="0.2"/>
    <row r="29715" ht="12.75" hidden="1" customHeight="1" x14ac:dyDescent="0.2"/>
    <row r="29716" ht="12.75" hidden="1" customHeight="1" x14ac:dyDescent="0.2"/>
    <row r="29717" ht="12.75" hidden="1" customHeight="1" x14ac:dyDescent="0.2"/>
    <row r="29718" ht="12.75" hidden="1" customHeight="1" x14ac:dyDescent="0.2"/>
    <row r="29719" ht="12.75" hidden="1" customHeight="1" x14ac:dyDescent="0.2"/>
    <row r="29720" ht="12.75" hidden="1" customHeight="1" x14ac:dyDescent="0.2"/>
    <row r="29721" ht="12.75" hidden="1" customHeight="1" x14ac:dyDescent="0.2"/>
    <row r="29722" ht="12.75" hidden="1" customHeight="1" x14ac:dyDescent="0.2"/>
    <row r="29723" ht="12.75" hidden="1" customHeight="1" x14ac:dyDescent="0.2"/>
    <row r="29724" ht="12.75" hidden="1" customHeight="1" x14ac:dyDescent="0.2"/>
    <row r="29725" ht="12.75" hidden="1" customHeight="1" x14ac:dyDescent="0.2"/>
    <row r="29726" ht="12.75" hidden="1" customHeight="1" x14ac:dyDescent="0.2"/>
    <row r="29727" ht="12.75" hidden="1" customHeight="1" x14ac:dyDescent="0.2"/>
    <row r="29728" ht="12.75" hidden="1" customHeight="1" x14ac:dyDescent="0.2"/>
    <row r="29729" ht="12.75" hidden="1" customHeight="1" x14ac:dyDescent="0.2"/>
    <row r="29730" ht="12.75" hidden="1" customHeight="1" x14ac:dyDescent="0.2"/>
    <row r="29731" ht="12.75" hidden="1" customHeight="1" x14ac:dyDescent="0.2"/>
    <row r="29732" ht="12.75" hidden="1" customHeight="1" x14ac:dyDescent="0.2"/>
    <row r="29733" ht="12.75" hidden="1" customHeight="1" x14ac:dyDescent="0.2"/>
    <row r="29734" ht="12.75" hidden="1" customHeight="1" x14ac:dyDescent="0.2"/>
    <row r="29735" ht="12.75" hidden="1" customHeight="1" x14ac:dyDescent="0.2"/>
    <row r="29736" ht="12.75" hidden="1" customHeight="1" x14ac:dyDescent="0.2"/>
    <row r="29737" ht="12.75" hidden="1" customHeight="1" x14ac:dyDescent="0.2"/>
    <row r="29738" ht="12.75" hidden="1" customHeight="1" x14ac:dyDescent="0.2"/>
    <row r="29739" ht="12.75" hidden="1" customHeight="1" x14ac:dyDescent="0.2"/>
    <row r="29740" ht="12.75" hidden="1" customHeight="1" x14ac:dyDescent="0.2"/>
    <row r="29741" ht="12.75" hidden="1" customHeight="1" x14ac:dyDescent="0.2"/>
    <row r="29742" ht="12.75" hidden="1" customHeight="1" x14ac:dyDescent="0.2"/>
    <row r="29743" ht="12.75" hidden="1" customHeight="1" x14ac:dyDescent="0.2"/>
    <row r="29744" ht="12.75" hidden="1" customHeight="1" x14ac:dyDescent="0.2"/>
    <row r="29745" ht="12.75" hidden="1" customHeight="1" x14ac:dyDescent="0.2"/>
    <row r="29746" ht="12.75" hidden="1" customHeight="1" x14ac:dyDescent="0.2"/>
    <row r="29747" ht="12.75" hidden="1" customHeight="1" x14ac:dyDescent="0.2"/>
    <row r="29748" ht="12.75" hidden="1" customHeight="1" x14ac:dyDescent="0.2"/>
    <row r="29749" ht="12.75" hidden="1" customHeight="1" x14ac:dyDescent="0.2"/>
    <row r="29750" ht="12.75" hidden="1" customHeight="1" x14ac:dyDescent="0.2"/>
    <row r="29751" ht="12.75" hidden="1" customHeight="1" x14ac:dyDescent="0.2"/>
    <row r="29752" ht="12.75" hidden="1" customHeight="1" x14ac:dyDescent="0.2"/>
    <row r="29753" ht="12.75" hidden="1" customHeight="1" x14ac:dyDescent="0.2"/>
    <row r="29754" ht="12.75" hidden="1" customHeight="1" x14ac:dyDescent="0.2"/>
    <row r="29755" ht="12.75" hidden="1" customHeight="1" x14ac:dyDescent="0.2"/>
    <row r="29756" ht="12.75" hidden="1" customHeight="1" x14ac:dyDescent="0.2"/>
    <row r="29757" ht="12.75" hidden="1" customHeight="1" x14ac:dyDescent="0.2"/>
    <row r="29758" ht="12.75" hidden="1" customHeight="1" x14ac:dyDescent="0.2"/>
    <row r="29759" ht="12.75" hidden="1" customHeight="1" x14ac:dyDescent="0.2"/>
    <row r="29760" ht="12.75" hidden="1" customHeight="1" x14ac:dyDescent="0.2"/>
    <row r="29761" ht="12.75" hidden="1" customHeight="1" x14ac:dyDescent="0.2"/>
    <row r="29762" ht="12.75" hidden="1" customHeight="1" x14ac:dyDescent="0.2"/>
    <row r="29763" ht="12.75" hidden="1" customHeight="1" x14ac:dyDescent="0.2"/>
    <row r="29764" ht="12.75" hidden="1" customHeight="1" x14ac:dyDescent="0.2"/>
    <row r="29765" ht="12.75" hidden="1" customHeight="1" x14ac:dyDescent="0.2"/>
    <row r="29766" ht="12.75" hidden="1" customHeight="1" x14ac:dyDescent="0.2"/>
    <row r="29767" ht="12.75" hidden="1" customHeight="1" x14ac:dyDescent="0.2"/>
    <row r="29768" ht="12.75" hidden="1" customHeight="1" x14ac:dyDescent="0.2"/>
    <row r="29769" ht="12.75" hidden="1" customHeight="1" x14ac:dyDescent="0.2"/>
    <row r="29770" ht="12.75" hidden="1" customHeight="1" x14ac:dyDescent="0.2"/>
    <row r="29771" ht="12.75" hidden="1" customHeight="1" x14ac:dyDescent="0.2"/>
    <row r="29772" ht="12.75" hidden="1" customHeight="1" x14ac:dyDescent="0.2"/>
    <row r="29773" ht="12.75" hidden="1" customHeight="1" x14ac:dyDescent="0.2"/>
    <row r="29774" ht="12.75" hidden="1" customHeight="1" x14ac:dyDescent="0.2"/>
    <row r="29775" ht="12.75" hidden="1" customHeight="1" x14ac:dyDescent="0.2"/>
    <row r="29776" ht="12.75" hidden="1" customHeight="1" x14ac:dyDescent="0.2"/>
    <row r="29777" ht="12.75" hidden="1" customHeight="1" x14ac:dyDescent="0.2"/>
    <row r="29778" ht="12.75" hidden="1" customHeight="1" x14ac:dyDescent="0.2"/>
    <row r="29779" ht="12.75" hidden="1" customHeight="1" x14ac:dyDescent="0.2"/>
    <row r="29780" ht="12.75" hidden="1" customHeight="1" x14ac:dyDescent="0.2"/>
    <row r="29781" ht="12.75" hidden="1" customHeight="1" x14ac:dyDescent="0.2"/>
    <row r="29782" ht="12.75" hidden="1" customHeight="1" x14ac:dyDescent="0.2"/>
    <row r="29783" ht="12.75" hidden="1" customHeight="1" x14ac:dyDescent="0.2"/>
    <row r="29784" ht="12.75" hidden="1" customHeight="1" x14ac:dyDescent="0.2"/>
    <row r="29785" ht="12.75" hidden="1" customHeight="1" x14ac:dyDescent="0.2"/>
    <row r="29786" ht="12.75" hidden="1" customHeight="1" x14ac:dyDescent="0.2"/>
    <row r="29787" ht="12.75" hidden="1" customHeight="1" x14ac:dyDescent="0.2"/>
    <row r="29788" ht="12.75" hidden="1" customHeight="1" x14ac:dyDescent="0.2"/>
    <row r="29789" ht="12.75" hidden="1" customHeight="1" x14ac:dyDescent="0.2"/>
    <row r="29790" ht="12.75" hidden="1" customHeight="1" x14ac:dyDescent="0.2"/>
    <row r="29791" ht="12.75" hidden="1" customHeight="1" x14ac:dyDescent="0.2"/>
    <row r="29792" ht="12.75" hidden="1" customHeight="1" x14ac:dyDescent="0.2"/>
    <row r="29793" ht="12.75" hidden="1" customHeight="1" x14ac:dyDescent="0.2"/>
    <row r="29794" ht="12.75" hidden="1" customHeight="1" x14ac:dyDescent="0.2"/>
    <row r="29795" ht="12.75" hidden="1" customHeight="1" x14ac:dyDescent="0.2"/>
    <row r="29796" ht="12.75" hidden="1" customHeight="1" x14ac:dyDescent="0.2"/>
    <row r="29797" ht="12.75" hidden="1" customHeight="1" x14ac:dyDescent="0.2"/>
    <row r="29798" ht="12.75" hidden="1" customHeight="1" x14ac:dyDescent="0.2"/>
    <row r="29799" ht="12.75" hidden="1" customHeight="1" x14ac:dyDescent="0.2"/>
    <row r="29800" ht="12.75" hidden="1" customHeight="1" x14ac:dyDescent="0.2"/>
    <row r="29801" ht="12.75" hidden="1" customHeight="1" x14ac:dyDescent="0.2"/>
    <row r="29802" ht="12.75" hidden="1" customHeight="1" x14ac:dyDescent="0.2"/>
    <row r="29803" ht="12.75" hidden="1" customHeight="1" x14ac:dyDescent="0.2"/>
    <row r="29804" ht="12.75" hidden="1" customHeight="1" x14ac:dyDescent="0.2"/>
    <row r="29805" ht="12.75" hidden="1" customHeight="1" x14ac:dyDescent="0.2"/>
    <row r="29806" ht="12.75" hidden="1" customHeight="1" x14ac:dyDescent="0.2"/>
    <row r="29807" ht="12.75" hidden="1" customHeight="1" x14ac:dyDescent="0.2"/>
    <row r="29808" ht="12.75" hidden="1" customHeight="1" x14ac:dyDescent="0.2"/>
    <row r="29809" ht="12.75" hidden="1" customHeight="1" x14ac:dyDescent="0.2"/>
    <row r="29810" ht="12.75" hidden="1" customHeight="1" x14ac:dyDescent="0.2"/>
    <row r="29811" ht="12.75" hidden="1" customHeight="1" x14ac:dyDescent="0.2"/>
    <row r="29812" ht="12.75" hidden="1" customHeight="1" x14ac:dyDescent="0.2"/>
    <row r="29813" ht="12.75" hidden="1" customHeight="1" x14ac:dyDescent="0.2"/>
    <row r="29814" ht="12.75" hidden="1" customHeight="1" x14ac:dyDescent="0.2"/>
    <row r="29815" ht="12.75" hidden="1" customHeight="1" x14ac:dyDescent="0.2"/>
    <row r="29816" ht="12.75" hidden="1" customHeight="1" x14ac:dyDescent="0.2"/>
    <row r="29817" ht="12.75" hidden="1" customHeight="1" x14ac:dyDescent="0.2"/>
    <row r="29818" ht="12.75" hidden="1" customHeight="1" x14ac:dyDescent="0.2"/>
    <row r="29819" ht="12.75" hidden="1" customHeight="1" x14ac:dyDescent="0.2"/>
    <row r="29820" ht="12.75" hidden="1" customHeight="1" x14ac:dyDescent="0.2"/>
    <row r="29821" ht="12.75" hidden="1" customHeight="1" x14ac:dyDescent="0.2"/>
    <row r="29822" ht="12.75" hidden="1" customHeight="1" x14ac:dyDescent="0.2"/>
    <row r="29823" ht="12.75" hidden="1" customHeight="1" x14ac:dyDescent="0.2"/>
    <row r="29824" ht="12.75" hidden="1" customHeight="1" x14ac:dyDescent="0.2"/>
    <row r="29825" ht="12.75" hidden="1" customHeight="1" x14ac:dyDescent="0.2"/>
    <row r="29826" ht="12.75" hidden="1" customHeight="1" x14ac:dyDescent="0.2"/>
    <row r="29827" ht="12.75" hidden="1" customHeight="1" x14ac:dyDescent="0.2"/>
    <row r="29828" ht="12.75" hidden="1" customHeight="1" x14ac:dyDescent="0.2"/>
    <row r="29829" ht="12.75" hidden="1" customHeight="1" x14ac:dyDescent="0.2"/>
    <row r="29830" ht="12.75" hidden="1" customHeight="1" x14ac:dyDescent="0.2"/>
    <row r="29831" ht="12.75" hidden="1" customHeight="1" x14ac:dyDescent="0.2"/>
    <row r="29832" ht="12.75" hidden="1" customHeight="1" x14ac:dyDescent="0.2"/>
    <row r="29833" ht="12.75" hidden="1" customHeight="1" x14ac:dyDescent="0.2"/>
    <row r="29834" ht="12.75" hidden="1" customHeight="1" x14ac:dyDescent="0.2"/>
    <row r="29835" ht="12.75" hidden="1" customHeight="1" x14ac:dyDescent="0.2"/>
    <row r="29836" ht="12.75" hidden="1" customHeight="1" x14ac:dyDescent="0.2"/>
    <row r="29837" ht="12.75" hidden="1" customHeight="1" x14ac:dyDescent="0.2"/>
    <row r="29838" ht="12.75" hidden="1" customHeight="1" x14ac:dyDescent="0.2"/>
    <row r="29839" ht="12.75" hidden="1" customHeight="1" x14ac:dyDescent="0.2"/>
    <row r="29840" ht="12.75" hidden="1" customHeight="1" x14ac:dyDescent="0.2"/>
    <row r="29841" ht="12.75" hidden="1" customHeight="1" x14ac:dyDescent="0.2"/>
    <row r="29842" ht="12.75" hidden="1" customHeight="1" x14ac:dyDescent="0.2"/>
    <row r="29843" ht="12.75" hidden="1" customHeight="1" x14ac:dyDescent="0.2"/>
    <row r="29844" ht="12.75" hidden="1" customHeight="1" x14ac:dyDescent="0.2"/>
    <row r="29845" ht="12.75" hidden="1" customHeight="1" x14ac:dyDescent="0.2"/>
    <row r="29846" ht="12.75" hidden="1" customHeight="1" x14ac:dyDescent="0.2"/>
    <row r="29847" ht="12.75" hidden="1" customHeight="1" x14ac:dyDescent="0.2"/>
    <row r="29848" ht="12.75" hidden="1" customHeight="1" x14ac:dyDescent="0.2"/>
    <row r="29849" ht="12.75" hidden="1" customHeight="1" x14ac:dyDescent="0.2"/>
    <row r="29850" ht="12.75" hidden="1" customHeight="1" x14ac:dyDescent="0.2"/>
    <row r="29851" ht="12.75" hidden="1" customHeight="1" x14ac:dyDescent="0.2"/>
    <row r="29852" ht="12.75" hidden="1" customHeight="1" x14ac:dyDescent="0.2"/>
    <row r="29853" ht="12.75" hidden="1" customHeight="1" x14ac:dyDescent="0.2"/>
    <row r="29854" ht="12.75" hidden="1" customHeight="1" x14ac:dyDescent="0.2"/>
    <row r="29855" ht="12.75" hidden="1" customHeight="1" x14ac:dyDescent="0.2"/>
    <row r="29856" ht="12.75" hidden="1" customHeight="1" x14ac:dyDescent="0.2"/>
    <row r="29857" ht="12.75" hidden="1" customHeight="1" x14ac:dyDescent="0.2"/>
    <row r="29858" ht="12.75" hidden="1" customHeight="1" x14ac:dyDescent="0.2"/>
    <row r="29859" ht="12.75" hidden="1" customHeight="1" x14ac:dyDescent="0.2"/>
    <row r="29860" ht="12.75" hidden="1" customHeight="1" x14ac:dyDescent="0.2"/>
    <row r="29861" ht="12.75" hidden="1" customHeight="1" x14ac:dyDescent="0.2"/>
    <row r="29862" ht="12.75" hidden="1" customHeight="1" x14ac:dyDescent="0.2"/>
    <row r="29863" ht="12.75" hidden="1" customHeight="1" x14ac:dyDescent="0.2"/>
    <row r="29864" ht="12.75" hidden="1" customHeight="1" x14ac:dyDescent="0.2"/>
    <row r="29865" ht="12.75" hidden="1" customHeight="1" x14ac:dyDescent="0.2"/>
    <row r="29866" ht="12.75" hidden="1" customHeight="1" x14ac:dyDescent="0.2"/>
    <row r="29867" ht="12.75" hidden="1" customHeight="1" x14ac:dyDescent="0.2"/>
    <row r="29868" ht="12.75" hidden="1" customHeight="1" x14ac:dyDescent="0.2"/>
    <row r="29869" ht="12.75" hidden="1" customHeight="1" x14ac:dyDescent="0.2"/>
    <row r="29870" ht="12.75" hidden="1" customHeight="1" x14ac:dyDescent="0.2"/>
    <row r="29871" ht="12.75" hidden="1" customHeight="1" x14ac:dyDescent="0.2"/>
    <row r="29872" ht="12.75" hidden="1" customHeight="1" x14ac:dyDescent="0.2"/>
    <row r="29873" ht="12.75" hidden="1" customHeight="1" x14ac:dyDescent="0.2"/>
    <row r="29874" ht="12.75" hidden="1" customHeight="1" x14ac:dyDescent="0.2"/>
    <row r="29875" ht="12.75" hidden="1" customHeight="1" x14ac:dyDescent="0.2"/>
    <row r="29876" ht="12.75" hidden="1" customHeight="1" x14ac:dyDescent="0.2"/>
    <row r="29877" ht="12.75" hidden="1" customHeight="1" x14ac:dyDescent="0.2"/>
    <row r="29878" ht="12.75" hidden="1" customHeight="1" x14ac:dyDescent="0.2"/>
    <row r="29879" ht="12.75" hidden="1" customHeight="1" x14ac:dyDescent="0.2"/>
    <row r="29880" ht="12.75" hidden="1" customHeight="1" x14ac:dyDescent="0.2"/>
    <row r="29881" ht="12.75" hidden="1" customHeight="1" x14ac:dyDescent="0.2"/>
    <row r="29882" ht="12.75" hidden="1" customHeight="1" x14ac:dyDescent="0.2"/>
    <row r="29883" ht="12.75" hidden="1" customHeight="1" x14ac:dyDescent="0.2"/>
    <row r="29884" ht="12.75" hidden="1" customHeight="1" x14ac:dyDescent="0.2"/>
    <row r="29885" ht="12.75" hidden="1" customHeight="1" x14ac:dyDescent="0.2"/>
    <row r="29886" ht="12.75" hidden="1" customHeight="1" x14ac:dyDescent="0.2"/>
    <row r="29887" ht="12.75" hidden="1" customHeight="1" x14ac:dyDescent="0.2"/>
    <row r="29888" ht="12.75" hidden="1" customHeight="1" x14ac:dyDescent="0.2"/>
    <row r="29889" ht="12.75" hidden="1" customHeight="1" x14ac:dyDescent="0.2"/>
    <row r="29890" ht="12.75" hidden="1" customHeight="1" x14ac:dyDescent="0.2"/>
    <row r="29891" ht="12.75" hidden="1" customHeight="1" x14ac:dyDescent="0.2"/>
    <row r="29892" ht="12.75" hidden="1" customHeight="1" x14ac:dyDescent="0.2"/>
    <row r="29893" ht="12.75" hidden="1" customHeight="1" x14ac:dyDescent="0.2"/>
    <row r="29894" ht="12.75" hidden="1" customHeight="1" x14ac:dyDescent="0.2"/>
    <row r="29895" ht="12.75" hidden="1" customHeight="1" x14ac:dyDescent="0.2"/>
    <row r="29896" ht="12.75" hidden="1" customHeight="1" x14ac:dyDescent="0.2"/>
    <row r="29897" ht="12.75" hidden="1" customHeight="1" x14ac:dyDescent="0.2"/>
    <row r="29898" ht="12.75" hidden="1" customHeight="1" x14ac:dyDescent="0.2"/>
    <row r="29899" ht="12.75" hidden="1" customHeight="1" x14ac:dyDescent="0.2"/>
    <row r="29900" ht="12.75" hidden="1" customHeight="1" x14ac:dyDescent="0.2"/>
    <row r="29901" ht="12.75" hidden="1" customHeight="1" x14ac:dyDescent="0.2"/>
    <row r="29902" ht="12.75" hidden="1" customHeight="1" x14ac:dyDescent="0.2"/>
    <row r="29903" ht="12.75" hidden="1" customHeight="1" x14ac:dyDescent="0.2"/>
    <row r="29904" ht="12.75" hidden="1" customHeight="1" x14ac:dyDescent="0.2"/>
    <row r="29905" ht="12.75" hidden="1" customHeight="1" x14ac:dyDescent="0.2"/>
    <row r="29906" ht="12.75" hidden="1" customHeight="1" x14ac:dyDescent="0.2"/>
    <row r="29907" ht="12.75" hidden="1" customHeight="1" x14ac:dyDescent="0.2"/>
    <row r="29908" ht="12.75" hidden="1" customHeight="1" x14ac:dyDescent="0.2"/>
    <row r="29909" ht="12.75" hidden="1" customHeight="1" x14ac:dyDescent="0.2"/>
    <row r="29910" ht="12.75" hidden="1" customHeight="1" x14ac:dyDescent="0.2"/>
    <row r="29911" ht="12.75" hidden="1" customHeight="1" x14ac:dyDescent="0.2"/>
    <row r="29912" ht="12.75" hidden="1" customHeight="1" x14ac:dyDescent="0.2"/>
    <row r="29913" ht="12.75" hidden="1" customHeight="1" x14ac:dyDescent="0.2"/>
    <row r="29914" ht="12.75" hidden="1" customHeight="1" x14ac:dyDescent="0.2"/>
    <row r="29915" ht="12.75" hidden="1" customHeight="1" x14ac:dyDescent="0.2"/>
    <row r="29916" ht="12.75" hidden="1" customHeight="1" x14ac:dyDescent="0.2"/>
    <row r="29917" ht="12.75" hidden="1" customHeight="1" x14ac:dyDescent="0.2"/>
    <row r="29918" ht="12.75" hidden="1" customHeight="1" x14ac:dyDescent="0.2"/>
    <row r="29919" ht="12.75" hidden="1" customHeight="1" x14ac:dyDescent="0.2"/>
    <row r="29920" ht="12.75" hidden="1" customHeight="1" x14ac:dyDescent="0.2"/>
    <row r="29921" ht="12.75" hidden="1" customHeight="1" x14ac:dyDescent="0.2"/>
    <row r="29922" ht="12.75" hidden="1" customHeight="1" x14ac:dyDescent="0.2"/>
    <row r="29923" ht="12.75" hidden="1" customHeight="1" x14ac:dyDescent="0.2"/>
    <row r="29924" ht="12.75" hidden="1" customHeight="1" x14ac:dyDescent="0.2"/>
    <row r="29925" ht="12.75" hidden="1" customHeight="1" x14ac:dyDescent="0.2"/>
    <row r="29926" ht="12.75" hidden="1" customHeight="1" x14ac:dyDescent="0.2"/>
    <row r="29927" ht="12.75" hidden="1" customHeight="1" x14ac:dyDescent="0.2"/>
    <row r="29928" ht="12.75" hidden="1" customHeight="1" x14ac:dyDescent="0.2"/>
    <row r="29929" ht="12.75" hidden="1" customHeight="1" x14ac:dyDescent="0.2"/>
    <row r="29930" ht="12.75" hidden="1" customHeight="1" x14ac:dyDescent="0.2"/>
    <row r="29931" ht="12.75" hidden="1" customHeight="1" x14ac:dyDescent="0.2"/>
    <row r="29932" ht="12.75" hidden="1" customHeight="1" x14ac:dyDescent="0.2"/>
    <row r="29933" ht="12.75" hidden="1" customHeight="1" x14ac:dyDescent="0.2"/>
    <row r="29934" ht="12.75" hidden="1" customHeight="1" x14ac:dyDescent="0.2"/>
    <row r="29935" ht="12.75" hidden="1" customHeight="1" x14ac:dyDescent="0.2"/>
    <row r="29936" ht="12.75" hidden="1" customHeight="1" x14ac:dyDescent="0.2"/>
    <row r="29937" ht="12.75" hidden="1" customHeight="1" x14ac:dyDescent="0.2"/>
    <row r="29938" ht="12.75" hidden="1" customHeight="1" x14ac:dyDescent="0.2"/>
    <row r="29939" ht="12.75" hidden="1" customHeight="1" x14ac:dyDescent="0.2"/>
    <row r="29940" ht="12.75" hidden="1" customHeight="1" x14ac:dyDescent="0.2"/>
    <row r="29941" ht="12.75" hidden="1" customHeight="1" x14ac:dyDescent="0.2"/>
    <row r="29942" ht="12.75" hidden="1" customHeight="1" x14ac:dyDescent="0.2"/>
    <row r="29943" ht="12.75" hidden="1" customHeight="1" x14ac:dyDescent="0.2"/>
    <row r="29944" ht="12.75" hidden="1" customHeight="1" x14ac:dyDescent="0.2"/>
    <row r="29945" ht="12.75" hidden="1" customHeight="1" x14ac:dyDescent="0.2"/>
    <row r="29946" ht="12.75" hidden="1" customHeight="1" x14ac:dyDescent="0.2"/>
    <row r="29947" ht="12.75" hidden="1" customHeight="1" x14ac:dyDescent="0.2"/>
    <row r="29948" ht="12.75" hidden="1" customHeight="1" x14ac:dyDescent="0.2"/>
    <row r="29949" ht="12.75" hidden="1" customHeight="1" x14ac:dyDescent="0.2"/>
    <row r="29950" ht="12.75" hidden="1" customHeight="1" x14ac:dyDescent="0.2"/>
    <row r="29951" ht="12.75" hidden="1" customHeight="1" x14ac:dyDescent="0.2"/>
    <row r="29952" ht="12.75" hidden="1" customHeight="1" x14ac:dyDescent="0.2"/>
    <row r="29953" ht="12.75" hidden="1" customHeight="1" x14ac:dyDescent="0.2"/>
    <row r="29954" ht="12.75" hidden="1" customHeight="1" x14ac:dyDescent="0.2"/>
    <row r="29955" ht="12.75" hidden="1" customHeight="1" x14ac:dyDescent="0.2"/>
    <row r="29956" ht="12.75" hidden="1" customHeight="1" x14ac:dyDescent="0.2"/>
    <row r="29957" ht="12.75" hidden="1" customHeight="1" x14ac:dyDescent="0.2"/>
    <row r="29958" ht="12.75" hidden="1" customHeight="1" x14ac:dyDescent="0.2"/>
    <row r="29959" ht="12.75" hidden="1" customHeight="1" x14ac:dyDescent="0.2"/>
    <row r="29960" ht="12.75" hidden="1" customHeight="1" x14ac:dyDescent="0.2"/>
    <row r="29961" ht="12.75" hidden="1" customHeight="1" x14ac:dyDescent="0.2"/>
    <row r="29962" ht="12.75" hidden="1" customHeight="1" x14ac:dyDescent="0.2"/>
    <row r="29963" ht="12.75" hidden="1" customHeight="1" x14ac:dyDescent="0.2"/>
    <row r="29964" ht="12.75" hidden="1" customHeight="1" x14ac:dyDescent="0.2"/>
    <row r="29965" ht="12.75" hidden="1" customHeight="1" x14ac:dyDescent="0.2"/>
    <row r="29966" ht="12.75" hidden="1" customHeight="1" x14ac:dyDescent="0.2"/>
    <row r="29967" ht="12.75" hidden="1" customHeight="1" x14ac:dyDescent="0.2"/>
    <row r="29968" ht="12.75" hidden="1" customHeight="1" x14ac:dyDescent="0.2"/>
    <row r="29969" ht="12.75" hidden="1" customHeight="1" x14ac:dyDescent="0.2"/>
    <row r="29970" ht="12.75" hidden="1" customHeight="1" x14ac:dyDescent="0.2"/>
    <row r="29971" ht="12.75" hidden="1" customHeight="1" x14ac:dyDescent="0.2"/>
    <row r="29972" ht="12.75" hidden="1" customHeight="1" x14ac:dyDescent="0.2"/>
    <row r="29973" ht="12.75" hidden="1" customHeight="1" x14ac:dyDescent="0.2"/>
    <row r="29974" ht="12.75" hidden="1" customHeight="1" x14ac:dyDescent="0.2"/>
    <row r="29975" ht="12.75" hidden="1" customHeight="1" x14ac:dyDescent="0.2"/>
    <row r="29976" ht="12.75" hidden="1" customHeight="1" x14ac:dyDescent="0.2"/>
    <row r="29977" ht="12.75" hidden="1" customHeight="1" x14ac:dyDescent="0.2"/>
    <row r="29978" ht="12.75" hidden="1" customHeight="1" x14ac:dyDescent="0.2"/>
    <row r="29979" ht="12.75" hidden="1" customHeight="1" x14ac:dyDescent="0.2"/>
    <row r="29980" ht="12.75" hidden="1" customHeight="1" x14ac:dyDescent="0.2"/>
    <row r="29981" ht="12.75" hidden="1" customHeight="1" x14ac:dyDescent="0.2"/>
    <row r="29982" ht="12.75" hidden="1" customHeight="1" x14ac:dyDescent="0.2"/>
    <row r="29983" ht="12.75" hidden="1" customHeight="1" x14ac:dyDescent="0.2"/>
    <row r="29984" ht="12.75" hidden="1" customHeight="1" x14ac:dyDescent="0.2"/>
    <row r="29985" ht="12.75" hidden="1" customHeight="1" x14ac:dyDescent="0.2"/>
    <row r="29986" ht="12.75" hidden="1" customHeight="1" x14ac:dyDescent="0.2"/>
    <row r="29987" ht="12.75" hidden="1" customHeight="1" x14ac:dyDescent="0.2"/>
    <row r="29988" ht="12.75" hidden="1" customHeight="1" x14ac:dyDescent="0.2"/>
    <row r="29989" ht="12.75" hidden="1" customHeight="1" x14ac:dyDescent="0.2"/>
    <row r="29990" ht="12.75" hidden="1" customHeight="1" x14ac:dyDescent="0.2"/>
    <row r="29991" ht="12.75" hidden="1" customHeight="1" x14ac:dyDescent="0.2"/>
    <row r="29992" ht="12.75" hidden="1" customHeight="1" x14ac:dyDescent="0.2"/>
    <row r="29993" ht="12.75" hidden="1" customHeight="1" x14ac:dyDescent="0.2"/>
    <row r="29994" ht="12.75" hidden="1" customHeight="1" x14ac:dyDescent="0.2"/>
    <row r="29995" ht="12.75" hidden="1" customHeight="1" x14ac:dyDescent="0.2"/>
    <row r="29996" ht="12.75" hidden="1" customHeight="1" x14ac:dyDescent="0.2"/>
    <row r="29997" ht="12.75" hidden="1" customHeight="1" x14ac:dyDescent="0.2"/>
    <row r="29998" ht="12.75" hidden="1" customHeight="1" x14ac:dyDescent="0.2"/>
    <row r="29999" ht="12.75" hidden="1" customHeight="1" x14ac:dyDescent="0.2"/>
    <row r="30000" ht="12.75" hidden="1" customHeight="1" x14ac:dyDescent="0.2"/>
    <row r="30001" ht="12.75" hidden="1" customHeight="1" x14ac:dyDescent="0.2"/>
    <row r="30002" ht="12.75" hidden="1" customHeight="1" x14ac:dyDescent="0.2"/>
    <row r="30003" ht="12.75" hidden="1" customHeight="1" x14ac:dyDescent="0.2"/>
    <row r="30004" ht="12.75" hidden="1" customHeight="1" x14ac:dyDescent="0.2"/>
    <row r="30005" ht="12.75" hidden="1" customHeight="1" x14ac:dyDescent="0.2"/>
    <row r="30006" ht="12.75" hidden="1" customHeight="1" x14ac:dyDescent="0.2"/>
    <row r="30007" ht="12.75" hidden="1" customHeight="1" x14ac:dyDescent="0.2"/>
    <row r="30008" ht="12.75" hidden="1" customHeight="1" x14ac:dyDescent="0.2"/>
    <row r="30009" ht="12.75" hidden="1" customHeight="1" x14ac:dyDescent="0.2"/>
    <row r="30010" ht="12.75" hidden="1" customHeight="1" x14ac:dyDescent="0.2"/>
    <row r="30011" ht="12.75" hidden="1" customHeight="1" x14ac:dyDescent="0.2"/>
    <row r="30012" ht="12.75" hidden="1" customHeight="1" x14ac:dyDescent="0.2"/>
    <row r="30013" ht="12.75" hidden="1" customHeight="1" x14ac:dyDescent="0.2"/>
    <row r="30014" ht="12.75" hidden="1" customHeight="1" x14ac:dyDescent="0.2"/>
    <row r="30015" ht="12.75" hidden="1" customHeight="1" x14ac:dyDescent="0.2"/>
    <row r="30016" ht="12.75" hidden="1" customHeight="1" x14ac:dyDescent="0.2"/>
    <row r="30017" ht="12.75" hidden="1" customHeight="1" x14ac:dyDescent="0.2"/>
    <row r="30018" ht="12.75" hidden="1" customHeight="1" x14ac:dyDescent="0.2"/>
    <row r="30019" ht="12.75" hidden="1" customHeight="1" x14ac:dyDescent="0.2"/>
    <row r="30020" ht="12.75" hidden="1" customHeight="1" x14ac:dyDescent="0.2"/>
    <row r="30021" ht="12.75" hidden="1" customHeight="1" x14ac:dyDescent="0.2"/>
    <row r="30022" ht="12.75" hidden="1" customHeight="1" x14ac:dyDescent="0.2"/>
    <row r="30023" ht="12.75" hidden="1" customHeight="1" x14ac:dyDescent="0.2"/>
    <row r="30024" ht="12.75" hidden="1" customHeight="1" x14ac:dyDescent="0.2"/>
    <row r="30025" ht="12.75" hidden="1" customHeight="1" x14ac:dyDescent="0.2"/>
    <row r="30026" ht="12.75" hidden="1" customHeight="1" x14ac:dyDescent="0.2"/>
    <row r="30027" ht="12.75" hidden="1" customHeight="1" x14ac:dyDescent="0.2"/>
    <row r="30028" ht="12.75" hidden="1" customHeight="1" x14ac:dyDescent="0.2"/>
    <row r="30029" ht="12.75" hidden="1" customHeight="1" x14ac:dyDescent="0.2"/>
    <row r="30030" ht="12.75" hidden="1" customHeight="1" x14ac:dyDescent="0.2"/>
    <row r="30031" ht="12.75" hidden="1" customHeight="1" x14ac:dyDescent="0.2"/>
    <row r="30032" ht="12.75" hidden="1" customHeight="1" x14ac:dyDescent="0.2"/>
    <row r="30033" ht="12.75" hidden="1" customHeight="1" x14ac:dyDescent="0.2"/>
    <row r="30034" ht="12.75" hidden="1" customHeight="1" x14ac:dyDescent="0.2"/>
    <row r="30035" ht="12.75" hidden="1" customHeight="1" x14ac:dyDescent="0.2"/>
    <row r="30036" ht="12.75" hidden="1" customHeight="1" x14ac:dyDescent="0.2"/>
    <row r="30037" ht="12.75" hidden="1" customHeight="1" x14ac:dyDescent="0.2"/>
    <row r="30038" ht="12.75" hidden="1" customHeight="1" x14ac:dyDescent="0.2"/>
    <row r="30039" ht="12.75" hidden="1" customHeight="1" x14ac:dyDescent="0.2"/>
    <row r="30040" ht="12.75" hidden="1" customHeight="1" x14ac:dyDescent="0.2"/>
    <row r="30041" ht="12.75" hidden="1" customHeight="1" x14ac:dyDescent="0.2"/>
    <row r="30042" ht="12.75" hidden="1" customHeight="1" x14ac:dyDescent="0.2"/>
    <row r="30043" ht="12.75" hidden="1" customHeight="1" x14ac:dyDescent="0.2"/>
    <row r="30044" ht="12.75" hidden="1" customHeight="1" x14ac:dyDescent="0.2"/>
    <row r="30045" ht="12.75" hidden="1" customHeight="1" x14ac:dyDescent="0.2"/>
    <row r="30046" ht="12.75" hidden="1" customHeight="1" x14ac:dyDescent="0.2"/>
    <row r="30047" ht="12.75" hidden="1" customHeight="1" x14ac:dyDescent="0.2"/>
    <row r="30048" ht="12.75" hidden="1" customHeight="1" x14ac:dyDescent="0.2"/>
    <row r="30049" ht="12.75" hidden="1" customHeight="1" x14ac:dyDescent="0.2"/>
    <row r="30050" ht="12.75" hidden="1" customHeight="1" x14ac:dyDescent="0.2"/>
    <row r="30051" ht="12.75" hidden="1" customHeight="1" x14ac:dyDescent="0.2"/>
    <row r="30052" ht="12.75" hidden="1" customHeight="1" x14ac:dyDescent="0.2"/>
    <row r="30053" ht="12.75" hidden="1" customHeight="1" x14ac:dyDescent="0.2"/>
    <row r="30054" ht="12.75" hidden="1" customHeight="1" x14ac:dyDescent="0.2"/>
    <row r="30055" ht="12.75" hidden="1" customHeight="1" x14ac:dyDescent="0.2"/>
    <row r="30056" ht="12.75" hidden="1" customHeight="1" x14ac:dyDescent="0.2"/>
    <row r="30057" ht="12.75" hidden="1" customHeight="1" x14ac:dyDescent="0.2"/>
    <row r="30058" ht="12.75" hidden="1" customHeight="1" x14ac:dyDescent="0.2"/>
    <row r="30059" ht="12.75" hidden="1" customHeight="1" x14ac:dyDescent="0.2"/>
    <row r="30060" ht="12.75" hidden="1" customHeight="1" x14ac:dyDescent="0.2"/>
    <row r="30061" ht="12.75" hidden="1" customHeight="1" x14ac:dyDescent="0.2"/>
    <row r="30062" ht="12.75" hidden="1" customHeight="1" x14ac:dyDescent="0.2"/>
    <row r="30063" ht="12.75" hidden="1" customHeight="1" x14ac:dyDescent="0.2"/>
    <row r="30064" ht="12.75" hidden="1" customHeight="1" x14ac:dyDescent="0.2"/>
    <row r="30065" ht="12.75" hidden="1" customHeight="1" x14ac:dyDescent="0.2"/>
    <row r="30066" ht="12.75" hidden="1" customHeight="1" x14ac:dyDescent="0.2"/>
    <row r="30067" ht="12.75" hidden="1" customHeight="1" x14ac:dyDescent="0.2"/>
    <row r="30068" ht="12.75" hidden="1" customHeight="1" x14ac:dyDescent="0.2"/>
    <row r="30069" ht="12.75" hidden="1" customHeight="1" x14ac:dyDescent="0.2"/>
    <row r="30070" ht="12.75" hidden="1" customHeight="1" x14ac:dyDescent="0.2"/>
    <row r="30071" ht="12.75" hidden="1" customHeight="1" x14ac:dyDescent="0.2"/>
    <row r="30072" ht="12.75" hidden="1" customHeight="1" x14ac:dyDescent="0.2"/>
    <row r="30073" ht="12.75" hidden="1" customHeight="1" x14ac:dyDescent="0.2"/>
    <row r="30074" ht="12.75" hidden="1" customHeight="1" x14ac:dyDescent="0.2"/>
    <row r="30075" ht="12.75" hidden="1" customHeight="1" x14ac:dyDescent="0.2"/>
    <row r="30076" ht="12.75" hidden="1" customHeight="1" x14ac:dyDescent="0.2"/>
    <row r="30077" ht="12.75" hidden="1" customHeight="1" x14ac:dyDescent="0.2"/>
    <row r="30078" ht="12.75" hidden="1" customHeight="1" x14ac:dyDescent="0.2"/>
    <row r="30079" ht="12.75" hidden="1" customHeight="1" x14ac:dyDescent="0.2"/>
    <row r="30080" ht="12.75" hidden="1" customHeight="1" x14ac:dyDescent="0.2"/>
    <row r="30081" ht="12.75" hidden="1" customHeight="1" x14ac:dyDescent="0.2"/>
    <row r="30082" ht="12.75" hidden="1" customHeight="1" x14ac:dyDescent="0.2"/>
    <row r="30083" ht="12.75" hidden="1" customHeight="1" x14ac:dyDescent="0.2"/>
    <row r="30084" ht="12.75" hidden="1" customHeight="1" x14ac:dyDescent="0.2"/>
    <row r="30085" ht="12.75" hidden="1" customHeight="1" x14ac:dyDescent="0.2"/>
    <row r="30086" ht="12.75" hidden="1" customHeight="1" x14ac:dyDescent="0.2"/>
    <row r="30087" ht="12.75" hidden="1" customHeight="1" x14ac:dyDescent="0.2"/>
    <row r="30088" ht="12.75" hidden="1" customHeight="1" x14ac:dyDescent="0.2"/>
    <row r="30089" ht="12.75" hidden="1" customHeight="1" x14ac:dyDescent="0.2"/>
    <row r="30090" ht="12.75" hidden="1" customHeight="1" x14ac:dyDescent="0.2"/>
    <row r="30091" ht="12.75" hidden="1" customHeight="1" x14ac:dyDescent="0.2"/>
    <row r="30092" ht="12.75" hidden="1" customHeight="1" x14ac:dyDescent="0.2"/>
    <row r="30093" ht="12.75" hidden="1" customHeight="1" x14ac:dyDescent="0.2"/>
    <row r="30094" ht="12.75" hidden="1" customHeight="1" x14ac:dyDescent="0.2"/>
    <row r="30095" ht="12.75" hidden="1" customHeight="1" x14ac:dyDescent="0.2"/>
    <row r="30096" ht="12.75" hidden="1" customHeight="1" x14ac:dyDescent="0.2"/>
    <row r="30097" ht="12.75" hidden="1" customHeight="1" x14ac:dyDescent="0.2"/>
    <row r="30098" ht="12.75" hidden="1" customHeight="1" x14ac:dyDescent="0.2"/>
    <row r="30099" ht="12.75" hidden="1" customHeight="1" x14ac:dyDescent="0.2"/>
    <row r="30100" ht="12.75" hidden="1" customHeight="1" x14ac:dyDescent="0.2"/>
    <row r="30101" ht="12.75" hidden="1" customHeight="1" x14ac:dyDescent="0.2"/>
    <row r="30102" ht="12.75" hidden="1" customHeight="1" x14ac:dyDescent="0.2"/>
    <row r="30103" ht="12.75" hidden="1" customHeight="1" x14ac:dyDescent="0.2"/>
    <row r="30104" ht="12.75" hidden="1" customHeight="1" x14ac:dyDescent="0.2"/>
    <row r="30105" ht="12.75" hidden="1" customHeight="1" x14ac:dyDescent="0.2"/>
    <row r="30106" ht="12.75" hidden="1" customHeight="1" x14ac:dyDescent="0.2"/>
    <row r="30107" ht="12.75" hidden="1" customHeight="1" x14ac:dyDescent="0.2"/>
    <row r="30108" ht="12.75" hidden="1" customHeight="1" x14ac:dyDescent="0.2"/>
    <row r="30109" ht="12.75" hidden="1" customHeight="1" x14ac:dyDescent="0.2"/>
    <row r="30110" ht="12.75" hidden="1" customHeight="1" x14ac:dyDescent="0.2"/>
    <row r="30111" ht="12.75" hidden="1" customHeight="1" x14ac:dyDescent="0.2"/>
    <row r="30112" ht="12.75" hidden="1" customHeight="1" x14ac:dyDescent="0.2"/>
    <row r="30113" ht="12.75" hidden="1" customHeight="1" x14ac:dyDescent="0.2"/>
    <row r="30114" ht="12.75" hidden="1" customHeight="1" x14ac:dyDescent="0.2"/>
    <row r="30115" ht="12.75" hidden="1" customHeight="1" x14ac:dyDescent="0.2"/>
    <row r="30116" ht="12.75" hidden="1" customHeight="1" x14ac:dyDescent="0.2"/>
    <row r="30117" ht="12.75" hidden="1" customHeight="1" x14ac:dyDescent="0.2"/>
    <row r="30118" ht="12.75" hidden="1" customHeight="1" x14ac:dyDescent="0.2"/>
    <row r="30119" ht="12.75" hidden="1" customHeight="1" x14ac:dyDescent="0.2"/>
    <row r="30120" ht="12.75" hidden="1" customHeight="1" x14ac:dyDescent="0.2"/>
    <row r="30121" ht="12.75" hidden="1" customHeight="1" x14ac:dyDescent="0.2"/>
    <row r="30122" ht="12.75" hidden="1" customHeight="1" x14ac:dyDescent="0.2"/>
    <row r="30123" ht="12.75" hidden="1" customHeight="1" x14ac:dyDescent="0.2"/>
    <row r="30124" ht="12.75" hidden="1" customHeight="1" x14ac:dyDescent="0.2"/>
    <row r="30125" ht="12.75" hidden="1" customHeight="1" x14ac:dyDescent="0.2"/>
    <row r="30126" ht="12.75" hidden="1" customHeight="1" x14ac:dyDescent="0.2"/>
    <row r="30127" ht="12.75" hidden="1" customHeight="1" x14ac:dyDescent="0.2"/>
    <row r="30128" ht="12.75" hidden="1" customHeight="1" x14ac:dyDescent="0.2"/>
    <row r="30129" ht="12.75" hidden="1" customHeight="1" x14ac:dyDescent="0.2"/>
    <row r="30130" ht="12.75" hidden="1" customHeight="1" x14ac:dyDescent="0.2"/>
    <row r="30131" ht="12.75" hidden="1" customHeight="1" x14ac:dyDescent="0.2"/>
    <row r="30132" ht="12.75" hidden="1" customHeight="1" x14ac:dyDescent="0.2"/>
    <row r="30133" ht="12.75" hidden="1" customHeight="1" x14ac:dyDescent="0.2"/>
    <row r="30134" ht="12.75" hidden="1" customHeight="1" x14ac:dyDescent="0.2"/>
    <row r="30135" ht="12.75" hidden="1" customHeight="1" x14ac:dyDescent="0.2"/>
    <row r="30136" ht="12.75" hidden="1" customHeight="1" x14ac:dyDescent="0.2"/>
    <row r="30137" ht="12.75" hidden="1" customHeight="1" x14ac:dyDescent="0.2"/>
    <row r="30138" ht="12.75" hidden="1" customHeight="1" x14ac:dyDescent="0.2"/>
    <row r="30139" ht="12.75" hidden="1" customHeight="1" x14ac:dyDescent="0.2"/>
    <row r="30140" ht="12.75" hidden="1" customHeight="1" x14ac:dyDescent="0.2"/>
    <row r="30141" ht="12.75" hidden="1" customHeight="1" x14ac:dyDescent="0.2"/>
    <row r="30142" ht="12.75" hidden="1" customHeight="1" x14ac:dyDescent="0.2"/>
    <row r="30143" ht="12.75" hidden="1" customHeight="1" x14ac:dyDescent="0.2"/>
    <row r="30144" ht="12.75" hidden="1" customHeight="1" x14ac:dyDescent="0.2"/>
    <row r="30145" ht="12.75" hidden="1" customHeight="1" x14ac:dyDescent="0.2"/>
    <row r="30146" ht="12.75" hidden="1" customHeight="1" x14ac:dyDescent="0.2"/>
    <row r="30147" ht="12.75" hidden="1" customHeight="1" x14ac:dyDescent="0.2"/>
    <row r="30148" ht="12.75" hidden="1" customHeight="1" x14ac:dyDescent="0.2"/>
    <row r="30149" ht="12.75" hidden="1" customHeight="1" x14ac:dyDescent="0.2"/>
    <row r="30150" ht="12.75" hidden="1" customHeight="1" x14ac:dyDescent="0.2"/>
    <row r="30151" ht="12.75" hidden="1" customHeight="1" x14ac:dyDescent="0.2"/>
    <row r="30152" ht="12.75" hidden="1" customHeight="1" x14ac:dyDescent="0.2"/>
    <row r="30153" ht="12.75" hidden="1" customHeight="1" x14ac:dyDescent="0.2"/>
    <row r="30154" ht="12.75" hidden="1" customHeight="1" x14ac:dyDescent="0.2"/>
    <row r="30155" ht="12.75" hidden="1" customHeight="1" x14ac:dyDescent="0.2"/>
    <row r="30156" ht="12.75" hidden="1" customHeight="1" x14ac:dyDescent="0.2"/>
    <row r="30157" ht="12.75" hidden="1" customHeight="1" x14ac:dyDescent="0.2"/>
    <row r="30158" ht="12.75" hidden="1" customHeight="1" x14ac:dyDescent="0.2"/>
    <row r="30159" ht="12.75" hidden="1" customHeight="1" x14ac:dyDescent="0.2"/>
    <row r="30160" ht="12.75" hidden="1" customHeight="1" x14ac:dyDescent="0.2"/>
    <row r="30161" ht="12.75" hidden="1" customHeight="1" x14ac:dyDescent="0.2"/>
    <row r="30162" ht="12.75" hidden="1" customHeight="1" x14ac:dyDescent="0.2"/>
    <row r="30163" ht="12.75" hidden="1" customHeight="1" x14ac:dyDescent="0.2"/>
    <row r="30164" ht="12.75" hidden="1" customHeight="1" x14ac:dyDescent="0.2"/>
    <row r="30165" ht="12.75" hidden="1" customHeight="1" x14ac:dyDescent="0.2"/>
    <row r="30166" ht="12.75" hidden="1" customHeight="1" x14ac:dyDescent="0.2"/>
    <row r="30167" ht="12.75" hidden="1" customHeight="1" x14ac:dyDescent="0.2"/>
    <row r="30168" ht="12.75" hidden="1" customHeight="1" x14ac:dyDescent="0.2"/>
    <row r="30169" ht="12.75" hidden="1" customHeight="1" x14ac:dyDescent="0.2"/>
    <row r="30170" ht="12.75" hidden="1" customHeight="1" x14ac:dyDescent="0.2"/>
    <row r="30171" ht="12.75" hidden="1" customHeight="1" x14ac:dyDescent="0.2"/>
    <row r="30172" ht="12.75" hidden="1" customHeight="1" x14ac:dyDescent="0.2"/>
    <row r="30173" ht="12.75" hidden="1" customHeight="1" x14ac:dyDescent="0.2"/>
    <row r="30174" ht="12.75" hidden="1" customHeight="1" x14ac:dyDescent="0.2"/>
    <row r="30175" ht="12.75" hidden="1" customHeight="1" x14ac:dyDescent="0.2"/>
    <row r="30176" ht="12.75" hidden="1" customHeight="1" x14ac:dyDescent="0.2"/>
    <row r="30177" ht="12.75" hidden="1" customHeight="1" x14ac:dyDescent="0.2"/>
    <row r="30178" ht="12.75" hidden="1" customHeight="1" x14ac:dyDescent="0.2"/>
    <row r="30179" ht="12.75" hidden="1" customHeight="1" x14ac:dyDescent="0.2"/>
    <row r="30180" ht="12.75" hidden="1" customHeight="1" x14ac:dyDescent="0.2"/>
    <row r="30181" ht="12.75" hidden="1" customHeight="1" x14ac:dyDescent="0.2"/>
    <row r="30182" ht="12.75" hidden="1" customHeight="1" x14ac:dyDescent="0.2"/>
    <row r="30183" ht="12.75" hidden="1" customHeight="1" x14ac:dyDescent="0.2"/>
    <row r="30184" ht="12.75" hidden="1" customHeight="1" x14ac:dyDescent="0.2"/>
    <row r="30185" ht="12.75" hidden="1" customHeight="1" x14ac:dyDescent="0.2"/>
    <row r="30186" ht="12.75" hidden="1" customHeight="1" x14ac:dyDescent="0.2"/>
    <row r="30187" ht="12.75" hidden="1" customHeight="1" x14ac:dyDescent="0.2"/>
    <row r="30188" ht="12.75" hidden="1" customHeight="1" x14ac:dyDescent="0.2"/>
    <row r="30189" ht="12.75" hidden="1" customHeight="1" x14ac:dyDescent="0.2"/>
    <row r="30190" ht="12.75" hidden="1" customHeight="1" x14ac:dyDescent="0.2"/>
    <row r="30191" ht="12.75" hidden="1" customHeight="1" x14ac:dyDescent="0.2"/>
    <row r="30192" ht="12.75" hidden="1" customHeight="1" x14ac:dyDescent="0.2"/>
    <row r="30193" ht="12.75" hidden="1" customHeight="1" x14ac:dyDescent="0.2"/>
    <row r="30194" ht="12.75" hidden="1" customHeight="1" x14ac:dyDescent="0.2"/>
    <row r="30195" ht="12.75" hidden="1" customHeight="1" x14ac:dyDescent="0.2"/>
    <row r="30196" ht="12.75" hidden="1" customHeight="1" x14ac:dyDescent="0.2"/>
    <row r="30197" ht="12.75" hidden="1" customHeight="1" x14ac:dyDescent="0.2"/>
    <row r="30198" ht="12.75" hidden="1" customHeight="1" x14ac:dyDescent="0.2"/>
    <row r="30199" ht="12.75" hidden="1" customHeight="1" x14ac:dyDescent="0.2"/>
    <row r="30200" ht="12.75" hidden="1" customHeight="1" x14ac:dyDescent="0.2"/>
    <row r="30201" ht="12.75" hidden="1" customHeight="1" x14ac:dyDescent="0.2"/>
    <row r="30202" ht="12.75" hidden="1" customHeight="1" x14ac:dyDescent="0.2"/>
    <row r="30203" ht="12.75" hidden="1" customHeight="1" x14ac:dyDescent="0.2"/>
    <row r="30204" ht="12.75" hidden="1" customHeight="1" x14ac:dyDescent="0.2"/>
    <row r="30205" ht="12.75" hidden="1" customHeight="1" x14ac:dyDescent="0.2"/>
    <row r="30206" ht="12.75" hidden="1" customHeight="1" x14ac:dyDescent="0.2"/>
    <row r="30207" ht="12.75" hidden="1" customHeight="1" x14ac:dyDescent="0.2"/>
    <row r="30208" ht="12.75" hidden="1" customHeight="1" x14ac:dyDescent="0.2"/>
    <row r="30209" ht="12.75" hidden="1" customHeight="1" x14ac:dyDescent="0.2"/>
    <row r="30210" ht="12.75" hidden="1" customHeight="1" x14ac:dyDescent="0.2"/>
    <row r="30211" ht="12.75" hidden="1" customHeight="1" x14ac:dyDescent="0.2"/>
    <row r="30212" ht="12.75" hidden="1" customHeight="1" x14ac:dyDescent="0.2"/>
    <row r="30213" ht="12.75" hidden="1" customHeight="1" x14ac:dyDescent="0.2"/>
    <row r="30214" ht="12.75" hidden="1" customHeight="1" x14ac:dyDescent="0.2"/>
    <row r="30215" ht="12.75" hidden="1" customHeight="1" x14ac:dyDescent="0.2"/>
    <row r="30216" ht="12.75" hidden="1" customHeight="1" x14ac:dyDescent="0.2"/>
    <row r="30217" ht="12.75" hidden="1" customHeight="1" x14ac:dyDescent="0.2"/>
    <row r="30218" ht="12.75" hidden="1" customHeight="1" x14ac:dyDescent="0.2"/>
    <row r="30219" ht="12.75" hidden="1" customHeight="1" x14ac:dyDescent="0.2"/>
    <row r="30220" ht="12.75" hidden="1" customHeight="1" x14ac:dyDescent="0.2"/>
    <row r="30221" ht="12.75" hidden="1" customHeight="1" x14ac:dyDescent="0.2"/>
    <row r="30222" ht="12.75" hidden="1" customHeight="1" x14ac:dyDescent="0.2"/>
    <row r="30223" ht="12.75" hidden="1" customHeight="1" x14ac:dyDescent="0.2"/>
    <row r="30224" ht="12.75" hidden="1" customHeight="1" x14ac:dyDescent="0.2"/>
    <row r="30225" ht="12.75" hidden="1" customHeight="1" x14ac:dyDescent="0.2"/>
    <row r="30226" ht="12.75" hidden="1" customHeight="1" x14ac:dyDescent="0.2"/>
    <row r="30227" ht="12.75" hidden="1" customHeight="1" x14ac:dyDescent="0.2"/>
    <row r="30228" ht="12.75" hidden="1" customHeight="1" x14ac:dyDescent="0.2"/>
    <row r="30229" ht="12.75" hidden="1" customHeight="1" x14ac:dyDescent="0.2"/>
    <row r="30230" ht="12.75" hidden="1" customHeight="1" x14ac:dyDescent="0.2"/>
    <row r="30231" ht="12.75" hidden="1" customHeight="1" x14ac:dyDescent="0.2"/>
    <row r="30232" ht="12.75" hidden="1" customHeight="1" x14ac:dyDescent="0.2"/>
    <row r="30233" ht="12.75" hidden="1" customHeight="1" x14ac:dyDescent="0.2"/>
    <row r="30234" ht="12.75" hidden="1" customHeight="1" x14ac:dyDescent="0.2"/>
    <row r="30235" ht="12.75" hidden="1" customHeight="1" x14ac:dyDescent="0.2"/>
    <row r="30236" ht="12.75" hidden="1" customHeight="1" x14ac:dyDescent="0.2"/>
    <row r="30237" ht="12.75" hidden="1" customHeight="1" x14ac:dyDescent="0.2"/>
    <row r="30238" ht="12.75" hidden="1" customHeight="1" x14ac:dyDescent="0.2"/>
    <row r="30239" ht="12.75" hidden="1" customHeight="1" x14ac:dyDescent="0.2"/>
    <row r="30240" ht="12.75" hidden="1" customHeight="1" x14ac:dyDescent="0.2"/>
    <row r="30241" ht="12.75" hidden="1" customHeight="1" x14ac:dyDescent="0.2"/>
    <row r="30242" ht="12.75" hidden="1" customHeight="1" x14ac:dyDescent="0.2"/>
    <row r="30243" ht="12.75" hidden="1" customHeight="1" x14ac:dyDescent="0.2"/>
    <row r="30244" ht="12.75" hidden="1" customHeight="1" x14ac:dyDescent="0.2"/>
    <row r="30245" ht="12.75" hidden="1" customHeight="1" x14ac:dyDescent="0.2"/>
    <row r="30246" ht="12.75" hidden="1" customHeight="1" x14ac:dyDescent="0.2"/>
    <row r="30247" ht="12.75" hidden="1" customHeight="1" x14ac:dyDescent="0.2"/>
    <row r="30248" ht="12.75" hidden="1" customHeight="1" x14ac:dyDescent="0.2"/>
    <row r="30249" ht="12.75" hidden="1" customHeight="1" x14ac:dyDescent="0.2"/>
    <row r="30250" ht="12.75" hidden="1" customHeight="1" x14ac:dyDescent="0.2"/>
    <row r="30251" ht="12.75" hidden="1" customHeight="1" x14ac:dyDescent="0.2"/>
    <row r="30252" ht="12.75" hidden="1" customHeight="1" x14ac:dyDescent="0.2"/>
    <row r="30253" ht="12.75" hidden="1" customHeight="1" x14ac:dyDescent="0.2"/>
    <row r="30254" ht="12.75" hidden="1" customHeight="1" x14ac:dyDescent="0.2"/>
    <row r="30255" ht="12.75" hidden="1" customHeight="1" x14ac:dyDescent="0.2"/>
    <row r="30256" ht="12.75" hidden="1" customHeight="1" x14ac:dyDescent="0.2"/>
    <row r="30257" ht="12.75" hidden="1" customHeight="1" x14ac:dyDescent="0.2"/>
    <row r="30258" ht="12.75" hidden="1" customHeight="1" x14ac:dyDescent="0.2"/>
    <row r="30259" ht="12.75" hidden="1" customHeight="1" x14ac:dyDescent="0.2"/>
    <row r="30260" ht="12.75" hidden="1" customHeight="1" x14ac:dyDescent="0.2"/>
    <row r="30261" ht="12.75" hidden="1" customHeight="1" x14ac:dyDescent="0.2"/>
    <row r="30262" ht="12.75" hidden="1" customHeight="1" x14ac:dyDescent="0.2"/>
    <row r="30263" ht="12.75" hidden="1" customHeight="1" x14ac:dyDescent="0.2"/>
    <row r="30264" ht="12.75" hidden="1" customHeight="1" x14ac:dyDescent="0.2"/>
    <row r="30265" ht="12.75" hidden="1" customHeight="1" x14ac:dyDescent="0.2"/>
    <row r="30266" ht="12.75" hidden="1" customHeight="1" x14ac:dyDescent="0.2"/>
    <row r="30267" ht="12.75" hidden="1" customHeight="1" x14ac:dyDescent="0.2"/>
    <row r="30268" ht="12.75" hidden="1" customHeight="1" x14ac:dyDescent="0.2"/>
    <row r="30269" ht="12.75" hidden="1" customHeight="1" x14ac:dyDescent="0.2"/>
    <row r="30270" ht="12.75" hidden="1" customHeight="1" x14ac:dyDescent="0.2"/>
    <row r="30271" ht="12.75" hidden="1" customHeight="1" x14ac:dyDescent="0.2"/>
    <row r="30272" ht="12.75" hidden="1" customHeight="1" x14ac:dyDescent="0.2"/>
    <row r="30273" ht="12.75" hidden="1" customHeight="1" x14ac:dyDescent="0.2"/>
    <row r="30274" ht="12.75" hidden="1" customHeight="1" x14ac:dyDescent="0.2"/>
    <row r="30275" ht="12.75" hidden="1" customHeight="1" x14ac:dyDescent="0.2"/>
    <row r="30276" ht="12.75" hidden="1" customHeight="1" x14ac:dyDescent="0.2"/>
    <row r="30277" ht="12.75" hidden="1" customHeight="1" x14ac:dyDescent="0.2"/>
    <row r="30278" ht="12.75" hidden="1" customHeight="1" x14ac:dyDescent="0.2"/>
    <row r="30279" ht="12.75" hidden="1" customHeight="1" x14ac:dyDescent="0.2"/>
    <row r="30280" ht="12.75" hidden="1" customHeight="1" x14ac:dyDescent="0.2"/>
    <row r="30281" ht="12.75" hidden="1" customHeight="1" x14ac:dyDescent="0.2"/>
    <row r="30282" ht="12.75" hidden="1" customHeight="1" x14ac:dyDescent="0.2"/>
    <row r="30283" ht="12.75" hidden="1" customHeight="1" x14ac:dyDescent="0.2"/>
    <row r="30284" ht="12.75" hidden="1" customHeight="1" x14ac:dyDescent="0.2"/>
    <row r="30285" ht="12.75" hidden="1" customHeight="1" x14ac:dyDescent="0.2"/>
    <row r="30286" ht="12.75" hidden="1" customHeight="1" x14ac:dyDescent="0.2"/>
    <row r="30287" ht="12.75" hidden="1" customHeight="1" x14ac:dyDescent="0.2"/>
    <row r="30288" ht="12.75" hidden="1" customHeight="1" x14ac:dyDescent="0.2"/>
    <row r="30289" ht="12.75" hidden="1" customHeight="1" x14ac:dyDescent="0.2"/>
    <row r="30290" ht="12.75" hidden="1" customHeight="1" x14ac:dyDescent="0.2"/>
    <row r="30291" ht="12.75" hidden="1" customHeight="1" x14ac:dyDescent="0.2"/>
    <row r="30292" ht="12.75" hidden="1" customHeight="1" x14ac:dyDescent="0.2"/>
    <row r="30293" ht="12.75" hidden="1" customHeight="1" x14ac:dyDescent="0.2"/>
    <row r="30294" ht="12.75" hidden="1" customHeight="1" x14ac:dyDescent="0.2"/>
    <row r="30295" ht="12.75" hidden="1" customHeight="1" x14ac:dyDescent="0.2"/>
    <row r="30296" ht="12.75" hidden="1" customHeight="1" x14ac:dyDescent="0.2"/>
    <row r="30297" ht="12.75" hidden="1" customHeight="1" x14ac:dyDescent="0.2"/>
    <row r="30298" ht="12.75" hidden="1" customHeight="1" x14ac:dyDescent="0.2"/>
    <row r="30299" ht="12.75" hidden="1" customHeight="1" x14ac:dyDescent="0.2"/>
    <row r="30300" ht="12.75" hidden="1" customHeight="1" x14ac:dyDescent="0.2"/>
    <row r="30301" ht="12.75" hidden="1" customHeight="1" x14ac:dyDescent="0.2"/>
    <row r="30302" ht="12.75" hidden="1" customHeight="1" x14ac:dyDescent="0.2"/>
    <row r="30303" ht="12.75" hidden="1" customHeight="1" x14ac:dyDescent="0.2"/>
    <row r="30304" ht="12.75" hidden="1" customHeight="1" x14ac:dyDescent="0.2"/>
    <row r="30305" ht="12.75" hidden="1" customHeight="1" x14ac:dyDescent="0.2"/>
    <row r="30306" ht="12.75" hidden="1" customHeight="1" x14ac:dyDescent="0.2"/>
    <row r="30307" ht="12.75" hidden="1" customHeight="1" x14ac:dyDescent="0.2"/>
    <row r="30308" ht="12.75" hidden="1" customHeight="1" x14ac:dyDescent="0.2"/>
    <row r="30309" ht="12.75" hidden="1" customHeight="1" x14ac:dyDescent="0.2"/>
    <row r="30310" ht="12.75" hidden="1" customHeight="1" x14ac:dyDescent="0.2"/>
    <row r="30311" ht="12.75" hidden="1" customHeight="1" x14ac:dyDescent="0.2"/>
    <row r="30312" ht="12.75" hidden="1" customHeight="1" x14ac:dyDescent="0.2"/>
    <row r="30313" ht="12.75" hidden="1" customHeight="1" x14ac:dyDescent="0.2"/>
    <row r="30314" ht="12.75" hidden="1" customHeight="1" x14ac:dyDescent="0.2"/>
    <row r="30315" ht="12.75" hidden="1" customHeight="1" x14ac:dyDescent="0.2"/>
    <row r="30316" ht="12.75" hidden="1" customHeight="1" x14ac:dyDescent="0.2"/>
    <row r="30317" ht="12.75" hidden="1" customHeight="1" x14ac:dyDescent="0.2"/>
    <row r="30318" ht="12.75" hidden="1" customHeight="1" x14ac:dyDescent="0.2"/>
    <row r="30319" ht="12.75" hidden="1" customHeight="1" x14ac:dyDescent="0.2"/>
    <row r="30320" ht="12.75" hidden="1" customHeight="1" x14ac:dyDescent="0.2"/>
    <row r="30321" ht="12.75" hidden="1" customHeight="1" x14ac:dyDescent="0.2"/>
    <row r="30322" ht="12.75" hidden="1" customHeight="1" x14ac:dyDescent="0.2"/>
    <row r="30323" ht="12.75" hidden="1" customHeight="1" x14ac:dyDescent="0.2"/>
    <row r="30324" ht="12.75" hidden="1" customHeight="1" x14ac:dyDescent="0.2"/>
    <row r="30325" ht="12.75" hidden="1" customHeight="1" x14ac:dyDescent="0.2"/>
    <row r="30326" ht="12.75" hidden="1" customHeight="1" x14ac:dyDescent="0.2"/>
    <row r="30327" ht="12.75" hidden="1" customHeight="1" x14ac:dyDescent="0.2"/>
    <row r="30328" ht="12.75" hidden="1" customHeight="1" x14ac:dyDescent="0.2"/>
    <row r="30329" ht="12.75" hidden="1" customHeight="1" x14ac:dyDescent="0.2"/>
    <row r="30330" ht="12.75" hidden="1" customHeight="1" x14ac:dyDescent="0.2"/>
    <row r="30331" ht="12.75" hidden="1" customHeight="1" x14ac:dyDescent="0.2"/>
    <row r="30332" ht="12.75" hidden="1" customHeight="1" x14ac:dyDescent="0.2"/>
    <row r="30333" ht="12.75" hidden="1" customHeight="1" x14ac:dyDescent="0.2"/>
    <row r="30334" ht="12.75" hidden="1" customHeight="1" x14ac:dyDescent="0.2"/>
    <row r="30335" ht="12.75" hidden="1" customHeight="1" x14ac:dyDescent="0.2"/>
    <row r="30336" ht="12.75" hidden="1" customHeight="1" x14ac:dyDescent="0.2"/>
    <row r="30337" ht="12.75" hidden="1" customHeight="1" x14ac:dyDescent="0.2"/>
    <row r="30338" ht="12.75" hidden="1" customHeight="1" x14ac:dyDescent="0.2"/>
    <row r="30339" ht="12.75" hidden="1" customHeight="1" x14ac:dyDescent="0.2"/>
    <row r="30340" ht="12.75" hidden="1" customHeight="1" x14ac:dyDescent="0.2"/>
    <row r="30341" ht="12.75" hidden="1" customHeight="1" x14ac:dyDescent="0.2"/>
    <row r="30342" ht="12.75" hidden="1" customHeight="1" x14ac:dyDescent="0.2"/>
    <row r="30343" ht="12.75" hidden="1" customHeight="1" x14ac:dyDescent="0.2"/>
    <row r="30344" ht="12.75" hidden="1" customHeight="1" x14ac:dyDescent="0.2"/>
    <row r="30345" ht="12.75" hidden="1" customHeight="1" x14ac:dyDescent="0.2"/>
    <row r="30346" ht="12.75" hidden="1" customHeight="1" x14ac:dyDescent="0.2"/>
    <row r="30347" ht="12.75" hidden="1" customHeight="1" x14ac:dyDescent="0.2"/>
    <row r="30348" ht="12.75" hidden="1" customHeight="1" x14ac:dyDescent="0.2"/>
    <row r="30349" ht="12.75" hidden="1" customHeight="1" x14ac:dyDescent="0.2"/>
    <row r="30350" ht="12.75" hidden="1" customHeight="1" x14ac:dyDescent="0.2"/>
    <row r="30351" ht="12.75" hidden="1" customHeight="1" x14ac:dyDescent="0.2"/>
    <row r="30352" ht="12.75" hidden="1" customHeight="1" x14ac:dyDescent="0.2"/>
    <row r="30353" ht="12.75" hidden="1" customHeight="1" x14ac:dyDescent="0.2"/>
    <row r="30354" ht="12.75" hidden="1" customHeight="1" x14ac:dyDescent="0.2"/>
    <row r="30355" ht="12.75" hidden="1" customHeight="1" x14ac:dyDescent="0.2"/>
    <row r="30356" ht="12.75" hidden="1" customHeight="1" x14ac:dyDescent="0.2"/>
    <row r="30357" ht="12.75" hidden="1" customHeight="1" x14ac:dyDescent="0.2"/>
    <row r="30358" ht="12.75" hidden="1" customHeight="1" x14ac:dyDescent="0.2"/>
    <row r="30359" ht="12.75" hidden="1" customHeight="1" x14ac:dyDescent="0.2"/>
    <row r="30360" ht="12.75" hidden="1" customHeight="1" x14ac:dyDescent="0.2"/>
    <row r="30361" ht="12.75" hidden="1" customHeight="1" x14ac:dyDescent="0.2"/>
    <row r="30362" ht="12.75" hidden="1" customHeight="1" x14ac:dyDescent="0.2"/>
    <row r="30363" ht="12.75" hidden="1" customHeight="1" x14ac:dyDescent="0.2"/>
    <row r="30364" ht="12.75" hidden="1" customHeight="1" x14ac:dyDescent="0.2"/>
    <row r="30365" ht="12.75" hidden="1" customHeight="1" x14ac:dyDescent="0.2"/>
    <row r="30366" ht="12.75" hidden="1" customHeight="1" x14ac:dyDescent="0.2"/>
    <row r="30367" ht="12.75" hidden="1" customHeight="1" x14ac:dyDescent="0.2"/>
    <row r="30368" ht="12.75" hidden="1" customHeight="1" x14ac:dyDescent="0.2"/>
    <row r="30369" ht="12.75" hidden="1" customHeight="1" x14ac:dyDescent="0.2"/>
    <row r="30370" ht="12.75" hidden="1" customHeight="1" x14ac:dyDescent="0.2"/>
    <row r="30371" ht="12.75" hidden="1" customHeight="1" x14ac:dyDescent="0.2"/>
    <row r="30372" ht="12.75" hidden="1" customHeight="1" x14ac:dyDescent="0.2"/>
    <row r="30373" ht="12.75" hidden="1" customHeight="1" x14ac:dyDescent="0.2"/>
    <row r="30374" ht="12.75" hidden="1" customHeight="1" x14ac:dyDescent="0.2"/>
    <row r="30375" ht="12.75" hidden="1" customHeight="1" x14ac:dyDescent="0.2"/>
    <row r="30376" ht="12.75" hidden="1" customHeight="1" x14ac:dyDescent="0.2"/>
    <row r="30377" ht="12.75" hidden="1" customHeight="1" x14ac:dyDescent="0.2"/>
    <row r="30378" ht="12.75" hidden="1" customHeight="1" x14ac:dyDescent="0.2"/>
    <row r="30379" ht="12.75" hidden="1" customHeight="1" x14ac:dyDescent="0.2"/>
    <row r="30380" ht="12.75" hidden="1" customHeight="1" x14ac:dyDescent="0.2"/>
    <row r="30381" ht="12.75" hidden="1" customHeight="1" x14ac:dyDescent="0.2"/>
    <row r="30382" ht="12.75" hidden="1" customHeight="1" x14ac:dyDescent="0.2"/>
    <row r="30383" ht="12.75" hidden="1" customHeight="1" x14ac:dyDescent="0.2"/>
    <row r="30384" ht="12.75" hidden="1" customHeight="1" x14ac:dyDescent="0.2"/>
    <row r="30385" ht="12.75" hidden="1" customHeight="1" x14ac:dyDescent="0.2"/>
    <row r="30386" ht="12.75" hidden="1" customHeight="1" x14ac:dyDescent="0.2"/>
    <row r="30387" ht="12.75" hidden="1" customHeight="1" x14ac:dyDescent="0.2"/>
    <row r="30388" ht="12.75" hidden="1" customHeight="1" x14ac:dyDescent="0.2"/>
    <row r="30389" ht="12.75" hidden="1" customHeight="1" x14ac:dyDescent="0.2"/>
    <row r="30390" ht="12.75" hidden="1" customHeight="1" x14ac:dyDescent="0.2"/>
    <row r="30391" ht="12.75" hidden="1" customHeight="1" x14ac:dyDescent="0.2"/>
    <row r="30392" ht="12.75" hidden="1" customHeight="1" x14ac:dyDescent="0.2"/>
    <row r="30393" ht="12.75" hidden="1" customHeight="1" x14ac:dyDescent="0.2"/>
    <row r="30394" ht="12.75" hidden="1" customHeight="1" x14ac:dyDescent="0.2"/>
    <row r="30395" ht="12.75" hidden="1" customHeight="1" x14ac:dyDescent="0.2"/>
    <row r="30396" ht="12.75" hidden="1" customHeight="1" x14ac:dyDescent="0.2"/>
    <row r="30397" ht="12.75" hidden="1" customHeight="1" x14ac:dyDescent="0.2"/>
    <row r="30398" ht="12.75" hidden="1" customHeight="1" x14ac:dyDescent="0.2"/>
    <row r="30399" ht="12.75" hidden="1" customHeight="1" x14ac:dyDescent="0.2"/>
    <row r="30400" ht="12.75" hidden="1" customHeight="1" x14ac:dyDescent="0.2"/>
    <row r="30401" ht="12.75" hidden="1" customHeight="1" x14ac:dyDescent="0.2"/>
    <row r="30402" ht="12.75" hidden="1" customHeight="1" x14ac:dyDescent="0.2"/>
    <row r="30403" ht="12.75" hidden="1" customHeight="1" x14ac:dyDescent="0.2"/>
    <row r="30404" ht="12.75" hidden="1" customHeight="1" x14ac:dyDescent="0.2"/>
    <row r="30405" ht="12.75" hidden="1" customHeight="1" x14ac:dyDescent="0.2"/>
    <row r="30406" ht="12.75" hidden="1" customHeight="1" x14ac:dyDescent="0.2"/>
    <row r="30407" ht="12.75" hidden="1" customHeight="1" x14ac:dyDescent="0.2"/>
    <row r="30408" ht="12.75" hidden="1" customHeight="1" x14ac:dyDescent="0.2"/>
    <row r="30409" ht="12.75" hidden="1" customHeight="1" x14ac:dyDescent="0.2"/>
    <row r="30410" ht="12.75" hidden="1" customHeight="1" x14ac:dyDescent="0.2"/>
    <row r="30411" ht="12.75" hidden="1" customHeight="1" x14ac:dyDescent="0.2"/>
    <row r="30412" ht="12.75" hidden="1" customHeight="1" x14ac:dyDescent="0.2"/>
    <row r="30413" ht="12.75" hidden="1" customHeight="1" x14ac:dyDescent="0.2"/>
    <row r="30414" ht="12.75" hidden="1" customHeight="1" x14ac:dyDescent="0.2"/>
    <row r="30415" ht="12.75" hidden="1" customHeight="1" x14ac:dyDescent="0.2"/>
    <row r="30416" ht="12.75" hidden="1" customHeight="1" x14ac:dyDescent="0.2"/>
    <row r="30417" ht="12.75" hidden="1" customHeight="1" x14ac:dyDescent="0.2"/>
    <row r="30418" ht="12.75" hidden="1" customHeight="1" x14ac:dyDescent="0.2"/>
    <row r="30419" ht="12.75" hidden="1" customHeight="1" x14ac:dyDescent="0.2"/>
    <row r="30420" ht="12.75" hidden="1" customHeight="1" x14ac:dyDescent="0.2"/>
    <row r="30421" ht="12.75" hidden="1" customHeight="1" x14ac:dyDescent="0.2"/>
    <row r="30422" ht="12.75" hidden="1" customHeight="1" x14ac:dyDescent="0.2"/>
    <row r="30423" ht="12.75" hidden="1" customHeight="1" x14ac:dyDescent="0.2"/>
    <row r="30424" ht="12.75" hidden="1" customHeight="1" x14ac:dyDescent="0.2"/>
    <row r="30425" ht="12.75" hidden="1" customHeight="1" x14ac:dyDescent="0.2"/>
    <row r="30426" ht="12.75" hidden="1" customHeight="1" x14ac:dyDescent="0.2"/>
    <row r="30427" ht="12.75" hidden="1" customHeight="1" x14ac:dyDescent="0.2"/>
    <row r="30428" ht="12.75" hidden="1" customHeight="1" x14ac:dyDescent="0.2"/>
    <row r="30429" ht="12.75" hidden="1" customHeight="1" x14ac:dyDescent="0.2"/>
    <row r="30430" ht="12.75" hidden="1" customHeight="1" x14ac:dyDescent="0.2"/>
    <row r="30431" ht="12.75" hidden="1" customHeight="1" x14ac:dyDescent="0.2"/>
    <row r="30432" ht="12.75" hidden="1" customHeight="1" x14ac:dyDescent="0.2"/>
    <row r="30433" ht="12.75" hidden="1" customHeight="1" x14ac:dyDescent="0.2"/>
    <row r="30434" ht="12.75" hidden="1" customHeight="1" x14ac:dyDescent="0.2"/>
    <row r="30435" ht="12.75" hidden="1" customHeight="1" x14ac:dyDescent="0.2"/>
    <row r="30436" ht="12.75" hidden="1" customHeight="1" x14ac:dyDescent="0.2"/>
    <row r="30437" ht="12.75" hidden="1" customHeight="1" x14ac:dyDescent="0.2"/>
    <row r="30438" ht="12.75" hidden="1" customHeight="1" x14ac:dyDescent="0.2"/>
    <row r="30439" ht="12.75" hidden="1" customHeight="1" x14ac:dyDescent="0.2"/>
    <row r="30440" ht="12.75" hidden="1" customHeight="1" x14ac:dyDescent="0.2"/>
    <row r="30441" ht="12.75" hidden="1" customHeight="1" x14ac:dyDescent="0.2"/>
    <row r="30442" ht="12.75" hidden="1" customHeight="1" x14ac:dyDescent="0.2"/>
    <row r="30443" ht="12.75" hidden="1" customHeight="1" x14ac:dyDescent="0.2"/>
    <row r="30444" ht="12.75" hidden="1" customHeight="1" x14ac:dyDescent="0.2"/>
    <row r="30445" ht="12.75" hidden="1" customHeight="1" x14ac:dyDescent="0.2"/>
    <row r="30446" ht="12.75" hidden="1" customHeight="1" x14ac:dyDescent="0.2"/>
    <row r="30447" ht="12.75" hidden="1" customHeight="1" x14ac:dyDescent="0.2"/>
    <row r="30448" ht="12.75" hidden="1" customHeight="1" x14ac:dyDescent="0.2"/>
    <row r="30449" ht="12.75" hidden="1" customHeight="1" x14ac:dyDescent="0.2"/>
    <row r="30450" ht="12.75" hidden="1" customHeight="1" x14ac:dyDescent="0.2"/>
    <row r="30451" ht="12.75" hidden="1" customHeight="1" x14ac:dyDescent="0.2"/>
    <row r="30452" ht="12.75" hidden="1" customHeight="1" x14ac:dyDescent="0.2"/>
    <row r="30453" ht="12.75" hidden="1" customHeight="1" x14ac:dyDescent="0.2"/>
    <row r="30454" ht="12.75" hidden="1" customHeight="1" x14ac:dyDescent="0.2"/>
    <row r="30455" ht="12.75" hidden="1" customHeight="1" x14ac:dyDescent="0.2"/>
    <row r="30456" ht="12.75" hidden="1" customHeight="1" x14ac:dyDescent="0.2"/>
    <row r="30457" ht="12.75" hidden="1" customHeight="1" x14ac:dyDescent="0.2"/>
    <row r="30458" ht="12.75" hidden="1" customHeight="1" x14ac:dyDescent="0.2"/>
    <row r="30459" ht="12.75" hidden="1" customHeight="1" x14ac:dyDescent="0.2"/>
    <row r="30460" ht="12.75" hidden="1" customHeight="1" x14ac:dyDescent="0.2"/>
    <row r="30461" ht="12.75" hidden="1" customHeight="1" x14ac:dyDescent="0.2"/>
    <row r="30462" ht="12.75" hidden="1" customHeight="1" x14ac:dyDescent="0.2"/>
    <row r="30463" ht="12.75" hidden="1" customHeight="1" x14ac:dyDescent="0.2"/>
    <row r="30464" ht="12.75" hidden="1" customHeight="1" x14ac:dyDescent="0.2"/>
    <row r="30465" ht="12.75" hidden="1" customHeight="1" x14ac:dyDescent="0.2"/>
    <row r="30466" ht="12.75" hidden="1" customHeight="1" x14ac:dyDescent="0.2"/>
    <row r="30467" ht="12.75" hidden="1" customHeight="1" x14ac:dyDescent="0.2"/>
    <row r="30468" ht="12.75" hidden="1" customHeight="1" x14ac:dyDescent="0.2"/>
    <row r="30469" ht="12.75" hidden="1" customHeight="1" x14ac:dyDescent="0.2"/>
    <row r="30470" ht="12.75" hidden="1" customHeight="1" x14ac:dyDescent="0.2"/>
    <row r="30471" ht="12.75" hidden="1" customHeight="1" x14ac:dyDescent="0.2"/>
    <row r="30472" ht="12.75" hidden="1" customHeight="1" x14ac:dyDescent="0.2"/>
    <row r="30473" ht="12.75" hidden="1" customHeight="1" x14ac:dyDescent="0.2"/>
    <row r="30474" ht="12.75" hidden="1" customHeight="1" x14ac:dyDescent="0.2"/>
    <row r="30475" ht="12.75" hidden="1" customHeight="1" x14ac:dyDescent="0.2"/>
    <row r="30476" ht="12.75" hidden="1" customHeight="1" x14ac:dyDescent="0.2"/>
    <row r="30477" ht="12.75" hidden="1" customHeight="1" x14ac:dyDescent="0.2"/>
    <row r="30478" ht="12.75" hidden="1" customHeight="1" x14ac:dyDescent="0.2"/>
    <row r="30479" ht="12.75" hidden="1" customHeight="1" x14ac:dyDescent="0.2"/>
    <row r="30480" ht="12.75" hidden="1" customHeight="1" x14ac:dyDescent="0.2"/>
    <row r="30481" ht="12.75" hidden="1" customHeight="1" x14ac:dyDescent="0.2"/>
    <row r="30482" ht="12.75" hidden="1" customHeight="1" x14ac:dyDescent="0.2"/>
    <row r="30483" ht="12.75" hidden="1" customHeight="1" x14ac:dyDescent="0.2"/>
    <row r="30484" ht="12.75" hidden="1" customHeight="1" x14ac:dyDescent="0.2"/>
    <row r="30485" ht="12.75" hidden="1" customHeight="1" x14ac:dyDescent="0.2"/>
    <row r="30486" ht="12.75" hidden="1" customHeight="1" x14ac:dyDescent="0.2"/>
    <row r="30487" ht="12.75" hidden="1" customHeight="1" x14ac:dyDescent="0.2"/>
    <row r="30488" ht="12.75" hidden="1" customHeight="1" x14ac:dyDescent="0.2"/>
    <row r="30489" ht="12.75" hidden="1" customHeight="1" x14ac:dyDescent="0.2"/>
    <row r="30490" ht="12.75" hidden="1" customHeight="1" x14ac:dyDescent="0.2"/>
    <row r="30491" ht="12.75" hidden="1" customHeight="1" x14ac:dyDescent="0.2"/>
    <row r="30492" ht="12.75" hidden="1" customHeight="1" x14ac:dyDescent="0.2"/>
    <row r="30493" ht="12.75" hidden="1" customHeight="1" x14ac:dyDescent="0.2"/>
    <row r="30494" ht="12.75" hidden="1" customHeight="1" x14ac:dyDescent="0.2"/>
    <row r="30495" ht="12.75" hidden="1" customHeight="1" x14ac:dyDescent="0.2"/>
    <row r="30496" ht="12.75" hidden="1" customHeight="1" x14ac:dyDescent="0.2"/>
    <row r="30497" ht="12.75" hidden="1" customHeight="1" x14ac:dyDescent="0.2"/>
    <row r="30498" ht="12.75" hidden="1" customHeight="1" x14ac:dyDescent="0.2"/>
    <row r="30499" ht="12.75" hidden="1" customHeight="1" x14ac:dyDescent="0.2"/>
    <row r="30500" ht="12.75" hidden="1" customHeight="1" x14ac:dyDescent="0.2"/>
    <row r="30501" ht="12.75" hidden="1" customHeight="1" x14ac:dyDescent="0.2"/>
    <row r="30502" ht="12.75" hidden="1" customHeight="1" x14ac:dyDescent="0.2"/>
    <row r="30503" ht="12.75" hidden="1" customHeight="1" x14ac:dyDescent="0.2"/>
    <row r="30504" ht="12.75" hidden="1" customHeight="1" x14ac:dyDescent="0.2"/>
    <row r="30505" ht="12.75" hidden="1" customHeight="1" x14ac:dyDescent="0.2"/>
    <row r="30506" ht="12.75" hidden="1" customHeight="1" x14ac:dyDescent="0.2"/>
    <row r="30507" ht="12.75" hidden="1" customHeight="1" x14ac:dyDescent="0.2"/>
    <row r="30508" ht="12.75" hidden="1" customHeight="1" x14ac:dyDescent="0.2"/>
    <row r="30509" ht="12.75" hidden="1" customHeight="1" x14ac:dyDescent="0.2"/>
    <row r="30510" ht="12.75" hidden="1" customHeight="1" x14ac:dyDescent="0.2"/>
    <row r="30511" ht="12.75" hidden="1" customHeight="1" x14ac:dyDescent="0.2"/>
    <row r="30512" ht="12.75" hidden="1" customHeight="1" x14ac:dyDescent="0.2"/>
    <row r="30513" ht="12.75" hidden="1" customHeight="1" x14ac:dyDescent="0.2"/>
    <row r="30514" ht="12.75" hidden="1" customHeight="1" x14ac:dyDescent="0.2"/>
    <row r="30515" ht="12.75" hidden="1" customHeight="1" x14ac:dyDescent="0.2"/>
    <row r="30516" ht="12.75" hidden="1" customHeight="1" x14ac:dyDescent="0.2"/>
    <row r="30517" ht="12.75" hidden="1" customHeight="1" x14ac:dyDescent="0.2"/>
    <row r="30518" ht="12.75" hidden="1" customHeight="1" x14ac:dyDescent="0.2"/>
    <row r="30519" ht="12.75" hidden="1" customHeight="1" x14ac:dyDescent="0.2"/>
    <row r="30520" ht="12.75" hidden="1" customHeight="1" x14ac:dyDescent="0.2"/>
    <row r="30521" ht="12.75" hidden="1" customHeight="1" x14ac:dyDescent="0.2"/>
    <row r="30522" ht="12.75" hidden="1" customHeight="1" x14ac:dyDescent="0.2"/>
    <row r="30523" ht="12.75" hidden="1" customHeight="1" x14ac:dyDescent="0.2"/>
    <row r="30524" ht="12.75" hidden="1" customHeight="1" x14ac:dyDescent="0.2"/>
    <row r="30525" ht="12.75" hidden="1" customHeight="1" x14ac:dyDescent="0.2"/>
    <row r="30526" ht="12.75" hidden="1" customHeight="1" x14ac:dyDescent="0.2"/>
    <row r="30527" ht="12.75" hidden="1" customHeight="1" x14ac:dyDescent="0.2"/>
    <row r="30528" ht="12.75" hidden="1" customHeight="1" x14ac:dyDescent="0.2"/>
    <row r="30529" ht="12.75" hidden="1" customHeight="1" x14ac:dyDescent="0.2"/>
    <row r="30530" ht="12.75" hidden="1" customHeight="1" x14ac:dyDescent="0.2"/>
    <row r="30531" ht="12.75" hidden="1" customHeight="1" x14ac:dyDescent="0.2"/>
    <row r="30532" ht="12.75" hidden="1" customHeight="1" x14ac:dyDescent="0.2"/>
    <row r="30533" ht="12.75" hidden="1" customHeight="1" x14ac:dyDescent="0.2"/>
    <row r="30534" ht="12.75" hidden="1" customHeight="1" x14ac:dyDescent="0.2"/>
    <row r="30535" ht="12.75" hidden="1" customHeight="1" x14ac:dyDescent="0.2"/>
    <row r="30536" ht="12.75" hidden="1" customHeight="1" x14ac:dyDescent="0.2"/>
    <row r="30537" ht="12.75" hidden="1" customHeight="1" x14ac:dyDescent="0.2"/>
    <row r="30538" ht="12.75" hidden="1" customHeight="1" x14ac:dyDescent="0.2"/>
    <row r="30539" ht="12.75" hidden="1" customHeight="1" x14ac:dyDescent="0.2"/>
    <row r="30540" ht="12.75" hidden="1" customHeight="1" x14ac:dyDescent="0.2"/>
    <row r="30541" ht="12.75" hidden="1" customHeight="1" x14ac:dyDescent="0.2"/>
    <row r="30542" ht="12.75" hidden="1" customHeight="1" x14ac:dyDescent="0.2"/>
    <row r="30543" ht="12.75" hidden="1" customHeight="1" x14ac:dyDescent="0.2"/>
    <row r="30544" ht="12.75" hidden="1" customHeight="1" x14ac:dyDescent="0.2"/>
    <row r="30545" ht="12.75" hidden="1" customHeight="1" x14ac:dyDescent="0.2"/>
    <row r="30546" ht="12.75" hidden="1" customHeight="1" x14ac:dyDescent="0.2"/>
    <row r="30547" ht="12.75" hidden="1" customHeight="1" x14ac:dyDescent="0.2"/>
    <row r="30548" ht="12.75" hidden="1" customHeight="1" x14ac:dyDescent="0.2"/>
    <row r="30549" ht="12.75" hidden="1" customHeight="1" x14ac:dyDescent="0.2"/>
    <row r="30550" ht="12.75" hidden="1" customHeight="1" x14ac:dyDescent="0.2"/>
    <row r="30551" ht="12.75" hidden="1" customHeight="1" x14ac:dyDescent="0.2"/>
    <row r="30552" ht="12.75" hidden="1" customHeight="1" x14ac:dyDescent="0.2"/>
    <row r="30553" ht="12.75" hidden="1" customHeight="1" x14ac:dyDescent="0.2"/>
    <row r="30554" ht="12.75" hidden="1" customHeight="1" x14ac:dyDescent="0.2"/>
    <row r="30555" ht="12.75" hidden="1" customHeight="1" x14ac:dyDescent="0.2"/>
    <row r="30556" ht="12.75" hidden="1" customHeight="1" x14ac:dyDescent="0.2"/>
    <row r="30557" ht="12.75" hidden="1" customHeight="1" x14ac:dyDescent="0.2"/>
    <row r="30558" ht="12.75" hidden="1" customHeight="1" x14ac:dyDescent="0.2"/>
    <row r="30559" ht="12.75" hidden="1" customHeight="1" x14ac:dyDescent="0.2"/>
    <row r="30560" ht="12.75" hidden="1" customHeight="1" x14ac:dyDescent="0.2"/>
    <row r="30561" ht="12.75" hidden="1" customHeight="1" x14ac:dyDescent="0.2"/>
    <row r="30562" ht="12.75" hidden="1" customHeight="1" x14ac:dyDescent="0.2"/>
    <row r="30563" ht="12.75" hidden="1" customHeight="1" x14ac:dyDescent="0.2"/>
    <row r="30564" ht="12.75" hidden="1" customHeight="1" x14ac:dyDescent="0.2"/>
    <row r="30565" ht="12.75" hidden="1" customHeight="1" x14ac:dyDescent="0.2"/>
    <row r="30566" ht="12.75" hidden="1" customHeight="1" x14ac:dyDescent="0.2"/>
    <row r="30567" ht="12.75" hidden="1" customHeight="1" x14ac:dyDescent="0.2"/>
    <row r="30568" ht="12.75" hidden="1" customHeight="1" x14ac:dyDescent="0.2"/>
    <row r="30569" ht="12.75" hidden="1" customHeight="1" x14ac:dyDescent="0.2"/>
    <row r="30570" ht="12.75" hidden="1" customHeight="1" x14ac:dyDescent="0.2"/>
    <row r="30571" ht="12.75" hidden="1" customHeight="1" x14ac:dyDescent="0.2"/>
    <row r="30572" ht="12.75" hidden="1" customHeight="1" x14ac:dyDescent="0.2"/>
    <row r="30573" ht="12.75" hidden="1" customHeight="1" x14ac:dyDescent="0.2"/>
    <row r="30574" ht="12.75" hidden="1" customHeight="1" x14ac:dyDescent="0.2"/>
    <row r="30575" ht="12.75" hidden="1" customHeight="1" x14ac:dyDescent="0.2"/>
    <row r="30576" ht="12.75" hidden="1" customHeight="1" x14ac:dyDescent="0.2"/>
    <row r="30577" ht="12.75" hidden="1" customHeight="1" x14ac:dyDescent="0.2"/>
    <row r="30578" ht="12.75" hidden="1" customHeight="1" x14ac:dyDescent="0.2"/>
    <row r="30579" ht="12.75" hidden="1" customHeight="1" x14ac:dyDescent="0.2"/>
    <row r="30580" ht="12.75" hidden="1" customHeight="1" x14ac:dyDescent="0.2"/>
    <row r="30581" ht="12.75" hidden="1" customHeight="1" x14ac:dyDescent="0.2"/>
    <row r="30582" ht="12.75" hidden="1" customHeight="1" x14ac:dyDescent="0.2"/>
    <row r="30583" ht="12.75" hidden="1" customHeight="1" x14ac:dyDescent="0.2"/>
    <row r="30584" ht="12.75" hidden="1" customHeight="1" x14ac:dyDescent="0.2"/>
    <row r="30585" ht="12.75" hidden="1" customHeight="1" x14ac:dyDescent="0.2"/>
    <row r="30586" ht="12.75" hidden="1" customHeight="1" x14ac:dyDescent="0.2"/>
    <row r="30587" ht="12.75" hidden="1" customHeight="1" x14ac:dyDescent="0.2"/>
    <row r="30588" ht="12.75" hidden="1" customHeight="1" x14ac:dyDescent="0.2"/>
    <row r="30589" ht="12.75" hidden="1" customHeight="1" x14ac:dyDescent="0.2"/>
    <row r="30590" ht="12.75" hidden="1" customHeight="1" x14ac:dyDescent="0.2"/>
    <row r="30591" ht="12.75" hidden="1" customHeight="1" x14ac:dyDescent="0.2"/>
    <row r="30592" ht="12.75" hidden="1" customHeight="1" x14ac:dyDescent="0.2"/>
    <row r="30593" ht="12.75" hidden="1" customHeight="1" x14ac:dyDescent="0.2"/>
    <row r="30594" ht="12.75" hidden="1" customHeight="1" x14ac:dyDescent="0.2"/>
    <row r="30595" ht="12.75" hidden="1" customHeight="1" x14ac:dyDescent="0.2"/>
    <row r="30596" ht="12.75" hidden="1" customHeight="1" x14ac:dyDescent="0.2"/>
    <row r="30597" ht="12.75" hidden="1" customHeight="1" x14ac:dyDescent="0.2"/>
    <row r="30598" ht="12.75" hidden="1" customHeight="1" x14ac:dyDescent="0.2"/>
    <row r="30599" ht="12.75" hidden="1" customHeight="1" x14ac:dyDescent="0.2"/>
    <row r="30600" ht="12.75" hidden="1" customHeight="1" x14ac:dyDescent="0.2"/>
    <row r="30601" ht="12.75" hidden="1" customHeight="1" x14ac:dyDescent="0.2"/>
    <row r="30602" ht="12.75" hidden="1" customHeight="1" x14ac:dyDescent="0.2"/>
    <row r="30603" ht="12.75" hidden="1" customHeight="1" x14ac:dyDescent="0.2"/>
    <row r="30604" ht="12.75" hidden="1" customHeight="1" x14ac:dyDescent="0.2"/>
    <row r="30605" ht="12.75" hidden="1" customHeight="1" x14ac:dyDescent="0.2"/>
    <row r="30606" ht="12.75" hidden="1" customHeight="1" x14ac:dyDescent="0.2"/>
    <row r="30607" ht="12.75" hidden="1" customHeight="1" x14ac:dyDescent="0.2"/>
    <row r="30608" ht="12.75" hidden="1" customHeight="1" x14ac:dyDescent="0.2"/>
    <row r="30609" ht="12.75" hidden="1" customHeight="1" x14ac:dyDescent="0.2"/>
    <row r="30610" ht="12.75" hidden="1" customHeight="1" x14ac:dyDescent="0.2"/>
    <row r="30611" ht="12.75" hidden="1" customHeight="1" x14ac:dyDescent="0.2"/>
    <row r="30612" ht="12.75" hidden="1" customHeight="1" x14ac:dyDescent="0.2"/>
    <row r="30613" ht="12.75" hidden="1" customHeight="1" x14ac:dyDescent="0.2"/>
    <row r="30614" ht="12.75" hidden="1" customHeight="1" x14ac:dyDescent="0.2"/>
    <row r="30615" ht="12.75" hidden="1" customHeight="1" x14ac:dyDescent="0.2"/>
    <row r="30616" ht="12.75" hidden="1" customHeight="1" x14ac:dyDescent="0.2"/>
    <row r="30617" ht="12.75" hidden="1" customHeight="1" x14ac:dyDescent="0.2"/>
    <row r="30618" ht="12.75" hidden="1" customHeight="1" x14ac:dyDescent="0.2"/>
    <row r="30619" ht="12.75" hidden="1" customHeight="1" x14ac:dyDescent="0.2"/>
    <row r="30620" ht="12.75" hidden="1" customHeight="1" x14ac:dyDescent="0.2"/>
    <row r="30621" ht="12.75" hidden="1" customHeight="1" x14ac:dyDescent="0.2"/>
    <row r="30622" ht="12.75" hidden="1" customHeight="1" x14ac:dyDescent="0.2"/>
    <row r="30623" ht="12.75" hidden="1" customHeight="1" x14ac:dyDescent="0.2"/>
    <row r="30624" ht="12.75" hidden="1" customHeight="1" x14ac:dyDescent="0.2"/>
    <row r="30625" ht="12.75" hidden="1" customHeight="1" x14ac:dyDescent="0.2"/>
    <row r="30626" ht="12.75" hidden="1" customHeight="1" x14ac:dyDescent="0.2"/>
    <row r="30627" ht="12.75" hidden="1" customHeight="1" x14ac:dyDescent="0.2"/>
    <row r="30628" ht="12.75" hidden="1" customHeight="1" x14ac:dyDescent="0.2"/>
    <row r="30629" ht="12.75" hidden="1" customHeight="1" x14ac:dyDescent="0.2"/>
    <row r="30630" ht="12.75" hidden="1" customHeight="1" x14ac:dyDescent="0.2"/>
    <row r="30631" ht="12.75" hidden="1" customHeight="1" x14ac:dyDescent="0.2"/>
    <row r="30632" ht="12.75" hidden="1" customHeight="1" x14ac:dyDescent="0.2"/>
    <row r="30633" ht="12.75" hidden="1" customHeight="1" x14ac:dyDescent="0.2"/>
    <row r="30634" ht="12.75" hidden="1" customHeight="1" x14ac:dyDescent="0.2"/>
    <row r="30635" ht="12.75" hidden="1" customHeight="1" x14ac:dyDescent="0.2"/>
    <row r="30636" ht="12.75" hidden="1" customHeight="1" x14ac:dyDescent="0.2"/>
    <row r="30637" ht="12.75" hidden="1" customHeight="1" x14ac:dyDescent="0.2"/>
    <row r="30638" ht="12.75" hidden="1" customHeight="1" x14ac:dyDescent="0.2"/>
    <row r="30639" ht="12.75" hidden="1" customHeight="1" x14ac:dyDescent="0.2"/>
    <row r="30640" ht="12.75" hidden="1" customHeight="1" x14ac:dyDescent="0.2"/>
    <row r="30641" ht="12.75" hidden="1" customHeight="1" x14ac:dyDescent="0.2"/>
    <row r="30642" ht="12.75" hidden="1" customHeight="1" x14ac:dyDescent="0.2"/>
    <row r="30643" ht="12.75" hidden="1" customHeight="1" x14ac:dyDescent="0.2"/>
    <row r="30644" ht="12.75" hidden="1" customHeight="1" x14ac:dyDescent="0.2"/>
    <row r="30645" ht="12.75" hidden="1" customHeight="1" x14ac:dyDescent="0.2"/>
    <row r="30646" ht="12.75" hidden="1" customHeight="1" x14ac:dyDescent="0.2"/>
    <row r="30647" ht="12.75" hidden="1" customHeight="1" x14ac:dyDescent="0.2"/>
    <row r="30648" ht="12.75" hidden="1" customHeight="1" x14ac:dyDescent="0.2"/>
    <row r="30649" ht="12.75" hidden="1" customHeight="1" x14ac:dyDescent="0.2"/>
    <row r="30650" ht="12.75" hidden="1" customHeight="1" x14ac:dyDescent="0.2"/>
    <row r="30651" ht="12.75" hidden="1" customHeight="1" x14ac:dyDescent="0.2"/>
    <row r="30652" ht="12.75" hidden="1" customHeight="1" x14ac:dyDescent="0.2"/>
    <row r="30653" ht="12.75" hidden="1" customHeight="1" x14ac:dyDescent="0.2"/>
    <row r="30654" ht="12.75" hidden="1" customHeight="1" x14ac:dyDescent="0.2"/>
    <row r="30655" ht="12.75" hidden="1" customHeight="1" x14ac:dyDescent="0.2"/>
    <row r="30656" ht="12.75" hidden="1" customHeight="1" x14ac:dyDescent="0.2"/>
    <row r="30657" ht="12.75" hidden="1" customHeight="1" x14ac:dyDescent="0.2"/>
    <row r="30658" ht="12.75" hidden="1" customHeight="1" x14ac:dyDescent="0.2"/>
    <row r="30659" ht="12.75" hidden="1" customHeight="1" x14ac:dyDescent="0.2"/>
    <row r="30660" ht="12.75" hidden="1" customHeight="1" x14ac:dyDescent="0.2"/>
    <row r="30661" ht="12.75" hidden="1" customHeight="1" x14ac:dyDescent="0.2"/>
    <row r="30662" ht="12.75" hidden="1" customHeight="1" x14ac:dyDescent="0.2"/>
    <row r="30663" ht="12.75" hidden="1" customHeight="1" x14ac:dyDescent="0.2"/>
    <row r="30664" ht="12.75" hidden="1" customHeight="1" x14ac:dyDescent="0.2"/>
    <row r="30665" ht="12.75" hidden="1" customHeight="1" x14ac:dyDescent="0.2"/>
    <row r="30666" ht="12.75" hidden="1" customHeight="1" x14ac:dyDescent="0.2"/>
    <row r="30667" ht="12.75" hidden="1" customHeight="1" x14ac:dyDescent="0.2"/>
    <row r="30668" ht="12.75" hidden="1" customHeight="1" x14ac:dyDescent="0.2"/>
    <row r="30669" ht="12.75" hidden="1" customHeight="1" x14ac:dyDescent="0.2"/>
    <row r="30670" ht="12.75" hidden="1" customHeight="1" x14ac:dyDescent="0.2"/>
    <row r="30671" ht="12.75" hidden="1" customHeight="1" x14ac:dyDescent="0.2"/>
    <row r="30672" ht="12.75" hidden="1" customHeight="1" x14ac:dyDescent="0.2"/>
    <row r="30673" ht="12.75" hidden="1" customHeight="1" x14ac:dyDescent="0.2"/>
    <row r="30674" ht="12.75" hidden="1" customHeight="1" x14ac:dyDescent="0.2"/>
    <row r="30675" ht="12.75" hidden="1" customHeight="1" x14ac:dyDescent="0.2"/>
    <row r="30676" ht="12.75" hidden="1" customHeight="1" x14ac:dyDescent="0.2"/>
    <row r="30677" ht="12.75" hidden="1" customHeight="1" x14ac:dyDescent="0.2"/>
    <row r="30678" ht="12.75" hidden="1" customHeight="1" x14ac:dyDescent="0.2"/>
    <row r="30679" ht="12.75" hidden="1" customHeight="1" x14ac:dyDescent="0.2"/>
    <row r="30680" ht="12.75" hidden="1" customHeight="1" x14ac:dyDescent="0.2"/>
    <row r="30681" ht="12.75" hidden="1" customHeight="1" x14ac:dyDescent="0.2"/>
    <row r="30682" ht="12.75" hidden="1" customHeight="1" x14ac:dyDescent="0.2"/>
    <row r="30683" ht="12.75" hidden="1" customHeight="1" x14ac:dyDescent="0.2"/>
    <row r="30684" ht="12.75" hidden="1" customHeight="1" x14ac:dyDescent="0.2"/>
    <row r="30685" ht="12.75" hidden="1" customHeight="1" x14ac:dyDescent="0.2"/>
    <row r="30686" ht="12.75" hidden="1" customHeight="1" x14ac:dyDescent="0.2"/>
    <row r="30687" ht="12.75" hidden="1" customHeight="1" x14ac:dyDescent="0.2"/>
    <row r="30688" ht="12.75" hidden="1" customHeight="1" x14ac:dyDescent="0.2"/>
    <row r="30689" ht="12.75" hidden="1" customHeight="1" x14ac:dyDescent="0.2"/>
    <row r="30690" ht="12.75" hidden="1" customHeight="1" x14ac:dyDescent="0.2"/>
    <row r="30691" ht="12.75" hidden="1" customHeight="1" x14ac:dyDescent="0.2"/>
    <row r="30692" ht="12.75" hidden="1" customHeight="1" x14ac:dyDescent="0.2"/>
    <row r="30693" ht="12.75" hidden="1" customHeight="1" x14ac:dyDescent="0.2"/>
    <row r="30694" ht="12.75" hidden="1" customHeight="1" x14ac:dyDescent="0.2"/>
    <row r="30695" ht="12.75" hidden="1" customHeight="1" x14ac:dyDescent="0.2"/>
    <row r="30696" ht="12.75" hidden="1" customHeight="1" x14ac:dyDescent="0.2"/>
    <row r="30697" ht="12.75" hidden="1" customHeight="1" x14ac:dyDescent="0.2"/>
    <row r="30698" ht="12.75" hidden="1" customHeight="1" x14ac:dyDescent="0.2"/>
    <row r="30699" ht="12.75" hidden="1" customHeight="1" x14ac:dyDescent="0.2"/>
    <row r="30700" ht="12.75" hidden="1" customHeight="1" x14ac:dyDescent="0.2"/>
    <row r="30701" ht="12.75" hidden="1" customHeight="1" x14ac:dyDescent="0.2"/>
    <row r="30702" ht="12.75" hidden="1" customHeight="1" x14ac:dyDescent="0.2"/>
    <row r="30703" ht="12.75" hidden="1" customHeight="1" x14ac:dyDescent="0.2"/>
    <row r="30704" ht="12.75" hidden="1" customHeight="1" x14ac:dyDescent="0.2"/>
    <row r="30705" ht="12.75" hidden="1" customHeight="1" x14ac:dyDescent="0.2"/>
    <row r="30706" ht="12.75" hidden="1" customHeight="1" x14ac:dyDescent="0.2"/>
    <row r="30707" ht="12.75" hidden="1" customHeight="1" x14ac:dyDescent="0.2"/>
    <row r="30708" ht="12.75" hidden="1" customHeight="1" x14ac:dyDescent="0.2"/>
    <row r="30709" ht="12.75" hidden="1" customHeight="1" x14ac:dyDescent="0.2"/>
    <row r="30710" ht="12.75" hidden="1" customHeight="1" x14ac:dyDescent="0.2"/>
    <row r="30711" ht="12.75" hidden="1" customHeight="1" x14ac:dyDescent="0.2"/>
    <row r="30712" ht="12.75" hidden="1" customHeight="1" x14ac:dyDescent="0.2"/>
    <row r="30713" ht="12.75" hidden="1" customHeight="1" x14ac:dyDescent="0.2"/>
    <row r="30714" ht="12.75" hidden="1" customHeight="1" x14ac:dyDescent="0.2"/>
    <row r="30715" ht="12.75" hidden="1" customHeight="1" x14ac:dyDescent="0.2"/>
    <row r="30716" ht="12.75" hidden="1" customHeight="1" x14ac:dyDescent="0.2"/>
    <row r="30717" ht="12.75" hidden="1" customHeight="1" x14ac:dyDescent="0.2"/>
    <row r="30718" ht="12.75" hidden="1" customHeight="1" x14ac:dyDescent="0.2"/>
    <row r="30719" ht="12.75" hidden="1" customHeight="1" x14ac:dyDescent="0.2"/>
    <row r="30720" ht="12.75" hidden="1" customHeight="1" x14ac:dyDescent="0.2"/>
    <row r="30721" ht="12.75" hidden="1" customHeight="1" x14ac:dyDescent="0.2"/>
    <row r="30722" ht="12.75" hidden="1" customHeight="1" x14ac:dyDescent="0.2"/>
    <row r="30723" ht="12.75" hidden="1" customHeight="1" x14ac:dyDescent="0.2"/>
    <row r="30724" ht="12.75" hidden="1" customHeight="1" x14ac:dyDescent="0.2"/>
    <row r="30725" ht="12.75" hidden="1" customHeight="1" x14ac:dyDescent="0.2"/>
    <row r="30726" ht="12.75" hidden="1" customHeight="1" x14ac:dyDescent="0.2"/>
    <row r="30727" ht="12.75" hidden="1" customHeight="1" x14ac:dyDescent="0.2"/>
    <row r="30728" ht="12.75" hidden="1" customHeight="1" x14ac:dyDescent="0.2"/>
    <row r="30729" ht="12.75" hidden="1" customHeight="1" x14ac:dyDescent="0.2"/>
    <row r="30730" ht="12.75" hidden="1" customHeight="1" x14ac:dyDescent="0.2"/>
    <row r="30731" ht="12.75" hidden="1" customHeight="1" x14ac:dyDescent="0.2"/>
    <row r="30732" ht="12.75" hidden="1" customHeight="1" x14ac:dyDescent="0.2"/>
    <row r="30733" ht="12.75" hidden="1" customHeight="1" x14ac:dyDescent="0.2"/>
    <row r="30734" ht="12.75" hidden="1" customHeight="1" x14ac:dyDescent="0.2"/>
    <row r="30735" ht="12.75" hidden="1" customHeight="1" x14ac:dyDescent="0.2"/>
    <row r="30736" ht="12.75" hidden="1" customHeight="1" x14ac:dyDescent="0.2"/>
    <row r="30737" ht="12.75" hidden="1" customHeight="1" x14ac:dyDescent="0.2"/>
    <row r="30738" ht="12.75" hidden="1" customHeight="1" x14ac:dyDescent="0.2"/>
    <row r="30739" ht="12.75" hidden="1" customHeight="1" x14ac:dyDescent="0.2"/>
    <row r="30740" ht="12.75" hidden="1" customHeight="1" x14ac:dyDescent="0.2"/>
    <row r="30741" ht="12.75" hidden="1" customHeight="1" x14ac:dyDescent="0.2"/>
    <row r="30742" ht="12.75" hidden="1" customHeight="1" x14ac:dyDescent="0.2"/>
    <row r="30743" ht="12.75" hidden="1" customHeight="1" x14ac:dyDescent="0.2"/>
    <row r="30744" ht="12.75" hidden="1" customHeight="1" x14ac:dyDescent="0.2"/>
    <row r="30745" ht="12.75" hidden="1" customHeight="1" x14ac:dyDescent="0.2"/>
    <row r="30746" ht="12.75" hidden="1" customHeight="1" x14ac:dyDescent="0.2"/>
    <row r="30747" ht="12.75" hidden="1" customHeight="1" x14ac:dyDescent="0.2"/>
    <row r="30748" ht="12.75" hidden="1" customHeight="1" x14ac:dyDescent="0.2"/>
    <row r="30749" ht="12.75" hidden="1" customHeight="1" x14ac:dyDescent="0.2"/>
    <row r="30750" ht="12.75" hidden="1" customHeight="1" x14ac:dyDescent="0.2"/>
    <row r="30751" ht="12.75" hidden="1" customHeight="1" x14ac:dyDescent="0.2"/>
    <row r="30752" ht="12.75" hidden="1" customHeight="1" x14ac:dyDescent="0.2"/>
    <row r="30753" ht="12.75" hidden="1" customHeight="1" x14ac:dyDescent="0.2"/>
    <row r="30754" ht="12.75" hidden="1" customHeight="1" x14ac:dyDescent="0.2"/>
    <row r="30755" ht="12.75" hidden="1" customHeight="1" x14ac:dyDescent="0.2"/>
    <row r="30756" ht="12.75" hidden="1" customHeight="1" x14ac:dyDescent="0.2"/>
    <row r="30757" ht="12.75" hidden="1" customHeight="1" x14ac:dyDescent="0.2"/>
    <row r="30758" ht="12.75" hidden="1" customHeight="1" x14ac:dyDescent="0.2"/>
    <row r="30759" ht="12.75" hidden="1" customHeight="1" x14ac:dyDescent="0.2"/>
    <row r="30760" ht="12.75" hidden="1" customHeight="1" x14ac:dyDescent="0.2"/>
    <row r="30761" ht="12.75" hidden="1" customHeight="1" x14ac:dyDescent="0.2"/>
    <row r="30762" ht="12.75" hidden="1" customHeight="1" x14ac:dyDescent="0.2"/>
    <row r="30763" ht="12.75" hidden="1" customHeight="1" x14ac:dyDescent="0.2"/>
    <row r="30764" ht="12.75" hidden="1" customHeight="1" x14ac:dyDescent="0.2"/>
    <row r="30765" ht="12.75" hidden="1" customHeight="1" x14ac:dyDescent="0.2"/>
    <row r="30766" ht="12.75" hidden="1" customHeight="1" x14ac:dyDescent="0.2"/>
    <row r="30767" ht="12.75" hidden="1" customHeight="1" x14ac:dyDescent="0.2"/>
    <row r="30768" ht="12.75" hidden="1" customHeight="1" x14ac:dyDescent="0.2"/>
    <row r="30769" ht="12.75" hidden="1" customHeight="1" x14ac:dyDescent="0.2"/>
    <row r="30770" ht="12.75" hidden="1" customHeight="1" x14ac:dyDescent="0.2"/>
    <row r="30771" ht="12.75" hidden="1" customHeight="1" x14ac:dyDescent="0.2"/>
    <row r="30772" ht="12.75" hidden="1" customHeight="1" x14ac:dyDescent="0.2"/>
    <row r="30773" ht="12.75" hidden="1" customHeight="1" x14ac:dyDescent="0.2"/>
    <row r="30774" ht="12.75" hidden="1" customHeight="1" x14ac:dyDescent="0.2"/>
    <row r="30775" ht="12.75" hidden="1" customHeight="1" x14ac:dyDescent="0.2"/>
    <row r="30776" ht="12.75" hidden="1" customHeight="1" x14ac:dyDescent="0.2"/>
    <row r="30777" ht="12.75" hidden="1" customHeight="1" x14ac:dyDescent="0.2"/>
    <row r="30778" ht="12.75" hidden="1" customHeight="1" x14ac:dyDescent="0.2"/>
    <row r="30779" ht="12.75" hidden="1" customHeight="1" x14ac:dyDescent="0.2"/>
    <row r="30780" ht="12.75" hidden="1" customHeight="1" x14ac:dyDescent="0.2"/>
    <row r="30781" ht="12.75" hidden="1" customHeight="1" x14ac:dyDescent="0.2"/>
    <row r="30782" ht="12.75" hidden="1" customHeight="1" x14ac:dyDescent="0.2"/>
    <row r="30783" ht="12.75" hidden="1" customHeight="1" x14ac:dyDescent="0.2"/>
    <row r="30784" ht="12.75" hidden="1" customHeight="1" x14ac:dyDescent="0.2"/>
    <row r="30785" ht="12.75" hidden="1" customHeight="1" x14ac:dyDescent="0.2"/>
    <row r="30786" ht="12.75" hidden="1" customHeight="1" x14ac:dyDescent="0.2"/>
    <row r="30787" ht="12.75" hidden="1" customHeight="1" x14ac:dyDescent="0.2"/>
    <row r="30788" ht="12.75" hidden="1" customHeight="1" x14ac:dyDescent="0.2"/>
    <row r="30789" ht="12.75" hidden="1" customHeight="1" x14ac:dyDescent="0.2"/>
    <row r="30790" ht="12.75" hidden="1" customHeight="1" x14ac:dyDescent="0.2"/>
    <row r="30791" ht="12.75" hidden="1" customHeight="1" x14ac:dyDescent="0.2"/>
    <row r="30792" ht="12.75" hidden="1" customHeight="1" x14ac:dyDescent="0.2"/>
    <row r="30793" ht="12.75" hidden="1" customHeight="1" x14ac:dyDescent="0.2"/>
    <row r="30794" ht="12.75" hidden="1" customHeight="1" x14ac:dyDescent="0.2"/>
    <row r="30795" ht="12.75" hidden="1" customHeight="1" x14ac:dyDescent="0.2"/>
    <row r="30796" ht="12.75" hidden="1" customHeight="1" x14ac:dyDescent="0.2"/>
    <row r="30797" ht="12.75" hidden="1" customHeight="1" x14ac:dyDescent="0.2"/>
    <row r="30798" ht="12.75" hidden="1" customHeight="1" x14ac:dyDescent="0.2"/>
    <row r="30799" ht="12.75" hidden="1" customHeight="1" x14ac:dyDescent="0.2"/>
    <row r="30800" ht="12.75" hidden="1" customHeight="1" x14ac:dyDescent="0.2"/>
    <row r="30801" ht="12.75" hidden="1" customHeight="1" x14ac:dyDescent="0.2"/>
    <row r="30802" ht="12.75" hidden="1" customHeight="1" x14ac:dyDescent="0.2"/>
    <row r="30803" ht="12.75" hidden="1" customHeight="1" x14ac:dyDescent="0.2"/>
    <row r="30804" ht="12.75" hidden="1" customHeight="1" x14ac:dyDescent="0.2"/>
    <row r="30805" ht="12.75" hidden="1" customHeight="1" x14ac:dyDescent="0.2"/>
    <row r="30806" ht="12.75" hidden="1" customHeight="1" x14ac:dyDescent="0.2"/>
    <row r="30807" ht="12.75" hidden="1" customHeight="1" x14ac:dyDescent="0.2"/>
    <row r="30808" ht="12.75" hidden="1" customHeight="1" x14ac:dyDescent="0.2"/>
    <row r="30809" ht="12.75" hidden="1" customHeight="1" x14ac:dyDescent="0.2"/>
    <row r="30810" ht="12.75" hidden="1" customHeight="1" x14ac:dyDescent="0.2"/>
    <row r="30811" ht="12.75" hidden="1" customHeight="1" x14ac:dyDescent="0.2"/>
    <row r="30812" ht="12.75" hidden="1" customHeight="1" x14ac:dyDescent="0.2"/>
    <row r="30813" ht="12.75" hidden="1" customHeight="1" x14ac:dyDescent="0.2"/>
    <row r="30814" ht="12.75" hidden="1" customHeight="1" x14ac:dyDescent="0.2"/>
    <row r="30815" ht="12.75" hidden="1" customHeight="1" x14ac:dyDescent="0.2"/>
    <row r="30816" ht="12.75" hidden="1" customHeight="1" x14ac:dyDescent="0.2"/>
    <row r="30817" ht="12.75" hidden="1" customHeight="1" x14ac:dyDescent="0.2"/>
    <row r="30818" ht="12.75" hidden="1" customHeight="1" x14ac:dyDescent="0.2"/>
    <row r="30819" ht="12.75" hidden="1" customHeight="1" x14ac:dyDescent="0.2"/>
    <row r="30820" ht="12.75" hidden="1" customHeight="1" x14ac:dyDescent="0.2"/>
    <row r="30821" ht="12.75" hidden="1" customHeight="1" x14ac:dyDescent="0.2"/>
    <row r="30822" ht="12.75" hidden="1" customHeight="1" x14ac:dyDescent="0.2"/>
    <row r="30823" ht="12.75" hidden="1" customHeight="1" x14ac:dyDescent="0.2"/>
    <row r="30824" ht="12.75" hidden="1" customHeight="1" x14ac:dyDescent="0.2"/>
    <row r="30825" ht="12.75" hidden="1" customHeight="1" x14ac:dyDescent="0.2"/>
    <row r="30826" ht="12.75" hidden="1" customHeight="1" x14ac:dyDescent="0.2"/>
    <row r="30827" ht="12.75" hidden="1" customHeight="1" x14ac:dyDescent="0.2"/>
    <row r="30828" ht="12.75" hidden="1" customHeight="1" x14ac:dyDescent="0.2"/>
    <row r="30829" ht="12.75" hidden="1" customHeight="1" x14ac:dyDescent="0.2"/>
    <row r="30830" ht="12.75" hidden="1" customHeight="1" x14ac:dyDescent="0.2"/>
    <row r="30831" ht="12.75" hidden="1" customHeight="1" x14ac:dyDescent="0.2"/>
    <row r="30832" ht="12.75" hidden="1" customHeight="1" x14ac:dyDescent="0.2"/>
    <row r="30833" ht="12.75" hidden="1" customHeight="1" x14ac:dyDescent="0.2"/>
    <row r="30834" ht="12.75" hidden="1" customHeight="1" x14ac:dyDescent="0.2"/>
    <row r="30835" ht="12.75" hidden="1" customHeight="1" x14ac:dyDescent="0.2"/>
    <row r="30836" ht="12.75" hidden="1" customHeight="1" x14ac:dyDescent="0.2"/>
    <row r="30837" ht="12.75" hidden="1" customHeight="1" x14ac:dyDescent="0.2"/>
    <row r="30838" ht="12.75" hidden="1" customHeight="1" x14ac:dyDescent="0.2"/>
    <row r="30839" ht="12.75" hidden="1" customHeight="1" x14ac:dyDescent="0.2"/>
    <row r="30840" ht="12.75" hidden="1" customHeight="1" x14ac:dyDescent="0.2"/>
    <row r="30841" ht="12.75" hidden="1" customHeight="1" x14ac:dyDescent="0.2"/>
    <row r="30842" ht="12.75" hidden="1" customHeight="1" x14ac:dyDescent="0.2"/>
    <row r="30843" ht="12.75" hidden="1" customHeight="1" x14ac:dyDescent="0.2"/>
    <row r="30844" ht="12.75" hidden="1" customHeight="1" x14ac:dyDescent="0.2"/>
    <row r="30845" ht="12.75" hidden="1" customHeight="1" x14ac:dyDescent="0.2"/>
    <row r="30846" ht="12.75" hidden="1" customHeight="1" x14ac:dyDescent="0.2"/>
    <row r="30847" ht="12.75" hidden="1" customHeight="1" x14ac:dyDescent="0.2"/>
    <row r="30848" ht="12.75" hidden="1" customHeight="1" x14ac:dyDescent="0.2"/>
    <row r="30849" ht="12.75" hidden="1" customHeight="1" x14ac:dyDescent="0.2"/>
    <row r="30850" ht="12.75" hidden="1" customHeight="1" x14ac:dyDescent="0.2"/>
    <row r="30851" ht="12.75" hidden="1" customHeight="1" x14ac:dyDescent="0.2"/>
    <row r="30852" ht="12.75" hidden="1" customHeight="1" x14ac:dyDescent="0.2"/>
    <row r="30853" ht="12.75" hidden="1" customHeight="1" x14ac:dyDescent="0.2"/>
    <row r="30854" ht="12.75" hidden="1" customHeight="1" x14ac:dyDescent="0.2"/>
    <row r="30855" ht="12.75" hidden="1" customHeight="1" x14ac:dyDescent="0.2"/>
    <row r="30856" ht="12.75" hidden="1" customHeight="1" x14ac:dyDescent="0.2"/>
    <row r="30857" ht="12.75" hidden="1" customHeight="1" x14ac:dyDescent="0.2"/>
    <row r="30858" ht="12.75" hidden="1" customHeight="1" x14ac:dyDescent="0.2"/>
    <row r="30859" ht="12.75" hidden="1" customHeight="1" x14ac:dyDescent="0.2"/>
    <row r="30860" ht="12.75" hidden="1" customHeight="1" x14ac:dyDescent="0.2"/>
    <row r="30861" ht="12.75" hidden="1" customHeight="1" x14ac:dyDescent="0.2"/>
    <row r="30862" ht="12.75" hidden="1" customHeight="1" x14ac:dyDescent="0.2"/>
    <row r="30863" ht="12.75" hidden="1" customHeight="1" x14ac:dyDescent="0.2"/>
    <row r="30864" ht="12.75" hidden="1" customHeight="1" x14ac:dyDescent="0.2"/>
    <row r="30865" ht="12.75" hidden="1" customHeight="1" x14ac:dyDescent="0.2"/>
    <row r="30866" ht="12.75" hidden="1" customHeight="1" x14ac:dyDescent="0.2"/>
    <row r="30867" ht="12.75" hidden="1" customHeight="1" x14ac:dyDescent="0.2"/>
    <row r="30868" ht="12.75" hidden="1" customHeight="1" x14ac:dyDescent="0.2"/>
    <row r="30869" ht="12.75" hidden="1" customHeight="1" x14ac:dyDescent="0.2"/>
    <row r="30870" ht="12.75" hidden="1" customHeight="1" x14ac:dyDescent="0.2"/>
    <row r="30871" ht="12.75" hidden="1" customHeight="1" x14ac:dyDescent="0.2"/>
    <row r="30872" ht="12.75" hidden="1" customHeight="1" x14ac:dyDescent="0.2"/>
    <row r="30873" ht="12.75" hidden="1" customHeight="1" x14ac:dyDescent="0.2"/>
    <row r="30874" ht="12.75" hidden="1" customHeight="1" x14ac:dyDescent="0.2"/>
    <row r="30875" ht="12.75" hidden="1" customHeight="1" x14ac:dyDescent="0.2"/>
    <row r="30876" ht="12.75" hidden="1" customHeight="1" x14ac:dyDescent="0.2"/>
    <row r="30877" ht="12.75" hidden="1" customHeight="1" x14ac:dyDescent="0.2"/>
    <row r="30878" ht="12.75" hidden="1" customHeight="1" x14ac:dyDescent="0.2"/>
    <row r="30879" ht="12.75" hidden="1" customHeight="1" x14ac:dyDescent="0.2"/>
    <row r="30880" ht="12.75" hidden="1" customHeight="1" x14ac:dyDescent="0.2"/>
    <row r="30881" ht="12.75" hidden="1" customHeight="1" x14ac:dyDescent="0.2"/>
    <row r="30882" ht="12.75" hidden="1" customHeight="1" x14ac:dyDescent="0.2"/>
    <row r="30883" ht="12.75" hidden="1" customHeight="1" x14ac:dyDescent="0.2"/>
    <row r="30884" ht="12.75" hidden="1" customHeight="1" x14ac:dyDescent="0.2"/>
    <row r="30885" ht="12.75" hidden="1" customHeight="1" x14ac:dyDescent="0.2"/>
    <row r="30886" ht="12.75" hidden="1" customHeight="1" x14ac:dyDescent="0.2"/>
    <row r="30887" ht="12.75" hidden="1" customHeight="1" x14ac:dyDescent="0.2"/>
    <row r="30888" ht="12.75" hidden="1" customHeight="1" x14ac:dyDescent="0.2"/>
    <row r="30889" ht="12.75" hidden="1" customHeight="1" x14ac:dyDescent="0.2"/>
    <row r="30890" ht="12.75" hidden="1" customHeight="1" x14ac:dyDescent="0.2"/>
    <row r="30891" ht="12.75" hidden="1" customHeight="1" x14ac:dyDescent="0.2"/>
    <row r="30892" ht="12.75" hidden="1" customHeight="1" x14ac:dyDescent="0.2"/>
    <row r="30893" ht="12.75" hidden="1" customHeight="1" x14ac:dyDescent="0.2"/>
    <row r="30894" ht="12.75" hidden="1" customHeight="1" x14ac:dyDescent="0.2"/>
    <row r="30895" ht="12.75" hidden="1" customHeight="1" x14ac:dyDescent="0.2"/>
    <row r="30896" ht="12.75" hidden="1" customHeight="1" x14ac:dyDescent="0.2"/>
    <row r="30897" ht="12.75" hidden="1" customHeight="1" x14ac:dyDescent="0.2"/>
    <row r="30898" ht="12.75" hidden="1" customHeight="1" x14ac:dyDescent="0.2"/>
    <row r="30899" ht="12.75" hidden="1" customHeight="1" x14ac:dyDescent="0.2"/>
    <row r="30900" ht="12.75" hidden="1" customHeight="1" x14ac:dyDescent="0.2"/>
    <row r="30901" ht="12.75" hidden="1" customHeight="1" x14ac:dyDescent="0.2"/>
    <row r="30902" ht="12.75" hidden="1" customHeight="1" x14ac:dyDescent="0.2"/>
    <row r="30903" ht="12.75" hidden="1" customHeight="1" x14ac:dyDescent="0.2"/>
    <row r="30904" ht="12.75" hidden="1" customHeight="1" x14ac:dyDescent="0.2"/>
    <row r="30905" ht="12.75" hidden="1" customHeight="1" x14ac:dyDescent="0.2"/>
    <row r="30906" ht="12.75" hidden="1" customHeight="1" x14ac:dyDescent="0.2"/>
    <row r="30907" ht="12.75" hidden="1" customHeight="1" x14ac:dyDescent="0.2"/>
    <row r="30908" ht="12.75" hidden="1" customHeight="1" x14ac:dyDescent="0.2"/>
    <row r="30909" ht="12.75" hidden="1" customHeight="1" x14ac:dyDescent="0.2"/>
    <row r="30910" ht="12.75" hidden="1" customHeight="1" x14ac:dyDescent="0.2"/>
    <row r="30911" ht="12.75" hidden="1" customHeight="1" x14ac:dyDescent="0.2"/>
    <row r="30912" ht="12.75" hidden="1" customHeight="1" x14ac:dyDescent="0.2"/>
    <row r="30913" ht="12.75" hidden="1" customHeight="1" x14ac:dyDescent="0.2"/>
    <row r="30914" ht="12.75" hidden="1" customHeight="1" x14ac:dyDescent="0.2"/>
    <row r="30915" ht="12.75" hidden="1" customHeight="1" x14ac:dyDescent="0.2"/>
    <row r="30916" ht="12.75" hidden="1" customHeight="1" x14ac:dyDescent="0.2"/>
    <row r="30917" ht="12.75" hidden="1" customHeight="1" x14ac:dyDescent="0.2"/>
    <row r="30918" ht="12.75" hidden="1" customHeight="1" x14ac:dyDescent="0.2"/>
    <row r="30919" ht="12.75" hidden="1" customHeight="1" x14ac:dyDescent="0.2"/>
    <row r="30920" ht="12.75" hidden="1" customHeight="1" x14ac:dyDescent="0.2"/>
    <row r="30921" ht="12.75" hidden="1" customHeight="1" x14ac:dyDescent="0.2"/>
    <row r="30922" ht="12.75" hidden="1" customHeight="1" x14ac:dyDescent="0.2"/>
    <row r="30923" ht="12.75" hidden="1" customHeight="1" x14ac:dyDescent="0.2"/>
    <row r="30924" ht="12.75" hidden="1" customHeight="1" x14ac:dyDescent="0.2"/>
    <row r="30925" ht="12.75" hidden="1" customHeight="1" x14ac:dyDescent="0.2"/>
    <row r="30926" ht="12.75" hidden="1" customHeight="1" x14ac:dyDescent="0.2"/>
    <row r="30927" ht="12.75" hidden="1" customHeight="1" x14ac:dyDescent="0.2"/>
    <row r="30928" ht="12.75" hidden="1" customHeight="1" x14ac:dyDescent="0.2"/>
    <row r="30929" ht="12.75" hidden="1" customHeight="1" x14ac:dyDescent="0.2"/>
    <row r="30930" ht="12.75" hidden="1" customHeight="1" x14ac:dyDescent="0.2"/>
    <row r="30931" ht="12.75" hidden="1" customHeight="1" x14ac:dyDescent="0.2"/>
    <row r="30932" ht="12.75" hidden="1" customHeight="1" x14ac:dyDescent="0.2"/>
    <row r="30933" ht="12.75" hidden="1" customHeight="1" x14ac:dyDescent="0.2"/>
    <row r="30934" ht="12.75" hidden="1" customHeight="1" x14ac:dyDescent="0.2"/>
    <row r="30935" ht="12.75" hidden="1" customHeight="1" x14ac:dyDescent="0.2"/>
    <row r="30936" ht="12.75" hidden="1" customHeight="1" x14ac:dyDescent="0.2"/>
    <row r="30937" ht="12.75" hidden="1" customHeight="1" x14ac:dyDescent="0.2"/>
    <row r="30938" ht="12.75" hidden="1" customHeight="1" x14ac:dyDescent="0.2"/>
    <row r="30939" ht="12.75" hidden="1" customHeight="1" x14ac:dyDescent="0.2"/>
    <row r="30940" ht="12.75" hidden="1" customHeight="1" x14ac:dyDescent="0.2"/>
    <row r="30941" ht="12.75" hidden="1" customHeight="1" x14ac:dyDescent="0.2"/>
    <row r="30942" ht="12.75" hidden="1" customHeight="1" x14ac:dyDescent="0.2"/>
    <row r="30943" ht="12.75" hidden="1" customHeight="1" x14ac:dyDescent="0.2"/>
    <row r="30944" ht="12.75" hidden="1" customHeight="1" x14ac:dyDescent="0.2"/>
    <row r="30945" ht="12.75" hidden="1" customHeight="1" x14ac:dyDescent="0.2"/>
    <row r="30946" ht="12.75" hidden="1" customHeight="1" x14ac:dyDescent="0.2"/>
    <row r="30947" ht="12.75" hidden="1" customHeight="1" x14ac:dyDescent="0.2"/>
    <row r="30948" ht="12.75" hidden="1" customHeight="1" x14ac:dyDescent="0.2"/>
    <row r="30949" ht="12.75" hidden="1" customHeight="1" x14ac:dyDescent="0.2"/>
    <row r="30950" ht="12.75" hidden="1" customHeight="1" x14ac:dyDescent="0.2"/>
    <row r="30951" ht="12.75" hidden="1" customHeight="1" x14ac:dyDescent="0.2"/>
    <row r="30952" ht="12.75" hidden="1" customHeight="1" x14ac:dyDescent="0.2"/>
    <row r="30953" ht="12.75" hidden="1" customHeight="1" x14ac:dyDescent="0.2"/>
    <row r="30954" ht="12.75" hidden="1" customHeight="1" x14ac:dyDescent="0.2"/>
    <row r="30955" ht="12.75" hidden="1" customHeight="1" x14ac:dyDescent="0.2"/>
    <row r="30956" ht="12.75" hidden="1" customHeight="1" x14ac:dyDescent="0.2"/>
    <row r="30957" ht="12.75" hidden="1" customHeight="1" x14ac:dyDescent="0.2"/>
    <row r="30958" ht="12.75" hidden="1" customHeight="1" x14ac:dyDescent="0.2"/>
    <row r="30959" ht="12.75" hidden="1" customHeight="1" x14ac:dyDescent="0.2"/>
    <row r="30960" ht="12.75" hidden="1" customHeight="1" x14ac:dyDescent="0.2"/>
    <row r="30961" ht="12.75" hidden="1" customHeight="1" x14ac:dyDescent="0.2"/>
    <row r="30962" ht="12.75" hidden="1" customHeight="1" x14ac:dyDescent="0.2"/>
    <row r="30963" ht="12.75" hidden="1" customHeight="1" x14ac:dyDescent="0.2"/>
    <row r="30964" ht="12.75" hidden="1" customHeight="1" x14ac:dyDescent="0.2"/>
    <row r="30965" ht="12.75" hidden="1" customHeight="1" x14ac:dyDescent="0.2"/>
    <row r="30966" ht="12.75" hidden="1" customHeight="1" x14ac:dyDescent="0.2"/>
    <row r="30967" ht="12.75" hidden="1" customHeight="1" x14ac:dyDescent="0.2"/>
    <row r="30968" ht="12.75" hidden="1" customHeight="1" x14ac:dyDescent="0.2"/>
    <row r="30969" ht="12.75" hidden="1" customHeight="1" x14ac:dyDescent="0.2"/>
    <row r="30970" ht="12.75" hidden="1" customHeight="1" x14ac:dyDescent="0.2"/>
    <row r="30971" ht="12.75" hidden="1" customHeight="1" x14ac:dyDescent="0.2"/>
    <row r="30972" ht="12.75" hidden="1" customHeight="1" x14ac:dyDescent="0.2"/>
    <row r="30973" ht="12.75" hidden="1" customHeight="1" x14ac:dyDescent="0.2"/>
    <row r="30974" ht="12.75" hidden="1" customHeight="1" x14ac:dyDescent="0.2"/>
    <row r="30975" ht="12.75" hidden="1" customHeight="1" x14ac:dyDescent="0.2"/>
    <row r="30976" ht="12.75" hidden="1" customHeight="1" x14ac:dyDescent="0.2"/>
    <row r="30977" ht="12.75" hidden="1" customHeight="1" x14ac:dyDescent="0.2"/>
    <row r="30978" ht="12.75" hidden="1" customHeight="1" x14ac:dyDescent="0.2"/>
    <row r="30979" ht="12.75" hidden="1" customHeight="1" x14ac:dyDescent="0.2"/>
    <row r="30980" ht="12.75" hidden="1" customHeight="1" x14ac:dyDescent="0.2"/>
    <row r="30981" ht="12.75" hidden="1" customHeight="1" x14ac:dyDescent="0.2"/>
    <row r="30982" ht="12.75" hidden="1" customHeight="1" x14ac:dyDescent="0.2"/>
    <row r="30983" ht="12.75" hidden="1" customHeight="1" x14ac:dyDescent="0.2"/>
    <row r="30984" ht="12.75" hidden="1" customHeight="1" x14ac:dyDescent="0.2"/>
    <row r="30985" ht="12.75" hidden="1" customHeight="1" x14ac:dyDescent="0.2"/>
    <row r="30986" ht="12.75" hidden="1" customHeight="1" x14ac:dyDescent="0.2"/>
    <row r="30987" ht="12.75" hidden="1" customHeight="1" x14ac:dyDescent="0.2"/>
    <row r="30988" ht="12.75" hidden="1" customHeight="1" x14ac:dyDescent="0.2"/>
    <row r="30989" ht="12.75" hidden="1" customHeight="1" x14ac:dyDescent="0.2"/>
    <row r="30990" ht="12.75" hidden="1" customHeight="1" x14ac:dyDescent="0.2"/>
    <row r="30991" ht="12.75" hidden="1" customHeight="1" x14ac:dyDescent="0.2"/>
    <row r="30992" ht="12.75" hidden="1" customHeight="1" x14ac:dyDescent="0.2"/>
    <row r="30993" ht="12.75" hidden="1" customHeight="1" x14ac:dyDescent="0.2"/>
    <row r="30994" ht="12.75" hidden="1" customHeight="1" x14ac:dyDescent="0.2"/>
    <row r="30995" ht="12.75" hidden="1" customHeight="1" x14ac:dyDescent="0.2"/>
    <row r="30996" ht="12.75" hidden="1" customHeight="1" x14ac:dyDescent="0.2"/>
    <row r="30997" ht="12.75" hidden="1" customHeight="1" x14ac:dyDescent="0.2"/>
    <row r="30998" ht="12.75" hidden="1" customHeight="1" x14ac:dyDescent="0.2"/>
    <row r="30999" ht="12.75" hidden="1" customHeight="1" x14ac:dyDescent="0.2"/>
    <row r="31000" ht="12.75" hidden="1" customHeight="1" x14ac:dyDescent="0.2"/>
    <row r="31001" ht="12.75" hidden="1" customHeight="1" x14ac:dyDescent="0.2"/>
    <row r="31002" ht="12.75" hidden="1" customHeight="1" x14ac:dyDescent="0.2"/>
    <row r="31003" ht="12.75" hidden="1" customHeight="1" x14ac:dyDescent="0.2"/>
    <row r="31004" ht="12.75" hidden="1" customHeight="1" x14ac:dyDescent="0.2"/>
    <row r="31005" ht="12.75" hidden="1" customHeight="1" x14ac:dyDescent="0.2"/>
    <row r="31006" ht="12.75" hidden="1" customHeight="1" x14ac:dyDescent="0.2"/>
    <row r="31007" ht="12.75" hidden="1" customHeight="1" x14ac:dyDescent="0.2"/>
    <row r="31008" ht="12.75" hidden="1" customHeight="1" x14ac:dyDescent="0.2"/>
    <row r="31009" ht="12.75" hidden="1" customHeight="1" x14ac:dyDescent="0.2"/>
    <row r="31010" ht="12.75" hidden="1" customHeight="1" x14ac:dyDescent="0.2"/>
    <row r="31011" ht="12.75" hidden="1" customHeight="1" x14ac:dyDescent="0.2"/>
    <row r="31012" ht="12.75" hidden="1" customHeight="1" x14ac:dyDescent="0.2"/>
    <row r="31013" ht="12.75" hidden="1" customHeight="1" x14ac:dyDescent="0.2"/>
    <row r="31014" ht="12.75" hidden="1" customHeight="1" x14ac:dyDescent="0.2"/>
    <row r="31015" ht="12.75" hidden="1" customHeight="1" x14ac:dyDescent="0.2"/>
    <row r="31016" ht="12.75" hidden="1" customHeight="1" x14ac:dyDescent="0.2"/>
    <row r="31017" ht="12.75" hidden="1" customHeight="1" x14ac:dyDescent="0.2"/>
    <row r="31018" ht="12.75" hidden="1" customHeight="1" x14ac:dyDescent="0.2"/>
    <row r="31019" ht="12.75" hidden="1" customHeight="1" x14ac:dyDescent="0.2"/>
    <row r="31020" ht="12.75" hidden="1" customHeight="1" x14ac:dyDescent="0.2"/>
    <row r="31021" ht="12.75" hidden="1" customHeight="1" x14ac:dyDescent="0.2"/>
    <row r="31022" ht="12.75" hidden="1" customHeight="1" x14ac:dyDescent="0.2"/>
    <row r="31023" ht="12.75" hidden="1" customHeight="1" x14ac:dyDescent="0.2"/>
    <row r="31024" ht="12.75" hidden="1" customHeight="1" x14ac:dyDescent="0.2"/>
    <row r="31025" ht="12.75" hidden="1" customHeight="1" x14ac:dyDescent="0.2"/>
    <row r="31026" ht="12.75" hidden="1" customHeight="1" x14ac:dyDescent="0.2"/>
    <row r="31027" ht="12.75" hidden="1" customHeight="1" x14ac:dyDescent="0.2"/>
    <row r="31028" ht="12.75" hidden="1" customHeight="1" x14ac:dyDescent="0.2"/>
    <row r="31029" ht="12.75" hidden="1" customHeight="1" x14ac:dyDescent="0.2"/>
    <row r="31030" ht="12.75" hidden="1" customHeight="1" x14ac:dyDescent="0.2"/>
    <row r="31031" ht="12.75" hidden="1" customHeight="1" x14ac:dyDescent="0.2"/>
    <row r="31032" ht="12.75" hidden="1" customHeight="1" x14ac:dyDescent="0.2"/>
    <row r="31033" ht="12.75" hidden="1" customHeight="1" x14ac:dyDescent="0.2"/>
    <row r="31034" ht="12.75" hidden="1" customHeight="1" x14ac:dyDescent="0.2"/>
    <row r="31035" ht="12.75" hidden="1" customHeight="1" x14ac:dyDescent="0.2"/>
    <row r="31036" ht="12.75" hidden="1" customHeight="1" x14ac:dyDescent="0.2"/>
    <row r="31037" ht="12.75" hidden="1" customHeight="1" x14ac:dyDescent="0.2"/>
    <row r="31038" ht="12.75" hidden="1" customHeight="1" x14ac:dyDescent="0.2"/>
    <row r="31039" ht="12.75" hidden="1" customHeight="1" x14ac:dyDescent="0.2"/>
    <row r="31040" ht="12.75" hidden="1" customHeight="1" x14ac:dyDescent="0.2"/>
    <row r="31041" ht="12.75" hidden="1" customHeight="1" x14ac:dyDescent="0.2"/>
    <row r="31042" ht="12.75" hidden="1" customHeight="1" x14ac:dyDescent="0.2"/>
    <row r="31043" ht="12.75" hidden="1" customHeight="1" x14ac:dyDescent="0.2"/>
    <row r="31044" ht="12.75" hidden="1" customHeight="1" x14ac:dyDescent="0.2"/>
    <row r="31045" ht="12.75" hidden="1" customHeight="1" x14ac:dyDescent="0.2"/>
    <row r="31046" ht="12.75" hidden="1" customHeight="1" x14ac:dyDescent="0.2"/>
    <row r="31047" ht="12.75" hidden="1" customHeight="1" x14ac:dyDescent="0.2"/>
    <row r="31048" ht="12.75" hidden="1" customHeight="1" x14ac:dyDescent="0.2"/>
    <row r="31049" ht="12.75" hidden="1" customHeight="1" x14ac:dyDescent="0.2"/>
    <row r="31050" ht="12.75" hidden="1" customHeight="1" x14ac:dyDescent="0.2"/>
    <row r="31051" ht="12.75" hidden="1" customHeight="1" x14ac:dyDescent="0.2"/>
    <row r="31052" ht="12.75" hidden="1" customHeight="1" x14ac:dyDescent="0.2"/>
    <row r="31053" ht="12.75" hidden="1" customHeight="1" x14ac:dyDescent="0.2"/>
    <row r="31054" ht="12.75" hidden="1" customHeight="1" x14ac:dyDescent="0.2"/>
    <row r="31055" ht="12.75" hidden="1" customHeight="1" x14ac:dyDescent="0.2"/>
    <row r="31056" ht="12.75" hidden="1" customHeight="1" x14ac:dyDescent="0.2"/>
    <row r="31057" ht="12.75" hidden="1" customHeight="1" x14ac:dyDescent="0.2"/>
    <row r="31058" ht="12.75" hidden="1" customHeight="1" x14ac:dyDescent="0.2"/>
    <row r="31059" ht="12.75" hidden="1" customHeight="1" x14ac:dyDescent="0.2"/>
    <row r="31060" ht="12.75" hidden="1" customHeight="1" x14ac:dyDescent="0.2"/>
    <row r="31061" ht="12.75" hidden="1" customHeight="1" x14ac:dyDescent="0.2"/>
    <row r="31062" ht="12.75" hidden="1" customHeight="1" x14ac:dyDescent="0.2"/>
    <row r="31063" ht="12.75" hidden="1" customHeight="1" x14ac:dyDescent="0.2"/>
    <row r="31064" ht="12.75" hidden="1" customHeight="1" x14ac:dyDescent="0.2"/>
    <row r="31065" ht="12.75" hidden="1" customHeight="1" x14ac:dyDescent="0.2"/>
    <row r="31066" ht="12.75" hidden="1" customHeight="1" x14ac:dyDescent="0.2"/>
    <row r="31067" ht="12.75" hidden="1" customHeight="1" x14ac:dyDescent="0.2"/>
    <row r="31068" ht="12.75" hidden="1" customHeight="1" x14ac:dyDescent="0.2"/>
    <row r="31069" ht="12.75" hidden="1" customHeight="1" x14ac:dyDescent="0.2"/>
    <row r="31070" ht="12.75" hidden="1" customHeight="1" x14ac:dyDescent="0.2"/>
    <row r="31071" ht="12.75" hidden="1" customHeight="1" x14ac:dyDescent="0.2"/>
    <row r="31072" ht="12.75" hidden="1" customHeight="1" x14ac:dyDescent="0.2"/>
    <row r="31073" ht="12.75" hidden="1" customHeight="1" x14ac:dyDescent="0.2"/>
    <row r="31074" ht="12.75" hidden="1" customHeight="1" x14ac:dyDescent="0.2"/>
    <row r="31075" ht="12.75" hidden="1" customHeight="1" x14ac:dyDescent="0.2"/>
    <row r="31076" ht="12.75" hidden="1" customHeight="1" x14ac:dyDescent="0.2"/>
    <row r="31077" ht="12.75" hidden="1" customHeight="1" x14ac:dyDescent="0.2"/>
    <row r="31078" ht="12.75" hidden="1" customHeight="1" x14ac:dyDescent="0.2"/>
    <row r="31079" ht="12.75" hidden="1" customHeight="1" x14ac:dyDescent="0.2"/>
    <row r="31080" ht="12.75" hidden="1" customHeight="1" x14ac:dyDescent="0.2"/>
    <row r="31081" ht="12.75" hidden="1" customHeight="1" x14ac:dyDescent="0.2"/>
    <row r="31082" ht="12.75" hidden="1" customHeight="1" x14ac:dyDescent="0.2"/>
    <row r="31083" ht="12.75" hidden="1" customHeight="1" x14ac:dyDescent="0.2"/>
    <row r="31084" ht="12.75" hidden="1" customHeight="1" x14ac:dyDescent="0.2"/>
    <row r="31085" ht="12.75" hidden="1" customHeight="1" x14ac:dyDescent="0.2"/>
    <row r="31086" ht="12.75" hidden="1" customHeight="1" x14ac:dyDescent="0.2"/>
    <row r="31087" ht="12.75" hidden="1" customHeight="1" x14ac:dyDescent="0.2"/>
    <row r="31088" ht="12.75" hidden="1" customHeight="1" x14ac:dyDescent="0.2"/>
    <row r="31089" ht="12.75" hidden="1" customHeight="1" x14ac:dyDescent="0.2"/>
    <row r="31090" ht="12.75" hidden="1" customHeight="1" x14ac:dyDescent="0.2"/>
    <row r="31091" ht="12.75" hidden="1" customHeight="1" x14ac:dyDescent="0.2"/>
    <row r="31092" ht="12.75" hidden="1" customHeight="1" x14ac:dyDescent="0.2"/>
    <row r="31093" ht="12.75" hidden="1" customHeight="1" x14ac:dyDescent="0.2"/>
    <row r="31094" ht="12.75" hidden="1" customHeight="1" x14ac:dyDescent="0.2"/>
    <row r="31095" ht="12.75" hidden="1" customHeight="1" x14ac:dyDescent="0.2"/>
    <row r="31096" ht="12.75" hidden="1" customHeight="1" x14ac:dyDescent="0.2"/>
    <row r="31097" ht="12.75" hidden="1" customHeight="1" x14ac:dyDescent="0.2"/>
    <row r="31098" ht="12.75" hidden="1" customHeight="1" x14ac:dyDescent="0.2"/>
    <row r="31099" ht="12.75" hidden="1" customHeight="1" x14ac:dyDescent="0.2"/>
    <row r="31100" ht="12.75" hidden="1" customHeight="1" x14ac:dyDescent="0.2"/>
    <row r="31101" ht="12.75" hidden="1" customHeight="1" x14ac:dyDescent="0.2"/>
    <row r="31102" ht="12.75" hidden="1" customHeight="1" x14ac:dyDescent="0.2"/>
    <row r="31103" ht="12.75" hidden="1" customHeight="1" x14ac:dyDescent="0.2"/>
    <row r="31104" ht="12.75" hidden="1" customHeight="1" x14ac:dyDescent="0.2"/>
    <row r="31105" ht="12.75" hidden="1" customHeight="1" x14ac:dyDescent="0.2"/>
    <row r="31106" ht="12.75" hidden="1" customHeight="1" x14ac:dyDescent="0.2"/>
    <row r="31107" ht="12.75" hidden="1" customHeight="1" x14ac:dyDescent="0.2"/>
    <row r="31108" ht="12.75" hidden="1" customHeight="1" x14ac:dyDescent="0.2"/>
    <row r="31109" ht="12.75" hidden="1" customHeight="1" x14ac:dyDescent="0.2"/>
    <row r="31110" ht="12.75" hidden="1" customHeight="1" x14ac:dyDescent="0.2"/>
    <row r="31111" ht="12.75" hidden="1" customHeight="1" x14ac:dyDescent="0.2"/>
    <row r="31112" ht="12.75" hidden="1" customHeight="1" x14ac:dyDescent="0.2"/>
    <row r="31113" ht="12.75" hidden="1" customHeight="1" x14ac:dyDescent="0.2"/>
    <row r="31114" ht="12.75" hidden="1" customHeight="1" x14ac:dyDescent="0.2"/>
    <row r="31115" ht="12.75" hidden="1" customHeight="1" x14ac:dyDescent="0.2"/>
    <row r="31116" ht="12.75" hidden="1" customHeight="1" x14ac:dyDescent="0.2"/>
    <row r="31117" ht="12.75" hidden="1" customHeight="1" x14ac:dyDescent="0.2"/>
    <row r="31118" ht="12.75" hidden="1" customHeight="1" x14ac:dyDescent="0.2"/>
    <row r="31119" ht="12.75" hidden="1" customHeight="1" x14ac:dyDescent="0.2"/>
    <row r="31120" ht="12.75" hidden="1" customHeight="1" x14ac:dyDescent="0.2"/>
    <row r="31121" ht="12.75" hidden="1" customHeight="1" x14ac:dyDescent="0.2"/>
    <row r="31122" ht="12.75" hidden="1" customHeight="1" x14ac:dyDescent="0.2"/>
    <row r="31123" ht="12.75" hidden="1" customHeight="1" x14ac:dyDescent="0.2"/>
    <row r="31124" ht="12.75" hidden="1" customHeight="1" x14ac:dyDescent="0.2"/>
    <row r="31125" ht="12.75" hidden="1" customHeight="1" x14ac:dyDescent="0.2"/>
    <row r="31126" ht="12.75" hidden="1" customHeight="1" x14ac:dyDescent="0.2"/>
    <row r="31127" ht="12.75" hidden="1" customHeight="1" x14ac:dyDescent="0.2"/>
    <row r="31128" ht="12.75" hidden="1" customHeight="1" x14ac:dyDescent="0.2"/>
    <row r="31129" ht="12.75" hidden="1" customHeight="1" x14ac:dyDescent="0.2"/>
    <row r="31130" ht="12.75" hidden="1" customHeight="1" x14ac:dyDescent="0.2"/>
    <row r="31131" ht="12.75" hidden="1" customHeight="1" x14ac:dyDescent="0.2"/>
    <row r="31132" ht="12.75" hidden="1" customHeight="1" x14ac:dyDescent="0.2"/>
    <row r="31133" ht="12.75" hidden="1" customHeight="1" x14ac:dyDescent="0.2"/>
    <row r="31134" ht="12.75" hidden="1" customHeight="1" x14ac:dyDescent="0.2"/>
    <row r="31135" ht="12.75" hidden="1" customHeight="1" x14ac:dyDescent="0.2"/>
    <row r="31136" ht="12.75" hidden="1" customHeight="1" x14ac:dyDescent="0.2"/>
    <row r="31137" ht="12.75" hidden="1" customHeight="1" x14ac:dyDescent="0.2"/>
    <row r="31138" ht="12.75" hidden="1" customHeight="1" x14ac:dyDescent="0.2"/>
    <row r="31139" ht="12.75" hidden="1" customHeight="1" x14ac:dyDescent="0.2"/>
    <row r="31140" ht="12.75" hidden="1" customHeight="1" x14ac:dyDescent="0.2"/>
    <row r="31141" ht="12.75" hidden="1" customHeight="1" x14ac:dyDescent="0.2"/>
    <row r="31142" ht="12.75" hidden="1" customHeight="1" x14ac:dyDescent="0.2"/>
    <row r="31143" ht="12.75" hidden="1" customHeight="1" x14ac:dyDescent="0.2"/>
    <row r="31144" ht="12.75" hidden="1" customHeight="1" x14ac:dyDescent="0.2"/>
    <row r="31145" ht="12.75" hidden="1" customHeight="1" x14ac:dyDescent="0.2"/>
    <row r="31146" ht="12.75" hidden="1" customHeight="1" x14ac:dyDescent="0.2"/>
    <row r="31147" ht="12.75" hidden="1" customHeight="1" x14ac:dyDescent="0.2"/>
    <row r="31148" ht="12.75" hidden="1" customHeight="1" x14ac:dyDescent="0.2"/>
    <row r="31149" ht="12.75" hidden="1" customHeight="1" x14ac:dyDescent="0.2"/>
    <row r="31150" ht="12.75" hidden="1" customHeight="1" x14ac:dyDescent="0.2"/>
    <row r="31151" ht="12.75" hidden="1" customHeight="1" x14ac:dyDescent="0.2"/>
    <row r="31152" ht="12.75" hidden="1" customHeight="1" x14ac:dyDescent="0.2"/>
    <row r="31153" ht="12.75" hidden="1" customHeight="1" x14ac:dyDescent="0.2"/>
    <row r="31154" ht="12.75" hidden="1" customHeight="1" x14ac:dyDescent="0.2"/>
    <row r="31155" ht="12.75" hidden="1" customHeight="1" x14ac:dyDescent="0.2"/>
    <row r="31156" ht="12.75" hidden="1" customHeight="1" x14ac:dyDescent="0.2"/>
    <row r="31157" ht="12.75" hidden="1" customHeight="1" x14ac:dyDescent="0.2"/>
    <row r="31158" ht="12.75" hidden="1" customHeight="1" x14ac:dyDescent="0.2"/>
    <row r="31159" ht="12.75" hidden="1" customHeight="1" x14ac:dyDescent="0.2"/>
    <row r="31160" ht="12.75" hidden="1" customHeight="1" x14ac:dyDescent="0.2"/>
    <row r="31161" ht="12.75" hidden="1" customHeight="1" x14ac:dyDescent="0.2"/>
    <row r="31162" ht="12.75" hidden="1" customHeight="1" x14ac:dyDescent="0.2"/>
    <row r="31163" ht="12.75" hidden="1" customHeight="1" x14ac:dyDescent="0.2"/>
    <row r="31164" ht="12.75" hidden="1" customHeight="1" x14ac:dyDescent="0.2"/>
    <row r="31165" ht="12.75" hidden="1" customHeight="1" x14ac:dyDescent="0.2"/>
    <row r="31166" ht="12.75" hidden="1" customHeight="1" x14ac:dyDescent="0.2"/>
    <row r="31167" ht="12.75" hidden="1" customHeight="1" x14ac:dyDescent="0.2"/>
    <row r="31168" ht="12.75" hidden="1" customHeight="1" x14ac:dyDescent="0.2"/>
    <row r="31169" ht="12.75" hidden="1" customHeight="1" x14ac:dyDescent="0.2"/>
    <row r="31170" ht="12.75" hidden="1" customHeight="1" x14ac:dyDescent="0.2"/>
    <row r="31171" ht="12.75" hidden="1" customHeight="1" x14ac:dyDescent="0.2"/>
    <row r="31172" ht="12.75" hidden="1" customHeight="1" x14ac:dyDescent="0.2"/>
    <row r="31173" ht="12.75" hidden="1" customHeight="1" x14ac:dyDescent="0.2"/>
    <row r="31174" ht="12.75" hidden="1" customHeight="1" x14ac:dyDescent="0.2"/>
    <row r="31175" ht="12.75" hidden="1" customHeight="1" x14ac:dyDescent="0.2"/>
    <row r="31176" ht="12.75" hidden="1" customHeight="1" x14ac:dyDescent="0.2"/>
    <row r="31177" ht="12.75" hidden="1" customHeight="1" x14ac:dyDescent="0.2"/>
    <row r="31178" ht="12.75" hidden="1" customHeight="1" x14ac:dyDescent="0.2"/>
    <row r="31179" ht="12.75" hidden="1" customHeight="1" x14ac:dyDescent="0.2"/>
    <row r="31180" ht="12.75" hidden="1" customHeight="1" x14ac:dyDescent="0.2"/>
    <row r="31181" ht="12.75" hidden="1" customHeight="1" x14ac:dyDescent="0.2"/>
    <row r="31182" ht="12.75" hidden="1" customHeight="1" x14ac:dyDescent="0.2"/>
    <row r="31183" ht="12.75" hidden="1" customHeight="1" x14ac:dyDescent="0.2"/>
    <row r="31184" ht="12.75" hidden="1" customHeight="1" x14ac:dyDescent="0.2"/>
    <row r="31185" ht="12.75" hidden="1" customHeight="1" x14ac:dyDescent="0.2"/>
    <row r="31186" ht="12.75" hidden="1" customHeight="1" x14ac:dyDescent="0.2"/>
    <row r="31187" ht="12.75" hidden="1" customHeight="1" x14ac:dyDescent="0.2"/>
    <row r="31188" ht="12.75" hidden="1" customHeight="1" x14ac:dyDescent="0.2"/>
    <row r="31189" ht="12.75" hidden="1" customHeight="1" x14ac:dyDescent="0.2"/>
    <row r="31190" ht="12.75" hidden="1" customHeight="1" x14ac:dyDescent="0.2"/>
    <row r="31191" ht="12.75" hidden="1" customHeight="1" x14ac:dyDescent="0.2"/>
    <row r="31192" ht="12.75" hidden="1" customHeight="1" x14ac:dyDescent="0.2"/>
    <row r="31193" ht="12.75" hidden="1" customHeight="1" x14ac:dyDescent="0.2"/>
    <row r="31194" ht="12.75" hidden="1" customHeight="1" x14ac:dyDescent="0.2"/>
    <row r="31195" ht="12.75" hidden="1" customHeight="1" x14ac:dyDescent="0.2"/>
    <row r="31196" ht="12.75" hidden="1" customHeight="1" x14ac:dyDescent="0.2"/>
    <row r="31197" ht="12.75" hidden="1" customHeight="1" x14ac:dyDescent="0.2"/>
    <row r="31198" ht="12.75" hidden="1" customHeight="1" x14ac:dyDescent="0.2"/>
    <row r="31199" ht="12.75" hidden="1" customHeight="1" x14ac:dyDescent="0.2"/>
    <row r="31200" ht="12.75" hidden="1" customHeight="1" x14ac:dyDescent="0.2"/>
    <row r="31201" ht="12.75" hidden="1" customHeight="1" x14ac:dyDescent="0.2"/>
    <row r="31202" ht="12.75" hidden="1" customHeight="1" x14ac:dyDescent="0.2"/>
    <row r="31203" ht="12.75" hidden="1" customHeight="1" x14ac:dyDescent="0.2"/>
    <row r="31204" ht="12.75" hidden="1" customHeight="1" x14ac:dyDescent="0.2"/>
    <row r="31205" ht="12.75" hidden="1" customHeight="1" x14ac:dyDescent="0.2"/>
    <row r="31206" ht="12.75" hidden="1" customHeight="1" x14ac:dyDescent="0.2"/>
    <row r="31207" ht="12.75" hidden="1" customHeight="1" x14ac:dyDescent="0.2"/>
    <row r="31208" ht="12.75" hidden="1" customHeight="1" x14ac:dyDescent="0.2"/>
    <row r="31209" ht="12.75" hidden="1" customHeight="1" x14ac:dyDescent="0.2"/>
    <row r="31210" ht="12.75" hidden="1" customHeight="1" x14ac:dyDescent="0.2"/>
    <row r="31211" ht="12.75" hidden="1" customHeight="1" x14ac:dyDescent="0.2"/>
    <row r="31212" ht="12.75" hidden="1" customHeight="1" x14ac:dyDescent="0.2"/>
    <row r="31213" ht="12.75" hidden="1" customHeight="1" x14ac:dyDescent="0.2"/>
    <row r="31214" ht="12.75" hidden="1" customHeight="1" x14ac:dyDescent="0.2"/>
    <row r="31215" ht="12.75" hidden="1" customHeight="1" x14ac:dyDescent="0.2"/>
    <row r="31216" ht="12.75" hidden="1" customHeight="1" x14ac:dyDescent="0.2"/>
    <row r="31217" ht="12.75" hidden="1" customHeight="1" x14ac:dyDescent="0.2"/>
    <row r="31218" ht="12.75" hidden="1" customHeight="1" x14ac:dyDescent="0.2"/>
    <row r="31219" ht="12.75" hidden="1" customHeight="1" x14ac:dyDescent="0.2"/>
    <row r="31220" ht="12.75" hidden="1" customHeight="1" x14ac:dyDescent="0.2"/>
    <row r="31221" ht="12.75" hidden="1" customHeight="1" x14ac:dyDescent="0.2"/>
    <row r="31222" ht="12.75" hidden="1" customHeight="1" x14ac:dyDescent="0.2"/>
    <row r="31223" ht="12.75" hidden="1" customHeight="1" x14ac:dyDescent="0.2"/>
    <row r="31224" ht="12.75" hidden="1" customHeight="1" x14ac:dyDescent="0.2"/>
    <row r="31225" ht="12.75" hidden="1" customHeight="1" x14ac:dyDescent="0.2"/>
    <row r="31226" ht="12.75" hidden="1" customHeight="1" x14ac:dyDescent="0.2"/>
    <row r="31227" ht="12.75" hidden="1" customHeight="1" x14ac:dyDescent="0.2"/>
    <row r="31228" ht="12.75" hidden="1" customHeight="1" x14ac:dyDescent="0.2"/>
    <row r="31229" ht="12.75" hidden="1" customHeight="1" x14ac:dyDescent="0.2"/>
    <row r="31230" ht="12.75" hidden="1" customHeight="1" x14ac:dyDescent="0.2"/>
    <row r="31231" ht="12.75" hidden="1" customHeight="1" x14ac:dyDescent="0.2"/>
    <row r="31232" ht="12.75" hidden="1" customHeight="1" x14ac:dyDescent="0.2"/>
    <row r="31233" ht="12.75" hidden="1" customHeight="1" x14ac:dyDescent="0.2"/>
    <row r="31234" ht="12.75" hidden="1" customHeight="1" x14ac:dyDescent="0.2"/>
    <row r="31235" ht="12.75" hidden="1" customHeight="1" x14ac:dyDescent="0.2"/>
    <row r="31236" ht="12.75" hidden="1" customHeight="1" x14ac:dyDescent="0.2"/>
    <row r="31237" ht="12.75" hidden="1" customHeight="1" x14ac:dyDescent="0.2"/>
    <row r="31238" ht="12.75" hidden="1" customHeight="1" x14ac:dyDescent="0.2"/>
    <row r="31239" ht="12.75" hidden="1" customHeight="1" x14ac:dyDescent="0.2"/>
    <row r="31240" ht="12.75" hidden="1" customHeight="1" x14ac:dyDescent="0.2"/>
    <row r="31241" ht="12.75" hidden="1" customHeight="1" x14ac:dyDescent="0.2"/>
    <row r="31242" ht="12.75" hidden="1" customHeight="1" x14ac:dyDescent="0.2"/>
    <row r="31243" ht="12.75" hidden="1" customHeight="1" x14ac:dyDescent="0.2"/>
    <row r="31244" ht="12.75" hidden="1" customHeight="1" x14ac:dyDescent="0.2"/>
    <row r="31245" ht="12.75" hidden="1" customHeight="1" x14ac:dyDescent="0.2"/>
    <row r="31246" ht="12.75" hidden="1" customHeight="1" x14ac:dyDescent="0.2"/>
    <row r="31247" ht="12.75" hidden="1" customHeight="1" x14ac:dyDescent="0.2"/>
    <row r="31248" ht="12.75" hidden="1" customHeight="1" x14ac:dyDescent="0.2"/>
    <row r="31249" ht="12.75" hidden="1" customHeight="1" x14ac:dyDescent="0.2"/>
    <row r="31250" ht="12.75" hidden="1" customHeight="1" x14ac:dyDescent="0.2"/>
    <row r="31251" ht="12.75" hidden="1" customHeight="1" x14ac:dyDescent="0.2"/>
    <row r="31252" ht="12.75" hidden="1" customHeight="1" x14ac:dyDescent="0.2"/>
    <row r="31253" ht="12.75" hidden="1" customHeight="1" x14ac:dyDescent="0.2"/>
    <row r="31254" ht="12.75" hidden="1" customHeight="1" x14ac:dyDescent="0.2"/>
    <row r="31255" ht="12.75" hidden="1" customHeight="1" x14ac:dyDescent="0.2"/>
    <row r="31256" ht="12.75" hidden="1" customHeight="1" x14ac:dyDescent="0.2"/>
    <row r="31257" ht="12.75" hidden="1" customHeight="1" x14ac:dyDescent="0.2"/>
    <row r="31258" ht="12.75" hidden="1" customHeight="1" x14ac:dyDescent="0.2"/>
    <row r="31259" ht="12.75" hidden="1" customHeight="1" x14ac:dyDescent="0.2"/>
    <row r="31260" ht="12.75" hidden="1" customHeight="1" x14ac:dyDescent="0.2"/>
    <row r="31261" ht="12.75" hidden="1" customHeight="1" x14ac:dyDescent="0.2"/>
    <row r="31262" ht="12.75" hidden="1" customHeight="1" x14ac:dyDescent="0.2"/>
    <row r="31263" ht="12.75" hidden="1" customHeight="1" x14ac:dyDescent="0.2"/>
    <row r="31264" ht="12.75" hidden="1" customHeight="1" x14ac:dyDescent="0.2"/>
    <row r="31265" ht="12.75" hidden="1" customHeight="1" x14ac:dyDescent="0.2"/>
    <row r="31266" ht="12.75" hidden="1" customHeight="1" x14ac:dyDescent="0.2"/>
    <row r="31267" ht="12.75" hidden="1" customHeight="1" x14ac:dyDescent="0.2"/>
    <row r="31268" ht="12.75" hidden="1" customHeight="1" x14ac:dyDescent="0.2"/>
    <row r="31269" ht="12.75" hidden="1" customHeight="1" x14ac:dyDescent="0.2"/>
    <row r="31270" ht="12.75" hidden="1" customHeight="1" x14ac:dyDescent="0.2"/>
    <row r="31271" ht="12.75" hidden="1" customHeight="1" x14ac:dyDescent="0.2"/>
    <row r="31272" ht="12.75" hidden="1" customHeight="1" x14ac:dyDescent="0.2"/>
    <row r="31273" ht="12.75" hidden="1" customHeight="1" x14ac:dyDescent="0.2"/>
    <row r="31274" ht="12.75" hidden="1" customHeight="1" x14ac:dyDescent="0.2"/>
    <row r="31275" ht="12.75" hidden="1" customHeight="1" x14ac:dyDescent="0.2"/>
    <row r="31276" ht="12.75" hidden="1" customHeight="1" x14ac:dyDescent="0.2"/>
    <row r="31277" ht="12.75" hidden="1" customHeight="1" x14ac:dyDescent="0.2"/>
    <row r="31278" ht="12.75" hidden="1" customHeight="1" x14ac:dyDescent="0.2"/>
    <row r="31279" ht="12.75" hidden="1" customHeight="1" x14ac:dyDescent="0.2"/>
    <row r="31280" ht="12.75" hidden="1" customHeight="1" x14ac:dyDescent="0.2"/>
    <row r="31281" ht="12.75" hidden="1" customHeight="1" x14ac:dyDescent="0.2"/>
    <row r="31282" ht="12.75" hidden="1" customHeight="1" x14ac:dyDescent="0.2"/>
    <row r="31283" ht="12.75" hidden="1" customHeight="1" x14ac:dyDescent="0.2"/>
    <row r="31284" ht="12.75" hidden="1" customHeight="1" x14ac:dyDescent="0.2"/>
    <row r="31285" ht="12.75" hidden="1" customHeight="1" x14ac:dyDescent="0.2"/>
    <row r="31286" ht="12.75" hidden="1" customHeight="1" x14ac:dyDescent="0.2"/>
    <row r="31287" ht="12.75" hidden="1" customHeight="1" x14ac:dyDescent="0.2"/>
    <row r="31288" ht="12.75" hidden="1" customHeight="1" x14ac:dyDescent="0.2"/>
    <row r="31289" ht="12.75" hidden="1" customHeight="1" x14ac:dyDescent="0.2"/>
    <row r="31290" ht="12.75" hidden="1" customHeight="1" x14ac:dyDescent="0.2"/>
    <row r="31291" ht="12.75" hidden="1" customHeight="1" x14ac:dyDescent="0.2"/>
    <row r="31292" ht="12.75" hidden="1" customHeight="1" x14ac:dyDescent="0.2"/>
    <row r="31293" ht="12.75" hidden="1" customHeight="1" x14ac:dyDescent="0.2"/>
    <row r="31294" ht="12.75" hidden="1" customHeight="1" x14ac:dyDescent="0.2"/>
    <row r="31295" ht="12.75" hidden="1" customHeight="1" x14ac:dyDescent="0.2"/>
    <row r="31296" ht="12.75" hidden="1" customHeight="1" x14ac:dyDescent="0.2"/>
    <row r="31297" ht="12.75" hidden="1" customHeight="1" x14ac:dyDescent="0.2"/>
    <row r="31298" ht="12.75" hidden="1" customHeight="1" x14ac:dyDescent="0.2"/>
    <row r="31299" ht="12.75" hidden="1" customHeight="1" x14ac:dyDescent="0.2"/>
    <row r="31300" ht="12.75" hidden="1" customHeight="1" x14ac:dyDescent="0.2"/>
    <row r="31301" ht="12.75" hidden="1" customHeight="1" x14ac:dyDescent="0.2"/>
    <row r="31302" ht="12.75" hidden="1" customHeight="1" x14ac:dyDescent="0.2"/>
    <row r="31303" ht="12.75" hidden="1" customHeight="1" x14ac:dyDescent="0.2"/>
    <row r="31304" ht="12.75" hidden="1" customHeight="1" x14ac:dyDescent="0.2"/>
    <row r="31305" ht="12.75" hidden="1" customHeight="1" x14ac:dyDescent="0.2"/>
    <row r="31306" ht="12.75" hidden="1" customHeight="1" x14ac:dyDescent="0.2"/>
    <row r="31307" ht="12.75" hidden="1" customHeight="1" x14ac:dyDescent="0.2"/>
    <row r="31308" ht="12.75" hidden="1" customHeight="1" x14ac:dyDescent="0.2"/>
    <row r="31309" ht="12.75" hidden="1" customHeight="1" x14ac:dyDescent="0.2"/>
    <row r="31310" ht="12.75" hidden="1" customHeight="1" x14ac:dyDescent="0.2"/>
    <row r="31311" ht="12.75" hidden="1" customHeight="1" x14ac:dyDescent="0.2"/>
    <row r="31312" ht="12.75" hidden="1" customHeight="1" x14ac:dyDescent="0.2"/>
    <row r="31313" ht="12.75" hidden="1" customHeight="1" x14ac:dyDescent="0.2"/>
    <row r="31314" ht="12.75" hidden="1" customHeight="1" x14ac:dyDescent="0.2"/>
    <row r="31315" ht="12.75" hidden="1" customHeight="1" x14ac:dyDescent="0.2"/>
    <row r="31316" ht="12.75" hidden="1" customHeight="1" x14ac:dyDescent="0.2"/>
    <row r="31317" ht="12.75" hidden="1" customHeight="1" x14ac:dyDescent="0.2"/>
    <row r="31318" ht="12.75" hidden="1" customHeight="1" x14ac:dyDescent="0.2"/>
    <row r="31319" ht="12.75" hidden="1" customHeight="1" x14ac:dyDescent="0.2"/>
    <row r="31320" ht="12.75" hidden="1" customHeight="1" x14ac:dyDescent="0.2"/>
    <row r="31321" ht="12.75" hidden="1" customHeight="1" x14ac:dyDescent="0.2"/>
    <row r="31322" ht="12.75" hidden="1" customHeight="1" x14ac:dyDescent="0.2"/>
    <row r="31323" ht="12.75" hidden="1" customHeight="1" x14ac:dyDescent="0.2"/>
    <row r="31324" ht="12.75" hidden="1" customHeight="1" x14ac:dyDescent="0.2"/>
    <row r="31325" ht="12.75" hidden="1" customHeight="1" x14ac:dyDescent="0.2"/>
    <row r="31326" ht="12.75" hidden="1" customHeight="1" x14ac:dyDescent="0.2"/>
    <row r="31327" ht="12.75" hidden="1" customHeight="1" x14ac:dyDescent="0.2"/>
    <row r="31328" ht="12.75" hidden="1" customHeight="1" x14ac:dyDescent="0.2"/>
    <row r="31329" ht="12.75" hidden="1" customHeight="1" x14ac:dyDescent="0.2"/>
    <row r="31330" ht="12.75" hidden="1" customHeight="1" x14ac:dyDescent="0.2"/>
    <row r="31331" ht="12.75" hidden="1" customHeight="1" x14ac:dyDescent="0.2"/>
    <row r="31332" ht="12.75" hidden="1" customHeight="1" x14ac:dyDescent="0.2"/>
    <row r="31333" ht="12.75" hidden="1" customHeight="1" x14ac:dyDescent="0.2"/>
    <row r="31334" ht="12.75" hidden="1" customHeight="1" x14ac:dyDescent="0.2"/>
    <row r="31335" ht="12.75" hidden="1" customHeight="1" x14ac:dyDescent="0.2"/>
    <row r="31336" ht="12.75" hidden="1" customHeight="1" x14ac:dyDescent="0.2"/>
    <row r="31337" ht="12.75" hidden="1" customHeight="1" x14ac:dyDescent="0.2"/>
    <row r="31338" ht="12.75" hidden="1" customHeight="1" x14ac:dyDescent="0.2"/>
    <row r="31339" ht="12.75" hidden="1" customHeight="1" x14ac:dyDescent="0.2"/>
    <row r="31340" ht="12.75" hidden="1" customHeight="1" x14ac:dyDescent="0.2"/>
    <row r="31341" ht="12.75" hidden="1" customHeight="1" x14ac:dyDescent="0.2"/>
    <row r="31342" ht="12.75" hidden="1" customHeight="1" x14ac:dyDescent="0.2"/>
    <row r="31343" ht="12.75" hidden="1" customHeight="1" x14ac:dyDescent="0.2"/>
    <row r="31344" ht="12.75" hidden="1" customHeight="1" x14ac:dyDescent="0.2"/>
    <row r="31345" ht="12.75" hidden="1" customHeight="1" x14ac:dyDescent="0.2"/>
    <row r="31346" ht="12.75" hidden="1" customHeight="1" x14ac:dyDescent="0.2"/>
    <row r="31347" ht="12.75" hidden="1" customHeight="1" x14ac:dyDescent="0.2"/>
    <row r="31348" ht="12.75" hidden="1" customHeight="1" x14ac:dyDescent="0.2"/>
    <row r="31349" ht="12.75" hidden="1" customHeight="1" x14ac:dyDescent="0.2"/>
    <row r="31350" ht="12.75" hidden="1" customHeight="1" x14ac:dyDescent="0.2"/>
    <row r="31351" ht="12.75" hidden="1" customHeight="1" x14ac:dyDescent="0.2"/>
    <row r="31352" ht="12.75" hidden="1" customHeight="1" x14ac:dyDescent="0.2"/>
    <row r="31353" ht="12.75" hidden="1" customHeight="1" x14ac:dyDescent="0.2"/>
    <row r="31354" ht="12.75" hidden="1" customHeight="1" x14ac:dyDescent="0.2"/>
    <row r="31355" ht="12.75" hidden="1" customHeight="1" x14ac:dyDescent="0.2"/>
    <row r="31356" ht="12.75" hidden="1" customHeight="1" x14ac:dyDescent="0.2"/>
    <row r="31357" ht="12.75" hidden="1" customHeight="1" x14ac:dyDescent="0.2"/>
    <row r="31358" ht="12.75" hidden="1" customHeight="1" x14ac:dyDescent="0.2"/>
    <row r="31359" ht="12.75" hidden="1" customHeight="1" x14ac:dyDescent="0.2"/>
    <row r="31360" ht="12.75" hidden="1" customHeight="1" x14ac:dyDescent="0.2"/>
    <row r="31361" ht="12.75" hidden="1" customHeight="1" x14ac:dyDescent="0.2"/>
    <row r="31362" ht="12.75" hidden="1" customHeight="1" x14ac:dyDescent="0.2"/>
    <row r="31363" ht="12.75" hidden="1" customHeight="1" x14ac:dyDescent="0.2"/>
    <row r="31364" ht="12.75" hidden="1" customHeight="1" x14ac:dyDescent="0.2"/>
    <row r="31365" ht="12.75" hidden="1" customHeight="1" x14ac:dyDescent="0.2"/>
    <row r="31366" ht="12.75" hidden="1" customHeight="1" x14ac:dyDescent="0.2"/>
    <row r="31367" ht="12.75" hidden="1" customHeight="1" x14ac:dyDescent="0.2"/>
    <row r="31368" ht="12.75" hidden="1" customHeight="1" x14ac:dyDescent="0.2"/>
    <row r="31369" ht="12.75" hidden="1" customHeight="1" x14ac:dyDescent="0.2"/>
    <row r="31370" ht="12.75" hidden="1" customHeight="1" x14ac:dyDescent="0.2"/>
    <row r="31371" ht="12.75" hidden="1" customHeight="1" x14ac:dyDescent="0.2"/>
    <row r="31372" ht="12.75" hidden="1" customHeight="1" x14ac:dyDescent="0.2"/>
    <row r="31373" ht="12.75" hidden="1" customHeight="1" x14ac:dyDescent="0.2"/>
    <row r="31374" ht="12.75" hidden="1" customHeight="1" x14ac:dyDescent="0.2"/>
    <row r="31375" ht="12.75" hidden="1" customHeight="1" x14ac:dyDescent="0.2"/>
    <row r="31376" ht="12.75" hidden="1" customHeight="1" x14ac:dyDescent="0.2"/>
    <row r="31377" ht="12.75" hidden="1" customHeight="1" x14ac:dyDescent="0.2"/>
    <row r="31378" ht="12.75" hidden="1" customHeight="1" x14ac:dyDescent="0.2"/>
    <row r="31379" ht="12.75" hidden="1" customHeight="1" x14ac:dyDescent="0.2"/>
    <row r="31380" ht="12.75" hidden="1" customHeight="1" x14ac:dyDescent="0.2"/>
    <row r="31381" ht="12.75" hidden="1" customHeight="1" x14ac:dyDescent="0.2"/>
    <row r="31382" ht="12.75" hidden="1" customHeight="1" x14ac:dyDescent="0.2"/>
    <row r="31383" ht="12.75" hidden="1" customHeight="1" x14ac:dyDescent="0.2"/>
    <row r="31384" ht="12.75" hidden="1" customHeight="1" x14ac:dyDescent="0.2"/>
    <row r="31385" ht="12.75" hidden="1" customHeight="1" x14ac:dyDescent="0.2"/>
    <row r="31386" ht="12.75" hidden="1" customHeight="1" x14ac:dyDescent="0.2"/>
    <row r="31387" ht="12.75" hidden="1" customHeight="1" x14ac:dyDescent="0.2"/>
    <row r="31388" ht="12.75" hidden="1" customHeight="1" x14ac:dyDescent="0.2"/>
    <row r="31389" ht="12.75" hidden="1" customHeight="1" x14ac:dyDescent="0.2"/>
    <row r="31390" ht="12.75" hidden="1" customHeight="1" x14ac:dyDescent="0.2"/>
    <row r="31391" ht="12.75" hidden="1" customHeight="1" x14ac:dyDescent="0.2"/>
    <row r="31392" ht="12.75" hidden="1" customHeight="1" x14ac:dyDescent="0.2"/>
    <row r="31393" ht="12.75" hidden="1" customHeight="1" x14ac:dyDescent="0.2"/>
    <row r="31394" ht="12.75" hidden="1" customHeight="1" x14ac:dyDescent="0.2"/>
    <row r="31395" ht="12.75" hidden="1" customHeight="1" x14ac:dyDescent="0.2"/>
    <row r="31396" ht="12.75" hidden="1" customHeight="1" x14ac:dyDescent="0.2"/>
    <row r="31397" ht="12.75" hidden="1" customHeight="1" x14ac:dyDescent="0.2"/>
    <row r="31398" ht="12.75" hidden="1" customHeight="1" x14ac:dyDescent="0.2"/>
    <row r="31399" ht="12.75" hidden="1" customHeight="1" x14ac:dyDescent="0.2"/>
    <row r="31400" ht="12.75" hidden="1" customHeight="1" x14ac:dyDescent="0.2"/>
    <row r="31401" ht="12.75" hidden="1" customHeight="1" x14ac:dyDescent="0.2"/>
    <row r="31402" ht="12.75" hidden="1" customHeight="1" x14ac:dyDescent="0.2"/>
    <row r="31403" ht="12.75" hidden="1" customHeight="1" x14ac:dyDescent="0.2"/>
    <row r="31404" ht="12.75" hidden="1" customHeight="1" x14ac:dyDescent="0.2"/>
    <row r="31405" ht="12.75" hidden="1" customHeight="1" x14ac:dyDescent="0.2"/>
    <row r="31406" ht="12.75" hidden="1" customHeight="1" x14ac:dyDescent="0.2"/>
    <row r="31407" ht="12.75" hidden="1" customHeight="1" x14ac:dyDescent="0.2"/>
    <row r="31408" ht="12.75" hidden="1" customHeight="1" x14ac:dyDescent="0.2"/>
    <row r="31409" ht="12.75" hidden="1" customHeight="1" x14ac:dyDescent="0.2"/>
    <row r="31410" ht="12.75" hidden="1" customHeight="1" x14ac:dyDescent="0.2"/>
    <row r="31411" ht="12.75" hidden="1" customHeight="1" x14ac:dyDescent="0.2"/>
    <row r="31412" ht="12.75" hidden="1" customHeight="1" x14ac:dyDescent="0.2"/>
    <row r="31413" ht="12.75" hidden="1" customHeight="1" x14ac:dyDescent="0.2"/>
    <row r="31414" ht="12.75" hidden="1" customHeight="1" x14ac:dyDescent="0.2"/>
    <row r="31415" ht="12.75" hidden="1" customHeight="1" x14ac:dyDescent="0.2"/>
    <row r="31416" ht="12.75" hidden="1" customHeight="1" x14ac:dyDescent="0.2"/>
    <row r="31417" ht="12.75" hidden="1" customHeight="1" x14ac:dyDescent="0.2"/>
    <row r="31418" ht="12.75" hidden="1" customHeight="1" x14ac:dyDescent="0.2"/>
    <row r="31419" ht="12.75" hidden="1" customHeight="1" x14ac:dyDescent="0.2"/>
    <row r="31420" ht="12.75" hidden="1" customHeight="1" x14ac:dyDescent="0.2"/>
    <row r="31421" ht="12.75" hidden="1" customHeight="1" x14ac:dyDescent="0.2"/>
    <row r="31422" ht="12.75" hidden="1" customHeight="1" x14ac:dyDescent="0.2"/>
    <row r="31423" ht="12.75" hidden="1" customHeight="1" x14ac:dyDescent="0.2"/>
    <row r="31424" ht="12.75" hidden="1" customHeight="1" x14ac:dyDescent="0.2"/>
    <row r="31425" ht="12.75" hidden="1" customHeight="1" x14ac:dyDescent="0.2"/>
    <row r="31426" ht="12.75" hidden="1" customHeight="1" x14ac:dyDescent="0.2"/>
    <row r="31427" ht="12.75" hidden="1" customHeight="1" x14ac:dyDescent="0.2"/>
    <row r="31428" ht="12.75" hidden="1" customHeight="1" x14ac:dyDescent="0.2"/>
    <row r="31429" ht="12.75" hidden="1" customHeight="1" x14ac:dyDescent="0.2"/>
    <row r="31430" ht="12.75" hidden="1" customHeight="1" x14ac:dyDescent="0.2"/>
    <row r="31431" ht="12.75" hidden="1" customHeight="1" x14ac:dyDescent="0.2"/>
    <row r="31432" ht="12.75" hidden="1" customHeight="1" x14ac:dyDescent="0.2"/>
    <row r="31433" ht="12.75" hidden="1" customHeight="1" x14ac:dyDescent="0.2"/>
    <row r="31434" ht="12.75" hidden="1" customHeight="1" x14ac:dyDescent="0.2"/>
    <row r="31435" ht="12.75" hidden="1" customHeight="1" x14ac:dyDescent="0.2"/>
    <row r="31436" ht="12.75" hidden="1" customHeight="1" x14ac:dyDescent="0.2"/>
    <row r="31437" ht="12.75" hidden="1" customHeight="1" x14ac:dyDescent="0.2"/>
    <row r="31438" ht="12.75" hidden="1" customHeight="1" x14ac:dyDescent="0.2"/>
    <row r="31439" ht="12.75" hidden="1" customHeight="1" x14ac:dyDescent="0.2"/>
    <row r="31440" ht="12.75" hidden="1" customHeight="1" x14ac:dyDescent="0.2"/>
    <row r="31441" ht="12.75" hidden="1" customHeight="1" x14ac:dyDescent="0.2"/>
    <row r="31442" ht="12.75" hidden="1" customHeight="1" x14ac:dyDescent="0.2"/>
    <row r="31443" ht="12.75" hidden="1" customHeight="1" x14ac:dyDescent="0.2"/>
    <row r="31444" ht="12.75" hidden="1" customHeight="1" x14ac:dyDescent="0.2"/>
    <row r="31445" ht="12.75" hidden="1" customHeight="1" x14ac:dyDescent="0.2"/>
    <row r="31446" ht="12.75" hidden="1" customHeight="1" x14ac:dyDescent="0.2"/>
    <row r="31447" ht="12.75" hidden="1" customHeight="1" x14ac:dyDescent="0.2"/>
    <row r="31448" ht="12.75" hidden="1" customHeight="1" x14ac:dyDescent="0.2"/>
    <row r="31449" ht="12.75" hidden="1" customHeight="1" x14ac:dyDescent="0.2"/>
    <row r="31450" ht="12.75" hidden="1" customHeight="1" x14ac:dyDescent="0.2"/>
    <row r="31451" ht="12.75" hidden="1" customHeight="1" x14ac:dyDescent="0.2"/>
    <row r="31452" ht="12.75" hidden="1" customHeight="1" x14ac:dyDescent="0.2"/>
    <row r="31453" ht="12.75" hidden="1" customHeight="1" x14ac:dyDescent="0.2"/>
    <row r="31454" ht="12.75" hidden="1" customHeight="1" x14ac:dyDescent="0.2"/>
    <row r="31455" ht="12.75" hidden="1" customHeight="1" x14ac:dyDescent="0.2"/>
    <row r="31456" ht="12.75" hidden="1" customHeight="1" x14ac:dyDescent="0.2"/>
    <row r="31457" ht="12.75" hidden="1" customHeight="1" x14ac:dyDescent="0.2"/>
    <row r="31458" ht="12.75" hidden="1" customHeight="1" x14ac:dyDescent="0.2"/>
    <row r="31459" ht="12.75" hidden="1" customHeight="1" x14ac:dyDescent="0.2"/>
    <row r="31460" ht="12.75" hidden="1" customHeight="1" x14ac:dyDescent="0.2"/>
    <row r="31461" ht="12.75" hidden="1" customHeight="1" x14ac:dyDescent="0.2"/>
    <row r="31462" ht="12.75" hidden="1" customHeight="1" x14ac:dyDescent="0.2"/>
    <row r="31463" ht="12.75" hidden="1" customHeight="1" x14ac:dyDescent="0.2"/>
    <row r="31464" ht="12.75" hidden="1" customHeight="1" x14ac:dyDescent="0.2"/>
    <row r="31465" ht="12.75" hidden="1" customHeight="1" x14ac:dyDescent="0.2"/>
    <row r="31466" ht="12.75" hidden="1" customHeight="1" x14ac:dyDescent="0.2"/>
    <row r="31467" ht="12.75" hidden="1" customHeight="1" x14ac:dyDescent="0.2"/>
    <row r="31468" ht="12.75" hidden="1" customHeight="1" x14ac:dyDescent="0.2"/>
    <row r="31469" ht="12.75" hidden="1" customHeight="1" x14ac:dyDescent="0.2"/>
    <row r="31470" ht="12.75" hidden="1" customHeight="1" x14ac:dyDescent="0.2"/>
    <row r="31471" ht="12.75" hidden="1" customHeight="1" x14ac:dyDescent="0.2"/>
    <row r="31472" ht="12.75" hidden="1" customHeight="1" x14ac:dyDescent="0.2"/>
    <row r="31473" ht="12.75" hidden="1" customHeight="1" x14ac:dyDescent="0.2"/>
    <row r="31474" ht="12.75" hidden="1" customHeight="1" x14ac:dyDescent="0.2"/>
    <row r="31475" ht="12.75" hidden="1" customHeight="1" x14ac:dyDescent="0.2"/>
    <row r="31476" ht="12.75" hidden="1" customHeight="1" x14ac:dyDescent="0.2"/>
    <row r="31477" ht="12.75" hidden="1" customHeight="1" x14ac:dyDescent="0.2"/>
    <row r="31478" ht="12.75" hidden="1" customHeight="1" x14ac:dyDescent="0.2"/>
    <row r="31479" ht="12.75" hidden="1" customHeight="1" x14ac:dyDescent="0.2"/>
    <row r="31480" ht="12.75" hidden="1" customHeight="1" x14ac:dyDescent="0.2"/>
    <row r="31481" ht="12.75" hidden="1" customHeight="1" x14ac:dyDescent="0.2"/>
    <row r="31482" ht="12.75" hidden="1" customHeight="1" x14ac:dyDescent="0.2"/>
    <row r="31483" ht="12.75" hidden="1" customHeight="1" x14ac:dyDescent="0.2"/>
    <row r="31484" ht="12.75" hidden="1" customHeight="1" x14ac:dyDescent="0.2"/>
    <row r="31485" ht="12.75" hidden="1" customHeight="1" x14ac:dyDescent="0.2"/>
    <row r="31486" ht="12.75" hidden="1" customHeight="1" x14ac:dyDescent="0.2"/>
    <row r="31487" ht="12.75" hidden="1" customHeight="1" x14ac:dyDescent="0.2"/>
    <row r="31488" ht="12.75" hidden="1" customHeight="1" x14ac:dyDescent="0.2"/>
    <row r="31489" ht="12.75" hidden="1" customHeight="1" x14ac:dyDescent="0.2"/>
    <row r="31490" ht="12.75" hidden="1" customHeight="1" x14ac:dyDescent="0.2"/>
    <row r="31491" ht="12.75" hidden="1" customHeight="1" x14ac:dyDescent="0.2"/>
    <row r="31492" ht="12.75" hidden="1" customHeight="1" x14ac:dyDescent="0.2"/>
    <row r="31493" ht="12.75" hidden="1" customHeight="1" x14ac:dyDescent="0.2"/>
    <row r="31494" ht="12.75" hidden="1" customHeight="1" x14ac:dyDescent="0.2"/>
    <row r="31495" ht="12.75" hidden="1" customHeight="1" x14ac:dyDescent="0.2"/>
    <row r="31496" ht="12.75" hidden="1" customHeight="1" x14ac:dyDescent="0.2"/>
    <row r="31497" ht="12.75" hidden="1" customHeight="1" x14ac:dyDescent="0.2"/>
    <row r="31498" ht="12.75" hidden="1" customHeight="1" x14ac:dyDescent="0.2"/>
    <row r="31499" ht="12.75" hidden="1" customHeight="1" x14ac:dyDescent="0.2"/>
    <row r="31500" ht="12.75" hidden="1" customHeight="1" x14ac:dyDescent="0.2"/>
    <row r="31501" ht="12.75" hidden="1" customHeight="1" x14ac:dyDescent="0.2"/>
    <row r="31502" ht="12.75" hidden="1" customHeight="1" x14ac:dyDescent="0.2"/>
    <row r="31503" ht="12.75" hidden="1" customHeight="1" x14ac:dyDescent="0.2"/>
    <row r="31504" ht="12.75" hidden="1" customHeight="1" x14ac:dyDescent="0.2"/>
    <row r="31505" ht="12.75" hidden="1" customHeight="1" x14ac:dyDescent="0.2"/>
    <row r="31506" ht="12.75" hidden="1" customHeight="1" x14ac:dyDescent="0.2"/>
    <row r="31507" ht="12.75" hidden="1" customHeight="1" x14ac:dyDescent="0.2"/>
    <row r="31508" ht="12.75" hidden="1" customHeight="1" x14ac:dyDescent="0.2"/>
    <row r="31509" ht="12.75" hidden="1" customHeight="1" x14ac:dyDescent="0.2"/>
    <row r="31510" ht="12.75" hidden="1" customHeight="1" x14ac:dyDescent="0.2"/>
    <row r="31511" ht="12.75" hidden="1" customHeight="1" x14ac:dyDescent="0.2"/>
    <row r="31512" ht="12.75" hidden="1" customHeight="1" x14ac:dyDescent="0.2"/>
    <row r="31513" ht="12.75" hidden="1" customHeight="1" x14ac:dyDescent="0.2"/>
    <row r="31514" ht="12.75" hidden="1" customHeight="1" x14ac:dyDescent="0.2"/>
    <row r="31515" ht="12.75" hidden="1" customHeight="1" x14ac:dyDescent="0.2"/>
    <row r="31516" ht="12.75" hidden="1" customHeight="1" x14ac:dyDescent="0.2"/>
    <row r="31517" ht="12.75" hidden="1" customHeight="1" x14ac:dyDescent="0.2"/>
    <row r="31518" ht="12.75" hidden="1" customHeight="1" x14ac:dyDescent="0.2"/>
    <row r="31519" ht="12.75" hidden="1" customHeight="1" x14ac:dyDescent="0.2"/>
    <row r="31520" ht="12.75" hidden="1" customHeight="1" x14ac:dyDescent="0.2"/>
    <row r="31521" ht="12.75" hidden="1" customHeight="1" x14ac:dyDescent="0.2"/>
    <row r="31522" ht="12.75" hidden="1" customHeight="1" x14ac:dyDescent="0.2"/>
    <row r="31523" ht="12.75" hidden="1" customHeight="1" x14ac:dyDescent="0.2"/>
    <row r="31524" ht="12.75" hidden="1" customHeight="1" x14ac:dyDescent="0.2"/>
    <row r="31525" ht="12.75" hidden="1" customHeight="1" x14ac:dyDescent="0.2"/>
    <row r="31526" ht="12.75" hidden="1" customHeight="1" x14ac:dyDescent="0.2"/>
    <row r="31527" ht="12.75" hidden="1" customHeight="1" x14ac:dyDescent="0.2"/>
    <row r="31528" ht="12.75" hidden="1" customHeight="1" x14ac:dyDescent="0.2"/>
    <row r="31529" ht="12.75" hidden="1" customHeight="1" x14ac:dyDescent="0.2"/>
    <row r="31530" ht="12.75" hidden="1" customHeight="1" x14ac:dyDescent="0.2"/>
    <row r="31531" ht="12.75" hidden="1" customHeight="1" x14ac:dyDescent="0.2"/>
    <row r="31532" ht="12.75" hidden="1" customHeight="1" x14ac:dyDescent="0.2"/>
    <row r="31533" ht="12.75" hidden="1" customHeight="1" x14ac:dyDescent="0.2"/>
    <row r="31534" ht="12.75" hidden="1" customHeight="1" x14ac:dyDescent="0.2"/>
    <row r="31535" ht="12.75" hidden="1" customHeight="1" x14ac:dyDescent="0.2"/>
    <row r="31536" ht="12.75" hidden="1" customHeight="1" x14ac:dyDescent="0.2"/>
    <row r="31537" ht="12.75" hidden="1" customHeight="1" x14ac:dyDescent="0.2"/>
    <row r="31538" ht="12.75" hidden="1" customHeight="1" x14ac:dyDescent="0.2"/>
    <row r="31539" ht="12.75" hidden="1" customHeight="1" x14ac:dyDescent="0.2"/>
    <row r="31540" ht="12.75" hidden="1" customHeight="1" x14ac:dyDescent="0.2"/>
    <row r="31541" ht="12.75" hidden="1" customHeight="1" x14ac:dyDescent="0.2"/>
    <row r="31542" ht="12.75" hidden="1" customHeight="1" x14ac:dyDescent="0.2"/>
    <row r="31543" ht="12.75" hidden="1" customHeight="1" x14ac:dyDescent="0.2"/>
    <row r="31544" ht="12.75" hidden="1" customHeight="1" x14ac:dyDescent="0.2"/>
    <row r="31545" ht="12.75" hidden="1" customHeight="1" x14ac:dyDescent="0.2"/>
    <row r="31546" ht="12.75" hidden="1" customHeight="1" x14ac:dyDescent="0.2"/>
    <row r="31547" ht="12.75" hidden="1" customHeight="1" x14ac:dyDescent="0.2"/>
    <row r="31548" ht="12.75" hidden="1" customHeight="1" x14ac:dyDescent="0.2"/>
    <row r="31549" ht="12.75" hidden="1" customHeight="1" x14ac:dyDescent="0.2"/>
    <row r="31550" ht="12.75" hidden="1" customHeight="1" x14ac:dyDescent="0.2"/>
    <row r="31551" ht="12.75" hidden="1" customHeight="1" x14ac:dyDescent="0.2"/>
    <row r="31552" ht="12.75" hidden="1" customHeight="1" x14ac:dyDescent="0.2"/>
    <row r="31553" ht="12.75" hidden="1" customHeight="1" x14ac:dyDescent="0.2"/>
    <row r="31554" ht="12.75" hidden="1" customHeight="1" x14ac:dyDescent="0.2"/>
    <row r="31555" ht="12.75" hidden="1" customHeight="1" x14ac:dyDescent="0.2"/>
    <row r="31556" ht="12.75" hidden="1" customHeight="1" x14ac:dyDescent="0.2"/>
    <row r="31557" ht="12.75" hidden="1" customHeight="1" x14ac:dyDescent="0.2"/>
    <row r="31558" ht="12.75" hidden="1" customHeight="1" x14ac:dyDescent="0.2"/>
    <row r="31559" ht="12.75" hidden="1" customHeight="1" x14ac:dyDescent="0.2"/>
    <row r="31560" ht="12.75" hidden="1" customHeight="1" x14ac:dyDescent="0.2"/>
    <row r="31561" ht="12.75" hidden="1" customHeight="1" x14ac:dyDescent="0.2"/>
    <row r="31562" ht="12.75" hidden="1" customHeight="1" x14ac:dyDescent="0.2"/>
    <row r="31563" ht="12.75" hidden="1" customHeight="1" x14ac:dyDescent="0.2"/>
    <row r="31564" ht="12.75" hidden="1" customHeight="1" x14ac:dyDescent="0.2"/>
    <row r="31565" ht="12.75" hidden="1" customHeight="1" x14ac:dyDescent="0.2"/>
    <row r="31566" ht="12.75" hidden="1" customHeight="1" x14ac:dyDescent="0.2"/>
    <row r="31567" ht="12.75" hidden="1" customHeight="1" x14ac:dyDescent="0.2"/>
    <row r="31568" ht="12.75" hidden="1" customHeight="1" x14ac:dyDescent="0.2"/>
    <row r="31569" ht="12.75" hidden="1" customHeight="1" x14ac:dyDescent="0.2"/>
    <row r="31570" ht="12.75" hidden="1" customHeight="1" x14ac:dyDescent="0.2"/>
    <row r="31571" ht="12.75" hidden="1" customHeight="1" x14ac:dyDescent="0.2"/>
    <row r="31572" ht="12.75" hidden="1" customHeight="1" x14ac:dyDescent="0.2"/>
    <row r="31573" ht="12.75" hidden="1" customHeight="1" x14ac:dyDescent="0.2"/>
    <row r="31574" ht="12.75" hidden="1" customHeight="1" x14ac:dyDescent="0.2"/>
    <row r="31575" ht="12.75" hidden="1" customHeight="1" x14ac:dyDescent="0.2"/>
    <row r="31576" ht="12.75" hidden="1" customHeight="1" x14ac:dyDescent="0.2"/>
    <row r="31577" ht="12.75" hidden="1" customHeight="1" x14ac:dyDescent="0.2"/>
    <row r="31578" ht="12.75" hidden="1" customHeight="1" x14ac:dyDescent="0.2"/>
    <row r="31579" ht="12.75" hidden="1" customHeight="1" x14ac:dyDescent="0.2"/>
    <row r="31580" ht="12.75" hidden="1" customHeight="1" x14ac:dyDescent="0.2"/>
    <row r="31581" ht="12.75" hidden="1" customHeight="1" x14ac:dyDescent="0.2"/>
    <row r="31582" ht="12.75" hidden="1" customHeight="1" x14ac:dyDescent="0.2"/>
    <row r="31583" ht="12.75" hidden="1" customHeight="1" x14ac:dyDescent="0.2"/>
    <row r="31584" ht="12.75" hidden="1" customHeight="1" x14ac:dyDescent="0.2"/>
    <row r="31585" ht="12.75" hidden="1" customHeight="1" x14ac:dyDescent="0.2"/>
    <row r="31586" ht="12.75" hidden="1" customHeight="1" x14ac:dyDescent="0.2"/>
    <row r="31587" ht="12.75" hidden="1" customHeight="1" x14ac:dyDescent="0.2"/>
    <row r="31588" ht="12.75" hidden="1" customHeight="1" x14ac:dyDescent="0.2"/>
    <row r="31589" ht="12.75" hidden="1" customHeight="1" x14ac:dyDescent="0.2"/>
    <row r="31590" ht="12.75" hidden="1" customHeight="1" x14ac:dyDescent="0.2"/>
    <row r="31591" ht="12.75" hidden="1" customHeight="1" x14ac:dyDescent="0.2"/>
    <row r="31592" ht="12.75" hidden="1" customHeight="1" x14ac:dyDescent="0.2"/>
    <row r="31593" ht="12.75" hidden="1" customHeight="1" x14ac:dyDescent="0.2"/>
    <row r="31594" ht="12.75" hidden="1" customHeight="1" x14ac:dyDescent="0.2"/>
    <row r="31595" ht="12.75" hidden="1" customHeight="1" x14ac:dyDescent="0.2"/>
    <row r="31596" ht="12.75" hidden="1" customHeight="1" x14ac:dyDescent="0.2"/>
    <row r="31597" ht="12.75" hidden="1" customHeight="1" x14ac:dyDescent="0.2"/>
    <row r="31598" ht="12.75" hidden="1" customHeight="1" x14ac:dyDescent="0.2"/>
    <row r="31599" ht="12.75" hidden="1" customHeight="1" x14ac:dyDescent="0.2"/>
    <row r="31600" ht="12.75" hidden="1" customHeight="1" x14ac:dyDescent="0.2"/>
    <row r="31601" ht="12.75" hidden="1" customHeight="1" x14ac:dyDescent="0.2"/>
    <row r="31602" ht="12.75" hidden="1" customHeight="1" x14ac:dyDescent="0.2"/>
    <row r="31603" ht="12.75" hidden="1" customHeight="1" x14ac:dyDescent="0.2"/>
    <row r="31604" ht="12.75" hidden="1" customHeight="1" x14ac:dyDescent="0.2"/>
    <row r="31605" ht="12.75" hidden="1" customHeight="1" x14ac:dyDescent="0.2"/>
    <row r="31606" ht="12.75" hidden="1" customHeight="1" x14ac:dyDescent="0.2"/>
    <row r="31607" ht="12.75" hidden="1" customHeight="1" x14ac:dyDescent="0.2"/>
    <row r="31608" ht="12.75" hidden="1" customHeight="1" x14ac:dyDescent="0.2"/>
    <row r="31609" ht="12.75" hidden="1" customHeight="1" x14ac:dyDescent="0.2"/>
    <row r="31610" ht="12.75" hidden="1" customHeight="1" x14ac:dyDescent="0.2"/>
    <row r="31611" ht="12.75" hidden="1" customHeight="1" x14ac:dyDescent="0.2"/>
    <row r="31612" ht="12.75" hidden="1" customHeight="1" x14ac:dyDescent="0.2"/>
    <row r="31613" ht="12.75" hidden="1" customHeight="1" x14ac:dyDescent="0.2"/>
    <row r="31614" ht="12.75" hidden="1" customHeight="1" x14ac:dyDescent="0.2"/>
    <row r="31615" ht="12.75" hidden="1" customHeight="1" x14ac:dyDescent="0.2"/>
    <row r="31616" ht="12.75" hidden="1" customHeight="1" x14ac:dyDescent="0.2"/>
    <row r="31617" ht="12.75" hidden="1" customHeight="1" x14ac:dyDescent="0.2"/>
    <row r="31618" ht="12.75" hidden="1" customHeight="1" x14ac:dyDescent="0.2"/>
    <row r="31619" ht="12.75" hidden="1" customHeight="1" x14ac:dyDescent="0.2"/>
    <row r="31620" ht="12.75" hidden="1" customHeight="1" x14ac:dyDescent="0.2"/>
    <row r="31621" ht="12.75" hidden="1" customHeight="1" x14ac:dyDescent="0.2"/>
    <row r="31622" ht="12.75" hidden="1" customHeight="1" x14ac:dyDescent="0.2"/>
    <row r="31623" ht="12.75" hidden="1" customHeight="1" x14ac:dyDescent="0.2"/>
    <row r="31624" ht="12.75" hidden="1" customHeight="1" x14ac:dyDescent="0.2"/>
    <row r="31625" ht="12.75" hidden="1" customHeight="1" x14ac:dyDescent="0.2"/>
    <row r="31626" ht="12.75" hidden="1" customHeight="1" x14ac:dyDescent="0.2"/>
    <row r="31627" ht="12.75" hidden="1" customHeight="1" x14ac:dyDescent="0.2"/>
    <row r="31628" ht="12.75" hidden="1" customHeight="1" x14ac:dyDescent="0.2"/>
    <row r="31629" ht="12.75" hidden="1" customHeight="1" x14ac:dyDescent="0.2"/>
    <row r="31630" ht="12.75" hidden="1" customHeight="1" x14ac:dyDescent="0.2"/>
    <row r="31631" ht="12.75" hidden="1" customHeight="1" x14ac:dyDescent="0.2"/>
    <row r="31632" ht="12.75" hidden="1" customHeight="1" x14ac:dyDescent="0.2"/>
    <row r="31633" ht="12.75" hidden="1" customHeight="1" x14ac:dyDescent="0.2"/>
    <row r="31634" ht="12.75" hidden="1" customHeight="1" x14ac:dyDescent="0.2"/>
    <row r="31635" ht="12.75" hidden="1" customHeight="1" x14ac:dyDescent="0.2"/>
    <row r="31636" ht="12.75" hidden="1" customHeight="1" x14ac:dyDescent="0.2"/>
    <row r="31637" ht="12.75" hidden="1" customHeight="1" x14ac:dyDescent="0.2"/>
    <row r="31638" ht="12.75" hidden="1" customHeight="1" x14ac:dyDescent="0.2"/>
    <row r="31639" ht="12.75" hidden="1" customHeight="1" x14ac:dyDescent="0.2"/>
    <row r="31640" ht="12.75" hidden="1" customHeight="1" x14ac:dyDescent="0.2"/>
    <row r="31641" ht="12.75" hidden="1" customHeight="1" x14ac:dyDescent="0.2"/>
    <row r="31642" ht="12.75" hidden="1" customHeight="1" x14ac:dyDescent="0.2"/>
    <row r="31643" ht="12.75" hidden="1" customHeight="1" x14ac:dyDescent="0.2"/>
    <row r="31644" ht="12.75" hidden="1" customHeight="1" x14ac:dyDescent="0.2"/>
    <row r="31645" ht="12.75" hidden="1" customHeight="1" x14ac:dyDescent="0.2"/>
    <row r="31646" ht="12.75" hidden="1" customHeight="1" x14ac:dyDescent="0.2"/>
    <row r="31647" ht="12.75" hidden="1" customHeight="1" x14ac:dyDescent="0.2"/>
    <row r="31648" ht="12.75" hidden="1" customHeight="1" x14ac:dyDescent="0.2"/>
    <row r="31649" ht="12.75" hidden="1" customHeight="1" x14ac:dyDescent="0.2"/>
    <row r="31650" ht="12.75" hidden="1" customHeight="1" x14ac:dyDescent="0.2"/>
    <row r="31651" ht="12.75" hidden="1" customHeight="1" x14ac:dyDescent="0.2"/>
    <row r="31652" ht="12.75" hidden="1" customHeight="1" x14ac:dyDescent="0.2"/>
    <row r="31653" ht="12.75" hidden="1" customHeight="1" x14ac:dyDescent="0.2"/>
    <row r="31654" ht="12.75" hidden="1" customHeight="1" x14ac:dyDescent="0.2"/>
    <row r="31655" ht="12.75" hidden="1" customHeight="1" x14ac:dyDescent="0.2"/>
    <row r="31656" ht="12.75" hidden="1" customHeight="1" x14ac:dyDescent="0.2"/>
    <row r="31657" ht="12.75" hidden="1" customHeight="1" x14ac:dyDescent="0.2"/>
    <row r="31658" ht="12.75" hidden="1" customHeight="1" x14ac:dyDescent="0.2"/>
    <row r="31659" ht="12.75" hidden="1" customHeight="1" x14ac:dyDescent="0.2"/>
    <row r="31660" ht="12.75" hidden="1" customHeight="1" x14ac:dyDescent="0.2"/>
    <row r="31661" ht="12.75" hidden="1" customHeight="1" x14ac:dyDescent="0.2"/>
    <row r="31662" ht="12.75" hidden="1" customHeight="1" x14ac:dyDescent="0.2"/>
    <row r="31663" ht="12.75" hidden="1" customHeight="1" x14ac:dyDescent="0.2"/>
    <row r="31664" ht="12.75" hidden="1" customHeight="1" x14ac:dyDescent="0.2"/>
    <row r="31665" ht="12.75" hidden="1" customHeight="1" x14ac:dyDescent="0.2"/>
    <row r="31666" ht="12.75" hidden="1" customHeight="1" x14ac:dyDescent="0.2"/>
    <row r="31667" ht="12.75" hidden="1" customHeight="1" x14ac:dyDescent="0.2"/>
    <row r="31668" ht="12.75" hidden="1" customHeight="1" x14ac:dyDescent="0.2"/>
    <row r="31669" ht="12.75" hidden="1" customHeight="1" x14ac:dyDescent="0.2"/>
    <row r="31670" ht="12.75" hidden="1" customHeight="1" x14ac:dyDescent="0.2"/>
    <row r="31671" ht="12.75" hidden="1" customHeight="1" x14ac:dyDescent="0.2"/>
    <row r="31672" ht="12.75" hidden="1" customHeight="1" x14ac:dyDescent="0.2"/>
    <row r="31673" ht="12.75" hidden="1" customHeight="1" x14ac:dyDescent="0.2"/>
    <row r="31674" ht="12.75" hidden="1" customHeight="1" x14ac:dyDescent="0.2"/>
    <row r="31675" ht="12.75" hidden="1" customHeight="1" x14ac:dyDescent="0.2"/>
    <row r="31676" ht="12.75" hidden="1" customHeight="1" x14ac:dyDescent="0.2"/>
    <row r="31677" ht="12.75" hidden="1" customHeight="1" x14ac:dyDescent="0.2"/>
    <row r="31678" ht="12.75" hidden="1" customHeight="1" x14ac:dyDescent="0.2"/>
    <row r="31679" ht="12.75" hidden="1" customHeight="1" x14ac:dyDescent="0.2"/>
    <row r="31680" ht="12.75" hidden="1" customHeight="1" x14ac:dyDescent="0.2"/>
    <row r="31681" ht="12.75" hidden="1" customHeight="1" x14ac:dyDescent="0.2"/>
    <row r="31682" ht="12.75" hidden="1" customHeight="1" x14ac:dyDescent="0.2"/>
    <row r="31683" ht="12.75" hidden="1" customHeight="1" x14ac:dyDescent="0.2"/>
    <row r="31684" ht="12.75" hidden="1" customHeight="1" x14ac:dyDescent="0.2"/>
    <row r="31685" ht="12.75" hidden="1" customHeight="1" x14ac:dyDescent="0.2"/>
    <row r="31686" ht="12.75" hidden="1" customHeight="1" x14ac:dyDescent="0.2"/>
    <row r="31687" ht="12.75" hidden="1" customHeight="1" x14ac:dyDescent="0.2"/>
    <row r="31688" ht="12.75" hidden="1" customHeight="1" x14ac:dyDescent="0.2"/>
    <row r="31689" ht="12.75" hidden="1" customHeight="1" x14ac:dyDescent="0.2"/>
    <row r="31690" ht="12.75" hidden="1" customHeight="1" x14ac:dyDescent="0.2"/>
    <row r="31691" ht="12.75" hidden="1" customHeight="1" x14ac:dyDescent="0.2"/>
    <row r="31692" ht="12.75" hidden="1" customHeight="1" x14ac:dyDescent="0.2"/>
    <row r="31693" ht="12.75" hidden="1" customHeight="1" x14ac:dyDescent="0.2"/>
    <row r="31694" ht="12.75" hidden="1" customHeight="1" x14ac:dyDescent="0.2"/>
    <row r="31695" ht="12.75" hidden="1" customHeight="1" x14ac:dyDescent="0.2"/>
    <row r="31696" ht="12.75" hidden="1" customHeight="1" x14ac:dyDescent="0.2"/>
    <row r="31697" ht="12.75" hidden="1" customHeight="1" x14ac:dyDescent="0.2"/>
    <row r="31698" ht="12.75" hidden="1" customHeight="1" x14ac:dyDescent="0.2"/>
    <row r="31699" ht="12.75" hidden="1" customHeight="1" x14ac:dyDescent="0.2"/>
    <row r="31700" ht="12.75" hidden="1" customHeight="1" x14ac:dyDescent="0.2"/>
    <row r="31701" ht="12.75" hidden="1" customHeight="1" x14ac:dyDescent="0.2"/>
    <row r="31702" ht="12.75" hidden="1" customHeight="1" x14ac:dyDescent="0.2"/>
    <row r="31703" ht="12.75" hidden="1" customHeight="1" x14ac:dyDescent="0.2"/>
    <row r="31704" ht="12.75" hidden="1" customHeight="1" x14ac:dyDescent="0.2"/>
    <row r="31705" ht="12.75" hidden="1" customHeight="1" x14ac:dyDescent="0.2"/>
    <row r="31706" ht="12.75" hidden="1" customHeight="1" x14ac:dyDescent="0.2"/>
    <row r="31707" ht="12.75" hidden="1" customHeight="1" x14ac:dyDescent="0.2"/>
    <row r="31708" ht="12.75" hidden="1" customHeight="1" x14ac:dyDescent="0.2"/>
    <row r="31709" ht="12.75" hidden="1" customHeight="1" x14ac:dyDescent="0.2"/>
    <row r="31710" ht="12.75" hidden="1" customHeight="1" x14ac:dyDescent="0.2"/>
    <row r="31711" ht="12.75" hidden="1" customHeight="1" x14ac:dyDescent="0.2"/>
    <row r="31712" ht="12.75" hidden="1" customHeight="1" x14ac:dyDescent="0.2"/>
    <row r="31713" ht="12.75" hidden="1" customHeight="1" x14ac:dyDescent="0.2"/>
    <row r="31714" ht="12.75" hidden="1" customHeight="1" x14ac:dyDescent="0.2"/>
    <row r="31715" ht="12.75" hidden="1" customHeight="1" x14ac:dyDescent="0.2"/>
    <row r="31716" ht="12.75" hidden="1" customHeight="1" x14ac:dyDescent="0.2"/>
    <row r="31717" ht="12.75" hidden="1" customHeight="1" x14ac:dyDescent="0.2"/>
    <row r="31718" ht="12.75" hidden="1" customHeight="1" x14ac:dyDescent="0.2"/>
    <row r="31719" ht="12.75" hidden="1" customHeight="1" x14ac:dyDescent="0.2"/>
    <row r="31720" ht="12.75" hidden="1" customHeight="1" x14ac:dyDescent="0.2"/>
    <row r="31721" ht="12.75" hidden="1" customHeight="1" x14ac:dyDescent="0.2"/>
    <row r="31722" ht="12.75" hidden="1" customHeight="1" x14ac:dyDescent="0.2"/>
    <row r="31723" ht="12.75" hidden="1" customHeight="1" x14ac:dyDescent="0.2"/>
    <row r="31724" ht="12.75" hidden="1" customHeight="1" x14ac:dyDescent="0.2"/>
    <row r="31725" ht="12.75" hidden="1" customHeight="1" x14ac:dyDescent="0.2"/>
    <row r="31726" ht="12.75" hidden="1" customHeight="1" x14ac:dyDescent="0.2"/>
    <row r="31727" ht="12.75" hidden="1" customHeight="1" x14ac:dyDescent="0.2"/>
    <row r="31728" ht="12.75" hidden="1" customHeight="1" x14ac:dyDescent="0.2"/>
    <row r="31729" ht="12.75" hidden="1" customHeight="1" x14ac:dyDescent="0.2"/>
    <row r="31730" ht="12.75" hidden="1" customHeight="1" x14ac:dyDescent="0.2"/>
    <row r="31731" ht="12.75" hidden="1" customHeight="1" x14ac:dyDescent="0.2"/>
    <row r="31732" ht="12.75" hidden="1" customHeight="1" x14ac:dyDescent="0.2"/>
    <row r="31733" ht="12.75" hidden="1" customHeight="1" x14ac:dyDescent="0.2"/>
    <row r="31734" ht="12.75" hidden="1" customHeight="1" x14ac:dyDescent="0.2"/>
    <row r="31735" ht="12.75" hidden="1" customHeight="1" x14ac:dyDescent="0.2"/>
    <row r="31736" ht="12.75" hidden="1" customHeight="1" x14ac:dyDescent="0.2"/>
    <row r="31737" ht="12.75" hidden="1" customHeight="1" x14ac:dyDescent="0.2"/>
    <row r="31738" ht="12.75" hidden="1" customHeight="1" x14ac:dyDescent="0.2"/>
    <row r="31739" ht="12.75" hidden="1" customHeight="1" x14ac:dyDescent="0.2"/>
    <row r="31740" ht="12.75" hidden="1" customHeight="1" x14ac:dyDescent="0.2"/>
    <row r="31741" ht="12.75" hidden="1" customHeight="1" x14ac:dyDescent="0.2"/>
    <row r="31742" ht="12.75" hidden="1" customHeight="1" x14ac:dyDescent="0.2"/>
    <row r="31743" ht="12.75" hidden="1" customHeight="1" x14ac:dyDescent="0.2"/>
    <row r="31744" ht="12.75" hidden="1" customHeight="1" x14ac:dyDescent="0.2"/>
    <row r="31745" ht="12.75" hidden="1" customHeight="1" x14ac:dyDescent="0.2"/>
    <row r="31746" ht="12.75" hidden="1" customHeight="1" x14ac:dyDescent="0.2"/>
    <row r="31747" ht="12.75" hidden="1" customHeight="1" x14ac:dyDescent="0.2"/>
    <row r="31748" ht="12.75" hidden="1" customHeight="1" x14ac:dyDescent="0.2"/>
    <row r="31749" ht="12.75" hidden="1" customHeight="1" x14ac:dyDescent="0.2"/>
    <row r="31750" ht="12.75" hidden="1" customHeight="1" x14ac:dyDescent="0.2"/>
    <row r="31751" ht="12.75" hidden="1" customHeight="1" x14ac:dyDescent="0.2"/>
    <row r="31752" ht="12.75" hidden="1" customHeight="1" x14ac:dyDescent="0.2"/>
    <row r="31753" ht="12.75" hidden="1" customHeight="1" x14ac:dyDescent="0.2"/>
    <row r="31754" ht="12.75" hidden="1" customHeight="1" x14ac:dyDescent="0.2"/>
    <row r="31755" ht="12.75" hidden="1" customHeight="1" x14ac:dyDescent="0.2"/>
    <row r="31756" ht="12.75" hidden="1" customHeight="1" x14ac:dyDescent="0.2"/>
    <row r="31757" ht="12.75" hidden="1" customHeight="1" x14ac:dyDescent="0.2"/>
    <row r="31758" ht="12.75" hidden="1" customHeight="1" x14ac:dyDescent="0.2"/>
    <row r="31759" ht="12.75" hidden="1" customHeight="1" x14ac:dyDescent="0.2"/>
    <row r="31760" ht="12.75" hidden="1" customHeight="1" x14ac:dyDescent="0.2"/>
    <row r="31761" ht="12.75" hidden="1" customHeight="1" x14ac:dyDescent="0.2"/>
    <row r="31762" ht="12.75" hidden="1" customHeight="1" x14ac:dyDescent="0.2"/>
    <row r="31763" ht="12.75" hidden="1" customHeight="1" x14ac:dyDescent="0.2"/>
    <row r="31764" ht="12.75" hidden="1" customHeight="1" x14ac:dyDescent="0.2"/>
    <row r="31765" ht="12.75" hidden="1" customHeight="1" x14ac:dyDescent="0.2"/>
    <row r="31766" ht="12.75" hidden="1" customHeight="1" x14ac:dyDescent="0.2"/>
    <row r="31767" ht="12.75" hidden="1" customHeight="1" x14ac:dyDescent="0.2"/>
    <row r="31768" ht="12.75" hidden="1" customHeight="1" x14ac:dyDescent="0.2"/>
    <row r="31769" ht="12.75" hidden="1" customHeight="1" x14ac:dyDescent="0.2"/>
    <row r="31770" ht="12.75" hidden="1" customHeight="1" x14ac:dyDescent="0.2"/>
    <row r="31771" ht="12.75" hidden="1" customHeight="1" x14ac:dyDescent="0.2"/>
    <row r="31772" ht="12.75" hidden="1" customHeight="1" x14ac:dyDescent="0.2"/>
    <row r="31773" ht="12.75" hidden="1" customHeight="1" x14ac:dyDescent="0.2"/>
    <row r="31774" ht="12.75" hidden="1" customHeight="1" x14ac:dyDescent="0.2"/>
    <row r="31775" ht="12.75" hidden="1" customHeight="1" x14ac:dyDescent="0.2"/>
    <row r="31776" ht="12.75" hidden="1" customHeight="1" x14ac:dyDescent="0.2"/>
    <row r="31777" ht="12.75" hidden="1" customHeight="1" x14ac:dyDescent="0.2"/>
    <row r="31778" ht="12.75" hidden="1" customHeight="1" x14ac:dyDescent="0.2"/>
    <row r="31779" ht="12.75" hidden="1" customHeight="1" x14ac:dyDescent="0.2"/>
    <row r="31780" ht="12.75" hidden="1" customHeight="1" x14ac:dyDescent="0.2"/>
    <row r="31781" ht="12.75" hidden="1" customHeight="1" x14ac:dyDescent="0.2"/>
    <row r="31782" ht="12.75" hidden="1" customHeight="1" x14ac:dyDescent="0.2"/>
    <row r="31783" ht="12.75" hidden="1" customHeight="1" x14ac:dyDescent="0.2"/>
    <row r="31784" ht="12.75" hidden="1" customHeight="1" x14ac:dyDescent="0.2"/>
    <row r="31785" ht="12.75" hidden="1" customHeight="1" x14ac:dyDescent="0.2"/>
    <row r="31786" ht="12.75" hidden="1" customHeight="1" x14ac:dyDescent="0.2"/>
    <row r="31787" ht="12.75" hidden="1" customHeight="1" x14ac:dyDescent="0.2"/>
    <row r="31788" ht="12.75" hidden="1" customHeight="1" x14ac:dyDescent="0.2"/>
    <row r="31789" ht="12.75" hidden="1" customHeight="1" x14ac:dyDescent="0.2"/>
    <row r="31790" ht="12.75" hidden="1" customHeight="1" x14ac:dyDescent="0.2"/>
    <row r="31791" ht="12.75" hidden="1" customHeight="1" x14ac:dyDescent="0.2"/>
    <row r="31792" ht="12.75" hidden="1" customHeight="1" x14ac:dyDescent="0.2"/>
    <row r="31793" ht="12.75" hidden="1" customHeight="1" x14ac:dyDescent="0.2"/>
    <row r="31794" ht="12.75" hidden="1" customHeight="1" x14ac:dyDescent="0.2"/>
    <row r="31795" ht="12.75" hidden="1" customHeight="1" x14ac:dyDescent="0.2"/>
    <row r="31796" ht="12.75" hidden="1" customHeight="1" x14ac:dyDescent="0.2"/>
    <row r="31797" ht="12.75" hidden="1" customHeight="1" x14ac:dyDescent="0.2"/>
    <row r="31798" ht="12.75" hidden="1" customHeight="1" x14ac:dyDescent="0.2"/>
    <row r="31799" ht="12.75" hidden="1" customHeight="1" x14ac:dyDescent="0.2"/>
    <row r="31800" ht="12.75" hidden="1" customHeight="1" x14ac:dyDescent="0.2"/>
    <row r="31801" ht="12.75" hidden="1" customHeight="1" x14ac:dyDescent="0.2"/>
    <row r="31802" ht="12.75" hidden="1" customHeight="1" x14ac:dyDescent="0.2"/>
    <row r="31803" ht="12.75" hidden="1" customHeight="1" x14ac:dyDescent="0.2"/>
    <row r="31804" ht="12.75" hidden="1" customHeight="1" x14ac:dyDescent="0.2"/>
    <row r="31805" ht="12.75" hidden="1" customHeight="1" x14ac:dyDescent="0.2"/>
    <row r="31806" ht="12.75" hidden="1" customHeight="1" x14ac:dyDescent="0.2"/>
    <row r="31807" ht="12.75" hidden="1" customHeight="1" x14ac:dyDescent="0.2"/>
    <row r="31808" ht="12.75" hidden="1" customHeight="1" x14ac:dyDescent="0.2"/>
    <row r="31809" ht="12.75" hidden="1" customHeight="1" x14ac:dyDescent="0.2"/>
    <row r="31810" ht="12.75" hidden="1" customHeight="1" x14ac:dyDescent="0.2"/>
    <row r="31811" ht="12.75" hidden="1" customHeight="1" x14ac:dyDescent="0.2"/>
    <row r="31812" ht="12.75" hidden="1" customHeight="1" x14ac:dyDescent="0.2"/>
    <row r="31813" ht="12.75" hidden="1" customHeight="1" x14ac:dyDescent="0.2"/>
    <row r="31814" ht="12.75" hidden="1" customHeight="1" x14ac:dyDescent="0.2"/>
    <row r="31815" ht="12.75" hidden="1" customHeight="1" x14ac:dyDescent="0.2"/>
    <row r="31816" ht="12.75" hidden="1" customHeight="1" x14ac:dyDescent="0.2"/>
    <row r="31817" ht="12.75" hidden="1" customHeight="1" x14ac:dyDescent="0.2"/>
    <row r="31818" ht="12.75" hidden="1" customHeight="1" x14ac:dyDescent="0.2"/>
    <row r="31819" ht="12.75" hidden="1" customHeight="1" x14ac:dyDescent="0.2"/>
    <row r="31820" ht="12.75" hidden="1" customHeight="1" x14ac:dyDescent="0.2"/>
    <row r="31821" ht="12.75" hidden="1" customHeight="1" x14ac:dyDescent="0.2"/>
    <row r="31822" ht="12.75" hidden="1" customHeight="1" x14ac:dyDescent="0.2"/>
    <row r="31823" ht="12.75" hidden="1" customHeight="1" x14ac:dyDescent="0.2"/>
    <row r="31824" ht="12.75" hidden="1" customHeight="1" x14ac:dyDescent="0.2"/>
    <row r="31825" ht="12.75" hidden="1" customHeight="1" x14ac:dyDescent="0.2"/>
    <row r="31826" ht="12.75" hidden="1" customHeight="1" x14ac:dyDescent="0.2"/>
    <row r="31827" ht="12.75" hidden="1" customHeight="1" x14ac:dyDescent="0.2"/>
    <row r="31828" ht="12.75" hidden="1" customHeight="1" x14ac:dyDescent="0.2"/>
    <row r="31829" ht="12.75" hidden="1" customHeight="1" x14ac:dyDescent="0.2"/>
    <row r="31830" ht="12.75" hidden="1" customHeight="1" x14ac:dyDescent="0.2"/>
    <row r="31831" ht="12.75" hidden="1" customHeight="1" x14ac:dyDescent="0.2"/>
    <row r="31832" ht="12.75" hidden="1" customHeight="1" x14ac:dyDescent="0.2"/>
    <row r="31833" ht="12.75" hidden="1" customHeight="1" x14ac:dyDescent="0.2"/>
    <row r="31834" ht="12.75" hidden="1" customHeight="1" x14ac:dyDescent="0.2"/>
    <row r="31835" ht="12.75" hidden="1" customHeight="1" x14ac:dyDescent="0.2"/>
    <row r="31836" ht="12.75" hidden="1" customHeight="1" x14ac:dyDescent="0.2"/>
    <row r="31837" ht="12.75" hidden="1" customHeight="1" x14ac:dyDescent="0.2"/>
    <row r="31838" ht="12.75" hidden="1" customHeight="1" x14ac:dyDescent="0.2"/>
    <row r="31839" ht="12.75" hidden="1" customHeight="1" x14ac:dyDescent="0.2"/>
    <row r="31840" ht="12.75" hidden="1" customHeight="1" x14ac:dyDescent="0.2"/>
    <row r="31841" ht="12.75" hidden="1" customHeight="1" x14ac:dyDescent="0.2"/>
    <row r="31842" ht="12.75" hidden="1" customHeight="1" x14ac:dyDescent="0.2"/>
    <row r="31843" ht="12.75" hidden="1" customHeight="1" x14ac:dyDescent="0.2"/>
    <row r="31844" ht="12.75" hidden="1" customHeight="1" x14ac:dyDescent="0.2"/>
    <row r="31845" ht="12.75" hidden="1" customHeight="1" x14ac:dyDescent="0.2"/>
    <row r="31846" ht="12.75" hidden="1" customHeight="1" x14ac:dyDescent="0.2"/>
    <row r="31847" ht="12.75" hidden="1" customHeight="1" x14ac:dyDescent="0.2"/>
    <row r="31848" ht="12.75" hidden="1" customHeight="1" x14ac:dyDescent="0.2"/>
    <row r="31849" ht="12.75" hidden="1" customHeight="1" x14ac:dyDescent="0.2"/>
    <row r="31850" ht="12.75" hidden="1" customHeight="1" x14ac:dyDescent="0.2"/>
    <row r="31851" ht="12.75" hidden="1" customHeight="1" x14ac:dyDescent="0.2"/>
    <row r="31852" ht="12.75" hidden="1" customHeight="1" x14ac:dyDescent="0.2"/>
    <row r="31853" ht="12.75" hidden="1" customHeight="1" x14ac:dyDescent="0.2"/>
    <row r="31854" ht="12.75" hidden="1" customHeight="1" x14ac:dyDescent="0.2"/>
    <row r="31855" ht="12.75" hidden="1" customHeight="1" x14ac:dyDescent="0.2"/>
    <row r="31856" ht="12.75" hidden="1" customHeight="1" x14ac:dyDescent="0.2"/>
    <row r="31857" ht="12.75" hidden="1" customHeight="1" x14ac:dyDescent="0.2"/>
    <row r="31858" ht="12.75" hidden="1" customHeight="1" x14ac:dyDescent="0.2"/>
    <row r="31859" ht="12.75" hidden="1" customHeight="1" x14ac:dyDescent="0.2"/>
    <row r="31860" ht="12.75" hidden="1" customHeight="1" x14ac:dyDescent="0.2"/>
    <row r="31861" ht="12.75" hidden="1" customHeight="1" x14ac:dyDescent="0.2"/>
    <row r="31862" ht="12.75" hidden="1" customHeight="1" x14ac:dyDescent="0.2"/>
    <row r="31863" ht="12.75" hidden="1" customHeight="1" x14ac:dyDescent="0.2"/>
    <row r="31864" ht="12.75" hidden="1" customHeight="1" x14ac:dyDescent="0.2"/>
    <row r="31865" ht="12.75" hidden="1" customHeight="1" x14ac:dyDescent="0.2"/>
    <row r="31866" ht="12.75" hidden="1" customHeight="1" x14ac:dyDescent="0.2"/>
    <row r="31867" ht="12.75" hidden="1" customHeight="1" x14ac:dyDescent="0.2"/>
    <row r="31868" ht="12.75" hidden="1" customHeight="1" x14ac:dyDescent="0.2"/>
    <row r="31869" ht="12.75" hidden="1" customHeight="1" x14ac:dyDescent="0.2"/>
    <row r="31870" ht="12.75" hidden="1" customHeight="1" x14ac:dyDescent="0.2"/>
    <row r="31871" ht="12.75" hidden="1" customHeight="1" x14ac:dyDescent="0.2"/>
    <row r="31872" ht="12.75" hidden="1" customHeight="1" x14ac:dyDescent="0.2"/>
    <row r="31873" ht="12.75" hidden="1" customHeight="1" x14ac:dyDescent="0.2"/>
    <row r="31874" ht="12.75" hidden="1" customHeight="1" x14ac:dyDescent="0.2"/>
    <row r="31875" ht="12.75" hidden="1" customHeight="1" x14ac:dyDescent="0.2"/>
    <row r="31876" ht="12.75" hidden="1" customHeight="1" x14ac:dyDescent="0.2"/>
    <row r="31877" ht="12.75" hidden="1" customHeight="1" x14ac:dyDescent="0.2"/>
    <row r="31878" ht="12.75" hidden="1" customHeight="1" x14ac:dyDescent="0.2"/>
    <row r="31879" ht="12.75" hidden="1" customHeight="1" x14ac:dyDescent="0.2"/>
    <row r="31880" ht="12.75" hidden="1" customHeight="1" x14ac:dyDescent="0.2"/>
    <row r="31881" ht="12.75" hidden="1" customHeight="1" x14ac:dyDescent="0.2"/>
    <row r="31882" ht="12.75" hidden="1" customHeight="1" x14ac:dyDescent="0.2"/>
    <row r="31883" ht="12.75" hidden="1" customHeight="1" x14ac:dyDescent="0.2"/>
    <row r="31884" ht="12.75" hidden="1" customHeight="1" x14ac:dyDescent="0.2"/>
    <row r="31885" ht="12.75" hidden="1" customHeight="1" x14ac:dyDescent="0.2"/>
    <row r="31886" ht="12.75" hidden="1" customHeight="1" x14ac:dyDescent="0.2"/>
    <row r="31887" ht="12.75" hidden="1" customHeight="1" x14ac:dyDescent="0.2"/>
    <row r="31888" ht="12.75" hidden="1" customHeight="1" x14ac:dyDescent="0.2"/>
    <row r="31889" ht="12.75" hidden="1" customHeight="1" x14ac:dyDescent="0.2"/>
    <row r="31890" ht="12.75" hidden="1" customHeight="1" x14ac:dyDescent="0.2"/>
    <row r="31891" ht="12.75" hidden="1" customHeight="1" x14ac:dyDescent="0.2"/>
    <row r="31892" ht="12.75" hidden="1" customHeight="1" x14ac:dyDescent="0.2"/>
    <row r="31893" ht="12.75" hidden="1" customHeight="1" x14ac:dyDescent="0.2"/>
    <row r="31894" ht="12.75" hidden="1" customHeight="1" x14ac:dyDescent="0.2"/>
    <row r="31895" ht="12.75" hidden="1" customHeight="1" x14ac:dyDescent="0.2"/>
    <row r="31896" ht="12.75" hidden="1" customHeight="1" x14ac:dyDescent="0.2"/>
    <row r="31897" ht="12.75" hidden="1" customHeight="1" x14ac:dyDescent="0.2"/>
    <row r="31898" ht="12.75" hidden="1" customHeight="1" x14ac:dyDescent="0.2"/>
    <row r="31899" ht="12.75" hidden="1" customHeight="1" x14ac:dyDescent="0.2"/>
    <row r="31900" ht="12.75" hidden="1" customHeight="1" x14ac:dyDescent="0.2"/>
    <row r="31901" ht="12.75" hidden="1" customHeight="1" x14ac:dyDescent="0.2"/>
    <row r="31902" ht="12.75" hidden="1" customHeight="1" x14ac:dyDescent="0.2"/>
    <row r="31903" ht="12.75" hidden="1" customHeight="1" x14ac:dyDescent="0.2"/>
    <row r="31904" ht="12.75" hidden="1" customHeight="1" x14ac:dyDescent="0.2"/>
    <row r="31905" ht="12.75" hidden="1" customHeight="1" x14ac:dyDescent="0.2"/>
    <row r="31906" ht="12.75" hidden="1" customHeight="1" x14ac:dyDescent="0.2"/>
    <row r="31907" ht="12.75" hidden="1" customHeight="1" x14ac:dyDescent="0.2"/>
    <row r="31908" ht="12.75" hidden="1" customHeight="1" x14ac:dyDescent="0.2"/>
    <row r="31909" ht="12.75" hidden="1" customHeight="1" x14ac:dyDescent="0.2"/>
    <row r="31910" ht="12.75" hidden="1" customHeight="1" x14ac:dyDescent="0.2"/>
    <row r="31911" ht="12.75" hidden="1" customHeight="1" x14ac:dyDescent="0.2"/>
    <row r="31912" ht="12.75" hidden="1" customHeight="1" x14ac:dyDescent="0.2"/>
    <row r="31913" ht="12.75" hidden="1" customHeight="1" x14ac:dyDescent="0.2"/>
    <row r="31914" ht="12.75" hidden="1" customHeight="1" x14ac:dyDescent="0.2"/>
    <row r="31915" ht="12.75" hidden="1" customHeight="1" x14ac:dyDescent="0.2"/>
    <row r="31916" ht="12.75" hidden="1" customHeight="1" x14ac:dyDescent="0.2"/>
    <row r="31917" ht="12.75" hidden="1" customHeight="1" x14ac:dyDescent="0.2"/>
    <row r="31918" ht="12.75" hidden="1" customHeight="1" x14ac:dyDescent="0.2"/>
    <row r="31919" ht="12.75" hidden="1" customHeight="1" x14ac:dyDescent="0.2"/>
    <row r="31920" ht="12.75" hidden="1" customHeight="1" x14ac:dyDescent="0.2"/>
    <row r="31921" ht="12.75" hidden="1" customHeight="1" x14ac:dyDescent="0.2"/>
    <row r="31922" ht="12.75" hidden="1" customHeight="1" x14ac:dyDescent="0.2"/>
    <row r="31923" ht="12.75" hidden="1" customHeight="1" x14ac:dyDescent="0.2"/>
    <row r="31924" ht="12.75" hidden="1" customHeight="1" x14ac:dyDescent="0.2"/>
    <row r="31925" ht="12.75" hidden="1" customHeight="1" x14ac:dyDescent="0.2"/>
    <row r="31926" ht="12.75" hidden="1" customHeight="1" x14ac:dyDescent="0.2"/>
    <row r="31927" ht="12.75" hidden="1" customHeight="1" x14ac:dyDescent="0.2"/>
    <row r="31928" ht="12.75" hidden="1" customHeight="1" x14ac:dyDescent="0.2"/>
    <row r="31929" ht="12.75" hidden="1" customHeight="1" x14ac:dyDescent="0.2"/>
    <row r="31930" ht="12.75" hidden="1" customHeight="1" x14ac:dyDescent="0.2"/>
    <row r="31931" ht="12.75" hidden="1" customHeight="1" x14ac:dyDescent="0.2"/>
    <row r="31932" ht="12.75" hidden="1" customHeight="1" x14ac:dyDescent="0.2"/>
    <row r="31933" ht="12.75" hidden="1" customHeight="1" x14ac:dyDescent="0.2"/>
    <row r="31934" ht="12.75" hidden="1" customHeight="1" x14ac:dyDescent="0.2"/>
    <row r="31935" ht="12.75" hidden="1" customHeight="1" x14ac:dyDescent="0.2"/>
    <row r="31936" ht="12.75" hidden="1" customHeight="1" x14ac:dyDescent="0.2"/>
    <row r="31937" ht="12.75" hidden="1" customHeight="1" x14ac:dyDescent="0.2"/>
    <row r="31938" ht="12.75" hidden="1" customHeight="1" x14ac:dyDescent="0.2"/>
    <row r="31939" ht="12.75" hidden="1" customHeight="1" x14ac:dyDescent="0.2"/>
    <row r="31940" ht="12.75" hidden="1" customHeight="1" x14ac:dyDescent="0.2"/>
    <row r="31941" ht="12.75" hidden="1" customHeight="1" x14ac:dyDescent="0.2"/>
    <row r="31942" ht="12.75" hidden="1" customHeight="1" x14ac:dyDescent="0.2"/>
    <row r="31943" ht="12.75" hidden="1" customHeight="1" x14ac:dyDescent="0.2"/>
    <row r="31944" ht="12.75" hidden="1" customHeight="1" x14ac:dyDescent="0.2"/>
    <row r="31945" ht="12.75" hidden="1" customHeight="1" x14ac:dyDescent="0.2"/>
    <row r="31946" ht="12.75" hidden="1" customHeight="1" x14ac:dyDescent="0.2"/>
    <row r="31947" ht="12.75" hidden="1" customHeight="1" x14ac:dyDescent="0.2"/>
    <row r="31948" ht="12.75" hidden="1" customHeight="1" x14ac:dyDescent="0.2"/>
    <row r="31949" ht="12.75" hidden="1" customHeight="1" x14ac:dyDescent="0.2"/>
    <row r="31950" ht="12.75" hidden="1" customHeight="1" x14ac:dyDescent="0.2"/>
    <row r="31951" ht="12.75" hidden="1" customHeight="1" x14ac:dyDescent="0.2"/>
    <row r="31952" ht="12.75" hidden="1" customHeight="1" x14ac:dyDescent="0.2"/>
    <row r="31953" ht="12.75" hidden="1" customHeight="1" x14ac:dyDescent="0.2"/>
    <row r="31954" ht="12.75" hidden="1" customHeight="1" x14ac:dyDescent="0.2"/>
    <row r="31955" ht="12.75" hidden="1" customHeight="1" x14ac:dyDescent="0.2"/>
    <row r="31956" ht="12.75" hidden="1" customHeight="1" x14ac:dyDescent="0.2"/>
    <row r="31957" ht="12.75" hidden="1" customHeight="1" x14ac:dyDescent="0.2"/>
    <row r="31958" ht="12.75" hidden="1" customHeight="1" x14ac:dyDescent="0.2"/>
    <row r="31959" ht="12.75" hidden="1" customHeight="1" x14ac:dyDescent="0.2"/>
    <row r="31960" ht="12.75" hidden="1" customHeight="1" x14ac:dyDescent="0.2"/>
    <row r="31961" ht="12.75" hidden="1" customHeight="1" x14ac:dyDescent="0.2"/>
    <row r="31962" ht="12.75" hidden="1" customHeight="1" x14ac:dyDescent="0.2"/>
    <row r="31963" ht="12.75" hidden="1" customHeight="1" x14ac:dyDescent="0.2"/>
    <row r="31964" ht="12.75" hidden="1" customHeight="1" x14ac:dyDescent="0.2"/>
    <row r="31965" ht="12.75" hidden="1" customHeight="1" x14ac:dyDescent="0.2"/>
    <row r="31966" ht="12.75" hidden="1" customHeight="1" x14ac:dyDescent="0.2"/>
    <row r="31967" ht="12.75" hidden="1" customHeight="1" x14ac:dyDescent="0.2"/>
    <row r="31968" ht="12.75" hidden="1" customHeight="1" x14ac:dyDescent="0.2"/>
    <row r="31969" ht="12.75" hidden="1" customHeight="1" x14ac:dyDescent="0.2"/>
    <row r="31970" ht="12.75" hidden="1" customHeight="1" x14ac:dyDescent="0.2"/>
    <row r="31971" ht="12.75" hidden="1" customHeight="1" x14ac:dyDescent="0.2"/>
    <row r="31972" ht="12.75" hidden="1" customHeight="1" x14ac:dyDescent="0.2"/>
    <row r="31973" ht="12.75" hidden="1" customHeight="1" x14ac:dyDescent="0.2"/>
    <row r="31974" ht="12.75" hidden="1" customHeight="1" x14ac:dyDescent="0.2"/>
    <row r="31975" ht="12.75" hidden="1" customHeight="1" x14ac:dyDescent="0.2"/>
    <row r="31976" ht="12.75" hidden="1" customHeight="1" x14ac:dyDescent="0.2"/>
    <row r="31977" ht="12.75" hidden="1" customHeight="1" x14ac:dyDescent="0.2"/>
    <row r="31978" ht="12.75" hidden="1" customHeight="1" x14ac:dyDescent="0.2"/>
    <row r="31979" ht="12.75" hidden="1" customHeight="1" x14ac:dyDescent="0.2"/>
    <row r="31980" ht="12.75" hidden="1" customHeight="1" x14ac:dyDescent="0.2"/>
    <row r="31981" ht="12.75" hidden="1" customHeight="1" x14ac:dyDescent="0.2"/>
    <row r="31982" ht="12.75" hidden="1" customHeight="1" x14ac:dyDescent="0.2"/>
    <row r="31983" ht="12.75" hidden="1" customHeight="1" x14ac:dyDescent="0.2"/>
    <row r="31984" ht="12.75" hidden="1" customHeight="1" x14ac:dyDescent="0.2"/>
    <row r="31985" ht="12.75" hidden="1" customHeight="1" x14ac:dyDescent="0.2"/>
    <row r="31986" ht="12.75" hidden="1" customHeight="1" x14ac:dyDescent="0.2"/>
    <row r="31987" ht="12.75" hidden="1" customHeight="1" x14ac:dyDescent="0.2"/>
    <row r="31988" ht="12.75" hidden="1" customHeight="1" x14ac:dyDescent="0.2"/>
    <row r="31989" ht="12.75" hidden="1" customHeight="1" x14ac:dyDescent="0.2"/>
    <row r="31990" ht="12.75" hidden="1" customHeight="1" x14ac:dyDescent="0.2"/>
    <row r="31991" ht="12.75" hidden="1" customHeight="1" x14ac:dyDescent="0.2"/>
    <row r="31992" ht="12.75" hidden="1" customHeight="1" x14ac:dyDescent="0.2"/>
    <row r="31993" ht="12.75" hidden="1" customHeight="1" x14ac:dyDescent="0.2"/>
    <row r="31994" ht="12.75" hidden="1" customHeight="1" x14ac:dyDescent="0.2"/>
    <row r="31995" ht="12.75" hidden="1" customHeight="1" x14ac:dyDescent="0.2"/>
    <row r="31996" ht="12.75" hidden="1" customHeight="1" x14ac:dyDescent="0.2"/>
    <row r="31997" ht="12.75" hidden="1" customHeight="1" x14ac:dyDescent="0.2"/>
    <row r="31998" ht="12.75" hidden="1" customHeight="1" x14ac:dyDescent="0.2"/>
    <row r="31999" ht="12.75" hidden="1" customHeight="1" x14ac:dyDescent="0.2"/>
    <row r="32000" ht="12.75" hidden="1" customHeight="1" x14ac:dyDescent="0.2"/>
    <row r="32001" ht="12.75" hidden="1" customHeight="1" x14ac:dyDescent="0.2"/>
    <row r="32002" ht="12.75" hidden="1" customHeight="1" x14ac:dyDescent="0.2"/>
    <row r="32003" ht="12.75" hidden="1" customHeight="1" x14ac:dyDescent="0.2"/>
    <row r="32004" ht="12.75" hidden="1" customHeight="1" x14ac:dyDescent="0.2"/>
    <row r="32005" ht="12.75" hidden="1" customHeight="1" x14ac:dyDescent="0.2"/>
    <row r="32006" ht="12.75" hidden="1" customHeight="1" x14ac:dyDescent="0.2"/>
    <row r="32007" ht="12.75" hidden="1" customHeight="1" x14ac:dyDescent="0.2"/>
    <row r="32008" ht="12.75" hidden="1" customHeight="1" x14ac:dyDescent="0.2"/>
    <row r="32009" ht="12.75" hidden="1" customHeight="1" x14ac:dyDescent="0.2"/>
    <row r="32010" ht="12.75" hidden="1" customHeight="1" x14ac:dyDescent="0.2"/>
    <row r="32011" ht="12.75" hidden="1" customHeight="1" x14ac:dyDescent="0.2"/>
    <row r="32012" ht="12.75" hidden="1" customHeight="1" x14ac:dyDescent="0.2"/>
    <row r="32013" ht="12.75" hidden="1" customHeight="1" x14ac:dyDescent="0.2"/>
    <row r="32014" ht="12.75" hidden="1" customHeight="1" x14ac:dyDescent="0.2"/>
    <row r="32015" ht="12.75" hidden="1" customHeight="1" x14ac:dyDescent="0.2"/>
    <row r="32016" ht="12.75" hidden="1" customHeight="1" x14ac:dyDescent="0.2"/>
    <row r="32017" ht="12.75" hidden="1" customHeight="1" x14ac:dyDescent="0.2"/>
    <row r="32018" ht="12.75" hidden="1" customHeight="1" x14ac:dyDescent="0.2"/>
    <row r="32019" ht="12.75" hidden="1" customHeight="1" x14ac:dyDescent="0.2"/>
    <row r="32020" ht="12.75" hidden="1" customHeight="1" x14ac:dyDescent="0.2"/>
    <row r="32021" ht="12.75" hidden="1" customHeight="1" x14ac:dyDescent="0.2"/>
    <row r="32022" ht="12.75" hidden="1" customHeight="1" x14ac:dyDescent="0.2"/>
    <row r="32023" ht="12.75" hidden="1" customHeight="1" x14ac:dyDescent="0.2"/>
    <row r="32024" ht="12.75" hidden="1" customHeight="1" x14ac:dyDescent="0.2"/>
    <row r="32025" ht="12.75" hidden="1" customHeight="1" x14ac:dyDescent="0.2"/>
    <row r="32026" ht="12.75" hidden="1" customHeight="1" x14ac:dyDescent="0.2"/>
    <row r="32027" ht="12.75" hidden="1" customHeight="1" x14ac:dyDescent="0.2"/>
    <row r="32028" ht="12.75" hidden="1" customHeight="1" x14ac:dyDescent="0.2"/>
    <row r="32029" ht="12.75" hidden="1" customHeight="1" x14ac:dyDescent="0.2"/>
    <row r="32030" ht="12.75" hidden="1" customHeight="1" x14ac:dyDescent="0.2"/>
    <row r="32031" ht="12.75" hidden="1" customHeight="1" x14ac:dyDescent="0.2"/>
    <row r="32032" ht="12.75" hidden="1" customHeight="1" x14ac:dyDescent="0.2"/>
    <row r="32033" ht="12.75" hidden="1" customHeight="1" x14ac:dyDescent="0.2"/>
    <row r="32034" ht="12.75" hidden="1" customHeight="1" x14ac:dyDescent="0.2"/>
    <row r="32035" ht="12.75" hidden="1" customHeight="1" x14ac:dyDescent="0.2"/>
    <row r="32036" ht="12.75" hidden="1" customHeight="1" x14ac:dyDescent="0.2"/>
    <row r="32037" ht="12.75" hidden="1" customHeight="1" x14ac:dyDescent="0.2"/>
    <row r="32038" ht="12.75" hidden="1" customHeight="1" x14ac:dyDescent="0.2"/>
    <row r="32039" ht="12.75" hidden="1" customHeight="1" x14ac:dyDescent="0.2"/>
    <row r="32040" ht="12.75" hidden="1" customHeight="1" x14ac:dyDescent="0.2"/>
    <row r="32041" ht="12.75" hidden="1" customHeight="1" x14ac:dyDescent="0.2"/>
    <row r="32042" ht="12.75" hidden="1" customHeight="1" x14ac:dyDescent="0.2"/>
    <row r="32043" ht="12.75" hidden="1" customHeight="1" x14ac:dyDescent="0.2"/>
    <row r="32044" ht="12.75" hidden="1" customHeight="1" x14ac:dyDescent="0.2"/>
    <row r="32045" ht="12.75" hidden="1" customHeight="1" x14ac:dyDescent="0.2"/>
    <row r="32046" ht="12.75" hidden="1" customHeight="1" x14ac:dyDescent="0.2"/>
    <row r="32047" ht="12.75" hidden="1" customHeight="1" x14ac:dyDescent="0.2"/>
    <row r="32048" ht="12.75" hidden="1" customHeight="1" x14ac:dyDescent="0.2"/>
    <row r="32049" ht="12.75" hidden="1" customHeight="1" x14ac:dyDescent="0.2"/>
    <row r="32050" ht="12.75" hidden="1" customHeight="1" x14ac:dyDescent="0.2"/>
    <row r="32051" ht="12.75" hidden="1" customHeight="1" x14ac:dyDescent="0.2"/>
    <row r="32052" ht="12.75" hidden="1" customHeight="1" x14ac:dyDescent="0.2"/>
    <row r="32053" ht="12.75" hidden="1" customHeight="1" x14ac:dyDescent="0.2"/>
    <row r="32054" ht="12.75" hidden="1" customHeight="1" x14ac:dyDescent="0.2"/>
    <row r="32055" ht="12.75" hidden="1" customHeight="1" x14ac:dyDescent="0.2"/>
    <row r="32056" ht="12.75" hidden="1" customHeight="1" x14ac:dyDescent="0.2"/>
    <row r="32057" ht="12.75" hidden="1" customHeight="1" x14ac:dyDescent="0.2"/>
    <row r="32058" ht="12.75" hidden="1" customHeight="1" x14ac:dyDescent="0.2"/>
    <row r="32059" ht="12.75" hidden="1" customHeight="1" x14ac:dyDescent="0.2"/>
    <row r="32060" ht="12.75" hidden="1" customHeight="1" x14ac:dyDescent="0.2"/>
    <row r="32061" ht="12.75" hidden="1" customHeight="1" x14ac:dyDescent="0.2"/>
    <row r="32062" ht="12.75" hidden="1" customHeight="1" x14ac:dyDescent="0.2"/>
    <row r="32063" ht="12.75" hidden="1" customHeight="1" x14ac:dyDescent="0.2"/>
    <row r="32064" ht="12.75" hidden="1" customHeight="1" x14ac:dyDescent="0.2"/>
    <row r="32065" ht="12.75" hidden="1" customHeight="1" x14ac:dyDescent="0.2"/>
    <row r="32066" ht="12.75" hidden="1" customHeight="1" x14ac:dyDescent="0.2"/>
    <row r="32067" ht="12.75" hidden="1" customHeight="1" x14ac:dyDescent="0.2"/>
    <row r="32068" ht="12.75" hidden="1" customHeight="1" x14ac:dyDescent="0.2"/>
    <row r="32069" ht="12.75" hidden="1" customHeight="1" x14ac:dyDescent="0.2"/>
    <row r="32070" ht="12.75" hidden="1" customHeight="1" x14ac:dyDescent="0.2"/>
    <row r="32071" ht="12.75" hidden="1" customHeight="1" x14ac:dyDescent="0.2"/>
    <row r="32072" ht="12.75" hidden="1" customHeight="1" x14ac:dyDescent="0.2"/>
    <row r="32073" ht="12.75" hidden="1" customHeight="1" x14ac:dyDescent="0.2"/>
    <row r="32074" ht="12.75" hidden="1" customHeight="1" x14ac:dyDescent="0.2"/>
    <row r="32075" ht="12.75" hidden="1" customHeight="1" x14ac:dyDescent="0.2"/>
    <row r="32076" ht="12.75" hidden="1" customHeight="1" x14ac:dyDescent="0.2"/>
    <row r="32077" ht="12.75" hidden="1" customHeight="1" x14ac:dyDescent="0.2"/>
    <row r="32078" ht="12.75" hidden="1" customHeight="1" x14ac:dyDescent="0.2"/>
    <row r="32079" ht="12.75" hidden="1" customHeight="1" x14ac:dyDescent="0.2"/>
    <row r="32080" ht="12.75" hidden="1" customHeight="1" x14ac:dyDescent="0.2"/>
    <row r="32081" ht="12.75" hidden="1" customHeight="1" x14ac:dyDescent="0.2"/>
    <row r="32082" ht="12.75" hidden="1" customHeight="1" x14ac:dyDescent="0.2"/>
    <row r="32083" ht="12.75" hidden="1" customHeight="1" x14ac:dyDescent="0.2"/>
    <row r="32084" ht="12.75" hidden="1" customHeight="1" x14ac:dyDescent="0.2"/>
    <row r="32085" ht="12.75" hidden="1" customHeight="1" x14ac:dyDescent="0.2"/>
    <row r="32086" ht="12.75" hidden="1" customHeight="1" x14ac:dyDescent="0.2"/>
    <row r="32087" ht="12.75" hidden="1" customHeight="1" x14ac:dyDescent="0.2"/>
    <row r="32088" ht="12.75" hidden="1" customHeight="1" x14ac:dyDescent="0.2"/>
    <row r="32089" ht="12.75" hidden="1" customHeight="1" x14ac:dyDescent="0.2"/>
    <row r="32090" ht="12.75" hidden="1" customHeight="1" x14ac:dyDescent="0.2"/>
    <row r="32091" ht="12.75" hidden="1" customHeight="1" x14ac:dyDescent="0.2"/>
    <row r="32092" ht="12.75" hidden="1" customHeight="1" x14ac:dyDescent="0.2"/>
    <row r="32093" ht="12.75" hidden="1" customHeight="1" x14ac:dyDescent="0.2"/>
    <row r="32094" ht="12.75" hidden="1" customHeight="1" x14ac:dyDescent="0.2"/>
    <row r="32095" ht="12.75" hidden="1" customHeight="1" x14ac:dyDescent="0.2"/>
    <row r="32096" ht="12.75" hidden="1" customHeight="1" x14ac:dyDescent="0.2"/>
    <row r="32097" ht="12.75" hidden="1" customHeight="1" x14ac:dyDescent="0.2"/>
    <row r="32098" ht="12.75" hidden="1" customHeight="1" x14ac:dyDescent="0.2"/>
    <row r="32099" ht="12.75" hidden="1" customHeight="1" x14ac:dyDescent="0.2"/>
    <row r="32100" ht="12.75" hidden="1" customHeight="1" x14ac:dyDescent="0.2"/>
    <row r="32101" ht="12.75" hidden="1" customHeight="1" x14ac:dyDescent="0.2"/>
    <row r="32102" ht="12.75" hidden="1" customHeight="1" x14ac:dyDescent="0.2"/>
    <row r="32103" ht="12.75" hidden="1" customHeight="1" x14ac:dyDescent="0.2"/>
    <row r="32104" ht="12.75" hidden="1" customHeight="1" x14ac:dyDescent="0.2"/>
    <row r="32105" ht="12.75" hidden="1" customHeight="1" x14ac:dyDescent="0.2"/>
    <row r="32106" ht="12.75" hidden="1" customHeight="1" x14ac:dyDescent="0.2"/>
    <row r="32107" ht="12.75" hidden="1" customHeight="1" x14ac:dyDescent="0.2"/>
    <row r="32108" ht="12.75" hidden="1" customHeight="1" x14ac:dyDescent="0.2"/>
    <row r="32109" ht="12.75" hidden="1" customHeight="1" x14ac:dyDescent="0.2"/>
    <row r="32110" ht="12.75" hidden="1" customHeight="1" x14ac:dyDescent="0.2"/>
    <row r="32111" ht="12.75" hidden="1" customHeight="1" x14ac:dyDescent="0.2"/>
    <row r="32112" ht="12.75" hidden="1" customHeight="1" x14ac:dyDescent="0.2"/>
    <row r="32113" ht="12.75" hidden="1" customHeight="1" x14ac:dyDescent="0.2"/>
    <row r="32114" ht="12.75" hidden="1" customHeight="1" x14ac:dyDescent="0.2"/>
    <row r="32115" ht="12.75" hidden="1" customHeight="1" x14ac:dyDescent="0.2"/>
    <row r="32116" ht="12.75" hidden="1" customHeight="1" x14ac:dyDescent="0.2"/>
    <row r="32117" ht="12.75" hidden="1" customHeight="1" x14ac:dyDescent="0.2"/>
    <row r="32118" ht="12.75" hidden="1" customHeight="1" x14ac:dyDescent="0.2"/>
    <row r="32119" ht="12.75" hidden="1" customHeight="1" x14ac:dyDescent="0.2"/>
    <row r="32120" ht="12.75" hidden="1" customHeight="1" x14ac:dyDescent="0.2"/>
    <row r="32121" ht="12.75" hidden="1" customHeight="1" x14ac:dyDescent="0.2"/>
    <row r="32122" ht="12.75" hidden="1" customHeight="1" x14ac:dyDescent="0.2"/>
    <row r="32123" ht="12.75" hidden="1" customHeight="1" x14ac:dyDescent="0.2"/>
    <row r="32124" ht="12.75" hidden="1" customHeight="1" x14ac:dyDescent="0.2"/>
    <row r="32125" ht="12.75" hidden="1" customHeight="1" x14ac:dyDescent="0.2"/>
    <row r="32126" ht="12.75" hidden="1" customHeight="1" x14ac:dyDescent="0.2"/>
    <row r="32127" ht="12.75" hidden="1" customHeight="1" x14ac:dyDescent="0.2"/>
    <row r="32128" ht="12.75" hidden="1" customHeight="1" x14ac:dyDescent="0.2"/>
    <row r="32129" ht="12.75" hidden="1" customHeight="1" x14ac:dyDescent="0.2"/>
    <row r="32130" ht="12.75" hidden="1" customHeight="1" x14ac:dyDescent="0.2"/>
    <row r="32131" ht="12.75" hidden="1" customHeight="1" x14ac:dyDescent="0.2"/>
    <row r="32132" ht="12.75" hidden="1" customHeight="1" x14ac:dyDescent="0.2"/>
    <row r="32133" ht="12.75" hidden="1" customHeight="1" x14ac:dyDescent="0.2"/>
    <row r="32134" ht="12.75" hidden="1" customHeight="1" x14ac:dyDescent="0.2"/>
    <row r="32135" ht="12.75" hidden="1" customHeight="1" x14ac:dyDescent="0.2"/>
    <row r="32136" ht="12.75" hidden="1" customHeight="1" x14ac:dyDescent="0.2"/>
    <row r="32137" ht="12.75" hidden="1" customHeight="1" x14ac:dyDescent="0.2"/>
    <row r="32138" ht="12.75" hidden="1" customHeight="1" x14ac:dyDescent="0.2"/>
    <row r="32139" ht="12.75" hidden="1" customHeight="1" x14ac:dyDescent="0.2"/>
    <row r="32140" ht="12.75" hidden="1" customHeight="1" x14ac:dyDescent="0.2"/>
    <row r="32141" ht="12.75" hidden="1" customHeight="1" x14ac:dyDescent="0.2"/>
    <row r="32142" ht="12.75" hidden="1" customHeight="1" x14ac:dyDescent="0.2"/>
    <row r="32143" ht="12.75" hidden="1" customHeight="1" x14ac:dyDescent="0.2"/>
    <row r="32144" ht="12.75" hidden="1" customHeight="1" x14ac:dyDescent="0.2"/>
    <row r="32145" ht="12.75" hidden="1" customHeight="1" x14ac:dyDescent="0.2"/>
    <row r="32146" ht="12.75" hidden="1" customHeight="1" x14ac:dyDescent="0.2"/>
    <row r="32147" ht="12.75" hidden="1" customHeight="1" x14ac:dyDescent="0.2"/>
    <row r="32148" ht="12.75" hidden="1" customHeight="1" x14ac:dyDescent="0.2"/>
    <row r="32149" ht="12.75" hidden="1" customHeight="1" x14ac:dyDescent="0.2"/>
    <row r="32150" ht="12.75" hidden="1" customHeight="1" x14ac:dyDescent="0.2"/>
    <row r="32151" ht="12.75" hidden="1" customHeight="1" x14ac:dyDescent="0.2"/>
    <row r="32152" ht="12.75" hidden="1" customHeight="1" x14ac:dyDescent="0.2"/>
    <row r="32153" ht="12.75" hidden="1" customHeight="1" x14ac:dyDescent="0.2"/>
    <row r="32154" ht="12.75" hidden="1" customHeight="1" x14ac:dyDescent="0.2"/>
    <row r="32155" ht="12.75" hidden="1" customHeight="1" x14ac:dyDescent="0.2"/>
    <row r="32156" ht="12.75" hidden="1" customHeight="1" x14ac:dyDescent="0.2"/>
    <row r="32157" ht="12.75" hidden="1" customHeight="1" x14ac:dyDescent="0.2"/>
    <row r="32158" ht="12.75" hidden="1" customHeight="1" x14ac:dyDescent="0.2"/>
    <row r="32159" ht="12.75" hidden="1" customHeight="1" x14ac:dyDescent="0.2"/>
    <row r="32160" ht="12.75" hidden="1" customHeight="1" x14ac:dyDescent="0.2"/>
    <row r="32161" ht="12.75" hidden="1" customHeight="1" x14ac:dyDescent="0.2"/>
    <row r="32162" ht="12.75" hidden="1" customHeight="1" x14ac:dyDescent="0.2"/>
    <row r="32163" ht="12.75" hidden="1" customHeight="1" x14ac:dyDescent="0.2"/>
    <row r="32164" ht="12.75" hidden="1" customHeight="1" x14ac:dyDescent="0.2"/>
    <row r="32165" ht="12.75" hidden="1" customHeight="1" x14ac:dyDescent="0.2"/>
    <row r="32166" ht="12.75" hidden="1" customHeight="1" x14ac:dyDescent="0.2"/>
    <row r="32167" ht="12.75" hidden="1" customHeight="1" x14ac:dyDescent="0.2"/>
    <row r="32168" ht="12.75" hidden="1" customHeight="1" x14ac:dyDescent="0.2"/>
    <row r="32169" ht="12.75" hidden="1" customHeight="1" x14ac:dyDescent="0.2"/>
    <row r="32170" ht="12.75" hidden="1" customHeight="1" x14ac:dyDescent="0.2"/>
    <row r="32171" ht="12.75" hidden="1" customHeight="1" x14ac:dyDescent="0.2"/>
    <row r="32172" ht="12.75" hidden="1" customHeight="1" x14ac:dyDescent="0.2"/>
    <row r="32173" ht="12.75" hidden="1" customHeight="1" x14ac:dyDescent="0.2"/>
    <row r="32174" ht="12.75" hidden="1" customHeight="1" x14ac:dyDescent="0.2"/>
    <row r="32175" ht="12.75" hidden="1" customHeight="1" x14ac:dyDescent="0.2"/>
    <row r="32176" ht="12.75" hidden="1" customHeight="1" x14ac:dyDescent="0.2"/>
    <row r="32177" ht="12.75" hidden="1" customHeight="1" x14ac:dyDescent="0.2"/>
    <row r="32178" ht="12.75" hidden="1" customHeight="1" x14ac:dyDescent="0.2"/>
    <row r="32179" ht="12.75" hidden="1" customHeight="1" x14ac:dyDescent="0.2"/>
    <row r="32180" ht="12.75" hidden="1" customHeight="1" x14ac:dyDescent="0.2"/>
    <row r="32181" ht="12.75" hidden="1" customHeight="1" x14ac:dyDescent="0.2"/>
    <row r="32182" ht="12.75" hidden="1" customHeight="1" x14ac:dyDescent="0.2"/>
    <row r="32183" ht="12.75" hidden="1" customHeight="1" x14ac:dyDescent="0.2"/>
    <row r="32184" ht="12.75" hidden="1" customHeight="1" x14ac:dyDescent="0.2"/>
    <row r="32185" ht="12.75" hidden="1" customHeight="1" x14ac:dyDescent="0.2"/>
    <row r="32186" ht="12.75" hidden="1" customHeight="1" x14ac:dyDescent="0.2"/>
    <row r="32187" ht="12.75" hidden="1" customHeight="1" x14ac:dyDescent="0.2"/>
    <row r="32188" ht="12.75" hidden="1" customHeight="1" x14ac:dyDescent="0.2"/>
    <row r="32189" ht="12.75" hidden="1" customHeight="1" x14ac:dyDescent="0.2"/>
    <row r="32190" ht="12.75" hidden="1" customHeight="1" x14ac:dyDescent="0.2"/>
    <row r="32191" ht="12.75" hidden="1" customHeight="1" x14ac:dyDescent="0.2"/>
    <row r="32192" ht="12.75" hidden="1" customHeight="1" x14ac:dyDescent="0.2"/>
    <row r="32193" ht="12.75" hidden="1" customHeight="1" x14ac:dyDescent="0.2"/>
    <row r="32194" ht="12.75" hidden="1" customHeight="1" x14ac:dyDescent="0.2"/>
    <row r="32195" ht="12.75" hidden="1" customHeight="1" x14ac:dyDescent="0.2"/>
    <row r="32196" ht="12.75" hidden="1" customHeight="1" x14ac:dyDescent="0.2"/>
    <row r="32197" ht="12.75" hidden="1" customHeight="1" x14ac:dyDescent="0.2"/>
    <row r="32198" ht="12.75" hidden="1" customHeight="1" x14ac:dyDescent="0.2"/>
    <row r="32199" ht="12.75" hidden="1" customHeight="1" x14ac:dyDescent="0.2"/>
    <row r="32200" ht="12.75" hidden="1" customHeight="1" x14ac:dyDescent="0.2"/>
    <row r="32201" ht="12.75" hidden="1" customHeight="1" x14ac:dyDescent="0.2"/>
    <row r="32202" ht="12.75" hidden="1" customHeight="1" x14ac:dyDescent="0.2"/>
    <row r="32203" ht="12.75" hidden="1" customHeight="1" x14ac:dyDescent="0.2"/>
    <row r="32204" ht="12.75" hidden="1" customHeight="1" x14ac:dyDescent="0.2"/>
    <row r="32205" ht="12.75" hidden="1" customHeight="1" x14ac:dyDescent="0.2"/>
    <row r="32206" ht="12.75" hidden="1" customHeight="1" x14ac:dyDescent="0.2"/>
    <row r="32207" ht="12.75" hidden="1" customHeight="1" x14ac:dyDescent="0.2"/>
    <row r="32208" ht="12.75" hidden="1" customHeight="1" x14ac:dyDescent="0.2"/>
    <row r="32209" ht="12.75" hidden="1" customHeight="1" x14ac:dyDescent="0.2"/>
    <row r="32210" ht="12.75" hidden="1" customHeight="1" x14ac:dyDescent="0.2"/>
    <row r="32211" ht="12.75" hidden="1" customHeight="1" x14ac:dyDescent="0.2"/>
    <row r="32212" ht="12.75" hidden="1" customHeight="1" x14ac:dyDescent="0.2"/>
    <row r="32213" ht="12.75" hidden="1" customHeight="1" x14ac:dyDescent="0.2"/>
    <row r="32214" ht="12.75" hidden="1" customHeight="1" x14ac:dyDescent="0.2"/>
    <row r="32215" ht="12.75" hidden="1" customHeight="1" x14ac:dyDescent="0.2"/>
    <row r="32216" ht="12.75" hidden="1" customHeight="1" x14ac:dyDescent="0.2"/>
    <row r="32217" ht="12.75" hidden="1" customHeight="1" x14ac:dyDescent="0.2"/>
    <row r="32218" ht="12.75" hidden="1" customHeight="1" x14ac:dyDescent="0.2"/>
    <row r="32219" ht="12.75" hidden="1" customHeight="1" x14ac:dyDescent="0.2"/>
    <row r="32220" ht="12.75" hidden="1" customHeight="1" x14ac:dyDescent="0.2"/>
    <row r="32221" ht="12.75" hidden="1" customHeight="1" x14ac:dyDescent="0.2"/>
    <row r="32222" ht="12.75" hidden="1" customHeight="1" x14ac:dyDescent="0.2"/>
    <row r="32223" ht="12.75" hidden="1" customHeight="1" x14ac:dyDescent="0.2"/>
    <row r="32224" ht="12.75" hidden="1" customHeight="1" x14ac:dyDescent="0.2"/>
    <row r="32225" ht="12.75" hidden="1" customHeight="1" x14ac:dyDescent="0.2"/>
    <row r="32226" ht="12.75" hidden="1" customHeight="1" x14ac:dyDescent="0.2"/>
    <row r="32227" ht="12.75" hidden="1" customHeight="1" x14ac:dyDescent="0.2"/>
    <row r="32228" ht="12.75" hidden="1" customHeight="1" x14ac:dyDescent="0.2"/>
    <row r="32229" ht="12.75" hidden="1" customHeight="1" x14ac:dyDescent="0.2"/>
    <row r="32230" ht="12.75" hidden="1" customHeight="1" x14ac:dyDescent="0.2"/>
    <row r="32231" ht="12.75" hidden="1" customHeight="1" x14ac:dyDescent="0.2"/>
    <row r="32232" ht="12.75" hidden="1" customHeight="1" x14ac:dyDescent="0.2"/>
    <row r="32233" ht="12.75" hidden="1" customHeight="1" x14ac:dyDescent="0.2"/>
    <row r="32234" ht="12.75" hidden="1" customHeight="1" x14ac:dyDescent="0.2"/>
    <row r="32235" ht="12.75" hidden="1" customHeight="1" x14ac:dyDescent="0.2"/>
    <row r="32236" ht="12.75" hidden="1" customHeight="1" x14ac:dyDescent="0.2"/>
    <row r="32237" ht="12.75" hidden="1" customHeight="1" x14ac:dyDescent="0.2"/>
    <row r="32238" ht="12.75" hidden="1" customHeight="1" x14ac:dyDescent="0.2"/>
    <row r="32239" ht="12.75" hidden="1" customHeight="1" x14ac:dyDescent="0.2"/>
    <row r="32240" ht="12.75" hidden="1" customHeight="1" x14ac:dyDescent="0.2"/>
    <row r="32241" ht="12.75" hidden="1" customHeight="1" x14ac:dyDescent="0.2"/>
    <row r="32242" ht="12.75" hidden="1" customHeight="1" x14ac:dyDescent="0.2"/>
    <row r="32243" ht="12.75" hidden="1" customHeight="1" x14ac:dyDescent="0.2"/>
    <row r="32244" ht="12.75" hidden="1" customHeight="1" x14ac:dyDescent="0.2"/>
    <row r="32245" ht="12.75" hidden="1" customHeight="1" x14ac:dyDescent="0.2"/>
    <row r="32246" ht="12.75" hidden="1" customHeight="1" x14ac:dyDescent="0.2"/>
    <row r="32247" ht="12.75" hidden="1" customHeight="1" x14ac:dyDescent="0.2"/>
    <row r="32248" ht="12.75" hidden="1" customHeight="1" x14ac:dyDescent="0.2"/>
    <row r="32249" ht="12.75" hidden="1" customHeight="1" x14ac:dyDescent="0.2"/>
    <row r="32250" ht="12.75" hidden="1" customHeight="1" x14ac:dyDescent="0.2"/>
    <row r="32251" ht="12.75" hidden="1" customHeight="1" x14ac:dyDescent="0.2"/>
    <row r="32252" ht="12.75" hidden="1" customHeight="1" x14ac:dyDescent="0.2"/>
    <row r="32253" ht="12.75" hidden="1" customHeight="1" x14ac:dyDescent="0.2"/>
    <row r="32254" ht="12.75" hidden="1" customHeight="1" x14ac:dyDescent="0.2"/>
    <row r="32255" ht="12.75" hidden="1" customHeight="1" x14ac:dyDescent="0.2"/>
    <row r="32256" ht="12.75" hidden="1" customHeight="1" x14ac:dyDescent="0.2"/>
    <row r="32257" ht="12.75" hidden="1" customHeight="1" x14ac:dyDescent="0.2"/>
    <row r="32258" ht="12.75" hidden="1" customHeight="1" x14ac:dyDescent="0.2"/>
    <row r="32259" ht="12.75" hidden="1" customHeight="1" x14ac:dyDescent="0.2"/>
    <row r="32260" ht="12.75" hidden="1" customHeight="1" x14ac:dyDescent="0.2"/>
    <row r="32261" ht="12.75" hidden="1" customHeight="1" x14ac:dyDescent="0.2"/>
    <row r="32262" ht="12.75" hidden="1" customHeight="1" x14ac:dyDescent="0.2"/>
    <row r="32263" ht="12.75" hidden="1" customHeight="1" x14ac:dyDescent="0.2"/>
    <row r="32264" ht="12.75" hidden="1" customHeight="1" x14ac:dyDescent="0.2"/>
    <row r="32265" ht="12.75" hidden="1" customHeight="1" x14ac:dyDescent="0.2"/>
    <row r="32266" ht="12.75" hidden="1" customHeight="1" x14ac:dyDescent="0.2"/>
    <row r="32267" ht="12.75" hidden="1" customHeight="1" x14ac:dyDescent="0.2"/>
    <row r="32268" ht="12.75" hidden="1" customHeight="1" x14ac:dyDescent="0.2"/>
    <row r="32269" ht="12.75" hidden="1" customHeight="1" x14ac:dyDescent="0.2"/>
    <row r="32270" ht="12.75" hidden="1" customHeight="1" x14ac:dyDescent="0.2"/>
    <row r="32271" ht="12.75" hidden="1" customHeight="1" x14ac:dyDescent="0.2"/>
    <row r="32272" ht="12.75" hidden="1" customHeight="1" x14ac:dyDescent="0.2"/>
    <row r="32273" ht="12.75" hidden="1" customHeight="1" x14ac:dyDescent="0.2"/>
    <row r="32274" ht="12.75" hidden="1" customHeight="1" x14ac:dyDescent="0.2"/>
    <row r="32275" ht="12.75" hidden="1" customHeight="1" x14ac:dyDescent="0.2"/>
    <row r="32276" ht="12.75" hidden="1" customHeight="1" x14ac:dyDescent="0.2"/>
    <row r="32277" ht="12.75" hidden="1" customHeight="1" x14ac:dyDescent="0.2"/>
    <row r="32278" ht="12.75" hidden="1" customHeight="1" x14ac:dyDescent="0.2"/>
    <row r="32279" ht="12.75" hidden="1" customHeight="1" x14ac:dyDescent="0.2"/>
    <row r="32280" ht="12.75" hidden="1" customHeight="1" x14ac:dyDescent="0.2"/>
    <row r="32281" ht="12.75" hidden="1" customHeight="1" x14ac:dyDescent="0.2"/>
    <row r="32282" ht="12.75" hidden="1" customHeight="1" x14ac:dyDescent="0.2"/>
    <row r="32283" ht="12.75" hidden="1" customHeight="1" x14ac:dyDescent="0.2"/>
    <row r="32284" ht="12.75" hidden="1" customHeight="1" x14ac:dyDescent="0.2"/>
    <row r="32285" ht="12.75" hidden="1" customHeight="1" x14ac:dyDescent="0.2"/>
    <row r="32286" ht="12.75" hidden="1" customHeight="1" x14ac:dyDescent="0.2"/>
    <row r="32287" ht="12.75" hidden="1" customHeight="1" x14ac:dyDescent="0.2"/>
    <row r="32288" ht="12.75" hidden="1" customHeight="1" x14ac:dyDescent="0.2"/>
    <row r="32289" ht="12.75" hidden="1" customHeight="1" x14ac:dyDescent="0.2"/>
    <row r="32290" ht="12.75" hidden="1" customHeight="1" x14ac:dyDescent="0.2"/>
    <row r="32291" ht="12.75" hidden="1" customHeight="1" x14ac:dyDescent="0.2"/>
    <row r="32292" ht="12.75" hidden="1" customHeight="1" x14ac:dyDescent="0.2"/>
    <row r="32293" ht="12.75" hidden="1" customHeight="1" x14ac:dyDescent="0.2"/>
    <row r="32294" ht="12.75" hidden="1" customHeight="1" x14ac:dyDescent="0.2"/>
    <row r="32295" ht="12.75" hidden="1" customHeight="1" x14ac:dyDescent="0.2"/>
    <row r="32296" ht="12.75" hidden="1" customHeight="1" x14ac:dyDescent="0.2"/>
    <row r="32297" ht="12.75" hidden="1" customHeight="1" x14ac:dyDescent="0.2"/>
    <row r="32298" ht="12.75" hidden="1" customHeight="1" x14ac:dyDescent="0.2"/>
    <row r="32299" ht="12.75" hidden="1" customHeight="1" x14ac:dyDescent="0.2"/>
    <row r="32300" ht="12.75" hidden="1" customHeight="1" x14ac:dyDescent="0.2"/>
    <row r="32301" ht="12.75" hidden="1" customHeight="1" x14ac:dyDescent="0.2"/>
    <row r="32302" ht="12.75" hidden="1" customHeight="1" x14ac:dyDescent="0.2"/>
    <row r="32303" ht="12.75" hidden="1" customHeight="1" x14ac:dyDescent="0.2"/>
    <row r="32304" ht="12.75" hidden="1" customHeight="1" x14ac:dyDescent="0.2"/>
    <row r="32305" ht="12.75" hidden="1" customHeight="1" x14ac:dyDescent="0.2"/>
    <row r="32306" ht="12.75" hidden="1" customHeight="1" x14ac:dyDescent="0.2"/>
    <row r="32307" ht="12.75" hidden="1" customHeight="1" x14ac:dyDescent="0.2"/>
    <row r="32308" ht="12.75" hidden="1" customHeight="1" x14ac:dyDescent="0.2"/>
    <row r="32309" ht="12.75" hidden="1" customHeight="1" x14ac:dyDescent="0.2"/>
    <row r="32310" ht="12.75" hidden="1" customHeight="1" x14ac:dyDescent="0.2"/>
    <row r="32311" ht="12.75" hidden="1" customHeight="1" x14ac:dyDescent="0.2"/>
    <row r="32312" ht="12.75" hidden="1" customHeight="1" x14ac:dyDescent="0.2"/>
    <row r="32313" ht="12.75" hidden="1" customHeight="1" x14ac:dyDescent="0.2"/>
    <row r="32314" ht="12.75" hidden="1" customHeight="1" x14ac:dyDescent="0.2"/>
    <row r="32315" ht="12.75" hidden="1" customHeight="1" x14ac:dyDescent="0.2"/>
    <row r="32316" ht="12.75" hidden="1" customHeight="1" x14ac:dyDescent="0.2"/>
    <row r="32317" ht="12.75" hidden="1" customHeight="1" x14ac:dyDescent="0.2"/>
    <row r="32318" ht="12.75" hidden="1" customHeight="1" x14ac:dyDescent="0.2"/>
    <row r="32319" ht="12.75" hidden="1" customHeight="1" x14ac:dyDescent="0.2"/>
    <row r="32320" ht="12.75" hidden="1" customHeight="1" x14ac:dyDescent="0.2"/>
    <row r="32321" ht="12.75" hidden="1" customHeight="1" x14ac:dyDescent="0.2"/>
    <row r="32322" ht="12.75" hidden="1" customHeight="1" x14ac:dyDescent="0.2"/>
    <row r="32323" ht="12.75" hidden="1" customHeight="1" x14ac:dyDescent="0.2"/>
    <row r="32324" ht="12.75" hidden="1" customHeight="1" x14ac:dyDescent="0.2"/>
    <row r="32325" ht="12.75" hidden="1" customHeight="1" x14ac:dyDescent="0.2"/>
    <row r="32326" ht="12.75" hidden="1" customHeight="1" x14ac:dyDescent="0.2"/>
    <row r="32327" ht="12.75" hidden="1" customHeight="1" x14ac:dyDescent="0.2"/>
    <row r="32328" ht="12.75" hidden="1" customHeight="1" x14ac:dyDescent="0.2"/>
    <row r="32329" ht="12.75" hidden="1" customHeight="1" x14ac:dyDescent="0.2"/>
    <row r="32330" ht="12.75" hidden="1" customHeight="1" x14ac:dyDescent="0.2"/>
    <row r="32331" ht="12.75" hidden="1" customHeight="1" x14ac:dyDescent="0.2"/>
    <row r="32332" ht="12.75" hidden="1" customHeight="1" x14ac:dyDescent="0.2"/>
    <row r="32333" ht="12.75" hidden="1" customHeight="1" x14ac:dyDescent="0.2"/>
    <row r="32334" ht="12.75" hidden="1" customHeight="1" x14ac:dyDescent="0.2"/>
    <row r="32335" ht="12.75" hidden="1" customHeight="1" x14ac:dyDescent="0.2"/>
    <row r="32336" ht="12.75" hidden="1" customHeight="1" x14ac:dyDescent="0.2"/>
    <row r="32337" ht="12.75" hidden="1" customHeight="1" x14ac:dyDescent="0.2"/>
    <row r="32338" ht="12.75" hidden="1" customHeight="1" x14ac:dyDescent="0.2"/>
    <row r="32339" ht="12.75" hidden="1" customHeight="1" x14ac:dyDescent="0.2"/>
    <row r="32340" ht="12.75" hidden="1" customHeight="1" x14ac:dyDescent="0.2"/>
    <row r="32341" ht="12.75" hidden="1" customHeight="1" x14ac:dyDescent="0.2"/>
    <row r="32342" ht="12.75" hidden="1" customHeight="1" x14ac:dyDescent="0.2"/>
    <row r="32343" ht="12.75" hidden="1" customHeight="1" x14ac:dyDescent="0.2"/>
    <row r="32344" ht="12.75" hidden="1" customHeight="1" x14ac:dyDescent="0.2"/>
    <row r="32345" ht="12.75" hidden="1" customHeight="1" x14ac:dyDescent="0.2"/>
    <row r="32346" ht="12.75" hidden="1" customHeight="1" x14ac:dyDescent="0.2"/>
    <row r="32347" ht="12.75" hidden="1" customHeight="1" x14ac:dyDescent="0.2"/>
    <row r="32348" ht="12.75" hidden="1" customHeight="1" x14ac:dyDescent="0.2"/>
    <row r="32349" ht="12.75" hidden="1" customHeight="1" x14ac:dyDescent="0.2"/>
    <row r="32350" ht="12.75" hidden="1" customHeight="1" x14ac:dyDescent="0.2"/>
    <row r="32351" ht="12.75" hidden="1" customHeight="1" x14ac:dyDescent="0.2"/>
    <row r="32352" ht="12.75" hidden="1" customHeight="1" x14ac:dyDescent="0.2"/>
    <row r="32353" ht="12.75" hidden="1" customHeight="1" x14ac:dyDescent="0.2"/>
    <row r="32354" ht="12.75" hidden="1" customHeight="1" x14ac:dyDescent="0.2"/>
    <row r="32355" ht="12.75" hidden="1" customHeight="1" x14ac:dyDescent="0.2"/>
    <row r="32356" ht="12.75" hidden="1" customHeight="1" x14ac:dyDescent="0.2"/>
    <row r="32357" ht="12.75" hidden="1" customHeight="1" x14ac:dyDescent="0.2"/>
    <row r="32358" ht="12.75" hidden="1" customHeight="1" x14ac:dyDescent="0.2"/>
    <row r="32359" ht="12.75" hidden="1" customHeight="1" x14ac:dyDescent="0.2"/>
    <row r="32360" ht="12.75" hidden="1" customHeight="1" x14ac:dyDescent="0.2"/>
    <row r="32361" ht="12.75" hidden="1" customHeight="1" x14ac:dyDescent="0.2"/>
    <row r="32362" ht="12.75" hidden="1" customHeight="1" x14ac:dyDescent="0.2"/>
    <row r="32363" ht="12.75" hidden="1" customHeight="1" x14ac:dyDescent="0.2"/>
    <row r="32364" ht="12.75" hidden="1" customHeight="1" x14ac:dyDescent="0.2"/>
    <row r="32365" ht="12.75" hidden="1" customHeight="1" x14ac:dyDescent="0.2"/>
    <row r="32366" ht="12.75" hidden="1" customHeight="1" x14ac:dyDescent="0.2"/>
    <row r="32367" ht="12.75" hidden="1" customHeight="1" x14ac:dyDescent="0.2"/>
    <row r="32368" ht="12.75" hidden="1" customHeight="1" x14ac:dyDescent="0.2"/>
    <row r="32369" ht="12.75" hidden="1" customHeight="1" x14ac:dyDescent="0.2"/>
    <row r="32370" ht="12.75" hidden="1" customHeight="1" x14ac:dyDescent="0.2"/>
    <row r="32371" ht="12.75" hidden="1" customHeight="1" x14ac:dyDescent="0.2"/>
    <row r="32372" ht="12.75" hidden="1" customHeight="1" x14ac:dyDescent="0.2"/>
    <row r="32373" ht="12.75" hidden="1" customHeight="1" x14ac:dyDescent="0.2"/>
    <row r="32374" ht="12.75" hidden="1" customHeight="1" x14ac:dyDescent="0.2"/>
    <row r="32375" ht="12.75" hidden="1" customHeight="1" x14ac:dyDescent="0.2"/>
    <row r="32376" ht="12.75" hidden="1" customHeight="1" x14ac:dyDescent="0.2"/>
    <row r="32377" ht="12.75" hidden="1" customHeight="1" x14ac:dyDescent="0.2"/>
    <row r="32378" ht="12.75" hidden="1" customHeight="1" x14ac:dyDescent="0.2"/>
    <row r="32379" ht="12.75" hidden="1" customHeight="1" x14ac:dyDescent="0.2"/>
    <row r="32380" ht="12.75" hidden="1" customHeight="1" x14ac:dyDescent="0.2"/>
    <row r="32381" ht="12.75" hidden="1" customHeight="1" x14ac:dyDescent="0.2"/>
    <row r="32382" ht="12.75" hidden="1" customHeight="1" x14ac:dyDescent="0.2"/>
    <row r="32383" ht="12.75" hidden="1" customHeight="1" x14ac:dyDescent="0.2"/>
    <row r="32384" ht="12.75" hidden="1" customHeight="1" x14ac:dyDescent="0.2"/>
    <row r="32385" ht="12.75" hidden="1" customHeight="1" x14ac:dyDescent="0.2"/>
    <row r="32386" ht="12.75" hidden="1" customHeight="1" x14ac:dyDescent="0.2"/>
    <row r="32387" ht="12.75" hidden="1" customHeight="1" x14ac:dyDescent="0.2"/>
    <row r="32388" ht="12.75" hidden="1" customHeight="1" x14ac:dyDescent="0.2"/>
    <row r="32389" ht="12.75" hidden="1" customHeight="1" x14ac:dyDescent="0.2"/>
    <row r="32390" ht="12.75" hidden="1" customHeight="1" x14ac:dyDescent="0.2"/>
    <row r="32391" ht="12.75" hidden="1" customHeight="1" x14ac:dyDescent="0.2"/>
    <row r="32392" ht="12.75" hidden="1" customHeight="1" x14ac:dyDescent="0.2"/>
    <row r="32393" ht="12.75" hidden="1" customHeight="1" x14ac:dyDescent="0.2"/>
    <row r="32394" ht="12.75" hidden="1" customHeight="1" x14ac:dyDescent="0.2"/>
    <row r="32395" ht="12.75" hidden="1" customHeight="1" x14ac:dyDescent="0.2"/>
    <row r="32396" ht="12.75" hidden="1" customHeight="1" x14ac:dyDescent="0.2"/>
    <row r="32397" ht="12.75" hidden="1" customHeight="1" x14ac:dyDescent="0.2"/>
    <row r="32398" ht="12.75" hidden="1" customHeight="1" x14ac:dyDescent="0.2"/>
    <row r="32399" ht="12.75" hidden="1" customHeight="1" x14ac:dyDescent="0.2"/>
    <row r="32400" ht="12.75" hidden="1" customHeight="1" x14ac:dyDescent="0.2"/>
    <row r="32401" ht="12.75" hidden="1" customHeight="1" x14ac:dyDescent="0.2"/>
    <row r="32402" ht="12.75" hidden="1" customHeight="1" x14ac:dyDescent="0.2"/>
    <row r="32403" ht="12.75" hidden="1" customHeight="1" x14ac:dyDescent="0.2"/>
    <row r="32404" ht="12.75" hidden="1" customHeight="1" x14ac:dyDescent="0.2"/>
    <row r="32405" ht="12.75" hidden="1" customHeight="1" x14ac:dyDescent="0.2"/>
    <row r="32406" ht="12.75" hidden="1" customHeight="1" x14ac:dyDescent="0.2"/>
    <row r="32407" ht="12.75" hidden="1" customHeight="1" x14ac:dyDescent="0.2"/>
    <row r="32408" ht="12.75" hidden="1" customHeight="1" x14ac:dyDescent="0.2"/>
    <row r="32409" ht="12.75" hidden="1" customHeight="1" x14ac:dyDescent="0.2"/>
    <row r="32410" ht="12.75" hidden="1" customHeight="1" x14ac:dyDescent="0.2"/>
    <row r="32411" ht="12.75" hidden="1" customHeight="1" x14ac:dyDescent="0.2"/>
    <row r="32412" ht="12.75" hidden="1" customHeight="1" x14ac:dyDescent="0.2"/>
    <row r="32413" ht="12.75" hidden="1" customHeight="1" x14ac:dyDescent="0.2"/>
    <row r="32414" ht="12.75" hidden="1" customHeight="1" x14ac:dyDescent="0.2"/>
    <row r="32415" ht="12.75" hidden="1" customHeight="1" x14ac:dyDescent="0.2"/>
    <row r="32416" ht="12.75" hidden="1" customHeight="1" x14ac:dyDescent="0.2"/>
    <row r="32417" ht="12.75" hidden="1" customHeight="1" x14ac:dyDescent="0.2"/>
    <row r="32418" ht="12.75" hidden="1" customHeight="1" x14ac:dyDescent="0.2"/>
    <row r="32419" ht="12.75" hidden="1" customHeight="1" x14ac:dyDescent="0.2"/>
    <row r="32420" ht="12.75" hidden="1" customHeight="1" x14ac:dyDescent="0.2"/>
    <row r="32421" ht="12.75" hidden="1" customHeight="1" x14ac:dyDescent="0.2"/>
    <row r="32422" ht="12.75" hidden="1" customHeight="1" x14ac:dyDescent="0.2"/>
    <row r="32423" ht="12.75" hidden="1" customHeight="1" x14ac:dyDescent="0.2"/>
    <row r="32424" ht="12.75" hidden="1" customHeight="1" x14ac:dyDescent="0.2"/>
    <row r="32425" ht="12.75" hidden="1" customHeight="1" x14ac:dyDescent="0.2"/>
    <row r="32426" ht="12.75" hidden="1" customHeight="1" x14ac:dyDescent="0.2"/>
    <row r="32427" ht="12.75" hidden="1" customHeight="1" x14ac:dyDescent="0.2"/>
    <row r="32428" ht="12.75" hidden="1" customHeight="1" x14ac:dyDescent="0.2"/>
    <row r="32429" ht="12.75" hidden="1" customHeight="1" x14ac:dyDescent="0.2"/>
    <row r="32430" ht="12.75" hidden="1" customHeight="1" x14ac:dyDescent="0.2"/>
    <row r="32431" ht="12.75" hidden="1" customHeight="1" x14ac:dyDescent="0.2"/>
    <row r="32432" ht="12.75" hidden="1" customHeight="1" x14ac:dyDescent="0.2"/>
    <row r="32433" ht="12.75" hidden="1" customHeight="1" x14ac:dyDescent="0.2"/>
    <row r="32434" ht="12.75" hidden="1" customHeight="1" x14ac:dyDescent="0.2"/>
    <row r="32435" ht="12.75" hidden="1" customHeight="1" x14ac:dyDescent="0.2"/>
    <row r="32436" ht="12.75" hidden="1" customHeight="1" x14ac:dyDescent="0.2"/>
    <row r="32437" ht="12.75" hidden="1" customHeight="1" x14ac:dyDescent="0.2"/>
    <row r="32438" ht="12.75" hidden="1" customHeight="1" x14ac:dyDescent="0.2"/>
    <row r="32439" ht="12.75" hidden="1" customHeight="1" x14ac:dyDescent="0.2"/>
    <row r="32440" ht="12.75" hidden="1" customHeight="1" x14ac:dyDescent="0.2"/>
    <row r="32441" ht="12.75" hidden="1" customHeight="1" x14ac:dyDescent="0.2"/>
    <row r="32442" ht="12.75" hidden="1" customHeight="1" x14ac:dyDescent="0.2"/>
    <row r="32443" ht="12.75" hidden="1" customHeight="1" x14ac:dyDescent="0.2"/>
    <row r="32444" ht="12.75" hidden="1" customHeight="1" x14ac:dyDescent="0.2"/>
    <row r="32445" ht="12.75" hidden="1" customHeight="1" x14ac:dyDescent="0.2"/>
    <row r="32446" ht="12.75" hidden="1" customHeight="1" x14ac:dyDescent="0.2"/>
    <row r="32447" ht="12.75" hidden="1" customHeight="1" x14ac:dyDescent="0.2"/>
    <row r="32448" ht="12.75" hidden="1" customHeight="1" x14ac:dyDescent="0.2"/>
    <row r="32449" ht="12.75" hidden="1" customHeight="1" x14ac:dyDescent="0.2"/>
    <row r="32450" ht="12.75" hidden="1" customHeight="1" x14ac:dyDescent="0.2"/>
    <row r="32451" ht="12.75" hidden="1" customHeight="1" x14ac:dyDescent="0.2"/>
    <row r="32452" ht="12.75" hidden="1" customHeight="1" x14ac:dyDescent="0.2"/>
    <row r="32453" ht="12.75" hidden="1" customHeight="1" x14ac:dyDescent="0.2"/>
    <row r="32454" ht="12.75" hidden="1" customHeight="1" x14ac:dyDescent="0.2"/>
    <row r="32455" ht="12.75" hidden="1" customHeight="1" x14ac:dyDescent="0.2"/>
    <row r="32456" ht="12.75" hidden="1" customHeight="1" x14ac:dyDescent="0.2"/>
    <row r="32457" ht="12.75" hidden="1" customHeight="1" x14ac:dyDescent="0.2"/>
    <row r="32458" ht="12.75" hidden="1" customHeight="1" x14ac:dyDescent="0.2"/>
    <row r="32459" ht="12.75" hidden="1" customHeight="1" x14ac:dyDescent="0.2"/>
    <row r="32460" ht="12.75" hidden="1" customHeight="1" x14ac:dyDescent="0.2"/>
    <row r="32461" ht="12.75" hidden="1" customHeight="1" x14ac:dyDescent="0.2"/>
    <row r="32462" ht="12.75" hidden="1" customHeight="1" x14ac:dyDescent="0.2"/>
    <row r="32463" ht="12.75" hidden="1" customHeight="1" x14ac:dyDescent="0.2"/>
    <row r="32464" ht="12.75" hidden="1" customHeight="1" x14ac:dyDescent="0.2"/>
    <row r="32465" ht="12.75" hidden="1" customHeight="1" x14ac:dyDescent="0.2"/>
    <row r="32466" ht="12.75" hidden="1" customHeight="1" x14ac:dyDescent="0.2"/>
    <row r="32467" ht="12.75" hidden="1" customHeight="1" x14ac:dyDescent="0.2"/>
    <row r="32468" ht="12.75" hidden="1" customHeight="1" x14ac:dyDescent="0.2"/>
    <row r="32469" ht="12.75" hidden="1" customHeight="1" x14ac:dyDescent="0.2"/>
    <row r="32470" ht="12.75" hidden="1" customHeight="1" x14ac:dyDescent="0.2"/>
    <row r="32471" ht="12.75" hidden="1" customHeight="1" x14ac:dyDescent="0.2"/>
    <row r="32472" ht="12.75" hidden="1" customHeight="1" x14ac:dyDescent="0.2"/>
    <row r="32473" ht="12.75" hidden="1" customHeight="1" x14ac:dyDescent="0.2"/>
    <row r="32474" ht="12.75" hidden="1" customHeight="1" x14ac:dyDescent="0.2"/>
    <row r="32475" ht="12.75" hidden="1" customHeight="1" x14ac:dyDescent="0.2"/>
    <row r="32476" ht="12.75" hidden="1" customHeight="1" x14ac:dyDescent="0.2"/>
    <row r="32477" ht="12.75" hidden="1" customHeight="1" x14ac:dyDescent="0.2"/>
    <row r="32478" ht="12.75" hidden="1" customHeight="1" x14ac:dyDescent="0.2"/>
    <row r="32479" ht="12.75" hidden="1" customHeight="1" x14ac:dyDescent="0.2"/>
    <row r="32480" ht="12.75" hidden="1" customHeight="1" x14ac:dyDescent="0.2"/>
    <row r="32481" ht="12.75" hidden="1" customHeight="1" x14ac:dyDescent="0.2"/>
    <row r="32482" ht="12.75" hidden="1" customHeight="1" x14ac:dyDescent="0.2"/>
    <row r="32483" ht="12.75" hidden="1" customHeight="1" x14ac:dyDescent="0.2"/>
    <row r="32484" ht="12.75" hidden="1" customHeight="1" x14ac:dyDescent="0.2"/>
    <row r="32485" ht="12.75" hidden="1" customHeight="1" x14ac:dyDescent="0.2"/>
    <row r="32486" ht="12.75" hidden="1" customHeight="1" x14ac:dyDescent="0.2"/>
    <row r="32487" ht="12.75" hidden="1" customHeight="1" x14ac:dyDescent="0.2"/>
    <row r="32488" ht="12.75" hidden="1" customHeight="1" x14ac:dyDescent="0.2"/>
    <row r="32489" ht="12.75" hidden="1" customHeight="1" x14ac:dyDescent="0.2"/>
    <row r="32490" ht="12.75" hidden="1" customHeight="1" x14ac:dyDescent="0.2"/>
    <row r="32491" ht="12.75" hidden="1" customHeight="1" x14ac:dyDescent="0.2"/>
    <row r="32492" ht="12.75" hidden="1" customHeight="1" x14ac:dyDescent="0.2"/>
    <row r="32493" ht="12.75" hidden="1" customHeight="1" x14ac:dyDescent="0.2"/>
    <row r="32494" ht="12.75" hidden="1" customHeight="1" x14ac:dyDescent="0.2"/>
    <row r="32495" ht="12.75" hidden="1" customHeight="1" x14ac:dyDescent="0.2"/>
    <row r="32496" ht="12.75" hidden="1" customHeight="1" x14ac:dyDescent="0.2"/>
    <row r="32497" ht="12.75" hidden="1" customHeight="1" x14ac:dyDescent="0.2"/>
    <row r="32498" ht="12.75" hidden="1" customHeight="1" x14ac:dyDescent="0.2"/>
    <row r="32499" ht="12.75" hidden="1" customHeight="1" x14ac:dyDescent="0.2"/>
    <row r="32500" ht="12.75" hidden="1" customHeight="1" x14ac:dyDescent="0.2"/>
    <row r="32501" ht="12.75" hidden="1" customHeight="1" x14ac:dyDescent="0.2"/>
    <row r="32502" ht="12.75" hidden="1" customHeight="1" x14ac:dyDescent="0.2"/>
    <row r="32503" ht="12.75" hidden="1" customHeight="1" x14ac:dyDescent="0.2"/>
    <row r="32504" ht="12.75" hidden="1" customHeight="1" x14ac:dyDescent="0.2"/>
    <row r="32505" ht="12.75" hidden="1" customHeight="1" x14ac:dyDescent="0.2"/>
    <row r="32506" ht="12.75" hidden="1" customHeight="1" x14ac:dyDescent="0.2"/>
    <row r="32507" ht="12.75" hidden="1" customHeight="1" x14ac:dyDescent="0.2"/>
    <row r="32508" ht="12.75" hidden="1" customHeight="1" x14ac:dyDescent="0.2"/>
    <row r="32509" ht="12.75" hidden="1" customHeight="1" x14ac:dyDescent="0.2"/>
    <row r="32510" ht="12.75" hidden="1" customHeight="1" x14ac:dyDescent="0.2"/>
    <row r="32511" ht="12.75" hidden="1" customHeight="1" x14ac:dyDescent="0.2"/>
    <row r="32512" ht="12.75" hidden="1" customHeight="1" x14ac:dyDescent="0.2"/>
    <row r="32513" ht="12.75" hidden="1" customHeight="1" x14ac:dyDescent="0.2"/>
    <row r="32514" ht="12.75" hidden="1" customHeight="1" x14ac:dyDescent="0.2"/>
    <row r="32515" ht="12.75" hidden="1" customHeight="1" x14ac:dyDescent="0.2"/>
    <row r="32516" ht="12.75" hidden="1" customHeight="1" x14ac:dyDescent="0.2"/>
    <row r="32517" ht="12.75" hidden="1" customHeight="1" x14ac:dyDescent="0.2"/>
    <row r="32518" ht="12.75" hidden="1" customHeight="1" x14ac:dyDescent="0.2"/>
    <row r="32519" ht="12.75" hidden="1" customHeight="1" x14ac:dyDescent="0.2"/>
    <row r="32520" ht="12.75" hidden="1" customHeight="1" x14ac:dyDescent="0.2"/>
    <row r="32521" ht="12.75" hidden="1" customHeight="1" x14ac:dyDescent="0.2"/>
    <row r="32522" ht="12.75" hidden="1" customHeight="1" x14ac:dyDescent="0.2"/>
    <row r="32523" ht="12.75" hidden="1" customHeight="1" x14ac:dyDescent="0.2"/>
    <row r="32524" ht="12.75" hidden="1" customHeight="1" x14ac:dyDescent="0.2"/>
    <row r="32525" ht="12.75" hidden="1" customHeight="1" x14ac:dyDescent="0.2"/>
    <row r="32526" ht="12.75" hidden="1" customHeight="1" x14ac:dyDescent="0.2"/>
    <row r="32527" ht="12.75" hidden="1" customHeight="1" x14ac:dyDescent="0.2"/>
    <row r="32528" ht="12.75" hidden="1" customHeight="1" x14ac:dyDescent="0.2"/>
    <row r="32529" ht="12.75" hidden="1" customHeight="1" x14ac:dyDescent="0.2"/>
    <row r="32530" ht="12.75" hidden="1" customHeight="1" x14ac:dyDescent="0.2"/>
    <row r="32531" ht="12.75" hidden="1" customHeight="1" x14ac:dyDescent="0.2"/>
    <row r="32532" ht="12.75" hidden="1" customHeight="1" x14ac:dyDescent="0.2"/>
    <row r="32533" ht="12.75" hidden="1" customHeight="1" x14ac:dyDescent="0.2"/>
    <row r="32534" ht="12.75" hidden="1" customHeight="1" x14ac:dyDescent="0.2"/>
    <row r="32535" ht="12.75" hidden="1" customHeight="1" x14ac:dyDescent="0.2"/>
    <row r="32536" ht="12.75" hidden="1" customHeight="1" x14ac:dyDescent="0.2"/>
    <row r="32537" ht="12.75" hidden="1" customHeight="1" x14ac:dyDescent="0.2"/>
    <row r="32538" ht="12.75" hidden="1" customHeight="1" x14ac:dyDescent="0.2"/>
    <row r="32539" ht="12.75" hidden="1" customHeight="1" x14ac:dyDescent="0.2"/>
    <row r="32540" ht="12.75" hidden="1" customHeight="1" x14ac:dyDescent="0.2"/>
    <row r="32541" ht="12.75" hidden="1" customHeight="1" x14ac:dyDescent="0.2"/>
    <row r="32542" ht="12.75" hidden="1" customHeight="1" x14ac:dyDescent="0.2"/>
    <row r="32543" ht="12.75" hidden="1" customHeight="1" x14ac:dyDescent="0.2"/>
    <row r="32544" ht="12.75" hidden="1" customHeight="1" x14ac:dyDescent="0.2"/>
    <row r="32545" ht="12.75" hidden="1" customHeight="1" x14ac:dyDescent="0.2"/>
    <row r="32546" ht="12.75" hidden="1" customHeight="1" x14ac:dyDescent="0.2"/>
    <row r="32547" ht="12.75" hidden="1" customHeight="1" x14ac:dyDescent="0.2"/>
    <row r="32548" ht="12.75" hidden="1" customHeight="1" x14ac:dyDescent="0.2"/>
    <row r="32549" ht="12.75" hidden="1" customHeight="1" x14ac:dyDescent="0.2"/>
    <row r="32550" ht="12.75" hidden="1" customHeight="1" x14ac:dyDescent="0.2"/>
    <row r="32551" ht="12.75" hidden="1" customHeight="1" x14ac:dyDescent="0.2"/>
    <row r="32552" ht="12.75" hidden="1" customHeight="1" x14ac:dyDescent="0.2"/>
    <row r="32553" ht="12.75" hidden="1" customHeight="1" x14ac:dyDescent="0.2"/>
    <row r="32554" ht="12.75" hidden="1" customHeight="1" x14ac:dyDescent="0.2"/>
    <row r="32555" ht="12.75" hidden="1" customHeight="1" x14ac:dyDescent="0.2"/>
    <row r="32556" ht="12.75" hidden="1" customHeight="1" x14ac:dyDescent="0.2"/>
    <row r="32557" ht="12.75" hidden="1" customHeight="1" x14ac:dyDescent="0.2"/>
    <row r="32558" ht="12.75" hidden="1" customHeight="1" x14ac:dyDescent="0.2"/>
    <row r="32559" ht="12.75" hidden="1" customHeight="1" x14ac:dyDescent="0.2"/>
    <row r="32560" ht="12.75" hidden="1" customHeight="1" x14ac:dyDescent="0.2"/>
    <row r="32561" ht="12.75" hidden="1" customHeight="1" x14ac:dyDescent="0.2"/>
    <row r="32562" ht="12.75" hidden="1" customHeight="1" x14ac:dyDescent="0.2"/>
    <row r="32563" ht="12.75" hidden="1" customHeight="1" x14ac:dyDescent="0.2"/>
    <row r="32564" ht="12.75" hidden="1" customHeight="1" x14ac:dyDescent="0.2"/>
    <row r="32565" ht="12.75" hidden="1" customHeight="1" x14ac:dyDescent="0.2"/>
    <row r="32566" ht="12.75" hidden="1" customHeight="1" x14ac:dyDescent="0.2"/>
    <row r="32567" ht="12.75" hidden="1" customHeight="1" x14ac:dyDescent="0.2"/>
    <row r="32568" ht="12.75" hidden="1" customHeight="1" x14ac:dyDescent="0.2"/>
    <row r="32569" ht="12.75" hidden="1" customHeight="1" x14ac:dyDescent="0.2"/>
    <row r="32570" ht="12.75" hidden="1" customHeight="1" x14ac:dyDescent="0.2"/>
    <row r="32571" ht="12.75" hidden="1" customHeight="1" x14ac:dyDescent="0.2"/>
    <row r="32572" ht="12.75" hidden="1" customHeight="1" x14ac:dyDescent="0.2"/>
    <row r="32573" ht="12.75" hidden="1" customHeight="1" x14ac:dyDescent="0.2"/>
    <row r="32574" ht="12.75" hidden="1" customHeight="1" x14ac:dyDescent="0.2"/>
    <row r="32575" ht="12.75" hidden="1" customHeight="1" x14ac:dyDescent="0.2"/>
    <row r="32576" ht="12.75" hidden="1" customHeight="1" x14ac:dyDescent="0.2"/>
    <row r="32577" ht="12.75" hidden="1" customHeight="1" x14ac:dyDescent="0.2"/>
    <row r="32578" ht="12.75" hidden="1" customHeight="1" x14ac:dyDescent="0.2"/>
    <row r="32579" ht="12.75" hidden="1" customHeight="1" x14ac:dyDescent="0.2"/>
    <row r="32580" ht="12.75" hidden="1" customHeight="1" x14ac:dyDescent="0.2"/>
    <row r="32581" ht="12.75" hidden="1" customHeight="1" x14ac:dyDescent="0.2"/>
    <row r="32582" ht="12.75" hidden="1" customHeight="1" x14ac:dyDescent="0.2"/>
    <row r="32583" ht="12.75" hidden="1" customHeight="1" x14ac:dyDescent="0.2"/>
    <row r="32584" ht="12.75" hidden="1" customHeight="1" x14ac:dyDescent="0.2"/>
    <row r="32585" ht="12.75" hidden="1" customHeight="1" x14ac:dyDescent="0.2"/>
    <row r="32586" ht="12.75" hidden="1" customHeight="1" x14ac:dyDescent="0.2"/>
    <row r="32587" ht="12.75" hidden="1" customHeight="1" x14ac:dyDescent="0.2"/>
    <row r="32588" ht="12.75" hidden="1" customHeight="1" x14ac:dyDescent="0.2"/>
    <row r="32589" ht="12.75" hidden="1" customHeight="1" x14ac:dyDescent="0.2"/>
    <row r="32590" ht="12.75" hidden="1" customHeight="1" x14ac:dyDescent="0.2"/>
    <row r="32591" ht="12.75" hidden="1" customHeight="1" x14ac:dyDescent="0.2"/>
    <row r="32592" ht="12.75" hidden="1" customHeight="1" x14ac:dyDescent="0.2"/>
    <row r="32593" ht="12.75" hidden="1" customHeight="1" x14ac:dyDescent="0.2"/>
    <row r="32594" ht="12.75" hidden="1" customHeight="1" x14ac:dyDescent="0.2"/>
    <row r="32595" ht="12.75" hidden="1" customHeight="1" x14ac:dyDescent="0.2"/>
    <row r="32596" ht="12.75" hidden="1" customHeight="1" x14ac:dyDescent="0.2"/>
    <row r="32597" ht="12.75" hidden="1" customHeight="1" x14ac:dyDescent="0.2"/>
    <row r="32598" ht="12.75" hidden="1" customHeight="1" x14ac:dyDescent="0.2"/>
    <row r="32599" ht="12.75" hidden="1" customHeight="1" x14ac:dyDescent="0.2"/>
    <row r="32600" ht="12.75" hidden="1" customHeight="1" x14ac:dyDescent="0.2"/>
    <row r="32601" ht="12.75" hidden="1" customHeight="1" x14ac:dyDescent="0.2"/>
    <row r="32602" ht="12.75" hidden="1" customHeight="1" x14ac:dyDescent="0.2"/>
    <row r="32603" ht="12.75" hidden="1" customHeight="1" x14ac:dyDescent="0.2"/>
    <row r="32604" ht="12.75" hidden="1" customHeight="1" x14ac:dyDescent="0.2"/>
    <row r="32605" ht="12.75" hidden="1" customHeight="1" x14ac:dyDescent="0.2"/>
    <row r="32606" ht="12.75" hidden="1" customHeight="1" x14ac:dyDescent="0.2"/>
    <row r="32607" ht="12.75" hidden="1" customHeight="1" x14ac:dyDescent="0.2"/>
    <row r="32608" ht="12.75" hidden="1" customHeight="1" x14ac:dyDescent="0.2"/>
    <row r="32609" ht="12.75" hidden="1" customHeight="1" x14ac:dyDescent="0.2"/>
    <row r="32610" ht="12.75" hidden="1" customHeight="1" x14ac:dyDescent="0.2"/>
    <row r="32611" ht="12.75" hidden="1" customHeight="1" x14ac:dyDescent="0.2"/>
    <row r="32612" ht="12.75" hidden="1" customHeight="1" x14ac:dyDescent="0.2"/>
    <row r="32613" ht="12.75" hidden="1" customHeight="1" x14ac:dyDescent="0.2"/>
    <row r="32614" ht="12.75" hidden="1" customHeight="1" x14ac:dyDescent="0.2"/>
    <row r="32615" ht="12.75" hidden="1" customHeight="1" x14ac:dyDescent="0.2"/>
    <row r="32616" ht="12.75" hidden="1" customHeight="1" x14ac:dyDescent="0.2"/>
    <row r="32617" ht="12.75" hidden="1" customHeight="1" x14ac:dyDescent="0.2"/>
    <row r="32618" ht="12.75" hidden="1" customHeight="1" x14ac:dyDescent="0.2"/>
    <row r="32619" ht="12.75" hidden="1" customHeight="1" x14ac:dyDescent="0.2"/>
    <row r="32620" ht="12.75" hidden="1" customHeight="1" x14ac:dyDescent="0.2"/>
    <row r="32621" ht="12.75" hidden="1" customHeight="1" x14ac:dyDescent="0.2"/>
    <row r="32622" ht="12.75" hidden="1" customHeight="1" x14ac:dyDescent="0.2"/>
    <row r="32623" ht="12.75" hidden="1" customHeight="1" x14ac:dyDescent="0.2"/>
    <row r="32624" ht="12.75" hidden="1" customHeight="1" x14ac:dyDescent="0.2"/>
    <row r="32625" ht="12.75" hidden="1" customHeight="1" x14ac:dyDescent="0.2"/>
    <row r="32626" ht="12.75" hidden="1" customHeight="1" x14ac:dyDescent="0.2"/>
    <row r="32627" ht="12.75" hidden="1" customHeight="1" x14ac:dyDescent="0.2"/>
    <row r="32628" ht="12.75" hidden="1" customHeight="1" x14ac:dyDescent="0.2"/>
    <row r="32629" ht="12.75" hidden="1" customHeight="1" x14ac:dyDescent="0.2"/>
    <row r="32630" ht="12.75" hidden="1" customHeight="1" x14ac:dyDescent="0.2"/>
    <row r="32631" ht="12.75" hidden="1" customHeight="1" x14ac:dyDescent="0.2"/>
    <row r="32632" ht="12.75" hidden="1" customHeight="1" x14ac:dyDescent="0.2"/>
    <row r="32633" ht="12.75" hidden="1" customHeight="1" x14ac:dyDescent="0.2"/>
    <row r="32634" ht="12.75" hidden="1" customHeight="1" x14ac:dyDescent="0.2"/>
    <row r="32635" ht="12.75" hidden="1" customHeight="1" x14ac:dyDescent="0.2"/>
    <row r="32636" ht="12.75" hidden="1" customHeight="1" x14ac:dyDescent="0.2"/>
    <row r="32637" ht="12.75" hidden="1" customHeight="1" x14ac:dyDescent="0.2"/>
    <row r="32638" ht="12.75" hidden="1" customHeight="1" x14ac:dyDescent="0.2"/>
    <row r="32639" ht="12.75" hidden="1" customHeight="1" x14ac:dyDescent="0.2"/>
    <row r="32640" ht="12.75" hidden="1" customHeight="1" x14ac:dyDescent="0.2"/>
    <row r="32641" ht="12.75" hidden="1" customHeight="1" x14ac:dyDescent="0.2"/>
    <row r="32642" ht="12.75" hidden="1" customHeight="1" x14ac:dyDescent="0.2"/>
    <row r="32643" ht="12.75" hidden="1" customHeight="1" x14ac:dyDescent="0.2"/>
    <row r="32644" ht="12.75" hidden="1" customHeight="1" x14ac:dyDescent="0.2"/>
    <row r="32645" ht="12.75" hidden="1" customHeight="1" x14ac:dyDescent="0.2"/>
    <row r="32646" ht="12.75" hidden="1" customHeight="1" x14ac:dyDescent="0.2"/>
    <row r="32647" ht="12.75" hidden="1" customHeight="1" x14ac:dyDescent="0.2"/>
    <row r="32648" ht="12.75" hidden="1" customHeight="1" x14ac:dyDescent="0.2"/>
    <row r="32649" ht="12.75" hidden="1" customHeight="1" x14ac:dyDescent="0.2"/>
    <row r="32650" ht="12.75" hidden="1" customHeight="1" x14ac:dyDescent="0.2"/>
    <row r="32651" ht="12.75" hidden="1" customHeight="1" x14ac:dyDescent="0.2"/>
    <row r="32652" ht="12.75" hidden="1" customHeight="1" x14ac:dyDescent="0.2"/>
    <row r="32653" ht="12.75" hidden="1" customHeight="1" x14ac:dyDescent="0.2"/>
    <row r="32654" ht="12.75" hidden="1" customHeight="1" x14ac:dyDescent="0.2"/>
    <row r="32655" ht="12.75" hidden="1" customHeight="1" x14ac:dyDescent="0.2"/>
    <row r="32656" ht="12.75" hidden="1" customHeight="1" x14ac:dyDescent="0.2"/>
    <row r="32657" ht="12.75" hidden="1" customHeight="1" x14ac:dyDescent="0.2"/>
    <row r="32658" ht="12.75" hidden="1" customHeight="1" x14ac:dyDescent="0.2"/>
    <row r="32659" ht="12.75" hidden="1" customHeight="1" x14ac:dyDescent="0.2"/>
    <row r="32660" ht="12.75" hidden="1" customHeight="1" x14ac:dyDescent="0.2"/>
    <row r="32661" ht="12.75" hidden="1" customHeight="1" x14ac:dyDescent="0.2"/>
    <row r="32662" ht="12.75" hidden="1" customHeight="1" x14ac:dyDescent="0.2"/>
    <row r="32663" ht="12.75" hidden="1" customHeight="1" x14ac:dyDescent="0.2"/>
    <row r="32664" ht="12.75" hidden="1" customHeight="1" x14ac:dyDescent="0.2"/>
    <row r="32665" ht="12.75" hidden="1" customHeight="1" x14ac:dyDescent="0.2"/>
    <row r="32666" ht="12.75" hidden="1" customHeight="1" x14ac:dyDescent="0.2"/>
    <row r="32667" ht="12.75" hidden="1" customHeight="1" x14ac:dyDescent="0.2"/>
    <row r="32668" ht="12.75" hidden="1" customHeight="1" x14ac:dyDescent="0.2"/>
    <row r="32669" ht="12.75" hidden="1" customHeight="1" x14ac:dyDescent="0.2"/>
    <row r="32670" ht="12.75" hidden="1" customHeight="1" x14ac:dyDescent="0.2"/>
    <row r="32671" ht="12.75" hidden="1" customHeight="1" x14ac:dyDescent="0.2"/>
    <row r="32672" ht="12.75" hidden="1" customHeight="1" x14ac:dyDescent="0.2"/>
    <row r="32673" ht="12.75" hidden="1" customHeight="1" x14ac:dyDescent="0.2"/>
    <row r="32674" ht="12.75" hidden="1" customHeight="1" x14ac:dyDescent="0.2"/>
    <row r="32675" ht="12.75" hidden="1" customHeight="1" x14ac:dyDescent="0.2"/>
    <row r="32676" ht="12.75" hidden="1" customHeight="1" x14ac:dyDescent="0.2"/>
    <row r="32677" ht="12.75" hidden="1" customHeight="1" x14ac:dyDescent="0.2"/>
    <row r="32678" ht="12.75" hidden="1" customHeight="1" x14ac:dyDescent="0.2"/>
    <row r="32679" ht="12.75" hidden="1" customHeight="1" x14ac:dyDescent="0.2"/>
    <row r="32680" ht="12.75" hidden="1" customHeight="1" x14ac:dyDescent="0.2"/>
    <row r="32681" ht="12.75" hidden="1" customHeight="1" x14ac:dyDescent="0.2"/>
    <row r="32682" ht="12.75" hidden="1" customHeight="1" x14ac:dyDescent="0.2"/>
    <row r="32683" ht="12.75" hidden="1" customHeight="1" x14ac:dyDescent="0.2"/>
    <row r="32684" ht="12.75" hidden="1" customHeight="1" x14ac:dyDescent="0.2"/>
    <row r="32685" ht="12.75" hidden="1" customHeight="1" x14ac:dyDescent="0.2"/>
    <row r="32686" ht="12.75" hidden="1" customHeight="1" x14ac:dyDescent="0.2"/>
    <row r="32687" ht="12.75" hidden="1" customHeight="1" x14ac:dyDescent="0.2"/>
    <row r="32688" ht="12.75" hidden="1" customHeight="1" x14ac:dyDescent="0.2"/>
    <row r="32689" ht="12.75" hidden="1" customHeight="1" x14ac:dyDescent="0.2"/>
    <row r="32690" ht="12.75" hidden="1" customHeight="1" x14ac:dyDescent="0.2"/>
    <row r="32691" ht="12.75" hidden="1" customHeight="1" x14ac:dyDescent="0.2"/>
    <row r="32692" ht="12.75" hidden="1" customHeight="1" x14ac:dyDescent="0.2"/>
    <row r="32693" ht="12.75" hidden="1" customHeight="1" x14ac:dyDescent="0.2"/>
    <row r="32694" ht="12.75" hidden="1" customHeight="1" x14ac:dyDescent="0.2"/>
    <row r="32695" ht="12.75" hidden="1" customHeight="1" x14ac:dyDescent="0.2"/>
    <row r="32696" ht="12.75" hidden="1" customHeight="1" x14ac:dyDescent="0.2"/>
    <row r="32697" ht="12.75" hidden="1" customHeight="1" x14ac:dyDescent="0.2"/>
    <row r="32698" ht="12.75" hidden="1" customHeight="1" x14ac:dyDescent="0.2"/>
    <row r="32699" ht="12.75" hidden="1" customHeight="1" x14ac:dyDescent="0.2"/>
    <row r="32700" ht="12.75" hidden="1" customHeight="1" x14ac:dyDescent="0.2"/>
    <row r="32701" ht="12.75" hidden="1" customHeight="1" x14ac:dyDescent="0.2"/>
    <row r="32702" ht="12.75" hidden="1" customHeight="1" x14ac:dyDescent="0.2"/>
    <row r="32703" ht="12.75" hidden="1" customHeight="1" x14ac:dyDescent="0.2"/>
    <row r="32704" ht="12.75" hidden="1" customHeight="1" x14ac:dyDescent="0.2"/>
    <row r="32705" ht="12.75" hidden="1" customHeight="1" x14ac:dyDescent="0.2"/>
    <row r="32706" ht="12.75" hidden="1" customHeight="1" x14ac:dyDescent="0.2"/>
    <row r="32707" ht="12.75" hidden="1" customHeight="1" x14ac:dyDescent="0.2"/>
    <row r="32708" ht="12.75" hidden="1" customHeight="1" x14ac:dyDescent="0.2"/>
    <row r="32709" ht="12.75" hidden="1" customHeight="1" x14ac:dyDescent="0.2"/>
    <row r="32710" ht="12.75" hidden="1" customHeight="1" x14ac:dyDescent="0.2"/>
    <row r="32711" ht="12.75" hidden="1" customHeight="1" x14ac:dyDescent="0.2"/>
    <row r="32712" ht="12.75" hidden="1" customHeight="1" x14ac:dyDescent="0.2"/>
    <row r="32713" ht="12.75" hidden="1" customHeight="1" x14ac:dyDescent="0.2"/>
    <row r="32714" ht="12.75" hidden="1" customHeight="1" x14ac:dyDescent="0.2"/>
    <row r="32715" ht="12.75" hidden="1" customHeight="1" x14ac:dyDescent="0.2"/>
    <row r="32716" ht="12.75" hidden="1" customHeight="1" x14ac:dyDescent="0.2"/>
    <row r="32717" ht="12.75" hidden="1" customHeight="1" x14ac:dyDescent="0.2"/>
    <row r="32718" ht="12.75" hidden="1" customHeight="1" x14ac:dyDescent="0.2"/>
    <row r="32719" ht="12.75" hidden="1" customHeight="1" x14ac:dyDescent="0.2"/>
    <row r="32720" ht="12.75" hidden="1" customHeight="1" x14ac:dyDescent="0.2"/>
    <row r="32721" ht="12.75" hidden="1" customHeight="1" x14ac:dyDescent="0.2"/>
    <row r="32722" ht="12.75" hidden="1" customHeight="1" x14ac:dyDescent="0.2"/>
    <row r="32723" ht="12.75" hidden="1" customHeight="1" x14ac:dyDescent="0.2"/>
    <row r="32724" ht="12.75" hidden="1" customHeight="1" x14ac:dyDescent="0.2"/>
    <row r="32725" ht="12.75" hidden="1" customHeight="1" x14ac:dyDescent="0.2"/>
    <row r="32726" ht="12.75" hidden="1" customHeight="1" x14ac:dyDescent="0.2"/>
    <row r="32727" ht="12.75" hidden="1" customHeight="1" x14ac:dyDescent="0.2"/>
    <row r="32728" ht="12.75" hidden="1" customHeight="1" x14ac:dyDescent="0.2"/>
    <row r="32729" ht="12.75" hidden="1" customHeight="1" x14ac:dyDescent="0.2"/>
    <row r="32730" ht="12.75" hidden="1" customHeight="1" x14ac:dyDescent="0.2"/>
    <row r="32731" ht="12.75" hidden="1" customHeight="1" x14ac:dyDescent="0.2"/>
    <row r="32732" ht="12.75" hidden="1" customHeight="1" x14ac:dyDescent="0.2"/>
    <row r="32733" ht="12.75" hidden="1" customHeight="1" x14ac:dyDescent="0.2"/>
    <row r="32734" ht="12.75" hidden="1" customHeight="1" x14ac:dyDescent="0.2"/>
    <row r="32735" ht="12.75" hidden="1" customHeight="1" x14ac:dyDescent="0.2"/>
    <row r="32736" ht="12.75" hidden="1" customHeight="1" x14ac:dyDescent="0.2"/>
    <row r="32737" ht="12.75" hidden="1" customHeight="1" x14ac:dyDescent="0.2"/>
    <row r="32738" ht="12.75" hidden="1" customHeight="1" x14ac:dyDescent="0.2"/>
    <row r="32739" ht="12.75" hidden="1" customHeight="1" x14ac:dyDescent="0.2"/>
    <row r="32740" ht="12.75" hidden="1" customHeight="1" x14ac:dyDescent="0.2"/>
    <row r="32741" ht="12.75" hidden="1" customHeight="1" x14ac:dyDescent="0.2"/>
    <row r="32742" ht="12.75" hidden="1" customHeight="1" x14ac:dyDescent="0.2"/>
    <row r="32743" ht="12.75" hidden="1" customHeight="1" x14ac:dyDescent="0.2"/>
    <row r="32744" ht="12.75" hidden="1" customHeight="1" x14ac:dyDescent="0.2"/>
    <row r="32745" ht="12.75" hidden="1" customHeight="1" x14ac:dyDescent="0.2"/>
    <row r="32746" ht="12.75" hidden="1" customHeight="1" x14ac:dyDescent="0.2"/>
    <row r="32747" ht="12.75" hidden="1" customHeight="1" x14ac:dyDescent="0.2"/>
    <row r="32748" ht="12.75" hidden="1" customHeight="1" x14ac:dyDescent="0.2"/>
    <row r="32749" ht="12.75" hidden="1" customHeight="1" x14ac:dyDescent="0.2"/>
    <row r="32750" ht="12.75" hidden="1" customHeight="1" x14ac:dyDescent="0.2"/>
    <row r="32751" ht="12.75" hidden="1" customHeight="1" x14ac:dyDescent="0.2"/>
    <row r="32752" ht="12.75" hidden="1" customHeight="1" x14ac:dyDescent="0.2"/>
    <row r="32753" ht="12.75" hidden="1" customHeight="1" x14ac:dyDescent="0.2"/>
    <row r="32754" ht="12.75" hidden="1" customHeight="1" x14ac:dyDescent="0.2"/>
    <row r="32755" ht="12.75" hidden="1" customHeight="1" x14ac:dyDescent="0.2"/>
    <row r="32756" ht="12.75" hidden="1" customHeight="1" x14ac:dyDescent="0.2"/>
    <row r="32757" ht="12.75" hidden="1" customHeight="1" x14ac:dyDescent="0.2"/>
    <row r="32758" ht="12.75" hidden="1" customHeight="1" x14ac:dyDescent="0.2"/>
    <row r="32759" ht="12.75" hidden="1" customHeight="1" x14ac:dyDescent="0.2"/>
    <row r="32760" ht="12.75" hidden="1" customHeight="1" x14ac:dyDescent="0.2"/>
    <row r="32761" ht="12.75" hidden="1" customHeight="1" x14ac:dyDescent="0.2"/>
    <row r="32762" ht="12.75" hidden="1" customHeight="1" x14ac:dyDescent="0.2"/>
    <row r="32763" ht="12.75" hidden="1" customHeight="1" x14ac:dyDescent="0.2"/>
    <row r="32764" ht="12.75" hidden="1" customHeight="1" x14ac:dyDescent="0.2"/>
    <row r="32765" ht="12.75" hidden="1" customHeight="1" x14ac:dyDescent="0.2"/>
    <row r="32766" ht="12.75" hidden="1" customHeight="1" x14ac:dyDescent="0.2"/>
    <row r="32767" ht="12.75" hidden="1" customHeight="1" x14ac:dyDescent="0.2"/>
    <row r="32768" ht="12.75" hidden="1" customHeight="1" x14ac:dyDescent="0.2"/>
    <row r="32769" ht="12.75" hidden="1" customHeight="1" x14ac:dyDescent="0.2"/>
    <row r="32770" ht="12.75" hidden="1" customHeight="1" x14ac:dyDescent="0.2"/>
    <row r="32771" ht="12.75" hidden="1" customHeight="1" x14ac:dyDescent="0.2"/>
    <row r="32772" ht="12.75" hidden="1" customHeight="1" x14ac:dyDescent="0.2"/>
    <row r="32773" ht="12.75" hidden="1" customHeight="1" x14ac:dyDescent="0.2"/>
    <row r="32774" ht="12.75" hidden="1" customHeight="1" x14ac:dyDescent="0.2"/>
    <row r="32775" ht="12.75" hidden="1" customHeight="1" x14ac:dyDescent="0.2"/>
    <row r="32776" ht="12.75" hidden="1" customHeight="1" x14ac:dyDescent="0.2"/>
    <row r="32777" ht="12.75" hidden="1" customHeight="1" x14ac:dyDescent="0.2"/>
    <row r="32778" ht="12.75" hidden="1" customHeight="1" x14ac:dyDescent="0.2"/>
    <row r="32779" ht="12.75" hidden="1" customHeight="1" x14ac:dyDescent="0.2"/>
    <row r="32780" ht="12.75" hidden="1" customHeight="1" x14ac:dyDescent="0.2"/>
    <row r="32781" ht="12.75" hidden="1" customHeight="1" x14ac:dyDescent="0.2"/>
    <row r="32782" ht="12.75" hidden="1" customHeight="1" x14ac:dyDescent="0.2"/>
    <row r="32783" ht="12.75" hidden="1" customHeight="1" x14ac:dyDescent="0.2"/>
    <row r="32784" ht="12.75" hidden="1" customHeight="1" x14ac:dyDescent="0.2"/>
    <row r="32785" ht="12.75" hidden="1" customHeight="1" x14ac:dyDescent="0.2"/>
    <row r="32786" ht="12.75" hidden="1" customHeight="1" x14ac:dyDescent="0.2"/>
    <row r="32787" ht="12.75" hidden="1" customHeight="1" x14ac:dyDescent="0.2"/>
    <row r="32788" ht="12.75" hidden="1" customHeight="1" x14ac:dyDescent="0.2"/>
    <row r="32789" ht="12.75" hidden="1" customHeight="1" x14ac:dyDescent="0.2"/>
    <row r="32790" ht="12.75" hidden="1" customHeight="1" x14ac:dyDescent="0.2"/>
    <row r="32791" ht="12.75" hidden="1" customHeight="1" x14ac:dyDescent="0.2"/>
    <row r="32792" ht="12.75" hidden="1" customHeight="1" x14ac:dyDescent="0.2"/>
    <row r="32793" ht="12.75" hidden="1" customHeight="1" x14ac:dyDescent="0.2"/>
    <row r="32794" ht="12.75" hidden="1" customHeight="1" x14ac:dyDescent="0.2"/>
    <row r="32795" ht="12.75" hidden="1" customHeight="1" x14ac:dyDescent="0.2"/>
    <row r="32796" ht="12.75" hidden="1" customHeight="1" x14ac:dyDescent="0.2"/>
    <row r="32797" ht="12.75" hidden="1" customHeight="1" x14ac:dyDescent="0.2"/>
    <row r="32798" ht="12.75" hidden="1" customHeight="1" x14ac:dyDescent="0.2"/>
    <row r="32799" ht="12.75" hidden="1" customHeight="1" x14ac:dyDescent="0.2"/>
    <row r="32800" ht="12.75" hidden="1" customHeight="1" x14ac:dyDescent="0.2"/>
    <row r="32801" ht="12.75" hidden="1" customHeight="1" x14ac:dyDescent="0.2"/>
    <row r="32802" ht="12.75" hidden="1" customHeight="1" x14ac:dyDescent="0.2"/>
    <row r="32803" ht="12.75" hidden="1" customHeight="1" x14ac:dyDescent="0.2"/>
    <row r="32804" ht="12.75" hidden="1" customHeight="1" x14ac:dyDescent="0.2"/>
    <row r="32805" ht="12.75" hidden="1" customHeight="1" x14ac:dyDescent="0.2"/>
    <row r="32806" ht="12.75" hidden="1" customHeight="1" x14ac:dyDescent="0.2"/>
    <row r="32807" ht="12.75" hidden="1" customHeight="1" x14ac:dyDescent="0.2"/>
    <row r="32808" ht="12.75" hidden="1" customHeight="1" x14ac:dyDescent="0.2"/>
    <row r="32809" ht="12.75" hidden="1" customHeight="1" x14ac:dyDescent="0.2"/>
    <row r="32810" ht="12.75" hidden="1" customHeight="1" x14ac:dyDescent="0.2"/>
    <row r="32811" ht="12.75" hidden="1" customHeight="1" x14ac:dyDescent="0.2"/>
    <row r="32812" ht="12.75" hidden="1" customHeight="1" x14ac:dyDescent="0.2"/>
    <row r="32813" ht="12.75" hidden="1" customHeight="1" x14ac:dyDescent="0.2"/>
    <row r="32814" ht="12.75" hidden="1" customHeight="1" x14ac:dyDescent="0.2"/>
    <row r="32815" ht="12.75" hidden="1" customHeight="1" x14ac:dyDescent="0.2"/>
    <row r="32816" ht="12.75" hidden="1" customHeight="1" x14ac:dyDescent="0.2"/>
    <row r="32817" ht="12.75" hidden="1" customHeight="1" x14ac:dyDescent="0.2"/>
    <row r="32818" ht="12.75" hidden="1" customHeight="1" x14ac:dyDescent="0.2"/>
    <row r="32819" ht="12.75" hidden="1" customHeight="1" x14ac:dyDescent="0.2"/>
    <row r="32820" ht="12.75" hidden="1" customHeight="1" x14ac:dyDescent="0.2"/>
    <row r="32821" ht="12.75" hidden="1" customHeight="1" x14ac:dyDescent="0.2"/>
    <row r="32822" ht="12.75" hidden="1" customHeight="1" x14ac:dyDescent="0.2"/>
    <row r="32823" ht="12.75" hidden="1" customHeight="1" x14ac:dyDescent="0.2"/>
    <row r="32824" ht="12.75" hidden="1" customHeight="1" x14ac:dyDescent="0.2"/>
    <row r="32825" ht="12.75" hidden="1" customHeight="1" x14ac:dyDescent="0.2"/>
    <row r="32826" ht="12.75" hidden="1" customHeight="1" x14ac:dyDescent="0.2"/>
    <row r="32827" ht="12.75" hidden="1" customHeight="1" x14ac:dyDescent="0.2"/>
    <row r="32828" ht="12.75" hidden="1" customHeight="1" x14ac:dyDescent="0.2"/>
    <row r="32829" ht="12.75" hidden="1" customHeight="1" x14ac:dyDescent="0.2"/>
    <row r="32830" ht="12.75" hidden="1" customHeight="1" x14ac:dyDescent="0.2"/>
    <row r="32831" ht="12.75" hidden="1" customHeight="1" x14ac:dyDescent="0.2"/>
    <row r="32832" ht="12.75" hidden="1" customHeight="1" x14ac:dyDescent="0.2"/>
    <row r="32833" ht="12.75" hidden="1" customHeight="1" x14ac:dyDescent="0.2"/>
    <row r="32834" ht="12.75" hidden="1" customHeight="1" x14ac:dyDescent="0.2"/>
    <row r="32835" ht="12.75" hidden="1" customHeight="1" x14ac:dyDescent="0.2"/>
    <row r="32836" ht="12.75" hidden="1" customHeight="1" x14ac:dyDescent="0.2"/>
    <row r="32837" ht="12.75" hidden="1" customHeight="1" x14ac:dyDescent="0.2"/>
    <row r="32838" ht="12.75" hidden="1" customHeight="1" x14ac:dyDescent="0.2"/>
    <row r="32839" ht="12.75" hidden="1" customHeight="1" x14ac:dyDescent="0.2"/>
    <row r="32840" ht="12.75" hidden="1" customHeight="1" x14ac:dyDescent="0.2"/>
    <row r="32841" ht="12.75" hidden="1" customHeight="1" x14ac:dyDescent="0.2"/>
    <row r="32842" ht="12.75" hidden="1" customHeight="1" x14ac:dyDescent="0.2"/>
    <row r="32843" ht="12.75" hidden="1" customHeight="1" x14ac:dyDescent="0.2"/>
    <row r="32844" ht="12.75" hidden="1" customHeight="1" x14ac:dyDescent="0.2"/>
    <row r="32845" ht="12.75" hidden="1" customHeight="1" x14ac:dyDescent="0.2"/>
    <row r="32846" ht="12.75" hidden="1" customHeight="1" x14ac:dyDescent="0.2"/>
    <row r="32847" ht="12.75" hidden="1" customHeight="1" x14ac:dyDescent="0.2"/>
    <row r="32848" ht="12.75" hidden="1" customHeight="1" x14ac:dyDescent="0.2"/>
    <row r="32849" ht="12.75" hidden="1" customHeight="1" x14ac:dyDescent="0.2"/>
    <row r="32850" ht="12.75" hidden="1" customHeight="1" x14ac:dyDescent="0.2"/>
    <row r="32851" ht="12.75" hidden="1" customHeight="1" x14ac:dyDescent="0.2"/>
    <row r="32852" ht="12.75" hidden="1" customHeight="1" x14ac:dyDescent="0.2"/>
    <row r="32853" ht="12.75" hidden="1" customHeight="1" x14ac:dyDescent="0.2"/>
    <row r="32854" ht="12.75" hidden="1" customHeight="1" x14ac:dyDescent="0.2"/>
    <row r="32855" ht="12.75" hidden="1" customHeight="1" x14ac:dyDescent="0.2"/>
    <row r="32856" ht="12.75" hidden="1" customHeight="1" x14ac:dyDescent="0.2"/>
    <row r="32857" ht="12.75" hidden="1" customHeight="1" x14ac:dyDescent="0.2"/>
    <row r="32858" ht="12.75" hidden="1" customHeight="1" x14ac:dyDescent="0.2"/>
    <row r="32859" ht="12.75" hidden="1" customHeight="1" x14ac:dyDescent="0.2"/>
    <row r="32860" ht="12.75" hidden="1" customHeight="1" x14ac:dyDescent="0.2"/>
    <row r="32861" ht="12.75" hidden="1" customHeight="1" x14ac:dyDescent="0.2"/>
    <row r="32862" ht="12.75" hidden="1" customHeight="1" x14ac:dyDescent="0.2"/>
    <row r="32863" ht="12.75" hidden="1" customHeight="1" x14ac:dyDescent="0.2"/>
    <row r="32864" ht="12.75" hidden="1" customHeight="1" x14ac:dyDescent="0.2"/>
    <row r="32865" ht="12.75" hidden="1" customHeight="1" x14ac:dyDescent="0.2"/>
    <row r="32866" ht="12.75" hidden="1" customHeight="1" x14ac:dyDescent="0.2"/>
    <row r="32867" ht="12.75" hidden="1" customHeight="1" x14ac:dyDescent="0.2"/>
    <row r="32868" ht="12.75" hidden="1" customHeight="1" x14ac:dyDescent="0.2"/>
    <row r="32869" ht="12.75" hidden="1" customHeight="1" x14ac:dyDescent="0.2"/>
    <row r="32870" ht="12.75" hidden="1" customHeight="1" x14ac:dyDescent="0.2"/>
    <row r="32871" ht="12.75" hidden="1" customHeight="1" x14ac:dyDescent="0.2"/>
    <row r="32872" ht="12.75" hidden="1" customHeight="1" x14ac:dyDescent="0.2"/>
    <row r="32873" ht="12.75" hidden="1" customHeight="1" x14ac:dyDescent="0.2"/>
    <row r="32874" ht="12.75" hidden="1" customHeight="1" x14ac:dyDescent="0.2"/>
    <row r="32875" ht="12.75" hidden="1" customHeight="1" x14ac:dyDescent="0.2"/>
    <row r="32876" ht="12.75" hidden="1" customHeight="1" x14ac:dyDescent="0.2"/>
    <row r="32877" ht="12.75" hidden="1" customHeight="1" x14ac:dyDescent="0.2"/>
    <row r="32878" ht="12.75" hidden="1" customHeight="1" x14ac:dyDescent="0.2"/>
    <row r="32879" ht="12.75" hidden="1" customHeight="1" x14ac:dyDescent="0.2"/>
    <row r="32880" ht="12.75" hidden="1" customHeight="1" x14ac:dyDescent="0.2"/>
    <row r="32881" ht="12.75" hidden="1" customHeight="1" x14ac:dyDescent="0.2"/>
    <row r="32882" ht="12.75" hidden="1" customHeight="1" x14ac:dyDescent="0.2"/>
    <row r="32883" ht="12.75" hidden="1" customHeight="1" x14ac:dyDescent="0.2"/>
    <row r="32884" ht="12.75" hidden="1" customHeight="1" x14ac:dyDescent="0.2"/>
    <row r="32885" ht="12.75" hidden="1" customHeight="1" x14ac:dyDescent="0.2"/>
    <row r="32886" ht="12.75" hidden="1" customHeight="1" x14ac:dyDescent="0.2"/>
    <row r="32887" ht="12.75" hidden="1" customHeight="1" x14ac:dyDescent="0.2"/>
    <row r="32888" ht="12.75" hidden="1" customHeight="1" x14ac:dyDescent="0.2"/>
    <row r="32889" ht="12.75" hidden="1" customHeight="1" x14ac:dyDescent="0.2"/>
    <row r="32890" ht="12.75" hidden="1" customHeight="1" x14ac:dyDescent="0.2"/>
    <row r="32891" ht="12.75" hidden="1" customHeight="1" x14ac:dyDescent="0.2"/>
    <row r="32892" ht="12.75" hidden="1" customHeight="1" x14ac:dyDescent="0.2"/>
    <row r="32893" ht="12.75" hidden="1" customHeight="1" x14ac:dyDescent="0.2"/>
    <row r="32894" ht="12.75" hidden="1" customHeight="1" x14ac:dyDescent="0.2"/>
    <row r="32895" ht="12.75" hidden="1" customHeight="1" x14ac:dyDescent="0.2"/>
    <row r="32896" ht="12.75" hidden="1" customHeight="1" x14ac:dyDescent="0.2"/>
    <row r="32897" ht="12.75" hidden="1" customHeight="1" x14ac:dyDescent="0.2"/>
    <row r="32898" ht="12.75" hidden="1" customHeight="1" x14ac:dyDescent="0.2"/>
    <row r="32899" ht="12.75" hidden="1" customHeight="1" x14ac:dyDescent="0.2"/>
    <row r="32900" ht="12.75" hidden="1" customHeight="1" x14ac:dyDescent="0.2"/>
    <row r="32901" ht="12.75" hidden="1" customHeight="1" x14ac:dyDescent="0.2"/>
    <row r="32902" ht="12.75" hidden="1" customHeight="1" x14ac:dyDescent="0.2"/>
    <row r="32903" ht="12.75" hidden="1" customHeight="1" x14ac:dyDescent="0.2"/>
    <row r="32904" ht="12.75" hidden="1" customHeight="1" x14ac:dyDescent="0.2"/>
    <row r="32905" ht="12.75" hidden="1" customHeight="1" x14ac:dyDescent="0.2"/>
    <row r="32906" ht="12.75" hidden="1" customHeight="1" x14ac:dyDescent="0.2"/>
    <row r="32907" ht="12.75" hidden="1" customHeight="1" x14ac:dyDescent="0.2"/>
    <row r="32908" ht="12.75" hidden="1" customHeight="1" x14ac:dyDescent="0.2"/>
    <row r="32909" ht="12.75" hidden="1" customHeight="1" x14ac:dyDescent="0.2"/>
    <row r="32910" ht="12.75" hidden="1" customHeight="1" x14ac:dyDescent="0.2"/>
    <row r="32911" ht="12.75" hidden="1" customHeight="1" x14ac:dyDescent="0.2"/>
    <row r="32912" ht="12.75" hidden="1" customHeight="1" x14ac:dyDescent="0.2"/>
    <row r="32913" ht="12.75" hidden="1" customHeight="1" x14ac:dyDescent="0.2"/>
    <row r="32914" ht="12.75" hidden="1" customHeight="1" x14ac:dyDescent="0.2"/>
    <row r="32915" ht="12.75" hidden="1" customHeight="1" x14ac:dyDescent="0.2"/>
    <row r="32916" ht="12.75" hidden="1" customHeight="1" x14ac:dyDescent="0.2"/>
    <row r="32917" ht="12.75" hidden="1" customHeight="1" x14ac:dyDescent="0.2"/>
    <row r="32918" ht="12.75" hidden="1" customHeight="1" x14ac:dyDescent="0.2"/>
    <row r="32919" ht="12.75" hidden="1" customHeight="1" x14ac:dyDescent="0.2"/>
    <row r="32920" ht="12.75" hidden="1" customHeight="1" x14ac:dyDescent="0.2"/>
    <row r="32921" ht="12.75" hidden="1" customHeight="1" x14ac:dyDescent="0.2"/>
    <row r="32922" ht="12.75" hidden="1" customHeight="1" x14ac:dyDescent="0.2"/>
    <row r="32923" ht="12.75" hidden="1" customHeight="1" x14ac:dyDescent="0.2"/>
    <row r="32924" ht="12.75" hidden="1" customHeight="1" x14ac:dyDescent="0.2"/>
    <row r="32925" ht="12.75" hidden="1" customHeight="1" x14ac:dyDescent="0.2"/>
    <row r="32926" ht="12.75" hidden="1" customHeight="1" x14ac:dyDescent="0.2"/>
    <row r="32927" ht="12.75" hidden="1" customHeight="1" x14ac:dyDescent="0.2"/>
    <row r="32928" ht="12.75" hidden="1" customHeight="1" x14ac:dyDescent="0.2"/>
    <row r="32929" ht="12.75" hidden="1" customHeight="1" x14ac:dyDescent="0.2"/>
    <row r="32930" ht="12.75" hidden="1" customHeight="1" x14ac:dyDescent="0.2"/>
    <row r="32931" ht="12.75" hidden="1" customHeight="1" x14ac:dyDescent="0.2"/>
    <row r="32932" ht="12.75" hidden="1" customHeight="1" x14ac:dyDescent="0.2"/>
    <row r="32933" ht="12.75" hidden="1" customHeight="1" x14ac:dyDescent="0.2"/>
    <row r="32934" ht="12.75" hidden="1" customHeight="1" x14ac:dyDescent="0.2"/>
    <row r="32935" ht="12.75" hidden="1" customHeight="1" x14ac:dyDescent="0.2"/>
    <row r="32936" ht="12.75" hidden="1" customHeight="1" x14ac:dyDescent="0.2"/>
    <row r="32937" ht="12.75" hidden="1" customHeight="1" x14ac:dyDescent="0.2"/>
    <row r="32938" ht="12.75" hidden="1" customHeight="1" x14ac:dyDescent="0.2"/>
    <row r="32939" ht="12.75" hidden="1" customHeight="1" x14ac:dyDescent="0.2"/>
    <row r="32940" ht="12.75" hidden="1" customHeight="1" x14ac:dyDescent="0.2"/>
    <row r="32941" ht="12.75" hidden="1" customHeight="1" x14ac:dyDescent="0.2"/>
    <row r="32942" ht="12.75" hidden="1" customHeight="1" x14ac:dyDescent="0.2"/>
    <row r="32943" ht="12.75" hidden="1" customHeight="1" x14ac:dyDescent="0.2"/>
    <row r="32944" ht="12.75" hidden="1" customHeight="1" x14ac:dyDescent="0.2"/>
    <row r="32945" ht="12.75" hidden="1" customHeight="1" x14ac:dyDescent="0.2"/>
    <row r="32946" ht="12.75" hidden="1" customHeight="1" x14ac:dyDescent="0.2"/>
    <row r="32947" ht="12.75" hidden="1" customHeight="1" x14ac:dyDescent="0.2"/>
    <row r="32948" ht="12.75" hidden="1" customHeight="1" x14ac:dyDescent="0.2"/>
    <row r="32949" ht="12.75" hidden="1" customHeight="1" x14ac:dyDescent="0.2"/>
    <row r="32950" ht="12.75" hidden="1" customHeight="1" x14ac:dyDescent="0.2"/>
    <row r="32951" ht="12.75" hidden="1" customHeight="1" x14ac:dyDescent="0.2"/>
    <row r="32952" ht="12.75" hidden="1" customHeight="1" x14ac:dyDescent="0.2"/>
    <row r="32953" ht="12.75" hidden="1" customHeight="1" x14ac:dyDescent="0.2"/>
    <row r="32954" ht="12.75" hidden="1" customHeight="1" x14ac:dyDescent="0.2"/>
    <row r="32955" ht="12.75" hidden="1" customHeight="1" x14ac:dyDescent="0.2"/>
    <row r="32956" ht="12.75" hidden="1" customHeight="1" x14ac:dyDescent="0.2"/>
    <row r="32957" ht="12.75" hidden="1" customHeight="1" x14ac:dyDescent="0.2"/>
    <row r="32958" ht="12.75" hidden="1" customHeight="1" x14ac:dyDescent="0.2"/>
    <row r="32959" ht="12.75" hidden="1" customHeight="1" x14ac:dyDescent="0.2"/>
    <row r="32960" ht="12.75" hidden="1" customHeight="1" x14ac:dyDescent="0.2"/>
    <row r="32961" ht="12.75" hidden="1" customHeight="1" x14ac:dyDescent="0.2"/>
    <row r="32962" ht="12.75" hidden="1" customHeight="1" x14ac:dyDescent="0.2"/>
    <row r="32963" ht="12.75" hidden="1" customHeight="1" x14ac:dyDescent="0.2"/>
    <row r="32964" ht="12.75" hidden="1" customHeight="1" x14ac:dyDescent="0.2"/>
    <row r="32965" ht="12.75" hidden="1" customHeight="1" x14ac:dyDescent="0.2"/>
    <row r="32966" ht="12.75" hidden="1" customHeight="1" x14ac:dyDescent="0.2"/>
    <row r="32967" ht="12.75" hidden="1" customHeight="1" x14ac:dyDescent="0.2"/>
    <row r="32968" ht="12.75" hidden="1" customHeight="1" x14ac:dyDescent="0.2"/>
    <row r="32969" ht="12.75" hidden="1" customHeight="1" x14ac:dyDescent="0.2"/>
    <row r="32970" ht="12.75" hidden="1" customHeight="1" x14ac:dyDescent="0.2"/>
    <row r="32971" ht="12.75" hidden="1" customHeight="1" x14ac:dyDescent="0.2"/>
    <row r="32972" ht="12.75" hidden="1" customHeight="1" x14ac:dyDescent="0.2"/>
    <row r="32973" ht="12.75" hidden="1" customHeight="1" x14ac:dyDescent="0.2"/>
    <row r="32974" ht="12.75" hidden="1" customHeight="1" x14ac:dyDescent="0.2"/>
    <row r="32975" ht="12.75" hidden="1" customHeight="1" x14ac:dyDescent="0.2"/>
    <row r="32976" ht="12.75" hidden="1" customHeight="1" x14ac:dyDescent="0.2"/>
    <row r="32977" ht="12.75" hidden="1" customHeight="1" x14ac:dyDescent="0.2"/>
    <row r="32978" ht="12.75" hidden="1" customHeight="1" x14ac:dyDescent="0.2"/>
    <row r="32979" ht="12.75" hidden="1" customHeight="1" x14ac:dyDescent="0.2"/>
    <row r="32980" ht="12.75" hidden="1" customHeight="1" x14ac:dyDescent="0.2"/>
    <row r="32981" ht="12.75" hidden="1" customHeight="1" x14ac:dyDescent="0.2"/>
    <row r="32982" ht="12.75" hidden="1" customHeight="1" x14ac:dyDescent="0.2"/>
    <row r="32983" ht="12.75" hidden="1" customHeight="1" x14ac:dyDescent="0.2"/>
    <row r="32984" ht="12.75" hidden="1" customHeight="1" x14ac:dyDescent="0.2"/>
    <row r="32985" ht="12.75" hidden="1" customHeight="1" x14ac:dyDescent="0.2"/>
    <row r="32986" ht="12.75" hidden="1" customHeight="1" x14ac:dyDescent="0.2"/>
    <row r="32987" ht="12.75" hidden="1" customHeight="1" x14ac:dyDescent="0.2"/>
    <row r="32988" ht="12.75" hidden="1" customHeight="1" x14ac:dyDescent="0.2"/>
    <row r="32989" ht="12.75" hidden="1" customHeight="1" x14ac:dyDescent="0.2"/>
    <row r="32990" ht="12.75" hidden="1" customHeight="1" x14ac:dyDescent="0.2"/>
    <row r="32991" ht="12.75" hidden="1" customHeight="1" x14ac:dyDescent="0.2"/>
    <row r="32992" ht="12.75" hidden="1" customHeight="1" x14ac:dyDescent="0.2"/>
    <row r="32993" ht="12.75" hidden="1" customHeight="1" x14ac:dyDescent="0.2"/>
    <row r="32994" ht="12.75" hidden="1" customHeight="1" x14ac:dyDescent="0.2"/>
    <row r="32995" ht="12.75" hidden="1" customHeight="1" x14ac:dyDescent="0.2"/>
    <row r="32996" ht="12.75" hidden="1" customHeight="1" x14ac:dyDescent="0.2"/>
    <row r="32997" ht="12.75" hidden="1" customHeight="1" x14ac:dyDescent="0.2"/>
    <row r="32998" ht="12.75" hidden="1" customHeight="1" x14ac:dyDescent="0.2"/>
    <row r="32999" ht="12.75" hidden="1" customHeight="1" x14ac:dyDescent="0.2"/>
    <row r="33000" ht="12.75" hidden="1" customHeight="1" x14ac:dyDescent="0.2"/>
    <row r="33001" ht="12.75" hidden="1" customHeight="1" x14ac:dyDescent="0.2"/>
    <row r="33002" ht="12.75" hidden="1" customHeight="1" x14ac:dyDescent="0.2"/>
    <row r="33003" ht="12.75" hidden="1" customHeight="1" x14ac:dyDescent="0.2"/>
    <row r="33004" ht="12.75" hidden="1" customHeight="1" x14ac:dyDescent="0.2"/>
    <row r="33005" ht="12.75" hidden="1" customHeight="1" x14ac:dyDescent="0.2"/>
    <row r="33006" ht="12.75" hidden="1" customHeight="1" x14ac:dyDescent="0.2"/>
    <row r="33007" ht="12.75" hidden="1" customHeight="1" x14ac:dyDescent="0.2"/>
    <row r="33008" ht="12.75" hidden="1" customHeight="1" x14ac:dyDescent="0.2"/>
    <row r="33009" ht="12.75" hidden="1" customHeight="1" x14ac:dyDescent="0.2"/>
    <row r="33010" ht="12.75" hidden="1" customHeight="1" x14ac:dyDescent="0.2"/>
    <row r="33011" ht="12.75" hidden="1" customHeight="1" x14ac:dyDescent="0.2"/>
    <row r="33012" ht="12.75" hidden="1" customHeight="1" x14ac:dyDescent="0.2"/>
    <row r="33013" ht="12.75" hidden="1" customHeight="1" x14ac:dyDescent="0.2"/>
    <row r="33014" ht="12.75" hidden="1" customHeight="1" x14ac:dyDescent="0.2"/>
    <row r="33015" ht="12.75" hidden="1" customHeight="1" x14ac:dyDescent="0.2"/>
    <row r="33016" ht="12.75" hidden="1" customHeight="1" x14ac:dyDescent="0.2"/>
    <row r="33017" ht="12.75" hidden="1" customHeight="1" x14ac:dyDescent="0.2"/>
    <row r="33018" ht="12.75" hidden="1" customHeight="1" x14ac:dyDescent="0.2"/>
    <row r="33019" ht="12.75" hidden="1" customHeight="1" x14ac:dyDescent="0.2"/>
    <row r="33020" ht="12.75" hidden="1" customHeight="1" x14ac:dyDescent="0.2"/>
    <row r="33021" ht="12.75" hidden="1" customHeight="1" x14ac:dyDescent="0.2"/>
    <row r="33022" ht="12.75" hidden="1" customHeight="1" x14ac:dyDescent="0.2"/>
    <row r="33023" ht="12.75" hidden="1" customHeight="1" x14ac:dyDescent="0.2"/>
    <row r="33024" ht="12.75" hidden="1" customHeight="1" x14ac:dyDescent="0.2"/>
    <row r="33025" ht="12.75" hidden="1" customHeight="1" x14ac:dyDescent="0.2"/>
    <row r="33026" ht="12.75" hidden="1" customHeight="1" x14ac:dyDescent="0.2"/>
    <row r="33027" ht="12.75" hidden="1" customHeight="1" x14ac:dyDescent="0.2"/>
    <row r="33028" ht="12.75" hidden="1" customHeight="1" x14ac:dyDescent="0.2"/>
    <row r="33029" ht="12.75" hidden="1" customHeight="1" x14ac:dyDescent="0.2"/>
    <row r="33030" ht="12.75" hidden="1" customHeight="1" x14ac:dyDescent="0.2"/>
    <row r="33031" ht="12.75" hidden="1" customHeight="1" x14ac:dyDescent="0.2"/>
    <row r="33032" ht="12.75" hidden="1" customHeight="1" x14ac:dyDescent="0.2"/>
    <row r="33033" ht="12.75" hidden="1" customHeight="1" x14ac:dyDescent="0.2"/>
    <row r="33034" ht="12.75" hidden="1" customHeight="1" x14ac:dyDescent="0.2"/>
    <row r="33035" ht="12.75" hidden="1" customHeight="1" x14ac:dyDescent="0.2"/>
    <row r="33036" ht="12.75" hidden="1" customHeight="1" x14ac:dyDescent="0.2"/>
    <row r="33037" ht="12.75" hidden="1" customHeight="1" x14ac:dyDescent="0.2"/>
    <row r="33038" ht="12.75" hidden="1" customHeight="1" x14ac:dyDescent="0.2"/>
    <row r="33039" ht="12.75" hidden="1" customHeight="1" x14ac:dyDescent="0.2"/>
    <row r="33040" ht="12.75" hidden="1" customHeight="1" x14ac:dyDescent="0.2"/>
    <row r="33041" ht="12.75" hidden="1" customHeight="1" x14ac:dyDescent="0.2"/>
    <row r="33042" ht="12.75" hidden="1" customHeight="1" x14ac:dyDescent="0.2"/>
    <row r="33043" ht="12.75" hidden="1" customHeight="1" x14ac:dyDescent="0.2"/>
    <row r="33044" ht="12.75" hidden="1" customHeight="1" x14ac:dyDescent="0.2"/>
    <row r="33045" ht="12.75" hidden="1" customHeight="1" x14ac:dyDescent="0.2"/>
    <row r="33046" ht="12.75" hidden="1" customHeight="1" x14ac:dyDescent="0.2"/>
    <row r="33047" ht="12.75" hidden="1" customHeight="1" x14ac:dyDescent="0.2"/>
    <row r="33048" ht="12.75" hidden="1" customHeight="1" x14ac:dyDescent="0.2"/>
    <row r="33049" ht="12.75" hidden="1" customHeight="1" x14ac:dyDescent="0.2"/>
    <row r="33050" ht="12.75" hidden="1" customHeight="1" x14ac:dyDescent="0.2"/>
    <row r="33051" ht="12.75" hidden="1" customHeight="1" x14ac:dyDescent="0.2"/>
    <row r="33052" ht="12.75" hidden="1" customHeight="1" x14ac:dyDescent="0.2"/>
    <row r="33053" ht="12.75" hidden="1" customHeight="1" x14ac:dyDescent="0.2"/>
    <row r="33054" ht="12.75" hidden="1" customHeight="1" x14ac:dyDescent="0.2"/>
    <row r="33055" ht="12.75" hidden="1" customHeight="1" x14ac:dyDescent="0.2"/>
    <row r="33056" ht="12.75" hidden="1" customHeight="1" x14ac:dyDescent="0.2"/>
    <row r="33057" ht="12.75" hidden="1" customHeight="1" x14ac:dyDescent="0.2"/>
    <row r="33058" ht="12.75" hidden="1" customHeight="1" x14ac:dyDescent="0.2"/>
    <row r="33059" ht="12.75" hidden="1" customHeight="1" x14ac:dyDescent="0.2"/>
    <row r="33060" ht="12.75" hidden="1" customHeight="1" x14ac:dyDescent="0.2"/>
    <row r="33061" ht="12.75" hidden="1" customHeight="1" x14ac:dyDescent="0.2"/>
    <row r="33062" ht="12.75" hidden="1" customHeight="1" x14ac:dyDescent="0.2"/>
    <row r="33063" ht="12.75" hidden="1" customHeight="1" x14ac:dyDescent="0.2"/>
    <row r="33064" ht="12.75" hidden="1" customHeight="1" x14ac:dyDescent="0.2"/>
    <row r="33065" ht="12.75" hidden="1" customHeight="1" x14ac:dyDescent="0.2"/>
    <row r="33066" ht="12.75" hidden="1" customHeight="1" x14ac:dyDescent="0.2"/>
    <row r="33067" ht="12.75" hidden="1" customHeight="1" x14ac:dyDescent="0.2"/>
    <row r="33068" ht="12.75" hidden="1" customHeight="1" x14ac:dyDescent="0.2"/>
    <row r="33069" ht="12.75" hidden="1" customHeight="1" x14ac:dyDescent="0.2"/>
    <row r="33070" ht="12.75" hidden="1" customHeight="1" x14ac:dyDescent="0.2"/>
    <row r="33071" ht="12.75" hidden="1" customHeight="1" x14ac:dyDescent="0.2"/>
    <row r="33072" ht="12.75" hidden="1" customHeight="1" x14ac:dyDescent="0.2"/>
    <row r="33073" ht="12.75" hidden="1" customHeight="1" x14ac:dyDescent="0.2"/>
    <row r="33074" ht="12.75" hidden="1" customHeight="1" x14ac:dyDescent="0.2"/>
    <row r="33075" ht="12.75" hidden="1" customHeight="1" x14ac:dyDescent="0.2"/>
    <row r="33076" ht="12.75" hidden="1" customHeight="1" x14ac:dyDescent="0.2"/>
    <row r="33077" ht="12.75" hidden="1" customHeight="1" x14ac:dyDescent="0.2"/>
    <row r="33078" ht="12.75" hidden="1" customHeight="1" x14ac:dyDescent="0.2"/>
    <row r="33079" ht="12.75" hidden="1" customHeight="1" x14ac:dyDescent="0.2"/>
    <row r="33080" ht="12.75" hidden="1" customHeight="1" x14ac:dyDescent="0.2"/>
    <row r="33081" ht="12.75" hidden="1" customHeight="1" x14ac:dyDescent="0.2"/>
    <row r="33082" ht="12.75" hidden="1" customHeight="1" x14ac:dyDescent="0.2"/>
    <row r="33083" ht="12.75" hidden="1" customHeight="1" x14ac:dyDescent="0.2"/>
    <row r="33084" ht="12.75" hidden="1" customHeight="1" x14ac:dyDescent="0.2"/>
    <row r="33085" ht="12.75" hidden="1" customHeight="1" x14ac:dyDescent="0.2"/>
    <row r="33086" ht="12.75" hidden="1" customHeight="1" x14ac:dyDescent="0.2"/>
    <row r="33087" ht="12.75" hidden="1" customHeight="1" x14ac:dyDescent="0.2"/>
    <row r="33088" ht="12.75" hidden="1" customHeight="1" x14ac:dyDescent="0.2"/>
    <row r="33089" ht="12.75" hidden="1" customHeight="1" x14ac:dyDescent="0.2"/>
    <row r="33090" ht="12.75" hidden="1" customHeight="1" x14ac:dyDescent="0.2"/>
    <row r="33091" ht="12.75" hidden="1" customHeight="1" x14ac:dyDescent="0.2"/>
    <row r="33092" ht="12.75" hidden="1" customHeight="1" x14ac:dyDescent="0.2"/>
    <row r="33093" ht="12.75" hidden="1" customHeight="1" x14ac:dyDescent="0.2"/>
    <row r="33094" ht="12.75" hidden="1" customHeight="1" x14ac:dyDescent="0.2"/>
    <row r="33095" ht="12.75" hidden="1" customHeight="1" x14ac:dyDescent="0.2"/>
    <row r="33096" ht="12.75" hidden="1" customHeight="1" x14ac:dyDescent="0.2"/>
    <row r="33097" ht="12.75" hidden="1" customHeight="1" x14ac:dyDescent="0.2"/>
    <row r="33098" ht="12.75" hidden="1" customHeight="1" x14ac:dyDescent="0.2"/>
    <row r="33099" ht="12.75" hidden="1" customHeight="1" x14ac:dyDescent="0.2"/>
    <row r="33100" ht="12.75" hidden="1" customHeight="1" x14ac:dyDescent="0.2"/>
    <row r="33101" ht="12.75" hidden="1" customHeight="1" x14ac:dyDescent="0.2"/>
    <row r="33102" ht="12.75" hidden="1" customHeight="1" x14ac:dyDescent="0.2"/>
    <row r="33103" ht="12.75" hidden="1" customHeight="1" x14ac:dyDescent="0.2"/>
    <row r="33104" ht="12.75" hidden="1" customHeight="1" x14ac:dyDescent="0.2"/>
    <row r="33105" ht="12.75" hidden="1" customHeight="1" x14ac:dyDescent="0.2"/>
    <row r="33106" ht="12.75" hidden="1" customHeight="1" x14ac:dyDescent="0.2"/>
    <row r="33107" ht="12.75" hidden="1" customHeight="1" x14ac:dyDescent="0.2"/>
    <row r="33108" ht="12.75" hidden="1" customHeight="1" x14ac:dyDescent="0.2"/>
    <row r="33109" ht="12.75" hidden="1" customHeight="1" x14ac:dyDescent="0.2"/>
    <row r="33110" ht="12.75" hidden="1" customHeight="1" x14ac:dyDescent="0.2"/>
    <row r="33111" ht="12.75" hidden="1" customHeight="1" x14ac:dyDescent="0.2"/>
    <row r="33112" ht="12.75" hidden="1" customHeight="1" x14ac:dyDescent="0.2"/>
    <row r="33113" ht="12.75" hidden="1" customHeight="1" x14ac:dyDescent="0.2"/>
    <row r="33114" ht="12.75" hidden="1" customHeight="1" x14ac:dyDescent="0.2"/>
    <row r="33115" ht="12.75" hidden="1" customHeight="1" x14ac:dyDescent="0.2"/>
    <row r="33116" ht="12.75" hidden="1" customHeight="1" x14ac:dyDescent="0.2"/>
    <row r="33117" ht="12.75" hidden="1" customHeight="1" x14ac:dyDescent="0.2"/>
    <row r="33118" ht="12.75" hidden="1" customHeight="1" x14ac:dyDescent="0.2"/>
    <row r="33119" ht="12.75" hidden="1" customHeight="1" x14ac:dyDescent="0.2"/>
    <row r="33120" ht="12.75" hidden="1" customHeight="1" x14ac:dyDescent="0.2"/>
    <row r="33121" ht="12.75" hidden="1" customHeight="1" x14ac:dyDescent="0.2"/>
    <row r="33122" ht="12.75" hidden="1" customHeight="1" x14ac:dyDescent="0.2"/>
    <row r="33123" ht="12.75" hidden="1" customHeight="1" x14ac:dyDescent="0.2"/>
    <row r="33124" ht="12.75" hidden="1" customHeight="1" x14ac:dyDescent="0.2"/>
    <row r="33125" ht="12.75" hidden="1" customHeight="1" x14ac:dyDescent="0.2"/>
    <row r="33126" ht="12.75" hidden="1" customHeight="1" x14ac:dyDescent="0.2"/>
    <row r="33127" ht="12.75" hidden="1" customHeight="1" x14ac:dyDescent="0.2"/>
    <row r="33128" ht="12.75" hidden="1" customHeight="1" x14ac:dyDescent="0.2"/>
    <row r="33129" ht="12.75" hidden="1" customHeight="1" x14ac:dyDescent="0.2"/>
    <row r="33130" ht="12.75" hidden="1" customHeight="1" x14ac:dyDescent="0.2"/>
    <row r="33131" ht="12.75" hidden="1" customHeight="1" x14ac:dyDescent="0.2"/>
    <row r="33132" ht="12.75" hidden="1" customHeight="1" x14ac:dyDescent="0.2"/>
    <row r="33133" ht="12.75" hidden="1" customHeight="1" x14ac:dyDescent="0.2"/>
    <row r="33134" ht="12.75" hidden="1" customHeight="1" x14ac:dyDescent="0.2"/>
    <row r="33135" ht="12.75" hidden="1" customHeight="1" x14ac:dyDescent="0.2"/>
    <row r="33136" ht="12.75" hidden="1" customHeight="1" x14ac:dyDescent="0.2"/>
    <row r="33137" ht="12.75" hidden="1" customHeight="1" x14ac:dyDescent="0.2"/>
    <row r="33138" ht="12.75" hidden="1" customHeight="1" x14ac:dyDescent="0.2"/>
    <row r="33139" ht="12.75" hidden="1" customHeight="1" x14ac:dyDescent="0.2"/>
    <row r="33140" ht="12.75" hidden="1" customHeight="1" x14ac:dyDescent="0.2"/>
    <row r="33141" ht="12.75" hidden="1" customHeight="1" x14ac:dyDescent="0.2"/>
    <row r="33142" ht="12.75" hidden="1" customHeight="1" x14ac:dyDescent="0.2"/>
    <row r="33143" ht="12.75" hidden="1" customHeight="1" x14ac:dyDescent="0.2"/>
    <row r="33144" ht="12.75" hidden="1" customHeight="1" x14ac:dyDescent="0.2"/>
    <row r="33145" ht="12.75" hidden="1" customHeight="1" x14ac:dyDescent="0.2"/>
    <row r="33146" ht="12.75" hidden="1" customHeight="1" x14ac:dyDescent="0.2"/>
    <row r="33147" ht="12.75" hidden="1" customHeight="1" x14ac:dyDescent="0.2"/>
    <row r="33148" ht="12.75" hidden="1" customHeight="1" x14ac:dyDescent="0.2"/>
    <row r="33149" ht="12.75" hidden="1" customHeight="1" x14ac:dyDescent="0.2"/>
    <row r="33150" ht="12.75" hidden="1" customHeight="1" x14ac:dyDescent="0.2"/>
    <row r="33151" ht="12.75" hidden="1" customHeight="1" x14ac:dyDescent="0.2"/>
    <row r="33152" ht="12.75" hidden="1" customHeight="1" x14ac:dyDescent="0.2"/>
    <row r="33153" ht="12.75" hidden="1" customHeight="1" x14ac:dyDescent="0.2"/>
    <row r="33154" ht="12.75" hidden="1" customHeight="1" x14ac:dyDescent="0.2"/>
    <row r="33155" ht="12.75" hidden="1" customHeight="1" x14ac:dyDescent="0.2"/>
    <row r="33156" ht="12.75" hidden="1" customHeight="1" x14ac:dyDescent="0.2"/>
    <row r="33157" ht="12.75" hidden="1" customHeight="1" x14ac:dyDescent="0.2"/>
    <row r="33158" ht="12.75" hidden="1" customHeight="1" x14ac:dyDescent="0.2"/>
    <row r="33159" ht="12.75" hidden="1" customHeight="1" x14ac:dyDescent="0.2"/>
    <row r="33160" ht="12.75" hidden="1" customHeight="1" x14ac:dyDescent="0.2"/>
    <row r="33161" ht="12.75" hidden="1" customHeight="1" x14ac:dyDescent="0.2"/>
    <row r="33162" ht="12.75" hidden="1" customHeight="1" x14ac:dyDescent="0.2"/>
    <row r="33163" ht="12.75" hidden="1" customHeight="1" x14ac:dyDescent="0.2"/>
    <row r="33164" ht="12.75" hidden="1" customHeight="1" x14ac:dyDescent="0.2"/>
    <row r="33165" ht="12.75" hidden="1" customHeight="1" x14ac:dyDescent="0.2"/>
    <row r="33166" ht="12.75" hidden="1" customHeight="1" x14ac:dyDescent="0.2"/>
    <row r="33167" ht="12.75" hidden="1" customHeight="1" x14ac:dyDescent="0.2"/>
    <row r="33168" ht="12.75" hidden="1" customHeight="1" x14ac:dyDescent="0.2"/>
    <row r="33169" ht="12.75" hidden="1" customHeight="1" x14ac:dyDescent="0.2"/>
    <row r="33170" ht="12.75" hidden="1" customHeight="1" x14ac:dyDescent="0.2"/>
    <row r="33171" ht="12.75" hidden="1" customHeight="1" x14ac:dyDescent="0.2"/>
    <row r="33172" ht="12.75" hidden="1" customHeight="1" x14ac:dyDescent="0.2"/>
    <row r="33173" ht="12.75" hidden="1" customHeight="1" x14ac:dyDescent="0.2"/>
    <row r="33174" ht="12.75" hidden="1" customHeight="1" x14ac:dyDescent="0.2"/>
    <row r="33175" ht="12.75" hidden="1" customHeight="1" x14ac:dyDescent="0.2"/>
    <row r="33176" ht="12.75" hidden="1" customHeight="1" x14ac:dyDescent="0.2"/>
    <row r="33177" ht="12.75" hidden="1" customHeight="1" x14ac:dyDescent="0.2"/>
    <row r="33178" ht="12.75" hidden="1" customHeight="1" x14ac:dyDescent="0.2"/>
    <row r="33179" ht="12.75" hidden="1" customHeight="1" x14ac:dyDescent="0.2"/>
    <row r="33180" ht="12.75" hidden="1" customHeight="1" x14ac:dyDescent="0.2"/>
    <row r="33181" ht="12.75" hidden="1" customHeight="1" x14ac:dyDescent="0.2"/>
    <row r="33182" ht="12.75" hidden="1" customHeight="1" x14ac:dyDescent="0.2"/>
    <row r="33183" ht="12.75" hidden="1" customHeight="1" x14ac:dyDescent="0.2"/>
    <row r="33184" ht="12.75" hidden="1" customHeight="1" x14ac:dyDescent="0.2"/>
    <row r="33185" ht="12.75" hidden="1" customHeight="1" x14ac:dyDescent="0.2"/>
    <row r="33186" ht="12.75" hidden="1" customHeight="1" x14ac:dyDescent="0.2"/>
    <row r="33187" ht="12.75" hidden="1" customHeight="1" x14ac:dyDescent="0.2"/>
    <row r="33188" ht="12.75" hidden="1" customHeight="1" x14ac:dyDescent="0.2"/>
    <row r="33189" ht="12.75" hidden="1" customHeight="1" x14ac:dyDescent="0.2"/>
    <row r="33190" ht="12.75" hidden="1" customHeight="1" x14ac:dyDescent="0.2"/>
    <row r="33191" ht="12.75" hidden="1" customHeight="1" x14ac:dyDescent="0.2"/>
    <row r="33192" ht="12.75" hidden="1" customHeight="1" x14ac:dyDescent="0.2"/>
    <row r="33193" ht="12.75" hidden="1" customHeight="1" x14ac:dyDescent="0.2"/>
    <row r="33194" ht="12.75" hidden="1" customHeight="1" x14ac:dyDescent="0.2"/>
    <row r="33195" ht="12.75" hidden="1" customHeight="1" x14ac:dyDescent="0.2"/>
    <row r="33196" ht="12.75" hidden="1" customHeight="1" x14ac:dyDescent="0.2"/>
    <row r="33197" ht="12.75" hidden="1" customHeight="1" x14ac:dyDescent="0.2"/>
    <row r="33198" ht="12.75" hidden="1" customHeight="1" x14ac:dyDescent="0.2"/>
    <row r="33199" ht="12.75" hidden="1" customHeight="1" x14ac:dyDescent="0.2"/>
    <row r="33200" ht="12.75" hidden="1" customHeight="1" x14ac:dyDescent="0.2"/>
    <row r="33201" ht="12.75" hidden="1" customHeight="1" x14ac:dyDescent="0.2"/>
    <row r="33202" ht="12.75" hidden="1" customHeight="1" x14ac:dyDescent="0.2"/>
    <row r="33203" ht="12.75" hidden="1" customHeight="1" x14ac:dyDescent="0.2"/>
    <row r="33204" ht="12.75" hidden="1" customHeight="1" x14ac:dyDescent="0.2"/>
    <row r="33205" ht="12.75" hidden="1" customHeight="1" x14ac:dyDescent="0.2"/>
    <row r="33206" ht="12.75" hidden="1" customHeight="1" x14ac:dyDescent="0.2"/>
    <row r="33207" ht="12.75" hidden="1" customHeight="1" x14ac:dyDescent="0.2"/>
    <row r="33208" ht="12.75" hidden="1" customHeight="1" x14ac:dyDescent="0.2"/>
    <row r="33209" ht="12.75" hidden="1" customHeight="1" x14ac:dyDescent="0.2"/>
    <row r="33210" ht="12.75" hidden="1" customHeight="1" x14ac:dyDescent="0.2"/>
    <row r="33211" ht="12.75" hidden="1" customHeight="1" x14ac:dyDescent="0.2"/>
    <row r="33212" ht="12.75" hidden="1" customHeight="1" x14ac:dyDescent="0.2"/>
    <row r="33213" ht="12.75" hidden="1" customHeight="1" x14ac:dyDescent="0.2"/>
    <row r="33214" ht="12.75" hidden="1" customHeight="1" x14ac:dyDescent="0.2"/>
    <row r="33215" ht="12.75" hidden="1" customHeight="1" x14ac:dyDescent="0.2"/>
    <row r="33216" ht="12.75" hidden="1" customHeight="1" x14ac:dyDescent="0.2"/>
    <row r="33217" ht="12.75" hidden="1" customHeight="1" x14ac:dyDescent="0.2"/>
    <row r="33218" ht="12.75" hidden="1" customHeight="1" x14ac:dyDescent="0.2"/>
    <row r="33219" ht="12.75" hidden="1" customHeight="1" x14ac:dyDescent="0.2"/>
    <row r="33220" ht="12.75" hidden="1" customHeight="1" x14ac:dyDescent="0.2"/>
    <row r="33221" ht="12.75" hidden="1" customHeight="1" x14ac:dyDescent="0.2"/>
    <row r="33222" ht="12.75" hidden="1" customHeight="1" x14ac:dyDescent="0.2"/>
    <row r="33223" ht="12.75" hidden="1" customHeight="1" x14ac:dyDescent="0.2"/>
    <row r="33224" ht="12.75" hidden="1" customHeight="1" x14ac:dyDescent="0.2"/>
    <row r="33225" ht="12.75" hidden="1" customHeight="1" x14ac:dyDescent="0.2"/>
    <row r="33226" ht="12.75" hidden="1" customHeight="1" x14ac:dyDescent="0.2"/>
    <row r="33227" ht="12.75" hidden="1" customHeight="1" x14ac:dyDescent="0.2"/>
    <row r="33228" ht="12.75" hidden="1" customHeight="1" x14ac:dyDescent="0.2"/>
    <row r="33229" ht="12.75" hidden="1" customHeight="1" x14ac:dyDescent="0.2"/>
    <row r="33230" ht="12.75" hidden="1" customHeight="1" x14ac:dyDescent="0.2"/>
    <row r="33231" ht="12.75" hidden="1" customHeight="1" x14ac:dyDescent="0.2"/>
    <row r="33232" ht="12.75" hidden="1" customHeight="1" x14ac:dyDescent="0.2"/>
    <row r="33233" ht="12.75" hidden="1" customHeight="1" x14ac:dyDescent="0.2"/>
    <row r="33234" ht="12.75" hidden="1" customHeight="1" x14ac:dyDescent="0.2"/>
    <row r="33235" ht="12.75" hidden="1" customHeight="1" x14ac:dyDescent="0.2"/>
    <row r="33236" ht="12.75" hidden="1" customHeight="1" x14ac:dyDescent="0.2"/>
    <row r="33237" ht="12.75" hidden="1" customHeight="1" x14ac:dyDescent="0.2"/>
    <row r="33238" ht="12.75" hidden="1" customHeight="1" x14ac:dyDescent="0.2"/>
    <row r="33239" ht="12.75" hidden="1" customHeight="1" x14ac:dyDescent="0.2"/>
    <row r="33240" ht="12.75" hidden="1" customHeight="1" x14ac:dyDescent="0.2"/>
    <row r="33241" ht="12.75" hidden="1" customHeight="1" x14ac:dyDescent="0.2"/>
    <row r="33242" ht="12.75" hidden="1" customHeight="1" x14ac:dyDescent="0.2"/>
    <row r="33243" ht="12.75" hidden="1" customHeight="1" x14ac:dyDescent="0.2"/>
    <row r="33244" ht="12.75" hidden="1" customHeight="1" x14ac:dyDescent="0.2"/>
    <row r="33245" ht="12.75" hidden="1" customHeight="1" x14ac:dyDescent="0.2"/>
    <row r="33246" ht="12.75" hidden="1" customHeight="1" x14ac:dyDescent="0.2"/>
    <row r="33247" ht="12.75" hidden="1" customHeight="1" x14ac:dyDescent="0.2"/>
    <row r="33248" ht="12.75" hidden="1" customHeight="1" x14ac:dyDescent="0.2"/>
    <row r="33249" ht="12.75" hidden="1" customHeight="1" x14ac:dyDescent="0.2"/>
    <row r="33250" ht="12.75" hidden="1" customHeight="1" x14ac:dyDescent="0.2"/>
    <row r="33251" ht="12.75" hidden="1" customHeight="1" x14ac:dyDescent="0.2"/>
    <row r="33252" ht="12.75" hidden="1" customHeight="1" x14ac:dyDescent="0.2"/>
    <row r="33253" ht="12.75" hidden="1" customHeight="1" x14ac:dyDescent="0.2"/>
    <row r="33254" ht="12.75" hidden="1" customHeight="1" x14ac:dyDescent="0.2"/>
    <row r="33255" ht="12.75" hidden="1" customHeight="1" x14ac:dyDescent="0.2"/>
    <row r="33256" ht="12.75" hidden="1" customHeight="1" x14ac:dyDescent="0.2"/>
    <row r="33257" ht="12.75" hidden="1" customHeight="1" x14ac:dyDescent="0.2"/>
    <row r="33258" ht="12.75" hidden="1" customHeight="1" x14ac:dyDescent="0.2"/>
    <row r="33259" ht="12.75" hidden="1" customHeight="1" x14ac:dyDescent="0.2"/>
    <row r="33260" ht="12.75" hidden="1" customHeight="1" x14ac:dyDescent="0.2"/>
    <row r="33261" ht="12.75" hidden="1" customHeight="1" x14ac:dyDescent="0.2"/>
    <row r="33262" ht="12.75" hidden="1" customHeight="1" x14ac:dyDescent="0.2"/>
    <row r="33263" ht="12.75" hidden="1" customHeight="1" x14ac:dyDescent="0.2"/>
    <row r="33264" ht="12.75" hidden="1" customHeight="1" x14ac:dyDescent="0.2"/>
    <row r="33265" ht="12.75" hidden="1" customHeight="1" x14ac:dyDescent="0.2"/>
    <row r="33266" ht="12.75" hidden="1" customHeight="1" x14ac:dyDescent="0.2"/>
    <row r="33267" ht="12.75" hidden="1" customHeight="1" x14ac:dyDescent="0.2"/>
    <row r="33268" ht="12.75" hidden="1" customHeight="1" x14ac:dyDescent="0.2"/>
    <row r="33269" ht="12.75" hidden="1" customHeight="1" x14ac:dyDescent="0.2"/>
    <row r="33270" ht="12.75" hidden="1" customHeight="1" x14ac:dyDescent="0.2"/>
    <row r="33271" ht="12.75" hidden="1" customHeight="1" x14ac:dyDescent="0.2"/>
    <row r="33272" ht="12.75" hidden="1" customHeight="1" x14ac:dyDescent="0.2"/>
    <row r="33273" ht="12.75" hidden="1" customHeight="1" x14ac:dyDescent="0.2"/>
    <row r="33274" ht="12.75" hidden="1" customHeight="1" x14ac:dyDescent="0.2"/>
    <row r="33275" ht="12.75" hidden="1" customHeight="1" x14ac:dyDescent="0.2"/>
    <row r="33276" ht="12.75" hidden="1" customHeight="1" x14ac:dyDescent="0.2"/>
    <row r="33277" ht="12.75" hidden="1" customHeight="1" x14ac:dyDescent="0.2"/>
    <row r="33278" ht="12.75" hidden="1" customHeight="1" x14ac:dyDescent="0.2"/>
    <row r="33279" ht="12.75" hidden="1" customHeight="1" x14ac:dyDescent="0.2"/>
    <row r="33280" ht="12.75" hidden="1" customHeight="1" x14ac:dyDescent="0.2"/>
    <row r="33281" ht="12.75" hidden="1" customHeight="1" x14ac:dyDescent="0.2"/>
    <row r="33282" ht="12.75" hidden="1" customHeight="1" x14ac:dyDescent="0.2"/>
    <row r="33283" ht="12.75" hidden="1" customHeight="1" x14ac:dyDescent="0.2"/>
    <row r="33284" ht="12.75" hidden="1" customHeight="1" x14ac:dyDescent="0.2"/>
    <row r="33285" ht="12.75" hidden="1" customHeight="1" x14ac:dyDescent="0.2"/>
    <row r="33286" ht="12.75" hidden="1" customHeight="1" x14ac:dyDescent="0.2"/>
    <row r="33287" ht="12.75" hidden="1" customHeight="1" x14ac:dyDescent="0.2"/>
    <row r="33288" ht="12.75" hidden="1" customHeight="1" x14ac:dyDescent="0.2"/>
    <row r="33289" ht="12.75" hidden="1" customHeight="1" x14ac:dyDescent="0.2"/>
    <row r="33290" ht="12.75" hidden="1" customHeight="1" x14ac:dyDescent="0.2"/>
    <row r="33291" ht="12.75" hidden="1" customHeight="1" x14ac:dyDescent="0.2"/>
    <row r="33292" ht="12.75" hidden="1" customHeight="1" x14ac:dyDescent="0.2"/>
    <row r="33293" ht="12.75" hidden="1" customHeight="1" x14ac:dyDescent="0.2"/>
    <row r="33294" ht="12.75" hidden="1" customHeight="1" x14ac:dyDescent="0.2"/>
    <row r="33295" ht="12.75" hidden="1" customHeight="1" x14ac:dyDescent="0.2"/>
    <row r="33296" ht="12.75" hidden="1" customHeight="1" x14ac:dyDescent="0.2"/>
    <row r="33297" ht="12.75" hidden="1" customHeight="1" x14ac:dyDescent="0.2"/>
    <row r="33298" ht="12.75" hidden="1" customHeight="1" x14ac:dyDescent="0.2"/>
    <row r="33299" ht="12.75" hidden="1" customHeight="1" x14ac:dyDescent="0.2"/>
    <row r="33300" ht="12.75" hidden="1" customHeight="1" x14ac:dyDescent="0.2"/>
    <row r="33301" ht="12.75" hidden="1" customHeight="1" x14ac:dyDescent="0.2"/>
    <row r="33302" ht="12.75" hidden="1" customHeight="1" x14ac:dyDescent="0.2"/>
    <row r="33303" ht="12.75" hidden="1" customHeight="1" x14ac:dyDescent="0.2"/>
    <row r="33304" ht="12.75" hidden="1" customHeight="1" x14ac:dyDescent="0.2"/>
    <row r="33305" ht="12.75" hidden="1" customHeight="1" x14ac:dyDescent="0.2"/>
    <row r="33306" ht="12.75" hidden="1" customHeight="1" x14ac:dyDescent="0.2"/>
    <row r="33307" ht="12.75" hidden="1" customHeight="1" x14ac:dyDescent="0.2"/>
    <row r="33308" ht="12.75" hidden="1" customHeight="1" x14ac:dyDescent="0.2"/>
    <row r="33309" ht="12.75" hidden="1" customHeight="1" x14ac:dyDescent="0.2"/>
    <row r="33310" ht="12.75" hidden="1" customHeight="1" x14ac:dyDescent="0.2"/>
    <row r="33311" ht="12.75" hidden="1" customHeight="1" x14ac:dyDescent="0.2"/>
    <row r="33312" ht="12.75" hidden="1" customHeight="1" x14ac:dyDescent="0.2"/>
    <row r="33313" ht="12.75" hidden="1" customHeight="1" x14ac:dyDescent="0.2"/>
    <row r="33314" ht="12.75" hidden="1" customHeight="1" x14ac:dyDescent="0.2"/>
    <row r="33315" ht="12.75" hidden="1" customHeight="1" x14ac:dyDescent="0.2"/>
    <row r="33316" ht="12.75" hidden="1" customHeight="1" x14ac:dyDescent="0.2"/>
    <row r="33317" ht="12.75" hidden="1" customHeight="1" x14ac:dyDescent="0.2"/>
    <row r="33318" ht="12.75" hidden="1" customHeight="1" x14ac:dyDescent="0.2"/>
    <row r="33319" ht="12.75" hidden="1" customHeight="1" x14ac:dyDescent="0.2"/>
    <row r="33320" ht="12.75" hidden="1" customHeight="1" x14ac:dyDescent="0.2"/>
    <row r="33321" ht="12.75" hidden="1" customHeight="1" x14ac:dyDescent="0.2"/>
    <row r="33322" ht="12.75" hidden="1" customHeight="1" x14ac:dyDescent="0.2"/>
    <row r="33323" ht="12.75" hidden="1" customHeight="1" x14ac:dyDescent="0.2"/>
    <row r="33324" ht="12.75" hidden="1" customHeight="1" x14ac:dyDescent="0.2"/>
    <row r="33325" ht="12.75" hidden="1" customHeight="1" x14ac:dyDescent="0.2"/>
    <row r="33326" ht="12.75" hidden="1" customHeight="1" x14ac:dyDescent="0.2"/>
    <row r="33327" ht="12.75" hidden="1" customHeight="1" x14ac:dyDescent="0.2"/>
    <row r="33328" ht="12.75" hidden="1" customHeight="1" x14ac:dyDescent="0.2"/>
    <row r="33329" ht="12.75" hidden="1" customHeight="1" x14ac:dyDescent="0.2"/>
    <row r="33330" ht="12.75" hidden="1" customHeight="1" x14ac:dyDescent="0.2"/>
    <row r="33331" ht="12.75" hidden="1" customHeight="1" x14ac:dyDescent="0.2"/>
    <row r="33332" ht="12.75" hidden="1" customHeight="1" x14ac:dyDescent="0.2"/>
    <row r="33333" ht="12.75" hidden="1" customHeight="1" x14ac:dyDescent="0.2"/>
    <row r="33334" ht="12.75" hidden="1" customHeight="1" x14ac:dyDescent="0.2"/>
    <row r="33335" ht="12.75" hidden="1" customHeight="1" x14ac:dyDescent="0.2"/>
    <row r="33336" ht="12.75" hidden="1" customHeight="1" x14ac:dyDescent="0.2"/>
    <row r="33337" ht="12.75" hidden="1" customHeight="1" x14ac:dyDescent="0.2"/>
    <row r="33338" ht="12.75" hidden="1" customHeight="1" x14ac:dyDescent="0.2"/>
    <row r="33339" ht="12.75" hidden="1" customHeight="1" x14ac:dyDescent="0.2"/>
    <row r="33340" ht="12.75" hidden="1" customHeight="1" x14ac:dyDescent="0.2"/>
    <row r="33341" ht="12.75" hidden="1" customHeight="1" x14ac:dyDescent="0.2"/>
    <row r="33342" ht="12.75" hidden="1" customHeight="1" x14ac:dyDescent="0.2"/>
    <row r="33343" ht="12.75" hidden="1" customHeight="1" x14ac:dyDescent="0.2"/>
    <row r="33344" ht="12.75" hidden="1" customHeight="1" x14ac:dyDescent="0.2"/>
    <row r="33345" ht="12.75" hidden="1" customHeight="1" x14ac:dyDescent="0.2"/>
    <row r="33346" ht="12.75" hidden="1" customHeight="1" x14ac:dyDescent="0.2"/>
    <row r="33347" ht="12.75" hidden="1" customHeight="1" x14ac:dyDescent="0.2"/>
    <row r="33348" ht="12.75" hidden="1" customHeight="1" x14ac:dyDescent="0.2"/>
    <row r="33349" ht="12.75" hidden="1" customHeight="1" x14ac:dyDescent="0.2"/>
    <row r="33350" ht="12.75" hidden="1" customHeight="1" x14ac:dyDescent="0.2"/>
    <row r="33351" ht="12.75" hidden="1" customHeight="1" x14ac:dyDescent="0.2"/>
    <row r="33352" ht="12.75" hidden="1" customHeight="1" x14ac:dyDescent="0.2"/>
    <row r="33353" ht="12.75" hidden="1" customHeight="1" x14ac:dyDescent="0.2"/>
    <row r="33354" ht="12.75" hidden="1" customHeight="1" x14ac:dyDescent="0.2"/>
    <row r="33355" ht="12.75" hidden="1" customHeight="1" x14ac:dyDescent="0.2"/>
    <row r="33356" ht="12.75" hidden="1" customHeight="1" x14ac:dyDescent="0.2"/>
    <row r="33357" ht="12.75" hidden="1" customHeight="1" x14ac:dyDescent="0.2"/>
    <row r="33358" ht="12.75" hidden="1" customHeight="1" x14ac:dyDescent="0.2"/>
    <row r="33359" ht="12.75" hidden="1" customHeight="1" x14ac:dyDescent="0.2"/>
    <row r="33360" ht="12.75" hidden="1" customHeight="1" x14ac:dyDescent="0.2"/>
    <row r="33361" ht="12.75" hidden="1" customHeight="1" x14ac:dyDescent="0.2"/>
    <row r="33362" ht="12.75" hidden="1" customHeight="1" x14ac:dyDescent="0.2"/>
    <row r="33363" ht="12.75" hidden="1" customHeight="1" x14ac:dyDescent="0.2"/>
    <row r="33364" ht="12.75" hidden="1" customHeight="1" x14ac:dyDescent="0.2"/>
    <row r="33365" ht="12.75" hidden="1" customHeight="1" x14ac:dyDescent="0.2"/>
    <row r="33366" ht="12.75" hidden="1" customHeight="1" x14ac:dyDescent="0.2"/>
    <row r="33367" ht="12.75" hidden="1" customHeight="1" x14ac:dyDescent="0.2"/>
    <row r="33368" ht="12.75" hidden="1" customHeight="1" x14ac:dyDescent="0.2"/>
    <row r="33369" ht="12.75" hidden="1" customHeight="1" x14ac:dyDescent="0.2"/>
    <row r="33370" ht="12.75" hidden="1" customHeight="1" x14ac:dyDescent="0.2"/>
    <row r="33371" ht="12.75" hidden="1" customHeight="1" x14ac:dyDescent="0.2"/>
    <row r="33372" ht="12.75" hidden="1" customHeight="1" x14ac:dyDescent="0.2"/>
    <row r="33373" ht="12.75" hidden="1" customHeight="1" x14ac:dyDescent="0.2"/>
    <row r="33374" ht="12.75" hidden="1" customHeight="1" x14ac:dyDescent="0.2"/>
    <row r="33375" ht="12.75" hidden="1" customHeight="1" x14ac:dyDescent="0.2"/>
    <row r="33376" ht="12.75" hidden="1" customHeight="1" x14ac:dyDescent="0.2"/>
    <row r="33377" ht="12.75" hidden="1" customHeight="1" x14ac:dyDescent="0.2"/>
    <row r="33378" ht="12.75" hidden="1" customHeight="1" x14ac:dyDescent="0.2"/>
    <row r="33379" ht="12.75" hidden="1" customHeight="1" x14ac:dyDescent="0.2"/>
    <row r="33380" ht="12.75" hidden="1" customHeight="1" x14ac:dyDescent="0.2"/>
    <row r="33381" ht="12.75" hidden="1" customHeight="1" x14ac:dyDescent="0.2"/>
    <row r="33382" ht="12.75" hidden="1" customHeight="1" x14ac:dyDescent="0.2"/>
    <row r="33383" ht="12.75" hidden="1" customHeight="1" x14ac:dyDescent="0.2"/>
    <row r="33384" ht="12.75" hidden="1" customHeight="1" x14ac:dyDescent="0.2"/>
    <row r="33385" ht="12.75" hidden="1" customHeight="1" x14ac:dyDescent="0.2"/>
    <row r="33386" ht="12.75" hidden="1" customHeight="1" x14ac:dyDescent="0.2"/>
    <row r="33387" ht="12.75" hidden="1" customHeight="1" x14ac:dyDescent="0.2"/>
    <row r="33388" ht="12.75" hidden="1" customHeight="1" x14ac:dyDescent="0.2"/>
    <row r="33389" ht="12.75" hidden="1" customHeight="1" x14ac:dyDescent="0.2"/>
    <row r="33390" ht="12.75" hidden="1" customHeight="1" x14ac:dyDescent="0.2"/>
    <row r="33391" ht="12.75" hidden="1" customHeight="1" x14ac:dyDescent="0.2"/>
    <row r="33392" ht="12.75" hidden="1" customHeight="1" x14ac:dyDescent="0.2"/>
    <row r="33393" ht="12.75" hidden="1" customHeight="1" x14ac:dyDescent="0.2"/>
    <row r="33394" ht="12.75" hidden="1" customHeight="1" x14ac:dyDescent="0.2"/>
    <row r="33395" ht="12.75" hidden="1" customHeight="1" x14ac:dyDescent="0.2"/>
    <row r="33396" ht="12.75" hidden="1" customHeight="1" x14ac:dyDescent="0.2"/>
    <row r="33397" ht="12.75" hidden="1" customHeight="1" x14ac:dyDescent="0.2"/>
    <row r="33398" ht="12.75" hidden="1" customHeight="1" x14ac:dyDescent="0.2"/>
    <row r="33399" ht="12.75" hidden="1" customHeight="1" x14ac:dyDescent="0.2"/>
    <row r="33400" ht="12.75" hidden="1" customHeight="1" x14ac:dyDescent="0.2"/>
    <row r="33401" ht="12.75" hidden="1" customHeight="1" x14ac:dyDescent="0.2"/>
    <row r="33402" ht="12.75" hidden="1" customHeight="1" x14ac:dyDescent="0.2"/>
    <row r="33403" ht="12.75" hidden="1" customHeight="1" x14ac:dyDescent="0.2"/>
    <row r="33404" ht="12.75" hidden="1" customHeight="1" x14ac:dyDescent="0.2"/>
    <row r="33405" ht="12.75" hidden="1" customHeight="1" x14ac:dyDescent="0.2"/>
    <row r="33406" ht="12.75" hidden="1" customHeight="1" x14ac:dyDescent="0.2"/>
    <row r="33407" ht="12.75" hidden="1" customHeight="1" x14ac:dyDescent="0.2"/>
    <row r="33408" ht="12.75" hidden="1" customHeight="1" x14ac:dyDescent="0.2"/>
    <row r="33409" ht="12.75" hidden="1" customHeight="1" x14ac:dyDescent="0.2"/>
    <row r="33410" ht="12.75" hidden="1" customHeight="1" x14ac:dyDescent="0.2"/>
    <row r="33411" ht="12.75" hidden="1" customHeight="1" x14ac:dyDescent="0.2"/>
    <row r="33412" ht="12.75" hidden="1" customHeight="1" x14ac:dyDescent="0.2"/>
    <row r="33413" ht="12.75" hidden="1" customHeight="1" x14ac:dyDescent="0.2"/>
    <row r="33414" ht="12.75" hidden="1" customHeight="1" x14ac:dyDescent="0.2"/>
    <row r="33415" ht="12.75" hidden="1" customHeight="1" x14ac:dyDescent="0.2"/>
    <row r="33416" ht="12.75" hidden="1" customHeight="1" x14ac:dyDescent="0.2"/>
    <row r="33417" ht="12.75" hidden="1" customHeight="1" x14ac:dyDescent="0.2"/>
    <row r="33418" ht="12.75" hidden="1" customHeight="1" x14ac:dyDescent="0.2"/>
    <row r="33419" ht="12.75" hidden="1" customHeight="1" x14ac:dyDescent="0.2"/>
    <row r="33420" ht="12.75" hidden="1" customHeight="1" x14ac:dyDescent="0.2"/>
    <row r="33421" ht="12.75" hidden="1" customHeight="1" x14ac:dyDescent="0.2"/>
    <row r="33422" ht="12.75" hidden="1" customHeight="1" x14ac:dyDescent="0.2"/>
    <row r="33423" ht="12.75" hidden="1" customHeight="1" x14ac:dyDescent="0.2"/>
    <row r="33424" ht="12.75" hidden="1" customHeight="1" x14ac:dyDescent="0.2"/>
    <row r="33425" ht="12.75" hidden="1" customHeight="1" x14ac:dyDescent="0.2"/>
    <row r="33426" ht="12.75" hidden="1" customHeight="1" x14ac:dyDescent="0.2"/>
    <row r="33427" ht="12.75" hidden="1" customHeight="1" x14ac:dyDescent="0.2"/>
    <row r="33428" ht="12.75" hidden="1" customHeight="1" x14ac:dyDescent="0.2"/>
    <row r="33429" ht="12.75" hidden="1" customHeight="1" x14ac:dyDescent="0.2"/>
    <row r="33430" ht="12.75" hidden="1" customHeight="1" x14ac:dyDescent="0.2"/>
    <row r="33431" ht="12.75" hidden="1" customHeight="1" x14ac:dyDescent="0.2"/>
    <row r="33432" ht="12.75" hidden="1" customHeight="1" x14ac:dyDescent="0.2"/>
    <row r="33433" ht="12.75" hidden="1" customHeight="1" x14ac:dyDescent="0.2"/>
    <row r="33434" ht="12.75" hidden="1" customHeight="1" x14ac:dyDescent="0.2"/>
    <row r="33435" ht="12.75" hidden="1" customHeight="1" x14ac:dyDescent="0.2"/>
    <row r="33436" ht="12.75" hidden="1" customHeight="1" x14ac:dyDescent="0.2"/>
    <row r="33437" ht="12.75" hidden="1" customHeight="1" x14ac:dyDescent="0.2"/>
    <row r="33438" ht="12.75" hidden="1" customHeight="1" x14ac:dyDescent="0.2"/>
    <row r="33439" ht="12.75" hidden="1" customHeight="1" x14ac:dyDescent="0.2"/>
    <row r="33440" ht="12.75" hidden="1" customHeight="1" x14ac:dyDescent="0.2"/>
    <row r="33441" ht="12.75" hidden="1" customHeight="1" x14ac:dyDescent="0.2"/>
    <row r="33442" ht="12.75" hidden="1" customHeight="1" x14ac:dyDescent="0.2"/>
    <row r="33443" ht="12.75" hidden="1" customHeight="1" x14ac:dyDescent="0.2"/>
    <row r="33444" ht="12.75" hidden="1" customHeight="1" x14ac:dyDescent="0.2"/>
    <row r="33445" ht="12.75" hidden="1" customHeight="1" x14ac:dyDescent="0.2"/>
    <row r="33446" ht="12.75" hidden="1" customHeight="1" x14ac:dyDescent="0.2"/>
    <row r="33447" ht="12.75" hidden="1" customHeight="1" x14ac:dyDescent="0.2"/>
    <row r="33448" ht="12.75" hidden="1" customHeight="1" x14ac:dyDescent="0.2"/>
    <row r="33449" ht="12.75" hidden="1" customHeight="1" x14ac:dyDescent="0.2"/>
    <row r="33450" ht="12.75" hidden="1" customHeight="1" x14ac:dyDescent="0.2"/>
    <row r="33451" ht="12.75" hidden="1" customHeight="1" x14ac:dyDescent="0.2"/>
    <row r="33452" ht="12.75" hidden="1" customHeight="1" x14ac:dyDescent="0.2"/>
    <row r="33453" ht="12.75" hidden="1" customHeight="1" x14ac:dyDescent="0.2"/>
    <row r="33454" ht="12.75" hidden="1" customHeight="1" x14ac:dyDescent="0.2"/>
    <row r="33455" ht="12.75" hidden="1" customHeight="1" x14ac:dyDescent="0.2"/>
    <row r="33456" ht="12.75" hidden="1" customHeight="1" x14ac:dyDescent="0.2"/>
    <row r="33457" ht="12.75" hidden="1" customHeight="1" x14ac:dyDescent="0.2"/>
    <row r="33458" ht="12.75" hidden="1" customHeight="1" x14ac:dyDescent="0.2"/>
    <row r="33459" ht="12.75" hidden="1" customHeight="1" x14ac:dyDescent="0.2"/>
    <row r="33460" ht="12.75" hidden="1" customHeight="1" x14ac:dyDescent="0.2"/>
    <row r="33461" ht="12.75" hidden="1" customHeight="1" x14ac:dyDescent="0.2"/>
    <row r="33462" ht="12.75" hidden="1" customHeight="1" x14ac:dyDescent="0.2"/>
    <row r="33463" ht="12.75" hidden="1" customHeight="1" x14ac:dyDescent="0.2"/>
    <row r="33464" ht="12.75" hidden="1" customHeight="1" x14ac:dyDescent="0.2"/>
    <row r="33465" ht="12.75" hidden="1" customHeight="1" x14ac:dyDescent="0.2"/>
    <row r="33466" ht="12.75" hidden="1" customHeight="1" x14ac:dyDescent="0.2"/>
    <row r="33467" ht="12.75" hidden="1" customHeight="1" x14ac:dyDescent="0.2"/>
    <row r="33468" ht="12.75" hidden="1" customHeight="1" x14ac:dyDescent="0.2"/>
    <row r="33469" ht="12.75" hidden="1" customHeight="1" x14ac:dyDescent="0.2"/>
    <row r="33470" ht="12.75" hidden="1" customHeight="1" x14ac:dyDescent="0.2"/>
    <row r="33471" ht="12.75" hidden="1" customHeight="1" x14ac:dyDescent="0.2"/>
    <row r="33472" ht="12.75" hidden="1" customHeight="1" x14ac:dyDescent="0.2"/>
    <row r="33473" ht="12.75" hidden="1" customHeight="1" x14ac:dyDescent="0.2"/>
    <row r="33474" ht="12.75" hidden="1" customHeight="1" x14ac:dyDescent="0.2"/>
    <row r="33475" ht="12.75" hidden="1" customHeight="1" x14ac:dyDescent="0.2"/>
    <row r="33476" ht="12.75" hidden="1" customHeight="1" x14ac:dyDescent="0.2"/>
    <row r="33477" ht="12.75" hidden="1" customHeight="1" x14ac:dyDescent="0.2"/>
    <row r="33478" ht="12.75" hidden="1" customHeight="1" x14ac:dyDescent="0.2"/>
    <row r="33479" ht="12.75" hidden="1" customHeight="1" x14ac:dyDescent="0.2"/>
    <row r="33480" ht="12.75" hidden="1" customHeight="1" x14ac:dyDescent="0.2"/>
    <row r="33481" ht="12.75" hidden="1" customHeight="1" x14ac:dyDescent="0.2"/>
    <row r="33482" ht="12.75" hidden="1" customHeight="1" x14ac:dyDescent="0.2"/>
    <row r="33483" ht="12.75" hidden="1" customHeight="1" x14ac:dyDescent="0.2"/>
    <row r="33484" ht="12.75" hidden="1" customHeight="1" x14ac:dyDescent="0.2"/>
    <row r="33485" ht="12.75" hidden="1" customHeight="1" x14ac:dyDescent="0.2"/>
    <row r="33486" ht="12.75" hidden="1" customHeight="1" x14ac:dyDescent="0.2"/>
    <row r="33487" ht="12.75" hidden="1" customHeight="1" x14ac:dyDescent="0.2"/>
    <row r="33488" ht="12.75" hidden="1" customHeight="1" x14ac:dyDescent="0.2"/>
    <row r="33489" ht="12.75" hidden="1" customHeight="1" x14ac:dyDescent="0.2"/>
    <row r="33490" ht="12.75" hidden="1" customHeight="1" x14ac:dyDescent="0.2"/>
    <row r="33491" ht="12.75" hidden="1" customHeight="1" x14ac:dyDescent="0.2"/>
    <row r="33492" ht="12.75" hidden="1" customHeight="1" x14ac:dyDescent="0.2"/>
    <row r="33493" ht="12.75" hidden="1" customHeight="1" x14ac:dyDescent="0.2"/>
    <row r="33494" ht="12.75" hidden="1" customHeight="1" x14ac:dyDescent="0.2"/>
    <row r="33495" ht="12.75" hidden="1" customHeight="1" x14ac:dyDescent="0.2"/>
    <row r="33496" ht="12.75" hidden="1" customHeight="1" x14ac:dyDescent="0.2"/>
    <row r="33497" ht="12.75" hidden="1" customHeight="1" x14ac:dyDescent="0.2"/>
    <row r="33498" ht="12.75" hidden="1" customHeight="1" x14ac:dyDescent="0.2"/>
    <row r="33499" ht="12.75" hidden="1" customHeight="1" x14ac:dyDescent="0.2"/>
    <row r="33500" ht="12.75" hidden="1" customHeight="1" x14ac:dyDescent="0.2"/>
    <row r="33501" ht="12.75" hidden="1" customHeight="1" x14ac:dyDescent="0.2"/>
    <row r="33502" ht="12.75" hidden="1" customHeight="1" x14ac:dyDescent="0.2"/>
    <row r="33503" ht="12.75" hidden="1" customHeight="1" x14ac:dyDescent="0.2"/>
    <row r="33504" ht="12.75" hidden="1" customHeight="1" x14ac:dyDescent="0.2"/>
    <row r="33505" ht="12.75" hidden="1" customHeight="1" x14ac:dyDescent="0.2"/>
    <row r="33506" ht="12.75" hidden="1" customHeight="1" x14ac:dyDescent="0.2"/>
    <row r="33507" ht="12.75" hidden="1" customHeight="1" x14ac:dyDescent="0.2"/>
    <row r="33508" ht="12.75" hidden="1" customHeight="1" x14ac:dyDescent="0.2"/>
    <row r="33509" ht="12.75" hidden="1" customHeight="1" x14ac:dyDescent="0.2"/>
    <row r="33510" ht="12.75" hidden="1" customHeight="1" x14ac:dyDescent="0.2"/>
    <row r="33511" ht="12.75" hidden="1" customHeight="1" x14ac:dyDescent="0.2"/>
    <row r="33512" ht="12.75" hidden="1" customHeight="1" x14ac:dyDescent="0.2"/>
    <row r="33513" ht="12.75" hidden="1" customHeight="1" x14ac:dyDescent="0.2"/>
    <row r="33514" ht="12.75" hidden="1" customHeight="1" x14ac:dyDescent="0.2"/>
    <row r="33515" ht="12.75" hidden="1" customHeight="1" x14ac:dyDescent="0.2"/>
    <row r="33516" ht="12.75" hidden="1" customHeight="1" x14ac:dyDescent="0.2"/>
    <row r="33517" ht="12.75" hidden="1" customHeight="1" x14ac:dyDescent="0.2"/>
    <row r="33518" ht="12.75" hidden="1" customHeight="1" x14ac:dyDescent="0.2"/>
    <row r="33519" ht="12.75" hidden="1" customHeight="1" x14ac:dyDescent="0.2"/>
    <row r="33520" ht="12.75" hidden="1" customHeight="1" x14ac:dyDescent="0.2"/>
    <row r="33521" ht="12.75" hidden="1" customHeight="1" x14ac:dyDescent="0.2"/>
    <row r="33522" ht="12.75" hidden="1" customHeight="1" x14ac:dyDescent="0.2"/>
    <row r="33523" ht="12.75" hidden="1" customHeight="1" x14ac:dyDescent="0.2"/>
    <row r="33524" ht="12.75" hidden="1" customHeight="1" x14ac:dyDescent="0.2"/>
    <row r="33525" ht="12.75" hidden="1" customHeight="1" x14ac:dyDescent="0.2"/>
    <row r="33526" ht="12.75" hidden="1" customHeight="1" x14ac:dyDescent="0.2"/>
    <row r="33527" ht="12.75" hidden="1" customHeight="1" x14ac:dyDescent="0.2"/>
    <row r="33528" ht="12.75" hidden="1" customHeight="1" x14ac:dyDescent="0.2"/>
    <row r="33529" ht="12.75" hidden="1" customHeight="1" x14ac:dyDescent="0.2"/>
    <row r="33530" ht="12.75" hidden="1" customHeight="1" x14ac:dyDescent="0.2"/>
    <row r="33531" ht="12.75" hidden="1" customHeight="1" x14ac:dyDescent="0.2"/>
    <row r="33532" ht="12.75" hidden="1" customHeight="1" x14ac:dyDescent="0.2"/>
    <row r="33533" ht="12.75" hidden="1" customHeight="1" x14ac:dyDescent="0.2"/>
    <row r="33534" ht="12.75" hidden="1" customHeight="1" x14ac:dyDescent="0.2"/>
    <row r="33535" ht="12.75" hidden="1" customHeight="1" x14ac:dyDescent="0.2"/>
    <row r="33536" ht="12.75" hidden="1" customHeight="1" x14ac:dyDescent="0.2"/>
    <row r="33537" ht="12.75" hidden="1" customHeight="1" x14ac:dyDescent="0.2"/>
    <row r="33538" ht="12.75" hidden="1" customHeight="1" x14ac:dyDescent="0.2"/>
    <row r="33539" ht="12.75" hidden="1" customHeight="1" x14ac:dyDescent="0.2"/>
    <row r="33540" ht="12.75" hidden="1" customHeight="1" x14ac:dyDescent="0.2"/>
    <row r="33541" ht="12.75" hidden="1" customHeight="1" x14ac:dyDescent="0.2"/>
    <row r="33542" ht="12.75" hidden="1" customHeight="1" x14ac:dyDescent="0.2"/>
    <row r="33543" ht="12.75" hidden="1" customHeight="1" x14ac:dyDescent="0.2"/>
    <row r="33544" ht="12.75" hidden="1" customHeight="1" x14ac:dyDescent="0.2"/>
    <row r="33545" ht="12.75" hidden="1" customHeight="1" x14ac:dyDescent="0.2"/>
    <row r="33546" ht="12.75" hidden="1" customHeight="1" x14ac:dyDescent="0.2"/>
    <row r="33547" ht="12.75" hidden="1" customHeight="1" x14ac:dyDescent="0.2"/>
    <row r="33548" ht="12.75" hidden="1" customHeight="1" x14ac:dyDescent="0.2"/>
    <row r="33549" ht="12.75" hidden="1" customHeight="1" x14ac:dyDescent="0.2"/>
    <row r="33550" ht="12.75" hidden="1" customHeight="1" x14ac:dyDescent="0.2"/>
    <row r="33551" ht="12.75" hidden="1" customHeight="1" x14ac:dyDescent="0.2"/>
    <row r="33552" ht="12.75" hidden="1" customHeight="1" x14ac:dyDescent="0.2"/>
    <row r="33553" ht="12.75" hidden="1" customHeight="1" x14ac:dyDescent="0.2"/>
    <row r="33554" ht="12.75" hidden="1" customHeight="1" x14ac:dyDescent="0.2"/>
    <row r="33555" ht="12.75" hidden="1" customHeight="1" x14ac:dyDescent="0.2"/>
    <row r="33556" ht="12.75" hidden="1" customHeight="1" x14ac:dyDescent="0.2"/>
    <row r="33557" ht="12.75" hidden="1" customHeight="1" x14ac:dyDescent="0.2"/>
    <row r="33558" ht="12.75" hidden="1" customHeight="1" x14ac:dyDescent="0.2"/>
    <row r="33559" ht="12.75" hidden="1" customHeight="1" x14ac:dyDescent="0.2"/>
    <row r="33560" ht="12.75" hidden="1" customHeight="1" x14ac:dyDescent="0.2"/>
    <row r="33561" ht="12.75" hidden="1" customHeight="1" x14ac:dyDescent="0.2"/>
    <row r="33562" ht="12.75" hidden="1" customHeight="1" x14ac:dyDescent="0.2"/>
    <row r="33563" ht="12.75" hidden="1" customHeight="1" x14ac:dyDescent="0.2"/>
    <row r="33564" ht="12.75" hidden="1" customHeight="1" x14ac:dyDescent="0.2"/>
    <row r="33565" ht="12.75" hidden="1" customHeight="1" x14ac:dyDescent="0.2"/>
    <row r="33566" ht="12.75" hidden="1" customHeight="1" x14ac:dyDescent="0.2"/>
    <row r="33567" ht="12.75" hidden="1" customHeight="1" x14ac:dyDescent="0.2"/>
    <row r="33568" ht="12.75" hidden="1" customHeight="1" x14ac:dyDescent="0.2"/>
    <row r="33569" ht="12.75" hidden="1" customHeight="1" x14ac:dyDescent="0.2"/>
    <row r="33570" ht="12.75" hidden="1" customHeight="1" x14ac:dyDescent="0.2"/>
    <row r="33571" ht="12.75" hidden="1" customHeight="1" x14ac:dyDescent="0.2"/>
    <row r="33572" ht="12.75" hidden="1" customHeight="1" x14ac:dyDescent="0.2"/>
    <row r="33573" ht="12.75" hidden="1" customHeight="1" x14ac:dyDescent="0.2"/>
    <row r="33574" ht="12.75" hidden="1" customHeight="1" x14ac:dyDescent="0.2"/>
    <row r="33575" ht="12.75" hidden="1" customHeight="1" x14ac:dyDescent="0.2"/>
    <row r="33576" ht="12.75" hidden="1" customHeight="1" x14ac:dyDescent="0.2"/>
    <row r="33577" ht="12.75" hidden="1" customHeight="1" x14ac:dyDescent="0.2"/>
    <row r="33578" ht="12.75" hidden="1" customHeight="1" x14ac:dyDescent="0.2"/>
    <row r="33579" ht="12.75" hidden="1" customHeight="1" x14ac:dyDescent="0.2"/>
    <row r="33580" ht="12.75" hidden="1" customHeight="1" x14ac:dyDescent="0.2"/>
    <row r="33581" ht="12.75" hidden="1" customHeight="1" x14ac:dyDescent="0.2"/>
    <row r="33582" ht="12.75" hidden="1" customHeight="1" x14ac:dyDescent="0.2"/>
    <row r="33583" ht="12.75" hidden="1" customHeight="1" x14ac:dyDescent="0.2"/>
    <row r="33584" ht="12.75" hidden="1" customHeight="1" x14ac:dyDescent="0.2"/>
    <row r="33585" ht="12.75" hidden="1" customHeight="1" x14ac:dyDescent="0.2"/>
    <row r="33586" ht="12.75" hidden="1" customHeight="1" x14ac:dyDescent="0.2"/>
    <row r="33587" ht="12.75" hidden="1" customHeight="1" x14ac:dyDescent="0.2"/>
    <row r="33588" ht="12.75" hidden="1" customHeight="1" x14ac:dyDescent="0.2"/>
    <row r="33589" ht="12.75" hidden="1" customHeight="1" x14ac:dyDescent="0.2"/>
    <row r="33590" ht="12.75" hidden="1" customHeight="1" x14ac:dyDescent="0.2"/>
    <row r="33591" ht="12.75" hidden="1" customHeight="1" x14ac:dyDescent="0.2"/>
    <row r="33592" ht="12.75" hidden="1" customHeight="1" x14ac:dyDescent="0.2"/>
    <row r="33593" ht="12.75" hidden="1" customHeight="1" x14ac:dyDescent="0.2"/>
    <row r="33594" ht="12.75" hidden="1" customHeight="1" x14ac:dyDescent="0.2"/>
    <row r="33595" ht="12.75" hidden="1" customHeight="1" x14ac:dyDescent="0.2"/>
    <row r="33596" ht="12.75" hidden="1" customHeight="1" x14ac:dyDescent="0.2"/>
    <row r="33597" ht="12.75" hidden="1" customHeight="1" x14ac:dyDescent="0.2"/>
    <row r="33598" ht="12.75" hidden="1" customHeight="1" x14ac:dyDescent="0.2"/>
    <row r="33599" ht="12.75" hidden="1" customHeight="1" x14ac:dyDescent="0.2"/>
    <row r="33600" ht="12.75" hidden="1" customHeight="1" x14ac:dyDescent="0.2"/>
    <row r="33601" ht="12.75" hidden="1" customHeight="1" x14ac:dyDescent="0.2"/>
    <row r="33602" ht="12.75" hidden="1" customHeight="1" x14ac:dyDescent="0.2"/>
    <row r="33603" ht="12.75" hidden="1" customHeight="1" x14ac:dyDescent="0.2"/>
    <row r="33604" ht="12.75" hidden="1" customHeight="1" x14ac:dyDescent="0.2"/>
    <row r="33605" ht="12.75" hidden="1" customHeight="1" x14ac:dyDescent="0.2"/>
    <row r="33606" ht="12.75" hidden="1" customHeight="1" x14ac:dyDescent="0.2"/>
    <row r="33607" ht="12.75" hidden="1" customHeight="1" x14ac:dyDescent="0.2"/>
    <row r="33608" ht="12.75" hidden="1" customHeight="1" x14ac:dyDescent="0.2"/>
    <row r="33609" ht="12.75" hidden="1" customHeight="1" x14ac:dyDescent="0.2"/>
    <row r="33610" ht="12.75" hidden="1" customHeight="1" x14ac:dyDescent="0.2"/>
    <row r="33611" ht="12.75" hidden="1" customHeight="1" x14ac:dyDescent="0.2"/>
    <row r="33612" ht="12.75" hidden="1" customHeight="1" x14ac:dyDescent="0.2"/>
    <row r="33613" ht="12.75" hidden="1" customHeight="1" x14ac:dyDescent="0.2"/>
    <row r="33614" ht="12.75" hidden="1" customHeight="1" x14ac:dyDescent="0.2"/>
    <row r="33615" ht="12.75" hidden="1" customHeight="1" x14ac:dyDescent="0.2"/>
    <row r="33616" ht="12.75" hidden="1" customHeight="1" x14ac:dyDescent="0.2"/>
    <row r="33617" ht="12.75" hidden="1" customHeight="1" x14ac:dyDescent="0.2"/>
    <row r="33618" ht="12.75" hidden="1" customHeight="1" x14ac:dyDescent="0.2"/>
    <row r="33619" ht="12.75" hidden="1" customHeight="1" x14ac:dyDescent="0.2"/>
    <row r="33620" ht="12.75" hidden="1" customHeight="1" x14ac:dyDescent="0.2"/>
    <row r="33621" ht="12.75" hidden="1" customHeight="1" x14ac:dyDescent="0.2"/>
    <row r="33622" ht="12.75" hidden="1" customHeight="1" x14ac:dyDescent="0.2"/>
    <row r="33623" ht="12.75" hidden="1" customHeight="1" x14ac:dyDescent="0.2"/>
    <row r="33624" ht="12.75" hidden="1" customHeight="1" x14ac:dyDescent="0.2"/>
    <row r="33625" ht="12.75" hidden="1" customHeight="1" x14ac:dyDescent="0.2"/>
    <row r="33626" ht="12.75" hidden="1" customHeight="1" x14ac:dyDescent="0.2"/>
    <row r="33627" ht="12.75" hidden="1" customHeight="1" x14ac:dyDescent="0.2"/>
    <row r="33628" ht="12.75" hidden="1" customHeight="1" x14ac:dyDescent="0.2"/>
    <row r="33629" ht="12.75" hidden="1" customHeight="1" x14ac:dyDescent="0.2"/>
    <row r="33630" ht="12.75" hidden="1" customHeight="1" x14ac:dyDescent="0.2"/>
    <row r="33631" ht="12.75" hidden="1" customHeight="1" x14ac:dyDescent="0.2"/>
    <row r="33632" ht="12.75" hidden="1" customHeight="1" x14ac:dyDescent="0.2"/>
    <row r="33633" ht="12.75" hidden="1" customHeight="1" x14ac:dyDescent="0.2"/>
    <row r="33634" ht="12.75" hidden="1" customHeight="1" x14ac:dyDescent="0.2"/>
    <row r="33635" ht="12.75" hidden="1" customHeight="1" x14ac:dyDescent="0.2"/>
    <row r="33636" ht="12.75" hidden="1" customHeight="1" x14ac:dyDescent="0.2"/>
    <row r="33637" ht="12.75" hidden="1" customHeight="1" x14ac:dyDescent="0.2"/>
    <row r="33638" ht="12.75" hidden="1" customHeight="1" x14ac:dyDescent="0.2"/>
    <row r="33639" ht="12.75" hidden="1" customHeight="1" x14ac:dyDescent="0.2"/>
    <row r="33640" ht="12.75" hidden="1" customHeight="1" x14ac:dyDescent="0.2"/>
    <row r="33641" ht="12.75" hidden="1" customHeight="1" x14ac:dyDescent="0.2"/>
    <row r="33642" ht="12.75" hidden="1" customHeight="1" x14ac:dyDescent="0.2"/>
    <row r="33643" ht="12.75" hidden="1" customHeight="1" x14ac:dyDescent="0.2"/>
    <row r="33644" ht="12.75" hidden="1" customHeight="1" x14ac:dyDescent="0.2"/>
    <row r="33645" ht="12.75" hidden="1" customHeight="1" x14ac:dyDescent="0.2"/>
    <row r="33646" ht="12.75" hidden="1" customHeight="1" x14ac:dyDescent="0.2"/>
    <row r="33647" ht="12.75" hidden="1" customHeight="1" x14ac:dyDescent="0.2"/>
    <row r="33648" ht="12.75" hidden="1" customHeight="1" x14ac:dyDescent="0.2"/>
    <row r="33649" ht="12.75" hidden="1" customHeight="1" x14ac:dyDescent="0.2"/>
    <row r="33650" ht="12.75" hidden="1" customHeight="1" x14ac:dyDescent="0.2"/>
    <row r="33651" ht="12.75" hidden="1" customHeight="1" x14ac:dyDescent="0.2"/>
    <row r="33652" ht="12.75" hidden="1" customHeight="1" x14ac:dyDescent="0.2"/>
    <row r="33653" ht="12.75" hidden="1" customHeight="1" x14ac:dyDescent="0.2"/>
    <row r="33654" ht="12.75" hidden="1" customHeight="1" x14ac:dyDescent="0.2"/>
    <row r="33655" ht="12.75" hidden="1" customHeight="1" x14ac:dyDescent="0.2"/>
    <row r="33656" ht="12.75" hidden="1" customHeight="1" x14ac:dyDescent="0.2"/>
    <row r="33657" ht="12.75" hidden="1" customHeight="1" x14ac:dyDescent="0.2"/>
    <row r="33658" ht="12.75" hidden="1" customHeight="1" x14ac:dyDescent="0.2"/>
    <row r="33659" ht="12.75" hidden="1" customHeight="1" x14ac:dyDescent="0.2"/>
    <row r="33660" ht="12.75" hidden="1" customHeight="1" x14ac:dyDescent="0.2"/>
    <row r="33661" ht="12.75" hidden="1" customHeight="1" x14ac:dyDescent="0.2"/>
    <row r="33662" ht="12.75" hidden="1" customHeight="1" x14ac:dyDescent="0.2"/>
    <row r="33663" ht="12.75" hidden="1" customHeight="1" x14ac:dyDescent="0.2"/>
    <row r="33664" ht="12.75" hidden="1" customHeight="1" x14ac:dyDescent="0.2"/>
    <row r="33665" ht="12.75" hidden="1" customHeight="1" x14ac:dyDescent="0.2"/>
    <row r="33666" ht="12.75" hidden="1" customHeight="1" x14ac:dyDescent="0.2"/>
    <row r="33667" ht="12.75" hidden="1" customHeight="1" x14ac:dyDescent="0.2"/>
    <row r="33668" ht="12.75" hidden="1" customHeight="1" x14ac:dyDescent="0.2"/>
    <row r="33669" ht="12.75" hidden="1" customHeight="1" x14ac:dyDescent="0.2"/>
    <row r="33670" ht="12.75" hidden="1" customHeight="1" x14ac:dyDescent="0.2"/>
    <row r="33671" ht="12.75" hidden="1" customHeight="1" x14ac:dyDescent="0.2"/>
    <row r="33672" ht="12.75" hidden="1" customHeight="1" x14ac:dyDescent="0.2"/>
    <row r="33673" ht="12.75" hidden="1" customHeight="1" x14ac:dyDescent="0.2"/>
    <row r="33674" ht="12.75" hidden="1" customHeight="1" x14ac:dyDescent="0.2"/>
    <row r="33675" ht="12.75" hidden="1" customHeight="1" x14ac:dyDescent="0.2"/>
    <row r="33676" ht="12.75" hidden="1" customHeight="1" x14ac:dyDescent="0.2"/>
    <row r="33677" ht="12.75" hidden="1" customHeight="1" x14ac:dyDescent="0.2"/>
    <row r="33678" ht="12.75" hidden="1" customHeight="1" x14ac:dyDescent="0.2"/>
    <row r="33679" ht="12.75" hidden="1" customHeight="1" x14ac:dyDescent="0.2"/>
    <row r="33680" ht="12.75" hidden="1" customHeight="1" x14ac:dyDescent="0.2"/>
    <row r="33681" ht="12.75" hidden="1" customHeight="1" x14ac:dyDescent="0.2"/>
    <row r="33682" ht="12.75" hidden="1" customHeight="1" x14ac:dyDescent="0.2"/>
    <row r="33683" ht="12.75" hidden="1" customHeight="1" x14ac:dyDescent="0.2"/>
    <row r="33684" ht="12.75" hidden="1" customHeight="1" x14ac:dyDescent="0.2"/>
    <row r="33685" ht="12.75" hidden="1" customHeight="1" x14ac:dyDescent="0.2"/>
    <row r="33686" ht="12.75" hidden="1" customHeight="1" x14ac:dyDescent="0.2"/>
    <row r="33687" ht="12.75" hidden="1" customHeight="1" x14ac:dyDescent="0.2"/>
    <row r="33688" ht="12.75" hidden="1" customHeight="1" x14ac:dyDescent="0.2"/>
    <row r="33689" ht="12.75" hidden="1" customHeight="1" x14ac:dyDescent="0.2"/>
    <row r="33690" ht="12.75" hidden="1" customHeight="1" x14ac:dyDescent="0.2"/>
    <row r="33691" ht="12.75" hidden="1" customHeight="1" x14ac:dyDescent="0.2"/>
    <row r="33692" ht="12.75" hidden="1" customHeight="1" x14ac:dyDescent="0.2"/>
    <row r="33693" ht="12.75" hidden="1" customHeight="1" x14ac:dyDescent="0.2"/>
    <row r="33694" ht="12.75" hidden="1" customHeight="1" x14ac:dyDescent="0.2"/>
    <row r="33695" ht="12.75" hidden="1" customHeight="1" x14ac:dyDescent="0.2"/>
    <row r="33696" ht="12.75" hidden="1" customHeight="1" x14ac:dyDescent="0.2"/>
    <row r="33697" ht="12.75" hidden="1" customHeight="1" x14ac:dyDescent="0.2"/>
    <row r="33698" ht="12.75" hidden="1" customHeight="1" x14ac:dyDescent="0.2"/>
    <row r="33699" ht="12.75" hidden="1" customHeight="1" x14ac:dyDescent="0.2"/>
    <row r="33700" ht="12.75" hidden="1" customHeight="1" x14ac:dyDescent="0.2"/>
    <row r="33701" ht="12.75" hidden="1" customHeight="1" x14ac:dyDescent="0.2"/>
    <row r="33702" ht="12.75" hidden="1" customHeight="1" x14ac:dyDescent="0.2"/>
    <row r="33703" ht="12.75" hidden="1" customHeight="1" x14ac:dyDescent="0.2"/>
    <row r="33704" ht="12.75" hidden="1" customHeight="1" x14ac:dyDescent="0.2"/>
    <row r="33705" ht="12.75" hidden="1" customHeight="1" x14ac:dyDescent="0.2"/>
    <row r="33706" ht="12.75" hidden="1" customHeight="1" x14ac:dyDescent="0.2"/>
    <row r="33707" ht="12.75" hidden="1" customHeight="1" x14ac:dyDescent="0.2"/>
    <row r="33708" ht="12.75" hidden="1" customHeight="1" x14ac:dyDescent="0.2"/>
    <row r="33709" ht="12.75" hidden="1" customHeight="1" x14ac:dyDescent="0.2"/>
    <row r="33710" ht="12.75" hidden="1" customHeight="1" x14ac:dyDescent="0.2"/>
    <row r="33711" ht="12.75" hidden="1" customHeight="1" x14ac:dyDescent="0.2"/>
    <row r="33712" ht="12.75" hidden="1" customHeight="1" x14ac:dyDescent="0.2"/>
    <row r="33713" ht="12.75" hidden="1" customHeight="1" x14ac:dyDescent="0.2"/>
    <row r="33714" ht="12.75" hidden="1" customHeight="1" x14ac:dyDescent="0.2"/>
    <row r="33715" ht="12.75" hidden="1" customHeight="1" x14ac:dyDescent="0.2"/>
    <row r="33716" ht="12.75" hidden="1" customHeight="1" x14ac:dyDescent="0.2"/>
    <row r="33717" ht="12.75" hidden="1" customHeight="1" x14ac:dyDescent="0.2"/>
    <row r="33718" ht="12.75" hidden="1" customHeight="1" x14ac:dyDescent="0.2"/>
    <row r="33719" ht="12.75" hidden="1" customHeight="1" x14ac:dyDescent="0.2"/>
    <row r="33720" ht="12.75" hidden="1" customHeight="1" x14ac:dyDescent="0.2"/>
    <row r="33721" ht="12.75" hidden="1" customHeight="1" x14ac:dyDescent="0.2"/>
    <row r="33722" ht="12.75" hidden="1" customHeight="1" x14ac:dyDescent="0.2"/>
    <row r="33723" ht="12.75" hidden="1" customHeight="1" x14ac:dyDescent="0.2"/>
    <row r="33724" ht="12.75" hidden="1" customHeight="1" x14ac:dyDescent="0.2"/>
    <row r="33725" ht="12.75" hidden="1" customHeight="1" x14ac:dyDescent="0.2"/>
    <row r="33726" ht="12.75" hidden="1" customHeight="1" x14ac:dyDescent="0.2"/>
    <row r="33727" ht="12.75" hidden="1" customHeight="1" x14ac:dyDescent="0.2"/>
    <row r="33728" ht="12.75" hidden="1" customHeight="1" x14ac:dyDescent="0.2"/>
    <row r="33729" ht="12.75" hidden="1" customHeight="1" x14ac:dyDescent="0.2"/>
    <row r="33730" ht="12.75" hidden="1" customHeight="1" x14ac:dyDescent="0.2"/>
    <row r="33731" ht="12.75" hidden="1" customHeight="1" x14ac:dyDescent="0.2"/>
    <row r="33732" ht="12.75" hidden="1" customHeight="1" x14ac:dyDescent="0.2"/>
    <row r="33733" ht="12.75" hidden="1" customHeight="1" x14ac:dyDescent="0.2"/>
    <row r="33734" ht="12.75" hidden="1" customHeight="1" x14ac:dyDescent="0.2"/>
    <row r="33735" ht="12.75" hidden="1" customHeight="1" x14ac:dyDescent="0.2"/>
    <row r="33736" ht="12.75" hidden="1" customHeight="1" x14ac:dyDescent="0.2"/>
    <row r="33737" ht="12.75" hidden="1" customHeight="1" x14ac:dyDescent="0.2"/>
    <row r="33738" ht="12.75" hidden="1" customHeight="1" x14ac:dyDescent="0.2"/>
    <row r="33739" ht="12.75" hidden="1" customHeight="1" x14ac:dyDescent="0.2"/>
    <row r="33740" ht="12.75" hidden="1" customHeight="1" x14ac:dyDescent="0.2"/>
    <row r="33741" ht="12.75" hidden="1" customHeight="1" x14ac:dyDescent="0.2"/>
    <row r="33742" ht="12.75" hidden="1" customHeight="1" x14ac:dyDescent="0.2"/>
    <row r="33743" ht="12.75" hidden="1" customHeight="1" x14ac:dyDescent="0.2"/>
    <row r="33744" ht="12.75" hidden="1" customHeight="1" x14ac:dyDescent="0.2"/>
    <row r="33745" ht="12.75" hidden="1" customHeight="1" x14ac:dyDescent="0.2"/>
    <row r="33746" ht="12.75" hidden="1" customHeight="1" x14ac:dyDescent="0.2"/>
    <row r="33747" ht="12.75" hidden="1" customHeight="1" x14ac:dyDescent="0.2"/>
    <row r="33748" ht="12.75" hidden="1" customHeight="1" x14ac:dyDescent="0.2"/>
    <row r="33749" ht="12.75" hidden="1" customHeight="1" x14ac:dyDescent="0.2"/>
    <row r="33750" ht="12.75" hidden="1" customHeight="1" x14ac:dyDescent="0.2"/>
    <row r="33751" ht="12.75" hidden="1" customHeight="1" x14ac:dyDescent="0.2"/>
    <row r="33752" ht="12.75" hidden="1" customHeight="1" x14ac:dyDescent="0.2"/>
    <row r="33753" ht="12.75" hidden="1" customHeight="1" x14ac:dyDescent="0.2"/>
    <row r="33754" ht="12.75" hidden="1" customHeight="1" x14ac:dyDescent="0.2"/>
    <row r="33755" ht="12.75" hidden="1" customHeight="1" x14ac:dyDescent="0.2"/>
    <row r="33756" ht="12.75" hidden="1" customHeight="1" x14ac:dyDescent="0.2"/>
    <row r="33757" ht="12.75" hidden="1" customHeight="1" x14ac:dyDescent="0.2"/>
    <row r="33758" ht="12.75" hidden="1" customHeight="1" x14ac:dyDescent="0.2"/>
    <row r="33759" ht="12.75" hidden="1" customHeight="1" x14ac:dyDescent="0.2"/>
    <row r="33760" ht="12.75" hidden="1" customHeight="1" x14ac:dyDescent="0.2"/>
    <row r="33761" ht="12.75" hidden="1" customHeight="1" x14ac:dyDescent="0.2"/>
    <row r="33762" ht="12.75" hidden="1" customHeight="1" x14ac:dyDescent="0.2"/>
    <row r="33763" ht="12.75" hidden="1" customHeight="1" x14ac:dyDescent="0.2"/>
    <row r="33764" ht="12.75" hidden="1" customHeight="1" x14ac:dyDescent="0.2"/>
    <row r="33765" ht="12.75" hidden="1" customHeight="1" x14ac:dyDescent="0.2"/>
    <row r="33766" ht="12.75" hidden="1" customHeight="1" x14ac:dyDescent="0.2"/>
    <row r="33767" ht="12.75" hidden="1" customHeight="1" x14ac:dyDescent="0.2"/>
    <row r="33768" ht="12.75" hidden="1" customHeight="1" x14ac:dyDescent="0.2"/>
    <row r="33769" ht="12.75" hidden="1" customHeight="1" x14ac:dyDescent="0.2"/>
    <row r="33770" ht="12.75" hidden="1" customHeight="1" x14ac:dyDescent="0.2"/>
    <row r="33771" ht="12.75" hidden="1" customHeight="1" x14ac:dyDescent="0.2"/>
    <row r="33772" ht="12.75" hidden="1" customHeight="1" x14ac:dyDescent="0.2"/>
    <row r="33773" ht="12.75" hidden="1" customHeight="1" x14ac:dyDescent="0.2"/>
    <row r="33774" ht="12.75" hidden="1" customHeight="1" x14ac:dyDescent="0.2"/>
    <row r="33775" ht="12.75" hidden="1" customHeight="1" x14ac:dyDescent="0.2"/>
    <row r="33776" ht="12.75" hidden="1" customHeight="1" x14ac:dyDescent="0.2"/>
    <row r="33777" ht="12.75" hidden="1" customHeight="1" x14ac:dyDescent="0.2"/>
    <row r="33778" ht="12.75" hidden="1" customHeight="1" x14ac:dyDescent="0.2"/>
    <row r="33779" ht="12.75" hidden="1" customHeight="1" x14ac:dyDescent="0.2"/>
    <row r="33780" ht="12.75" hidden="1" customHeight="1" x14ac:dyDescent="0.2"/>
    <row r="33781" ht="12.75" hidden="1" customHeight="1" x14ac:dyDescent="0.2"/>
    <row r="33782" ht="12.75" hidden="1" customHeight="1" x14ac:dyDescent="0.2"/>
    <row r="33783" ht="12.75" hidden="1" customHeight="1" x14ac:dyDescent="0.2"/>
    <row r="33784" ht="12.75" hidden="1" customHeight="1" x14ac:dyDescent="0.2"/>
    <row r="33785" ht="12.75" hidden="1" customHeight="1" x14ac:dyDescent="0.2"/>
    <row r="33786" ht="12.75" hidden="1" customHeight="1" x14ac:dyDescent="0.2"/>
    <row r="33787" ht="12.75" hidden="1" customHeight="1" x14ac:dyDescent="0.2"/>
    <row r="33788" ht="12.75" hidden="1" customHeight="1" x14ac:dyDescent="0.2"/>
    <row r="33789" ht="12.75" hidden="1" customHeight="1" x14ac:dyDescent="0.2"/>
    <row r="33790" ht="12.75" hidden="1" customHeight="1" x14ac:dyDescent="0.2"/>
    <row r="33791" ht="12.75" hidden="1" customHeight="1" x14ac:dyDescent="0.2"/>
    <row r="33792" ht="12.75" hidden="1" customHeight="1" x14ac:dyDescent="0.2"/>
    <row r="33793" ht="12.75" hidden="1" customHeight="1" x14ac:dyDescent="0.2"/>
    <row r="33794" ht="12.75" hidden="1" customHeight="1" x14ac:dyDescent="0.2"/>
    <row r="33795" ht="12.75" hidden="1" customHeight="1" x14ac:dyDescent="0.2"/>
    <row r="33796" ht="12.75" hidden="1" customHeight="1" x14ac:dyDescent="0.2"/>
    <row r="33797" ht="12.75" hidden="1" customHeight="1" x14ac:dyDescent="0.2"/>
    <row r="33798" ht="12.75" hidden="1" customHeight="1" x14ac:dyDescent="0.2"/>
    <row r="33799" ht="12.75" hidden="1" customHeight="1" x14ac:dyDescent="0.2"/>
    <row r="33800" ht="12.75" hidden="1" customHeight="1" x14ac:dyDescent="0.2"/>
    <row r="33801" ht="12.75" hidden="1" customHeight="1" x14ac:dyDescent="0.2"/>
    <row r="33802" ht="12.75" hidden="1" customHeight="1" x14ac:dyDescent="0.2"/>
    <row r="33803" ht="12.75" hidden="1" customHeight="1" x14ac:dyDescent="0.2"/>
    <row r="33804" ht="12.75" hidden="1" customHeight="1" x14ac:dyDescent="0.2"/>
    <row r="33805" ht="12.75" hidden="1" customHeight="1" x14ac:dyDescent="0.2"/>
    <row r="33806" ht="12.75" hidden="1" customHeight="1" x14ac:dyDescent="0.2"/>
    <row r="33807" ht="12.75" hidden="1" customHeight="1" x14ac:dyDescent="0.2"/>
    <row r="33808" ht="12.75" hidden="1" customHeight="1" x14ac:dyDescent="0.2"/>
    <row r="33809" ht="12.75" hidden="1" customHeight="1" x14ac:dyDescent="0.2"/>
    <row r="33810" ht="12.75" hidden="1" customHeight="1" x14ac:dyDescent="0.2"/>
    <row r="33811" ht="12.75" hidden="1" customHeight="1" x14ac:dyDescent="0.2"/>
    <row r="33812" ht="12.75" hidden="1" customHeight="1" x14ac:dyDescent="0.2"/>
    <row r="33813" ht="12.75" hidden="1" customHeight="1" x14ac:dyDescent="0.2"/>
    <row r="33814" ht="12.75" hidden="1" customHeight="1" x14ac:dyDescent="0.2"/>
    <row r="33815" ht="12.75" hidden="1" customHeight="1" x14ac:dyDescent="0.2"/>
    <row r="33816" ht="12.75" hidden="1" customHeight="1" x14ac:dyDescent="0.2"/>
    <row r="33817" ht="12.75" hidden="1" customHeight="1" x14ac:dyDescent="0.2"/>
    <row r="33818" ht="12.75" hidden="1" customHeight="1" x14ac:dyDescent="0.2"/>
    <row r="33819" ht="12.75" hidden="1" customHeight="1" x14ac:dyDescent="0.2"/>
    <row r="33820" ht="12.75" hidden="1" customHeight="1" x14ac:dyDescent="0.2"/>
    <row r="33821" ht="12.75" hidden="1" customHeight="1" x14ac:dyDescent="0.2"/>
    <row r="33822" ht="12.75" hidden="1" customHeight="1" x14ac:dyDescent="0.2"/>
    <row r="33823" ht="12.75" hidden="1" customHeight="1" x14ac:dyDescent="0.2"/>
    <row r="33824" ht="12.75" hidden="1" customHeight="1" x14ac:dyDescent="0.2"/>
    <row r="33825" ht="12.75" hidden="1" customHeight="1" x14ac:dyDescent="0.2"/>
    <row r="33826" ht="12.75" hidden="1" customHeight="1" x14ac:dyDescent="0.2"/>
    <row r="33827" ht="12.75" hidden="1" customHeight="1" x14ac:dyDescent="0.2"/>
    <row r="33828" ht="12.75" hidden="1" customHeight="1" x14ac:dyDescent="0.2"/>
    <row r="33829" ht="12.75" hidden="1" customHeight="1" x14ac:dyDescent="0.2"/>
    <row r="33830" ht="12.75" hidden="1" customHeight="1" x14ac:dyDescent="0.2"/>
    <row r="33831" ht="12.75" hidden="1" customHeight="1" x14ac:dyDescent="0.2"/>
    <row r="33832" ht="12.75" hidden="1" customHeight="1" x14ac:dyDescent="0.2"/>
    <row r="33833" ht="12.75" hidden="1" customHeight="1" x14ac:dyDescent="0.2"/>
    <row r="33834" ht="12.75" hidden="1" customHeight="1" x14ac:dyDescent="0.2"/>
    <row r="33835" ht="12.75" hidden="1" customHeight="1" x14ac:dyDescent="0.2"/>
    <row r="33836" ht="12.75" hidden="1" customHeight="1" x14ac:dyDescent="0.2"/>
    <row r="33837" ht="12.75" hidden="1" customHeight="1" x14ac:dyDescent="0.2"/>
    <row r="33838" ht="12.75" hidden="1" customHeight="1" x14ac:dyDescent="0.2"/>
    <row r="33839" ht="12.75" hidden="1" customHeight="1" x14ac:dyDescent="0.2"/>
    <row r="33840" ht="12.75" hidden="1" customHeight="1" x14ac:dyDescent="0.2"/>
    <row r="33841" ht="12.75" hidden="1" customHeight="1" x14ac:dyDescent="0.2"/>
    <row r="33842" ht="12.75" hidden="1" customHeight="1" x14ac:dyDescent="0.2"/>
    <row r="33843" ht="12.75" hidden="1" customHeight="1" x14ac:dyDescent="0.2"/>
    <row r="33844" ht="12.75" hidden="1" customHeight="1" x14ac:dyDescent="0.2"/>
    <row r="33845" ht="12.75" hidden="1" customHeight="1" x14ac:dyDescent="0.2"/>
    <row r="33846" ht="12.75" hidden="1" customHeight="1" x14ac:dyDescent="0.2"/>
    <row r="33847" ht="12.75" hidden="1" customHeight="1" x14ac:dyDescent="0.2"/>
    <row r="33848" ht="12.75" hidden="1" customHeight="1" x14ac:dyDescent="0.2"/>
    <row r="33849" ht="12.75" hidden="1" customHeight="1" x14ac:dyDescent="0.2"/>
    <row r="33850" ht="12.75" hidden="1" customHeight="1" x14ac:dyDescent="0.2"/>
    <row r="33851" ht="12.75" hidden="1" customHeight="1" x14ac:dyDescent="0.2"/>
    <row r="33852" ht="12.75" hidden="1" customHeight="1" x14ac:dyDescent="0.2"/>
    <row r="33853" ht="12.75" hidden="1" customHeight="1" x14ac:dyDescent="0.2"/>
    <row r="33854" ht="12.75" hidden="1" customHeight="1" x14ac:dyDescent="0.2"/>
    <row r="33855" ht="12.75" hidden="1" customHeight="1" x14ac:dyDescent="0.2"/>
    <row r="33856" ht="12.75" hidden="1" customHeight="1" x14ac:dyDescent="0.2"/>
    <row r="33857" ht="12.75" hidden="1" customHeight="1" x14ac:dyDescent="0.2"/>
    <row r="33858" ht="12.75" hidden="1" customHeight="1" x14ac:dyDescent="0.2"/>
    <row r="33859" ht="12.75" hidden="1" customHeight="1" x14ac:dyDescent="0.2"/>
    <row r="33860" ht="12.75" hidden="1" customHeight="1" x14ac:dyDescent="0.2"/>
    <row r="33861" ht="12.75" hidden="1" customHeight="1" x14ac:dyDescent="0.2"/>
    <row r="33862" ht="12.75" hidden="1" customHeight="1" x14ac:dyDescent="0.2"/>
    <row r="33863" ht="12.75" hidden="1" customHeight="1" x14ac:dyDescent="0.2"/>
    <row r="33864" ht="12.75" hidden="1" customHeight="1" x14ac:dyDescent="0.2"/>
    <row r="33865" ht="12.75" hidden="1" customHeight="1" x14ac:dyDescent="0.2"/>
    <row r="33866" ht="12.75" hidden="1" customHeight="1" x14ac:dyDescent="0.2"/>
    <row r="33867" ht="12.75" hidden="1" customHeight="1" x14ac:dyDescent="0.2"/>
    <row r="33868" ht="12.75" hidden="1" customHeight="1" x14ac:dyDescent="0.2"/>
    <row r="33869" ht="12.75" hidden="1" customHeight="1" x14ac:dyDescent="0.2"/>
    <row r="33870" ht="12.75" hidden="1" customHeight="1" x14ac:dyDescent="0.2"/>
    <row r="33871" ht="12.75" hidden="1" customHeight="1" x14ac:dyDescent="0.2"/>
    <row r="33872" ht="12.75" hidden="1" customHeight="1" x14ac:dyDescent="0.2"/>
    <row r="33873" ht="12.75" hidden="1" customHeight="1" x14ac:dyDescent="0.2"/>
    <row r="33874" ht="12.75" hidden="1" customHeight="1" x14ac:dyDescent="0.2"/>
    <row r="33875" ht="12.75" hidden="1" customHeight="1" x14ac:dyDescent="0.2"/>
    <row r="33876" ht="12.75" hidden="1" customHeight="1" x14ac:dyDescent="0.2"/>
    <row r="33877" ht="12.75" hidden="1" customHeight="1" x14ac:dyDescent="0.2"/>
    <row r="33878" ht="12.75" hidden="1" customHeight="1" x14ac:dyDescent="0.2"/>
    <row r="33879" ht="12.75" hidden="1" customHeight="1" x14ac:dyDescent="0.2"/>
    <row r="33880" ht="12.75" hidden="1" customHeight="1" x14ac:dyDescent="0.2"/>
    <row r="33881" ht="12.75" hidden="1" customHeight="1" x14ac:dyDescent="0.2"/>
    <row r="33882" ht="12.75" hidden="1" customHeight="1" x14ac:dyDescent="0.2"/>
    <row r="33883" ht="12.75" hidden="1" customHeight="1" x14ac:dyDescent="0.2"/>
    <row r="33884" ht="12.75" hidden="1" customHeight="1" x14ac:dyDescent="0.2"/>
    <row r="33885" ht="12.75" hidden="1" customHeight="1" x14ac:dyDescent="0.2"/>
    <row r="33886" ht="12.75" hidden="1" customHeight="1" x14ac:dyDescent="0.2"/>
    <row r="33887" ht="12.75" hidden="1" customHeight="1" x14ac:dyDescent="0.2"/>
    <row r="33888" ht="12.75" hidden="1" customHeight="1" x14ac:dyDescent="0.2"/>
    <row r="33889" ht="12.75" hidden="1" customHeight="1" x14ac:dyDescent="0.2"/>
    <row r="33890" ht="12.75" hidden="1" customHeight="1" x14ac:dyDescent="0.2"/>
    <row r="33891" ht="12.75" hidden="1" customHeight="1" x14ac:dyDescent="0.2"/>
    <row r="33892" ht="12.75" hidden="1" customHeight="1" x14ac:dyDescent="0.2"/>
    <row r="33893" ht="12.75" hidden="1" customHeight="1" x14ac:dyDescent="0.2"/>
    <row r="33894" ht="12.75" hidden="1" customHeight="1" x14ac:dyDescent="0.2"/>
    <row r="33895" ht="12.75" hidden="1" customHeight="1" x14ac:dyDescent="0.2"/>
    <row r="33896" ht="12.75" hidden="1" customHeight="1" x14ac:dyDescent="0.2"/>
    <row r="33897" ht="12.75" hidden="1" customHeight="1" x14ac:dyDescent="0.2"/>
    <row r="33898" ht="12.75" hidden="1" customHeight="1" x14ac:dyDescent="0.2"/>
    <row r="33899" ht="12.75" hidden="1" customHeight="1" x14ac:dyDescent="0.2"/>
    <row r="33900" ht="12.75" hidden="1" customHeight="1" x14ac:dyDescent="0.2"/>
    <row r="33901" ht="12.75" hidden="1" customHeight="1" x14ac:dyDescent="0.2"/>
    <row r="33902" ht="12.75" hidden="1" customHeight="1" x14ac:dyDescent="0.2"/>
    <row r="33903" ht="12.75" hidden="1" customHeight="1" x14ac:dyDescent="0.2"/>
    <row r="33904" ht="12.75" hidden="1" customHeight="1" x14ac:dyDescent="0.2"/>
    <row r="33905" ht="12.75" hidden="1" customHeight="1" x14ac:dyDescent="0.2"/>
    <row r="33906" ht="12.75" hidden="1" customHeight="1" x14ac:dyDescent="0.2"/>
    <row r="33907" ht="12.75" hidden="1" customHeight="1" x14ac:dyDescent="0.2"/>
    <row r="33908" ht="12.75" hidden="1" customHeight="1" x14ac:dyDescent="0.2"/>
    <row r="33909" ht="12.75" hidden="1" customHeight="1" x14ac:dyDescent="0.2"/>
    <row r="33910" ht="12.75" hidden="1" customHeight="1" x14ac:dyDescent="0.2"/>
    <row r="33911" ht="12.75" hidden="1" customHeight="1" x14ac:dyDescent="0.2"/>
    <row r="33912" ht="12.75" hidden="1" customHeight="1" x14ac:dyDescent="0.2"/>
    <row r="33913" ht="12.75" hidden="1" customHeight="1" x14ac:dyDescent="0.2"/>
    <row r="33914" ht="12.75" hidden="1" customHeight="1" x14ac:dyDescent="0.2"/>
    <row r="33915" ht="12.75" hidden="1" customHeight="1" x14ac:dyDescent="0.2"/>
    <row r="33916" ht="12.75" hidden="1" customHeight="1" x14ac:dyDescent="0.2"/>
    <row r="33917" ht="12.75" hidden="1" customHeight="1" x14ac:dyDescent="0.2"/>
    <row r="33918" ht="12.75" hidden="1" customHeight="1" x14ac:dyDescent="0.2"/>
    <row r="33919" ht="12.75" hidden="1" customHeight="1" x14ac:dyDescent="0.2"/>
    <row r="33920" ht="12.75" hidden="1" customHeight="1" x14ac:dyDescent="0.2"/>
    <row r="33921" ht="12.75" hidden="1" customHeight="1" x14ac:dyDescent="0.2"/>
    <row r="33922" ht="12.75" hidden="1" customHeight="1" x14ac:dyDescent="0.2"/>
    <row r="33923" ht="12.75" hidden="1" customHeight="1" x14ac:dyDescent="0.2"/>
    <row r="33924" ht="12.75" hidden="1" customHeight="1" x14ac:dyDescent="0.2"/>
    <row r="33925" ht="12.75" hidden="1" customHeight="1" x14ac:dyDescent="0.2"/>
    <row r="33926" ht="12.75" hidden="1" customHeight="1" x14ac:dyDescent="0.2"/>
    <row r="33927" ht="12.75" hidden="1" customHeight="1" x14ac:dyDescent="0.2"/>
    <row r="33928" ht="12.75" hidden="1" customHeight="1" x14ac:dyDescent="0.2"/>
    <row r="33929" ht="12.75" hidden="1" customHeight="1" x14ac:dyDescent="0.2"/>
    <row r="33930" ht="12.75" hidden="1" customHeight="1" x14ac:dyDescent="0.2"/>
    <row r="33931" ht="12.75" hidden="1" customHeight="1" x14ac:dyDescent="0.2"/>
    <row r="33932" ht="12.75" hidden="1" customHeight="1" x14ac:dyDescent="0.2"/>
    <row r="33933" ht="12.75" hidden="1" customHeight="1" x14ac:dyDescent="0.2"/>
    <row r="33934" ht="12.75" hidden="1" customHeight="1" x14ac:dyDescent="0.2"/>
    <row r="33935" ht="12.75" hidden="1" customHeight="1" x14ac:dyDescent="0.2"/>
    <row r="33936" ht="12.75" hidden="1" customHeight="1" x14ac:dyDescent="0.2"/>
    <row r="33937" ht="12.75" hidden="1" customHeight="1" x14ac:dyDescent="0.2"/>
    <row r="33938" ht="12.75" hidden="1" customHeight="1" x14ac:dyDescent="0.2"/>
    <row r="33939" ht="12.75" hidden="1" customHeight="1" x14ac:dyDescent="0.2"/>
    <row r="33940" ht="12.75" hidden="1" customHeight="1" x14ac:dyDescent="0.2"/>
    <row r="33941" ht="12.75" hidden="1" customHeight="1" x14ac:dyDescent="0.2"/>
    <row r="33942" ht="12.75" hidden="1" customHeight="1" x14ac:dyDescent="0.2"/>
    <row r="33943" ht="12.75" hidden="1" customHeight="1" x14ac:dyDescent="0.2"/>
    <row r="33944" ht="12.75" hidden="1" customHeight="1" x14ac:dyDescent="0.2"/>
    <row r="33945" ht="12.75" hidden="1" customHeight="1" x14ac:dyDescent="0.2"/>
    <row r="33946" ht="12.75" hidden="1" customHeight="1" x14ac:dyDescent="0.2"/>
    <row r="33947" ht="12.75" hidden="1" customHeight="1" x14ac:dyDescent="0.2"/>
    <row r="33948" ht="12.75" hidden="1" customHeight="1" x14ac:dyDescent="0.2"/>
    <row r="33949" ht="12.75" hidden="1" customHeight="1" x14ac:dyDescent="0.2"/>
    <row r="33950" ht="12.75" hidden="1" customHeight="1" x14ac:dyDescent="0.2"/>
    <row r="33951" ht="12.75" hidden="1" customHeight="1" x14ac:dyDescent="0.2"/>
    <row r="33952" ht="12.75" hidden="1" customHeight="1" x14ac:dyDescent="0.2"/>
    <row r="33953" ht="12.75" hidden="1" customHeight="1" x14ac:dyDescent="0.2"/>
    <row r="33954" ht="12.75" hidden="1" customHeight="1" x14ac:dyDescent="0.2"/>
    <row r="33955" ht="12.75" hidden="1" customHeight="1" x14ac:dyDescent="0.2"/>
    <row r="33956" ht="12.75" hidden="1" customHeight="1" x14ac:dyDescent="0.2"/>
    <row r="33957" ht="12.75" hidden="1" customHeight="1" x14ac:dyDescent="0.2"/>
    <row r="33958" ht="12.75" hidden="1" customHeight="1" x14ac:dyDescent="0.2"/>
    <row r="33959" ht="12.75" hidden="1" customHeight="1" x14ac:dyDescent="0.2"/>
    <row r="33960" ht="12.75" hidden="1" customHeight="1" x14ac:dyDescent="0.2"/>
    <row r="33961" ht="12.75" hidden="1" customHeight="1" x14ac:dyDescent="0.2"/>
    <row r="33962" ht="12.75" hidden="1" customHeight="1" x14ac:dyDescent="0.2"/>
    <row r="33963" ht="12.75" hidden="1" customHeight="1" x14ac:dyDescent="0.2"/>
    <row r="33964" ht="12.75" hidden="1" customHeight="1" x14ac:dyDescent="0.2"/>
    <row r="33965" ht="12.75" hidden="1" customHeight="1" x14ac:dyDescent="0.2"/>
    <row r="33966" ht="12.75" hidden="1" customHeight="1" x14ac:dyDescent="0.2"/>
    <row r="33967" ht="12.75" hidden="1" customHeight="1" x14ac:dyDescent="0.2"/>
    <row r="33968" ht="12.75" hidden="1" customHeight="1" x14ac:dyDescent="0.2"/>
    <row r="33969" ht="12.75" hidden="1" customHeight="1" x14ac:dyDescent="0.2"/>
    <row r="33970" ht="12.75" hidden="1" customHeight="1" x14ac:dyDescent="0.2"/>
    <row r="33971" ht="12.75" hidden="1" customHeight="1" x14ac:dyDescent="0.2"/>
    <row r="33972" ht="12.75" hidden="1" customHeight="1" x14ac:dyDescent="0.2"/>
    <row r="33973" ht="12.75" hidden="1" customHeight="1" x14ac:dyDescent="0.2"/>
    <row r="33974" ht="12.75" hidden="1" customHeight="1" x14ac:dyDescent="0.2"/>
    <row r="33975" ht="12.75" hidden="1" customHeight="1" x14ac:dyDescent="0.2"/>
    <row r="33976" ht="12.75" hidden="1" customHeight="1" x14ac:dyDescent="0.2"/>
    <row r="33977" ht="12.75" hidden="1" customHeight="1" x14ac:dyDescent="0.2"/>
    <row r="33978" ht="12.75" hidden="1" customHeight="1" x14ac:dyDescent="0.2"/>
    <row r="33979" ht="12.75" hidden="1" customHeight="1" x14ac:dyDescent="0.2"/>
    <row r="33980" ht="12.75" hidden="1" customHeight="1" x14ac:dyDescent="0.2"/>
    <row r="33981" ht="12.75" hidden="1" customHeight="1" x14ac:dyDescent="0.2"/>
    <row r="33982" ht="12.75" hidden="1" customHeight="1" x14ac:dyDescent="0.2"/>
    <row r="33983" ht="12.75" hidden="1" customHeight="1" x14ac:dyDescent="0.2"/>
    <row r="33984" ht="12.75" hidden="1" customHeight="1" x14ac:dyDescent="0.2"/>
    <row r="33985" ht="12.75" hidden="1" customHeight="1" x14ac:dyDescent="0.2"/>
    <row r="33986" ht="12.75" hidden="1" customHeight="1" x14ac:dyDescent="0.2"/>
    <row r="33987" ht="12.75" hidden="1" customHeight="1" x14ac:dyDescent="0.2"/>
    <row r="33988" ht="12.75" hidden="1" customHeight="1" x14ac:dyDescent="0.2"/>
    <row r="33989" ht="12.75" hidden="1" customHeight="1" x14ac:dyDescent="0.2"/>
    <row r="33990" ht="12.75" hidden="1" customHeight="1" x14ac:dyDescent="0.2"/>
    <row r="33991" ht="12.75" hidden="1" customHeight="1" x14ac:dyDescent="0.2"/>
    <row r="33992" ht="12.75" hidden="1" customHeight="1" x14ac:dyDescent="0.2"/>
    <row r="33993" ht="12.75" hidden="1" customHeight="1" x14ac:dyDescent="0.2"/>
    <row r="33994" ht="12.75" hidden="1" customHeight="1" x14ac:dyDescent="0.2"/>
    <row r="33995" ht="12.75" hidden="1" customHeight="1" x14ac:dyDescent="0.2"/>
    <row r="33996" ht="12.75" hidden="1" customHeight="1" x14ac:dyDescent="0.2"/>
    <row r="33997" ht="12.75" hidden="1" customHeight="1" x14ac:dyDescent="0.2"/>
    <row r="33998" ht="12.75" hidden="1" customHeight="1" x14ac:dyDescent="0.2"/>
    <row r="33999" ht="12.75" hidden="1" customHeight="1" x14ac:dyDescent="0.2"/>
    <row r="34000" ht="12.75" hidden="1" customHeight="1" x14ac:dyDescent="0.2"/>
    <row r="34001" ht="12.75" hidden="1" customHeight="1" x14ac:dyDescent="0.2"/>
    <row r="34002" ht="12.75" hidden="1" customHeight="1" x14ac:dyDescent="0.2"/>
    <row r="34003" ht="12.75" hidden="1" customHeight="1" x14ac:dyDescent="0.2"/>
    <row r="34004" ht="12.75" hidden="1" customHeight="1" x14ac:dyDescent="0.2"/>
    <row r="34005" ht="12.75" hidden="1" customHeight="1" x14ac:dyDescent="0.2"/>
    <row r="34006" ht="12.75" hidden="1" customHeight="1" x14ac:dyDescent="0.2"/>
    <row r="34007" ht="12.75" hidden="1" customHeight="1" x14ac:dyDescent="0.2"/>
    <row r="34008" ht="12.75" hidden="1" customHeight="1" x14ac:dyDescent="0.2"/>
    <row r="34009" ht="12.75" hidden="1" customHeight="1" x14ac:dyDescent="0.2"/>
    <row r="34010" ht="12.75" hidden="1" customHeight="1" x14ac:dyDescent="0.2"/>
    <row r="34011" ht="12.75" hidden="1" customHeight="1" x14ac:dyDescent="0.2"/>
    <row r="34012" ht="12.75" hidden="1" customHeight="1" x14ac:dyDescent="0.2"/>
    <row r="34013" ht="12.75" hidden="1" customHeight="1" x14ac:dyDescent="0.2"/>
    <row r="34014" ht="12.75" hidden="1" customHeight="1" x14ac:dyDescent="0.2"/>
    <row r="34015" ht="12.75" hidden="1" customHeight="1" x14ac:dyDescent="0.2"/>
    <row r="34016" ht="12.75" hidden="1" customHeight="1" x14ac:dyDescent="0.2"/>
    <row r="34017" ht="12.75" hidden="1" customHeight="1" x14ac:dyDescent="0.2"/>
    <row r="34018" ht="12.75" hidden="1" customHeight="1" x14ac:dyDescent="0.2"/>
    <row r="34019" ht="12.75" hidden="1" customHeight="1" x14ac:dyDescent="0.2"/>
    <row r="34020" ht="12.75" hidden="1" customHeight="1" x14ac:dyDescent="0.2"/>
    <row r="34021" ht="12.75" hidden="1" customHeight="1" x14ac:dyDescent="0.2"/>
    <row r="34022" ht="12.75" hidden="1" customHeight="1" x14ac:dyDescent="0.2"/>
    <row r="34023" ht="12.75" hidden="1" customHeight="1" x14ac:dyDescent="0.2"/>
    <row r="34024" ht="12.75" hidden="1" customHeight="1" x14ac:dyDescent="0.2"/>
    <row r="34025" ht="12.75" hidden="1" customHeight="1" x14ac:dyDescent="0.2"/>
    <row r="34026" ht="12.75" hidden="1" customHeight="1" x14ac:dyDescent="0.2"/>
    <row r="34027" ht="12.75" hidden="1" customHeight="1" x14ac:dyDescent="0.2"/>
    <row r="34028" ht="12.75" hidden="1" customHeight="1" x14ac:dyDescent="0.2"/>
    <row r="34029" ht="12.75" hidden="1" customHeight="1" x14ac:dyDescent="0.2"/>
    <row r="34030" ht="12.75" hidden="1" customHeight="1" x14ac:dyDescent="0.2"/>
    <row r="34031" ht="12.75" hidden="1" customHeight="1" x14ac:dyDescent="0.2"/>
    <row r="34032" ht="12.75" hidden="1" customHeight="1" x14ac:dyDescent="0.2"/>
    <row r="34033" ht="12.75" hidden="1" customHeight="1" x14ac:dyDescent="0.2"/>
    <row r="34034" ht="12.75" hidden="1" customHeight="1" x14ac:dyDescent="0.2"/>
    <row r="34035" ht="12.75" hidden="1" customHeight="1" x14ac:dyDescent="0.2"/>
    <row r="34036" ht="12.75" hidden="1" customHeight="1" x14ac:dyDescent="0.2"/>
    <row r="34037" ht="12.75" hidden="1" customHeight="1" x14ac:dyDescent="0.2"/>
    <row r="34038" ht="12.75" hidden="1" customHeight="1" x14ac:dyDescent="0.2"/>
    <row r="34039" ht="12.75" hidden="1" customHeight="1" x14ac:dyDescent="0.2"/>
    <row r="34040" ht="12.75" hidden="1" customHeight="1" x14ac:dyDescent="0.2"/>
    <row r="34041" ht="12.75" hidden="1" customHeight="1" x14ac:dyDescent="0.2"/>
    <row r="34042" ht="12.75" hidden="1" customHeight="1" x14ac:dyDescent="0.2"/>
    <row r="34043" ht="12.75" hidden="1" customHeight="1" x14ac:dyDescent="0.2"/>
    <row r="34044" ht="12.75" hidden="1" customHeight="1" x14ac:dyDescent="0.2"/>
    <row r="34045" ht="12.75" hidden="1" customHeight="1" x14ac:dyDescent="0.2"/>
    <row r="34046" ht="12.75" hidden="1" customHeight="1" x14ac:dyDescent="0.2"/>
    <row r="34047" ht="12.75" hidden="1" customHeight="1" x14ac:dyDescent="0.2"/>
    <row r="34048" ht="12.75" hidden="1" customHeight="1" x14ac:dyDescent="0.2"/>
    <row r="34049" ht="12.75" hidden="1" customHeight="1" x14ac:dyDescent="0.2"/>
    <row r="34050" ht="12.75" hidden="1" customHeight="1" x14ac:dyDescent="0.2"/>
    <row r="34051" ht="12.75" hidden="1" customHeight="1" x14ac:dyDescent="0.2"/>
    <row r="34052" ht="12.75" hidden="1" customHeight="1" x14ac:dyDescent="0.2"/>
    <row r="34053" ht="12.75" hidden="1" customHeight="1" x14ac:dyDescent="0.2"/>
    <row r="34054" ht="12.75" hidden="1" customHeight="1" x14ac:dyDescent="0.2"/>
    <row r="34055" ht="12.75" hidden="1" customHeight="1" x14ac:dyDescent="0.2"/>
    <row r="34056" ht="12.75" hidden="1" customHeight="1" x14ac:dyDescent="0.2"/>
    <row r="34057" ht="12.75" hidden="1" customHeight="1" x14ac:dyDescent="0.2"/>
    <row r="34058" ht="12.75" hidden="1" customHeight="1" x14ac:dyDescent="0.2"/>
    <row r="34059" ht="12.75" hidden="1" customHeight="1" x14ac:dyDescent="0.2"/>
    <row r="34060" ht="12.75" hidden="1" customHeight="1" x14ac:dyDescent="0.2"/>
    <row r="34061" ht="12.75" hidden="1" customHeight="1" x14ac:dyDescent="0.2"/>
    <row r="34062" ht="12.75" hidden="1" customHeight="1" x14ac:dyDescent="0.2"/>
    <row r="34063" ht="12.75" hidden="1" customHeight="1" x14ac:dyDescent="0.2"/>
    <row r="34064" ht="12.75" hidden="1" customHeight="1" x14ac:dyDescent="0.2"/>
    <row r="34065" ht="12.75" hidden="1" customHeight="1" x14ac:dyDescent="0.2"/>
    <row r="34066" ht="12.75" hidden="1" customHeight="1" x14ac:dyDescent="0.2"/>
    <row r="34067" ht="12.75" hidden="1" customHeight="1" x14ac:dyDescent="0.2"/>
    <row r="34068" ht="12.75" hidden="1" customHeight="1" x14ac:dyDescent="0.2"/>
    <row r="34069" ht="12.75" hidden="1" customHeight="1" x14ac:dyDescent="0.2"/>
    <row r="34070" ht="12.75" hidden="1" customHeight="1" x14ac:dyDescent="0.2"/>
    <row r="34071" ht="12.75" hidden="1" customHeight="1" x14ac:dyDescent="0.2"/>
    <row r="34072" ht="12.75" hidden="1" customHeight="1" x14ac:dyDescent="0.2"/>
    <row r="34073" ht="12.75" hidden="1" customHeight="1" x14ac:dyDescent="0.2"/>
    <row r="34074" ht="12.75" hidden="1" customHeight="1" x14ac:dyDescent="0.2"/>
    <row r="34075" ht="12.75" hidden="1" customHeight="1" x14ac:dyDescent="0.2"/>
    <row r="34076" ht="12.75" hidden="1" customHeight="1" x14ac:dyDescent="0.2"/>
    <row r="34077" ht="12.75" hidden="1" customHeight="1" x14ac:dyDescent="0.2"/>
    <row r="34078" ht="12.75" hidden="1" customHeight="1" x14ac:dyDescent="0.2"/>
    <row r="34079" ht="12.75" hidden="1" customHeight="1" x14ac:dyDescent="0.2"/>
    <row r="34080" ht="12.75" hidden="1" customHeight="1" x14ac:dyDescent="0.2"/>
    <row r="34081" ht="12.75" hidden="1" customHeight="1" x14ac:dyDescent="0.2"/>
    <row r="34082" ht="12.75" hidden="1" customHeight="1" x14ac:dyDescent="0.2"/>
    <row r="34083" ht="12.75" hidden="1" customHeight="1" x14ac:dyDescent="0.2"/>
    <row r="34084" ht="12.75" hidden="1" customHeight="1" x14ac:dyDescent="0.2"/>
    <row r="34085" ht="12.75" hidden="1" customHeight="1" x14ac:dyDescent="0.2"/>
    <row r="34086" ht="12.75" hidden="1" customHeight="1" x14ac:dyDescent="0.2"/>
    <row r="34087" ht="12.75" hidden="1" customHeight="1" x14ac:dyDescent="0.2"/>
    <row r="34088" ht="12.75" hidden="1" customHeight="1" x14ac:dyDescent="0.2"/>
    <row r="34089" ht="12.75" hidden="1" customHeight="1" x14ac:dyDescent="0.2"/>
    <row r="34090" ht="12.75" hidden="1" customHeight="1" x14ac:dyDescent="0.2"/>
    <row r="34091" ht="12.75" hidden="1" customHeight="1" x14ac:dyDescent="0.2"/>
    <row r="34092" ht="12.75" hidden="1" customHeight="1" x14ac:dyDescent="0.2"/>
    <row r="34093" ht="12.75" hidden="1" customHeight="1" x14ac:dyDescent="0.2"/>
    <row r="34094" ht="12.75" hidden="1" customHeight="1" x14ac:dyDescent="0.2"/>
    <row r="34095" ht="12.75" hidden="1" customHeight="1" x14ac:dyDescent="0.2"/>
    <row r="34096" ht="12.75" hidden="1" customHeight="1" x14ac:dyDescent="0.2"/>
    <row r="34097" ht="12.75" hidden="1" customHeight="1" x14ac:dyDescent="0.2"/>
    <row r="34098" ht="12.75" hidden="1" customHeight="1" x14ac:dyDescent="0.2"/>
    <row r="34099" ht="12.75" hidden="1" customHeight="1" x14ac:dyDescent="0.2"/>
    <row r="34100" ht="12.75" hidden="1" customHeight="1" x14ac:dyDescent="0.2"/>
    <row r="34101" ht="12.75" hidden="1" customHeight="1" x14ac:dyDescent="0.2"/>
    <row r="34102" ht="12.75" hidden="1" customHeight="1" x14ac:dyDescent="0.2"/>
    <row r="34103" ht="12.75" hidden="1" customHeight="1" x14ac:dyDescent="0.2"/>
    <row r="34104" ht="12.75" hidden="1" customHeight="1" x14ac:dyDescent="0.2"/>
    <row r="34105" ht="12.75" hidden="1" customHeight="1" x14ac:dyDescent="0.2"/>
    <row r="34106" ht="12.75" hidden="1" customHeight="1" x14ac:dyDescent="0.2"/>
    <row r="34107" ht="12.75" hidden="1" customHeight="1" x14ac:dyDescent="0.2"/>
    <row r="34108" ht="12.75" hidden="1" customHeight="1" x14ac:dyDescent="0.2"/>
    <row r="34109" ht="12.75" hidden="1" customHeight="1" x14ac:dyDescent="0.2"/>
    <row r="34110" ht="12.75" hidden="1" customHeight="1" x14ac:dyDescent="0.2"/>
    <row r="34111" ht="12.75" hidden="1" customHeight="1" x14ac:dyDescent="0.2"/>
    <row r="34112" ht="12.75" hidden="1" customHeight="1" x14ac:dyDescent="0.2"/>
    <row r="34113" ht="12.75" hidden="1" customHeight="1" x14ac:dyDescent="0.2"/>
    <row r="34114" ht="12.75" hidden="1" customHeight="1" x14ac:dyDescent="0.2"/>
    <row r="34115" ht="12.75" hidden="1" customHeight="1" x14ac:dyDescent="0.2"/>
    <row r="34116" ht="12.75" hidden="1" customHeight="1" x14ac:dyDescent="0.2"/>
    <row r="34117" ht="12.75" hidden="1" customHeight="1" x14ac:dyDescent="0.2"/>
    <row r="34118" ht="12.75" hidden="1" customHeight="1" x14ac:dyDescent="0.2"/>
    <row r="34119" ht="12.75" hidden="1" customHeight="1" x14ac:dyDescent="0.2"/>
    <row r="34120" ht="12.75" hidden="1" customHeight="1" x14ac:dyDescent="0.2"/>
    <row r="34121" ht="12.75" hidden="1" customHeight="1" x14ac:dyDescent="0.2"/>
    <row r="34122" ht="12.75" hidden="1" customHeight="1" x14ac:dyDescent="0.2"/>
    <row r="34123" ht="12.75" hidden="1" customHeight="1" x14ac:dyDescent="0.2"/>
    <row r="34124" ht="12.75" hidden="1" customHeight="1" x14ac:dyDescent="0.2"/>
    <row r="34125" ht="12.75" hidden="1" customHeight="1" x14ac:dyDescent="0.2"/>
    <row r="34126" ht="12.75" hidden="1" customHeight="1" x14ac:dyDescent="0.2"/>
    <row r="34127" ht="12.75" hidden="1" customHeight="1" x14ac:dyDescent="0.2"/>
    <row r="34128" ht="12.75" hidden="1" customHeight="1" x14ac:dyDescent="0.2"/>
    <row r="34129" ht="12.75" hidden="1" customHeight="1" x14ac:dyDescent="0.2"/>
    <row r="34130" ht="12.75" hidden="1" customHeight="1" x14ac:dyDescent="0.2"/>
    <row r="34131" ht="12.75" hidden="1" customHeight="1" x14ac:dyDescent="0.2"/>
    <row r="34132" ht="12.75" hidden="1" customHeight="1" x14ac:dyDescent="0.2"/>
    <row r="34133" ht="12.75" hidden="1" customHeight="1" x14ac:dyDescent="0.2"/>
    <row r="34134" ht="12.75" hidden="1" customHeight="1" x14ac:dyDescent="0.2"/>
    <row r="34135" ht="12.75" hidden="1" customHeight="1" x14ac:dyDescent="0.2"/>
    <row r="34136" ht="12.75" hidden="1" customHeight="1" x14ac:dyDescent="0.2"/>
    <row r="34137" ht="12.75" hidden="1" customHeight="1" x14ac:dyDescent="0.2"/>
    <row r="34138" ht="12.75" hidden="1" customHeight="1" x14ac:dyDescent="0.2"/>
    <row r="34139" ht="12.75" hidden="1" customHeight="1" x14ac:dyDescent="0.2"/>
    <row r="34140" ht="12.75" hidden="1" customHeight="1" x14ac:dyDescent="0.2"/>
    <row r="34141" ht="12.75" hidden="1" customHeight="1" x14ac:dyDescent="0.2"/>
    <row r="34142" ht="12.75" hidden="1" customHeight="1" x14ac:dyDescent="0.2"/>
    <row r="34143" ht="12.75" hidden="1" customHeight="1" x14ac:dyDescent="0.2"/>
    <row r="34144" ht="12.75" hidden="1" customHeight="1" x14ac:dyDescent="0.2"/>
    <row r="34145" ht="12.75" hidden="1" customHeight="1" x14ac:dyDescent="0.2"/>
    <row r="34146" ht="12.75" hidden="1" customHeight="1" x14ac:dyDescent="0.2"/>
    <row r="34147" ht="12.75" hidden="1" customHeight="1" x14ac:dyDescent="0.2"/>
    <row r="34148" ht="12.75" hidden="1" customHeight="1" x14ac:dyDescent="0.2"/>
    <row r="34149" ht="12.75" hidden="1" customHeight="1" x14ac:dyDescent="0.2"/>
    <row r="34150" ht="12.75" hidden="1" customHeight="1" x14ac:dyDescent="0.2"/>
    <row r="34151" ht="12.75" hidden="1" customHeight="1" x14ac:dyDescent="0.2"/>
    <row r="34152" ht="12.75" hidden="1" customHeight="1" x14ac:dyDescent="0.2"/>
    <row r="34153" ht="12.75" hidden="1" customHeight="1" x14ac:dyDescent="0.2"/>
    <row r="34154" ht="12.75" hidden="1" customHeight="1" x14ac:dyDescent="0.2"/>
    <row r="34155" ht="12.75" hidden="1" customHeight="1" x14ac:dyDescent="0.2"/>
    <row r="34156" ht="12.75" hidden="1" customHeight="1" x14ac:dyDescent="0.2"/>
    <row r="34157" ht="12.75" hidden="1" customHeight="1" x14ac:dyDescent="0.2"/>
    <row r="34158" ht="12.75" hidden="1" customHeight="1" x14ac:dyDescent="0.2"/>
    <row r="34159" ht="12.75" hidden="1" customHeight="1" x14ac:dyDescent="0.2"/>
    <row r="34160" ht="12.75" hidden="1" customHeight="1" x14ac:dyDescent="0.2"/>
    <row r="34161" ht="12.75" hidden="1" customHeight="1" x14ac:dyDescent="0.2"/>
    <row r="34162" ht="12.75" hidden="1" customHeight="1" x14ac:dyDescent="0.2"/>
    <row r="34163" ht="12.75" hidden="1" customHeight="1" x14ac:dyDescent="0.2"/>
    <row r="34164" ht="12.75" hidden="1" customHeight="1" x14ac:dyDescent="0.2"/>
    <row r="34165" ht="12.75" hidden="1" customHeight="1" x14ac:dyDescent="0.2"/>
    <row r="34166" ht="12.75" hidden="1" customHeight="1" x14ac:dyDescent="0.2"/>
    <row r="34167" ht="12.75" hidden="1" customHeight="1" x14ac:dyDescent="0.2"/>
    <row r="34168" ht="12.75" hidden="1" customHeight="1" x14ac:dyDescent="0.2"/>
    <row r="34169" ht="12.75" hidden="1" customHeight="1" x14ac:dyDescent="0.2"/>
    <row r="34170" ht="12.75" hidden="1" customHeight="1" x14ac:dyDescent="0.2"/>
    <row r="34171" ht="12.75" hidden="1" customHeight="1" x14ac:dyDescent="0.2"/>
    <row r="34172" ht="12.75" hidden="1" customHeight="1" x14ac:dyDescent="0.2"/>
    <row r="34173" ht="12.75" hidden="1" customHeight="1" x14ac:dyDescent="0.2"/>
    <row r="34174" ht="12.75" hidden="1" customHeight="1" x14ac:dyDescent="0.2"/>
    <row r="34175" ht="12.75" hidden="1" customHeight="1" x14ac:dyDescent="0.2"/>
    <row r="34176" ht="12.75" hidden="1" customHeight="1" x14ac:dyDescent="0.2"/>
    <row r="34177" ht="12.75" hidden="1" customHeight="1" x14ac:dyDescent="0.2"/>
    <row r="34178" ht="12.75" hidden="1" customHeight="1" x14ac:dyDescent="0.2"/>
    <row r="34179" ht="12.75" hidden="1" customHeight="1" x14ac:dyDescent="0.2"/>
    <row r="34180" ht="12.75" hidden="1" customHeight="1" x14ac:dyDescent="0.2"/>
    <row r="34181" ht="12.75" hidden="1" customHeight="1" x14ac:dyDescent="0.2"/>
    <row r="34182" ht="12.75" hidden="1" customHeight="1" x14ac:dyDescent="0.2"/>
    <row r="34183" ht="12.75" hidden="1" customHeight="1" x14ac:dyDescent="0.2"/>
    <row r="34184" ht="12.75" hidden="1" customHeight="1" x14ac:dyDescent="0.2"/>
    <row r="34185" ht="12.75" hidden="1" customHeight="1" x14ac:dyDescent="0.2"/>
    <row r="34186" ht="12.75" hidden="1" customHeight="1" x14ac:dyDescent="0.2"/>
    <row r="34187" ht="12.75" hidden="1" customHeight="1" x14ac:dyDescent="0.2"/>
    <row r="34188" ht="12.75" hidden="1" customHeight="1" x14ac:dyDescent="0.2"/>
    <row r="34189" ht="12.75" hidden="1" customHeight="1" x14ac:dyDescent="0.2"/>
    <row r="34190" ht="12.75" hidden="1" customHeight="1" x14ac:dyDescent="0.2"/>
    <row r="34191" ht="12.75" hidden="1" customHeight="1" x14ac:dyDescent="0.2"/>
    <row r="34192" ht="12.75" hidden="1" customHeight="1" x14ac:dyDescent="0.2"/>
    <row r="34193" ht="12.75" hidden="1" customHeight="1" x14ac:dyDescent="0.2"/>
    <row r="34194" ht="12.75" hidden="1" customHeight="1" x14ac:dyDescent="0.2"/>
    <row r="34195" ht="12.75" hidden="1" customHeight="1" x14ac:dyDescent="0.2"/>
    <row r="34196" ht="12.75" hidden="1" customHeight="1" x14ac:dyDescent="0.2"/>
    <row r="34197" ht="12.75" hidden="1" customHeight="1" x14ac:dyDescent="0.2"/>
    <row r="34198" ht="12.75" hidden="1" customHeight="1" x14ac:dyDescent="0.2"/>
    <row r="34199" ht="12.75" hidden="1" customHeight="1" x14ac:dyDescent="0.2"/>
    <row r="34200" ht="12.75" hidden="1" customHeight="1" x14ac:dyDescent="0.2"/>
    <row r="34201" ht="12.75" hidden="1" customHeight="1" x14ac:dyDescent="0.2"/>
    <row r="34202" ht="12.75" hidden="1" customHeight="1" x14ac:dyDescent="0.2"/>
    <row r="34203" ht="12.75" hidden="1" customHeight="1" x14ac:dyDescent="0.2"/>
    <row r="34204" ht="12.75" hidden="1" customHeight="1" x14ac:dyDescent="0.2"/>
    <row r="34205" ht="12.75" hidden="1" customHeight="1" x14ac:dyDescent="0.2"/>
    <row r="34206" ht="12.75" hidden="1" customHeight="1" x14ac:dyDescent="0.2"/>
    <row r="34207" ht="12.75" hidden="1" customHeight="1" x14ac:dyDescent="0.2"/>
    <row r="34208" ht="12.75" hidden="1" customHeight="1" x14ac:dyDescent="0.2"/>
    <row r="34209" ht="12.75" hidden="1" customHeight="1" x14ac:dyDescent="0.2"/>
    <row r="34210" ht="12.75" hidden="1" customHeight="1" x14ac:dyDescent="0.2"/>
    <row r="34211" ht="12.75" hidden="1" customHeight="1" x14ac:dyDescent="0.2"/>
    <row r="34212" ht="12.75" hidden="1" customHeight="1" x14ac:dyDescent="0.2"/>
    <row r="34213" ht="12.75" hidden="1" customHeight="1" x14ac:dyDescent="0.2"/>
    <row r="34214" ht="12.75" hidden="1" customHeight="1" x14ac:dyDescent="0.2"/>
    <row r="34215" ht="12.75" hidden="1" customHeight="1" x14ac:dyDescent="0.2"/>
    <row r="34216" ht="12.75" hidden="1" customHeight="1" x14ac:dyDescent="0.2"/>
    <row r="34217" ht="12.75" hidden="1" customHeight="1" x14ac:dyDescent="0.2"/>
    <row r="34218" ht="12.75" hidden="1" customHeight="1" x14ac:dyDescent="0.2"/>
    <row r="34219" ht="12.75" hidden="1" customHeight="1" x14ac:dyDescent="0.2"/>
    <row r="34220" ht="12.75" hidden="1" customHeight="1" x14ac:dyDescent="0.2"/>
    <row r="34221" ht="12.75" hidden="1" customHeight="1" x14ac:dyDescent="0.2"/>
    <row r="34222" ht="12.75" hidden="1" customHeight="1" x14ac:dyDescent="0.2"/>
    <row r="34223" ht="12.75" hidden="1" customHeight="1" x14ac:dyDescent="0.2"/>
    <row r="34224" ht="12.75" hidden="1" customHeight="1" x14ac:dyDescent="0.2"/>
    <row r="34225" ht="12.75" hidden="1" customHeight="1" x14ac:dyDescent="0.2"/>
    <row r="34226" ht="12.75" hidden="1" customHeight="1" x14ac:dyDescent="0.2"/>
    <row r="34227" ht="12.75" hidden="1" customHeight="1" x14ac:dyDescent="0.2"/>
    <row r="34228" ht="12.75" hidden="1" customHeight="1" x14ac:dyDescent="0.2"/>
    <row r="34229" ht="12.75" hidden="1" customHeight="1" x14ac:dyDescent="0.2"/>
    <row r="34230" ht="12.75" hidden="1" customHeight="1" x14ac:dyDescent="0.2"/>
    <row r="34231" ht="12.75" hidden="1" customHeight="1" x14ac:dyDescent="0.2"/>
    <row r="34232" ht="12.75" hidden="1" customHeight="1" x14ac:dyDescent="0.2"/>
    <row r="34233" ht="12.75" hidden="1" customHeight="1" x14ac:dyDescent="0.2"/>
    <row r="34234" ht="12.75" hidden="1" customHeight="1" x14ac:dyDescent="0.2"/>
    <row r="34235" ht="12.75" hidden="1" customHeight="1" x14ac:dyDescent="0.2"/>
    <row r="34236" ht="12.75" hidden="1" customHeight="1" x14ac:dyDescent="0.2"/>
    <row r="34237" ht="12.75" hidden="1" customHeight="1" x14ac:dyDescent="0.2"/>
    <row r="34238" ht="12.75" hidden="1" customHeight="1" x14ac:dyDescent="0.2"/>
    <row r="34239" ht="12.75" hidden="1" customHeight="1" x14ac:dyDescent="0.2"/>
    <row r="34240" ht="12.75" hidden="1" customHeight="1" x14ac:dyDescent="0.2"/>
    <row r="34241" ht="12.75" hidden="1" customHeight="1" x14ac:dyDescent="0.2"/>
    <row r="34242" ht="12.75" hidden="1" customHeight="1" x14ac:dyDescent="0.2"/>
    <row r="34243" ht="12.75" hidden="1" customHeight="1" x14ac:dyDescent="0.2"/>
    <row r="34244" ht="12.75" hidden="1" customHeight="1" x14ac:dyDescent="0.2"/>
    <row r="34245" ht="12.75" hidden="1" customHeight="1" x14ac:dyDescent="0.2"/>
    <row r="34246" ht="12.75" hidden="1" customHeight="1" x14ac:dyDescent="0.2"/>
    <row r="34247" ht="12.75" hidden="1" customHeight="1" x14ac:dyDescent="0.2"/>
    <row r="34248" ht="12.75" hidden="1" customHeight="1" x14ac:dyDescent="0.2"/>
    <row r="34249" ht="12.75" hidden="1" customHeight="1" x14ac:dyDescent="0.2"/>
    <row r="34250" ht="12.75" hidden="1" customHeight="1" x14ac:dyDescent="0.2"/>
    <row r="34251" ht="12.75" hidden="1" customHeight="1" x14ac:dyDescent="0.2"/>
    <row r="34252" ht="12.75" hidden="1" customHeight="1" x14ac:dyDescent="0.2"/>
    <row r="34253" ht="12.75" hidden="1" customHeight="1" x14ac:dyDescent="0.2"/>
    <row r="34254" ht="12.75" hidden="1" customHeight="1" x14ac:dyDescent="0.2"/>
    <row r="34255" ht="12.75" hidden="1" customHeight="1" x14ac:dyDescent="0.2"/>
    <row r="34256" ht="12.75" hidden="1" customHeight="1" x14ac:dyDescent="0.2"/>
    <row r="34257" ht="12.75" hidden="1" customHeight="1" x14ac:dyDescent="0.2"/>
    <row r="34258" ht="12.75" hidden="1" customHeight="1" x14ac:dyDescent="0.2"/>
    <row r="34259" ht="12.75" hidden="1" customHeight="1" x14ac:dyDescent="0.2"/>
    <row r="34260" ht="12.75" hidden="1" customHeight="1" x14ac:dyDescent="0.2"/>
    <row r="34261" ht="12.75" hidden="1" customHeight="1" x14ac:dyDescent="0.2"/>
    <row r="34262" ht="12.75" hidden="1" customHeight="1" x14ac:dyDescent="0.2"/>
    <row r="34263" ht="12.75" hidden="1" customHeight="1" x14ac:dyDescent="0.2"/>
    <row r="34264" ht="12.75" hidden="1" customHeight="1" x14ac:dyDescent="0.2"/>
    <row r="34265" ht="12.75" hidden="1" customHeight="1" x14ac:dyDescent="0.2"/>
    <row r="34266" ht="12.75" hidden="1" customHeight="1" x14ac:dyDescent="0.2"/>
    <row r="34267" ht="12.75" hidden="1" customHeight="1" x14ac:dyDescent="0.2"/>
    <row r="34268" ht="12.75" hidden="1" customHeight="1" x14ac:dyDescent="0.2"/>
    <row r="34269" ht="12.75" hidden="1" customHeight="1" x14ac:dyDescent="0.2"/>
    <row r="34270" ht="12.75" hidden="1" customHeight="1" x14ac:dyDescent="0.2"/>
    <row r="34271" ht="12.75" hidden="1" customHeight="1" x14ac:dyDescent="0.2"/>
    <row r="34272" ht="12.75" hidden="1" customHeight="1" x14ac:dyDescent="0.2"/>
    <row r="34273" ht="12.75" hidden="1" customHeight="1" x14ac:dyDescent="0.2"/>
    <row r="34274" ht="12.75" hidden="1" customHeight="1" x14ac:dyDescent="0.2"/>
    <row r="34275" ht="12.75" hidden="1" customHeight="1" x14ac:dyDescent="0.2"/>
    <row r="34276" ht="12.75" hidden="1" customHeight="1" x14ac:dyDescent="0.2"/>
    <row r="34277" ht="12.75" hidden="1" customHeight="1" x14ac:dyDescent="0.2"/>
    <row r="34278" ht="12.75" hidden="1" customHeight="1" x14ac:dyDescent="0.2"/>
    <row r="34279" ht="12.75" hidden="1" customHeight="1" x14ac:dyDescent="0.2"/>
    <row r="34280" ht="12.75" hidden="1" customHeight="1" x14ac:dyDescent="0.2"/>
    <row r="34281" ht="12.75" hidden="1" customHeight="1" x14ac:dyDescent="0.2"/>
    <row r="34282" ht="12.75" hidden="1" customHeight="1" x14ac:dyDescent="0.2"/>
    <row r="34283" ht="12.75" hidden="1" customHeight="1" x14ac:dyDescent="0.2"/>
    <row r="34284" ht="12.75" hidden="1" customHeight="1" x14ac:dyDescent="0.2"/>
    <row r="34285" ht="12.75" hidden="1" customHeight="1" x14ac:dyDescent="0.2"/>
    <row r="34286" ht="12.75" hidden="1" customHeight="1" x14ac:dyDescent="0.2"/>
    <row r="34287" ht="12.75" hidden="1" customHeight="1" x14ac:dyDescent="0.2"/>
    <row r="34288" ht="12.75" hidden="1" customHeight="1" x14ac:dyDescent="0.2"/>
    <row r="34289" ht="12.75" hidden="1" customHeight="1" x14ac:dyDescent="0.2"/>
    <row r="34290" ht="12.75" hidden="1" customHeight="1" x14ac:dyDescent="0.2"/>
    <row r="34291" ht="12.75" hidden="1" customHeight="1" x14ac:dyDescent="0.2"/>
    <row r="34292" ht="12.75" hidden="1" customHeight="1" x14ac:dyDescent="0.2"/>
    <row r="34293" ht="12.75" hidden="1" customHeight="1" x14ac:dyDescent="0.2"/>
    <row r="34294" ht="12.75" hidden="1" customHeight="1" x14ac:dyDescent="0.2"/>
    <row r="34295" ht="12.75" hidden="1" customHeight="1" x14ac:dyDescent="0.2"/>
    <row r="34296" ht="12.75" hidden="1" customHeight="1" x14ac:dyDescent="0.2"/>
    <row r="34297" ht="12.75" hidden="1" customHeight="1" x14ac:dyDescent="0.2"/>
    <row r="34298" ht="12.75" hidden="1" customHeight="1" x14ac:dyDescent="0.2"/>
    <row r="34299" ht="12.75" hidden="1" customHeight="1" x14ac:dyDescent="0.2"/>
    <row r="34300" ht="12.75" hidden="1" customHeight="1" x14ac:dyDescent="0.2"/>
    <row r="34301" ht="12.75" hidden="1" customHeight="1" x14ac:dyDescent="0.2"/>
    <row r="34302" ht="12.75" hidden="1" customHeight="1" x14ac:dyDescent="0.2"/>
    <row r="34303" ht="12.75" hidden="1" customHeight="1" x14ac:dyDescent="0.2"/>
    <row r="34304" ht="12.75" hidden="1" customHeight="1" x14ac:dyDescent="0.2"/>
    <row r="34305" ht="12.75" hidden="1" customHeight="1" x14ac:dyDescent="0.2"/>
    <row r="34306" ht="12.75" hidden="1" customHeight="1" x14ac:dyDescent="0.2"/>
    <row r="34307" ht="12.75" hidden="1" customHeight="1" x14ac:dyDescent="0.2"/>
    <row r="34308" ht="12.75" hidden="1" customHeight="1" x14ac:dyDescent="0.2"/>
    <row r="34309" ht="12.75" hidden="1" customHeight="1" x14ac:dyDescent="0.2"/>
    <row r="34310" ht="12.75" hidden="1" customHeight="1" x14ac:dyDescent="0.2"/>
    <row r="34311" ht="12.75" hidden="1" customHeight="1" x14ac:dyDescent="0.2"/>
    <row r="34312" ht="12.75" hidden="1" customHeight="1" x14ac:dyDescent="0.2"/>
    <row r="34313" ht="12.75" hidden="1" customHeight="1" x14ac:dyDescent="0.2"/>
    <row r="34314" ht="12.75" hidden="1" customHeight="1" x14ac:dyDescent="0.2"/>
    <row r="34315" ht="12.75" hidden="1" customHeight="1" x14ac:dyDescent="0.2"/>
    <row r="34316" ht="12.75" hidden="1" customHeight="1" x14ac:dyDescent="0.2"/>
    <row r="34317" ht="12.75" hidden="1" customHeight="1" x14ac:dyDescent="0.2"/>
    <row r="34318" ht="12.75" hidden="1" customHeight="1" x14ac:dyDescent="0.2"/>
    <row r="34319" ht="12.75" hidden="1" customHeight="1" x14ac:dyDescent="0.2"/>
    <row r="34320" ht="12.75" hidden="1" customHeight="1" x14ac:dyDescent="0.2"/>
    <row r="34321" ht="12.75" hidden="1" customHeight="1" x14ac:dyDescent="0.2"/>
    <row r="34322" ht="12.75" hidden="1" customHeight="1" x14ac:dyDescent="0.2"/>
    <row r="34323" ht="12.75" hidden="1" customHeight="1" x14ac:dyDescent="0.2"/>
    <row r="34324" ht="12.75" hidden="1" customHeight="1" x14ac:dyDescent="0.2"/>
    <row r="34325" ht="12.75" hidden="1" customHeight="1" x14ac:dyDescent="0.2"/>
    <row r="34326" ht="12.75" hidden="1" customHeight="1" x14ac:dyDescent="0.2"/>
    <row r="34327" ht="12.75" hidden="1" customHeight="1" x14ac:dyDescent="0.2"/>
    <row r="34328" ht="12.75" hidden="1" customHeight="1" x14ac:dyDescent="0.2"/>
    <row r="34329" ht="12.75" hidden="1" customHeight="1" x14ac:dyDescent="0.2"/>
    <row r="34330" ht="12.75" hidden="1" customHeight="1" x14ac:dyDescent="0.2"/>
    <row r="34331" ht="12.75" hidden="1" customHeight="1" x14ac:dyDescent="0.2"/>
    <row r="34332" ht="12.75" hidden="1" customHeight="1" x14ac:dyDescent="0.2"/>
    <row r="34333" ht="12.75" hidden="1" customHeight="1" x14ac:dyDescent="0.2"/>
    <row r="34334" ht="12.75" hidden="1" customHeight="1" x14ac:dyDescent="0.2"/>
    <row r="34335" ht="12.75" hidden="1" customHeight="1" x14ac:dyDescent="0.2"/>
    <row r="34336" ht="12.75" hidden="1" customHeight="1" x14ac:dyDescent="0.2"/>
    <row r="34337" ht="12.75" hidden="1" customHeight="1" x14ac:dyDescent="0.2"/>
    <row r="34338" ht="12.75" hidden="1" customHeight="1" x14ac:dyDescent="0.2"/>
    <row r="34339" ht="12.75" hidden="1" customHeight="1" x14ac:dyDescent="0.2"/>
    <row r="34340" ht="12.75" hidden="1" customHeight="1" x14ac:dyDescent="0.2"/>
    <row r="34341" ht="12.75" hidden="1" customHeight="1" x14ac:dyDescent="0.2"/>
    <row r="34342" ht="12.75" hidden="1" customHeight="1" x14ac:dyDescent="0.2"/>
    <row r="34343" ht="12.75" hidden="1" customHeight="1" x14ac:dyDescent="0.2"/>
    <row r="34344" ht="12.75" hidden="1" customHeight="1" x14ac:dyDescent="0.2"/>
    <row r="34345" ht="12.75" hidden="1" customHeight="1" x14ac:dyDescent="0.2"/>
    <row r="34346" ht="12.75" hidden="1" customHeight="1" x14ac:dyDescent="0.2"/>
    <row r="34347" ht="12.75" hidden="1" customHeight="1" x14ac:dyDescent="0.2"/>
    <row r="34348" ht="12.75" hidden="1" customHeight="1" x14ac:dyDescent="0.2"/>
    <row r="34349" ht="12.75" hidden="1" customHeight="1" x14ac:dyDescent="0.2"/>
    <row r="34350" ht="12.75" hidden="1" customHeight="1" x14ac:dyDescent="0.2"/>
    <row r="34351" ht="12.75" hidden="1" customHeight="1" x14ac:dyDescent="0.2"/>
    <row r="34352" ht="12.75" hidden="1" customHeight="1" x14ac:dyDescent="0.2"/>
    <row r="34353" ht="12.75" hidden="1" customHeight="1" x14ac:dyDescent="0.2"/>
    <row r="34354" ht="12.75" hidden="1" customHeight="1" x14ac:dyDescent="0.2"/>
    <row r="34355" ht="12.75" hidden="1" customHeight="1" x14ac:dyDescent="0.2"/>
    <row r="34356" ht="12.75" hidden="1" customHeight="1" x14ac:dyDescent="0.2"/>
    <row r="34357" ht="12.75" hidden="1" customHeight="1" x14ac:dyDescent="0.2"/>
    <row r="34358" ht="12.75" hidden="1" customHeight="1" x14ac:dyDescent="0.2"/>
    <row r="34359" ht="12.75" hidden="1" customHeight="1" x14ac:dyDescent="0.2"/>
    <row r="34360" ht="12.75" hidden="1" customHeight="1" x14ac:dyDescent="0.2"/>
    <row r="34361" ht="12.75" hidden="1" customHeight="1" x14ac:dyDescent="0.2"/>
    <row r="34362" ht="12.75" hidden="1" customHeight="1" x14ac:dyDescent="0.2"/>
    <row r="34363" ht="12.75" hidden="1" customHeight="1" x14ac:dyDescent="0.2"/>
    <row r="34364" ht="12.75" hidden="1" customHeight="1" x14ac:dyDescent="0.2"/>
    <row r="34365" ht="12.75" hidden="1" customHeight="1" x14ac:dyDescent="0.2"/>
    <row r="34366" ht="12.75" hidden="1" customHeight="1" x14ac:dyDescent="0.2"/>
    <row r="34367" ht="12.75" hidden="1" customHeight="1" x14ac:dyDescent="0.2"/>
    <row r="34368" ht="12.75" hidden="1" customHeight="1" x14ac:dyDescent="0.2"/>
    <row r="34369" ht="12.75" hidden="1" customHeight="1" x14ac:dyDescent="0.2"/>
    <row r="34370" ht="12.75" hidden="1" customHeight="1" x14ac:dyDescent="0.2"/>
    <row r="34371" ht="12.75" hidden="1" customHeight="1" x14ac:dyDescent="0.2"/>
    <row r="34372" ht="12.75" hidden="1" customHeight="1" x14ac:dyDescent="0.2"/>
    <row r="34373" ht="12.75" hidden="1" customHeight="1" x14ac:dyDescent="0.2"/>
    <row r="34374" ht="12.75" hidden="1" customHeight="1" x14ac:dyDescent="0.2"/>
    <row r="34375" ht="12.75" hidden="1" customHeight="1" x14ac:dyDescent="0.2"/>
    <row r="34376" ht="12.75" hidden="1" customHeight="1" x14ac:dyDescent="0.2"/>
    <row r="34377" ht="12.75" hidden="1" customHeight="1" x14ac:dyDescent="0.2"/>
    <row r="34378" ht="12.75" hidden="1" customHeight="1" x14ac:dyDescent="0.2"/>
    <row r="34379" ht="12.75" hidden="1" customHeight="1" x14ac:dyDescent="0.2"/>
    <row r="34380" ht="12.75" hidden="1" customHeight="1" x14ac:dyDescent="0.2"/>
    <row r="34381" ht="12.75" hidden="1" customHeight="1" x14ac:dyDescent="0.2"/>
    <row r="34382" ht="12.75" hidden="1" customHeight="1" x14ac:dyDescent="0.2"/>
    <row r="34383" ht="12.75" hidden="1" customHeight="1" x14ac:dyDescent="0.2"/>
    <row r="34384" ht="12.75" hidden="1" customHeight="1" x14ac:dyDescent="0.2"/>
    <row r="34385" ht="12.75" hidden="1" customHeight="1" x14ac:dyDescent="0.2"/>
    <row r="34386" ht="12.75" hidden="1" customHeight="1" x14ac:dyDescent="0.2"/>
    <row r="34387" ht="12.75" hidden="1" customHeight="1" x14ac:dyDescent="0.2"/>
    <row r="34388" ht="12.75" hidden="1" customHeight="1" x14ac:dyDescent="0.2"/>
    <row r="34389" ht="12.75" hidden="1" customHeight="1" x14ac:dyDescent="0.2"/>
    <row r="34390" ht="12.75" hidden="1" customHeight="1" x14ac:dyDescent="0.2"/>
    <row r="34391" ht="12.75" hidden="1" customHeight="1" x14ac:dyDescent="0.2"/>
    <row r="34392" ht="12.75" hidden="1" customHeight="1" x14ac:dyDescent="0.2"/>
    <row r="34393" ht="12.75" hidden="1" customHeight="1" x14ac:dyDescent="0.2"/>
    <row r="34394" ht="12.75" hidden="1" customHeight="1" x14ac:dyDescent="0.2"/>
    <row r="34395" ht="12.75" hidden="1" customHeight="1" x14ac:dyDescent="0.2"/>
    <row r="34396" ht="12.75" hidden="1" customHeight="1" x14ac:dyDescent="0.2"/>
    <row r="34397" ht="12.75" hidden="1" customHeight="1" x14ac:dyDescent="0.2"/>
    <row r="34398" ht="12.75" hidden="1" customHeight="1" x14ac:dyDescent="0.2"/>
    <row r="34399" ht="12.75" hidden="1" customHeight="1" x14ac:dyDescent="0.2"/>
    <row r="34400" ht="12.75" hidden="1" customHeight="1" x14ac:dyDescent="0.2"/>
    <row r="34401" ht="12.75" hidden="1" customHeight="1" x14ac:dyDescent="0.2"/>
    <row r="34402" ht="12.75" hidden="1" customHeight="1" x14ac:dyDescent="0.2"/>
    <row r="34403" ht="12.75" hidden="1" customHeight="1" x14ac:dyDescent="0.2"/>
    <row r="34404" ht="12.75" hidden="1" customHeight="1" x14ac:dyDescent="0.2"/>
    <row r="34405" ht="12.75" hidden="1" customHeight="1" x14ac:dyDescent="0.2"/>
    <row r="34406" ht="12.75" hidden="1" customHeight="1" x14ac:dyDescent="0.2"/>
    <row r="34407" ht="12.75" hidden="1" customHeight="1" x14ac:dyDescent="0.2"/>
    <row r="34408" ht="12.75" hidden="1" customHeight="1" x14ac:dyDescent="0.2"/>
    <row r="34409" ht="12.75" hidden="1" customHeight="1" x14ac:dyDescent="0.2"/>
    <row r="34410" ht="12.75" hidden="1" customHeight="1" x14ac:dyDescent="0.2"/>
    <row r="34411" ht="12.75" hidden="1" customHeight="1" x14ac:dyDescent="0.2"/>
    <row r="34412" ht="12.75" hidden="1" customHeight="1" x14ac:dyDescent="0.2"/>
    <row r="34413" ht="12.75" hidden="1" customHeight="1" x14ac:dyDescent="0.2"/>
    <row r="34414" ht="12.75" hidden="1" customHeight="1" x14ac:dyDescent="0.2"/>
    <row r="34415" ht="12.75" hidden="1" customHeight="1" x14ac:dyDescent="0.2"/>
    <row r="34416" ht="12.75" hidden="1" customHeight="1" x14ac:dyDescent="0.2"/>
    <row r="34417" ht="12.75" hidden="1" customHeight="1" x14ac:dyDescent="0.2"/>
    <row r="34418" ht="12.75" hidden="1" customHeight="1" x14ac:dyDescent="0.2"/>
    <row r="34419" ht="12.75" hidden="1" customHeight="1" x14ac:dyDescent="0.2"/>
    <row r="34420" ht="12.75" hidden="1" customHeight="1" x14ac:dyDescent="0.2"/>
    <row r="34421" ht="12.75" hidden="1" customHeight="1" x14ac:dyDescent="0.2"/>
    <row r="34422" ht="12.75" hidden="1" customHeight="1" x14ac:dyDescent="0.2"/>
    <row r="34423" ht="12.75" hidden="1" customHeight="1" x14ac:dyDescent="0.2"/>
    <row r="34424" ht="12.75" hidden="1" customHeight="1" x14ac:dyDescent="0.2"/>
    <row r="34425" ht="12.75" hidden="1" customHeight="1" x14ac:dyDescent="0.2"/>
    <row r="34426" ht="12.75" hidden="1" customHeight="1" x14ac:dyDescent="0.2"/>
    <row r="34427" ht="12.75" hidden="1" customHeight="1" x14ac:dyDescent="0.2"/>
    <row r="34428" ht="12.75" hidden="1" customHeight="1" x14ac:dyDescent="0.2"/>
    <row r="34429" ht="12.75" hidden="1" customHeight="1" x14ac:dyDescent="0.2"/>
    <row r="34430" ht="12.75" hidden="1" customHeight="1" x14ac:dyDescent="0.2"/>
    <row r="34431" ht="12.75" hidden="1" customHeight="1" x14ac:dyDescent="0.2"/>
    <row r="34432" ht="12.75" hidden="1" customHeight="1" x14ac:dyDescent="0.2"/>
    <row r="34433" ht="12.75" hidden="1" customHeight="1" x14ac:dyDescent="0.2"/>
    <row r="34434" ht="12.75" hidden="1" customHeight="1" x14ac:dyDescent="0.2"/>
    <row r="34435" ht="12.75" hidden="1" customHeight="1" x14ac:dyDescent="0.2"/>
    <row r="34436" ht="12.75" hidden="1" customHeight="1" x14ac:dyDescent="0.2"/>
    <row r="34437" ht="12.75" hidden="1" customHeight="1" x14ac:dyDescent="0.2"/>
    <row r="34438" ht="12.75" hidden="1" customHeight="1" x14ac:dyDescent="0.2"/>
    <row r="34439" ht="12.75" hidden="1" customHeight="1" x14ac:dyDescent="0.2"/>
    <row r="34440" ht="12.75" hidden="1" customHeight="1" x14ac:dyDescent="0.2"/>
    <row r="34441" ht="12.75" hidden="1" customHeight="1" x14ac:dyDescent="0.2"/>
    <row r="34442" ht="12.75" hidden="1" customHeight="1" x14ac:dyDescent="0.2"/>
    <row r="34443" ht="12.75" hidden="1" customHeight="1" x14ac:dyDescent="0.2"/>
    <row r="34444" ht="12.75" hidden="1" customHeight="1" x14ac:dyDescent="0.2"/>
    <row r="34445" ht="12.75" hidden="1" customHeight="1" x14ac:dyDescent="0.2"/>
    <row r="34446" ht="12.75" hidden="1" customHeight="1" x14ac:dyDescent="0.2"/>
    <row r="34447" ht="12.75" hidden="1" customHeight="1" x14ac:dyDescent="0.2"/>
    <row r="34448" ht="12.75" hidden="1" customHeight="1" x14ac:dyDescent="0.2"/>
    <row r="34449" ht="12.75" hidden="1" customHeight="1" x14ac:dyDescent="0.2"/>
    <row r="34450" ht="12.75" hidden="1" customHeight="1" x14ac:dyDescent="0.2"/>
    <row r="34451" ht="12.75" hidden="1" customHeight="1" x14ac:dyDescent="0.2"/>
    <row r="34452" ht="12.75" hidden="1" customHeight="1" x14ac:dyDescent="0.2"/>
    <row r="34453" ht="12.75" hidden="1" customHeight="1" x14ac:dyDescent="0.2"/>
    <row r="34454" ht="12.75" hidden="1" customHeight="1" x14ac:dyDescent="0.2"/>
    <row r="34455" ht="12.75" hidden="1" customHeight="1" x14ac:dyDescent="0.2"/>
    <row r="34456" ht="12.75" hidden="1" customHeight="1" x14ac:dyDescent="0.2"/>
    <row r="34457" ht="12.75" hidden="1" customHeight="1" x14ac:dyDescent="0.2"/>
    <row r="34458" ht="12.75" hidden="1" customHeight="1" x14ac:dyDescent="0.2"/>
    <row r="34459" ht="12.75" hidden="1" customHeight="1" x14ac:dyDescent="0.2"/>
    <row r="34460" ht="12.75" hidden="1" customHeight="1" x14ac:dyDescent="0.2"/>
    <row r="34461" ht="12.75" hidden="1" customHeight="1" x14ac:dyDescent="0.2"/>
    <row r="34462" ht="12.75" hidden="1" customHeight="1" x14ac:dyDescent="0.2"/>
    <row r="34463" ht="12.75" hidden="1" customHeight="1" x14ac:dyDescent="0.2"/>
    <row r="34464" ht="12.75" hidden="1" customHeight="1" x14ac:dyDescent="0.2"/>
    <row r="34465" ht="12.75" hidden="1" customHeight="1" x14ac:dyDescent="0.2"/>
    <row r="34466" ht="12.75" hidden="1" customHeight="1" x14ac:dyDescent="0.2"/>
    <row r="34467" ht="12.75" hidden="1" customHeight="1" x14ac:dyDescent="0.2"/>
    <row r="34468" ht="12.75" hidden="1" customHeight="1" x14ac:dyDescent="0.2"/>
    <row r="34469" ht="12.75" hidden="1" customHeight="1" x14ac:dyDescent="0.2"/>
    <row r="34470" ht="12.75" hidden="1" customHeight="1" x14ac:dyDescent="0.2"/>
    <row r="34471" ht="12.75" hidden="1" customHeight="1" x14ac:dyDescent="0.2"/>
    <row r="34472" ht="12.75" hidden="1" customHeight="1" x14ac:dyDescent="0.2"/>
    <row r="34473" ht="12.75" hidden="1" customHeight="1" x14ac:dyDescent="0.2"/>
    <row r="34474" ht="12.75" hidden="1" customHeight="1" x14ac:dyDescent="0.2"/>
    <row r="34475" ht="12.75" hidden="1" customHeight="1" x14ac:dyDescent="0.2"/>
    <row r="34476" ht="12.75" hidden="1" customHeight="1" x14ac:dyDescent="0.2"/>
    <row r="34477" ht="12.75" hidden="1" customHeight="1" x14ac:dyDescent="0.2"/>
    <row r="34478" ht="12.75" hidden="1" customHeight="1" x14ac:dyDescent="0.2"/>
    <row r="34479" ht="12.75" hidden="1" customHeight="1" x14ac:dyDescent="0.2"/>
    <row r="34480" ht="12.75" hidden="1" customHeight="1" x14ac:dyDescent="0.2"/>
    <row r="34481" ht="12.75" hidden="1" customHeight="1" x14ac:dyDescent="0.2"/>
    <row r="34482" ht="12.75" hidden="1" customHeight="1" x14ac:dyDescent="0.2"/>
    <row r="34483" ht="12.75" hidden="1" customHeight="1" x14ac:dyDescent="0.2"/>
    <row r="34484" ht="12.75" hidden="1" customHeight="1" x14ac:dyDescent="0.2"/>
    <row r="34485" ht="12.75" hidden="1" customHeight="1" x14ac:dyDescent="0.2"/>
    <row r="34486" ht="12.75" hidden="1" customHeight="1" x14ac:dyDescent="0.2"/>
    <row r="34487" ht="12.75" hidden="1" customHeight="1" x14ac:dyDescent="0.2"/>
    <row r="34488" ht="12.75" hidden="1" customHeight="1" x14ac:dyDescent="0.2"/>
    <row r="34489" ht="12.75" hidden="1" customHeight="1" x14ac:dyDescent="0.2"/>
    <row r="34490" ht="12.75" hidden="1" customHeight="1" x14ac:dyDescent="0.2"/>
    <row r="34491" ht="12.75" hidden="1" customHeight="1" x14ac:dyDescent="0.2"/>
    <row r="34492" ht="12.75" hidden="1" customHeight="1" x14ac:dyDescent="0.2"/>
    <row r="34493" ht="12.75" hidden="1" customHeight="1" x14ac:dyDescent="0.2"/>
    <row r="34494" ht="12.75" hidden="1" customHeight="1" x14ac:dyDescent="0.2"/>
    <row r="34495" ht="12.75" hidden="1" customHeight="1" x14ac:dyDescent="0.2"/>
    <row r="34496" ht="12.75" hidden="1" customHeight="1" x14ac:dyDescent="0.2"/>
    <row r="34497" ht="12.75" hidden="1" customHeight="1" x14ac:dyDescent="0.2"/>
    <row r="34498" ht="12.75" hidden="1" customHeight="1" x14ac:dyDescent="0.2"/>
    <row r="34499" ht="12.75" hidden="1" customHeight="1" x14ac:dyDescent="0.2"/>
    <row r="34500" ht="12.75" hidden="1" customHeight="1" x14ac:dyDescent="0.2"/>
    <row r="34501" ht="12.75" hidden="1" customHeight="1" x14ac:dyDescent="0.2"/>
    <row r="34502" ht="12.75" hidden="1" customHeight="1" x14ac:dyDescent="0.2"/>
    <row r="34503" ht="12.75" hidden="1" customHeight="1" x14ac:dyDescent="0.2"/>
    <row r="34504" ht="12.75" hidden="1" customHeight="1" x14ac:dyDescent="0.2"/>
    <row r="34505" ht="12.75" hidden="1" customHeight="1" x14ac:dyDescent="0.2"/>
    <row r="34506" ht="12.75" hidden="1" customHeight="1" x14ac:dyDescent="0.2"/>
    <row r="34507" ht="12.75" hidden="1" customHeight="1" x14ac:dyDescent="0.2"/>
    <row r="34508" ht="12.75" hidden="1" customHeight="1" x14ac:dyDescent="0.2"/>
    <row r="34509" ht="12.75" hidden="1" customHeight="1" x14ac:dyDescent="0.2"/>
    <row r="34510" ht="12.75" hidden="1" customHeight="1" x14ac:dyDescent="0.2"/>
    <row r="34511" ht="12.75" hidden="1" customHeight="1" x14ac:dyDescent="0.2"/>
    <row r="34512" ht="12.75" hidden="1" customHeight="1" x14ac:dyDescent="0.2"/>
    <row r="34513" ht="12.75" hidden="1" customHeight="1" x14ac:dyDescent="0.2"/>
    <row r="34514" ht="12.75" hidden="1" customHeight="1" x14ac:dyDescent="0.2"/>
    <row r="34515" ht="12.75" hidden="1" customHeight="1" x14ac:dyDescent="0.2"/>
    <row r="34516" ht="12.75" hidden="1" customHeight="1" x14ac:dyDescent="0.2"/>
    <row r="34517" ht="12.75" hidden="1" customHeight="1" x14ac:dyDescent="0.2"/>
    <row r="34518" ht="12.75" hidden="1" customHeight="1" x14ac:dyDescent="0.2"/>
    <row r="34519" ht="12.75" hidden="1" customHeight="1" x14ac:dyDescent="0.2"/>
    <row r="34520" ht="12.75" hidden="1" customHeight="1" x14ac:dyDescent="0.2"/>
    <row r="34521" ht="12.75" hidden="1" customHeight="1" x14ac:dyDescent="0.2"/>
    <row r="34522" ht="12.75" hidden="1" customHeight="1" x14ac:dyDescent="0.2"/>
    <row r="34523" ht="12.75" hidden="1" customHeight="1" x14ac:dyDescent="0.2"/>
    <row r="34524" ht="12.75" hidden="1" customHeight="1" x14ac:dyDescent="0.2"/>
    <row r="34525" ht="12.75" hidden="1" customHeight="1" x14ac:dyDescent="0.2"/>
    <row r="34526" ht="12.75" hidden="1" customHeight="1" x14ac:dyDescent="0.2"/>
    <row r="34527" ht="12.75" hidden="1" customHeight="1" x14ac:dyDescent="0.2"/>
    <row r="34528" ht="12.75" hidden="1" customHeight="1" x14ac:dyDescent="0.2"/>
    <row r="34529" ht="12.75" hidden="1" customHeight="1" x14ac:dyDescent="0.2"/>
    <row r="34530" ht="12.75" hidden="1" customHeight="1" x14ac:dyDescent="0.2"/>
    <row r="34531" ht="12.75" hidden="1" customHeight="1" x14ac:dyDescent="0.2"/>
    <row r="34532" ht="12.75" hidden="1" customHeight="1" x14ac:dyDescent="0.2"/>
    <row r="34533" ht="12.75" hidden="1" customHeight="1" x14ac:dyDescent="0.2"/>
    <row r="34534" ht="12.75" hidden="1" customHeight="1" x14ac:dyDescent="0.2"/>
    <row r="34535" ht="12.75" hidden="1" customHeight="1" x14ac:dyDescent="0.2"/>
    <row r="34536" ht="12.75" hidden="1" customHeight="1" x14ac:dyDescent="0.2"/>
    <row r="34537" ht="12.75" hidden="1" customHeight="1" x14ac:dyDescent="0.2"/>
    <row r="34538" ht="12.75" hidden="1" customHeight="1" x14ac:dyDescent="0.2"/>
    <row r="34539" ht="12.75" hidden="1" customHeight="1" x14ac:dyDescent="0.2"/>
    <row r="34540" ht="12.75" hidden="1" customHeight="1" x14ac:dyDescent="0.2"/>
    <row r="34541" ht="12.75" hidden="1" customHeight="1" x14ac:dyDescent="0.2"/>
    <row r="34542" ht="12.75" hidden="1" customHeight="1" x14ac:dyDescent="0.2"/>
    <row r="34543" ht="12.75" hidden="1" customHeight="1" x14ac:dyDescent="0.2"/>
    <row r="34544" ht="12.75" hidden="1" customHeight="1" x14ac:dyDescent="0.2"/>
    <row r="34545" ht="12.75" hidden="1" customHeight="1" x14ac:dyDescent="0.2"/>
    <row r="34546" ht="12.75" hidden="1" customHeight="1" x14ac:dyDescent="0.2"/>
    <row r="34547" ht="12.75" hidden="1" customHeight="1" x14ac:dyDescent="0.2"/>
    <row r="34548" ht="12.75" hidden="1" customHeight="1" x14ac:dyDescent="0.2"/>
    <row r="34549" ht="12.75" hidden="1" customHeight="1" x14ac:dyDescent="0.2"/>
    <row r="34550" ht="12.75" hidden="1" customHeight="1" x14ac:dyDescent="0.2"/>
    <row r="34551" ht="12.75" hidden="1" customHeight="1" x14ac:dyDescent="0.2"/>
    <row r="34552" ht="12.75" hidden="1" customHeight="1" x14ac:dyDescent="0.2"/>
    <row r="34553" ht="12.75" hidden="1" customHeight="1" x14ac:dyDescent="0.2"/>
    <row r="34554" ht="12.75" hidden="1" customHeight="1" x14ac:dyDescent="0.2"/>
    <row r="34555" ht="12.75" hidden="1" customHeight="1" x14ac:dyDescent="0.2"/>
    <row r="34556" ht="12.75" hidden="1" customHeight="1" x14ac:dyDescent="0.2"/>
    <row r="34557" ht="12.75" hidden="1" customHeight="1" x14ac:dyDescent="0.2"/>
    <row r="34558" ht="12.75" hidden="1" customHeight="1" x14ac:dyDescent="0.2"/>
    <row r="34559" ht="12.75" hidden="1" customHeight="1" x14ac:dyDescent="0.2"/>
    <row r="34560" ht="12.75" hidden="1" customHeight="1" x14ac:dyDescent="0.2"/>
    <row r="34561" ht="12.75" hidden="1" customHeight="1" x14ac:dyDescent="0.2"/>
    <row r="34562" ht="12.75" hidden="1" customHeight="1" x14ac:dyDescent="0.2"/>
    <row r="34563" ht="12.75" hidden="1" customHeight="1" x14ac:dyDescent="0.2"/>
    <row r="34564" ht="12.75" hidden="1" customHeight="1" x14ac:dyDescent="0.2"/>
    <row r="34565" ht="12.75" hidden="1" customHeight="1" x14ac:dyDescent="0.2"/>
    <row r="34566" ht="12.75" hidden="1" customHeight="1" x14ac:dyDescent="0.2"/>
    <row r="34567" ht="12.75" hidden="1" customHeight="1" x14ac:dyDescent="0.2"/>
    <row r="34568" ht="12.75" hidden="1" customHeight="1" x14ac:dyDescent="0.2"/>
    <row r="34569" ht="12.75" hidden="1" customHeight="1" x14ac:dyDescent="0.2"/>
    <row r="34570" ht="12.75" hidden="1" customHeight="1" x14ac:dyDescent="0.2"/>
    <row r="34571" ht="12.75" hidden="1" customHeight="1" x14ac:dyDescent="0.2"/>
    <row r="34572" ht="12.75" hidden="1" customHeight="1" x14ac:dyDescent="0.2"/>
    <row r="34573" ht="12.75" hidden="1" customHeight="1" x14ac:dyDescent="0.2"/>
    <row r="34574" ht="12.75" hidden="1" customHeight="1" x14ac:dyDescent="0.2"/>
    <row r="34575" ht="12.75" hidden="1" customHeight="1" x14ac:dyDescent="0.2"/>
    <row r="34576" ht="12.75" hidden="1" customHeight="1" x14ac:dyDescent="0.2"/>
    <row r="34577" ht="12.75" hidden="1" customHeight="1" x14ac:dyDescent="0.2"/>
    <row r="34578" ht="12.75" hidden="1" customHeight="1" x14ac:dyDescent="0.2"/>
    <row r="34579" ht="12.75" hidden="1" customHeight="1" x14ac:dyDescent="0.2"/>
    <row r="34580" ht="12.75" hidden="1" customHeight="1" x14ac:dyDescent="0.2"/>
    <row r="34581" ht="12.75" hidden="1" customHeight="1" x14ac:dyDescent="0.2"/>
    <row r="34582" ht="12.75" hidden="1" customHeight="1" x14ac:dyDescent="0.2"/>
    <row r="34583" ht="12.75" hidden="1" customHeight="1" x14ac:dyDescent="0.2"/>
    <row r="34584" ht="12.75" hidden="1" customHeight="1" x14ac:dyDescent="0.2"/>
    <row r="34585" ht="12.75" hidden="1" customHeight="1" x14ac:dyDescent="0.2"/>
    <row r="34586" ht="12.75" hidden="1" customHeight="1" x14ac:dyDescent="0.2"/>
    <row r="34587" ht="12.75" hidden="1" customHeight="1" x14ac:dyDescent="0.2"/>
    <row r="34588" ht="12.75" hidden="1" customHeight="1" x14ac:dyDescent="0.2"/>
    <row r="34589" ht="12.75" hidden="1" customHeight="1" x14ac:dyDescent="0.2"/>
    <row r="34590" ht="12.75" hidden="1" customHeight="1" x14ac:dyDescent="0.2"/>
    <row r="34591" ht="12.75" hidden="1" customHeight="1" x14ac:dyDescent="0.2"/>
    <row r="34592" ht="12.75" hidden="1" customHeight="1" x14ac:dyDescent="0.2"/>
    <row r="34593" ht="12.75" hidden="1" customHeight="1" x14ac:dyDescent="0.2"/>
    <row r="34594" ht="12.75" hidden="1" customHeight="1" x14ac:dyDescent="0.2"/>
    <row r="34595" ht="12.75" hidden="1" customHeight="1" x14ac:dyDescent="0.2"/>
    <row r="34596" ht="12.75" hidden="1" customHeight="1" x14ac:dyDescent="0.2"/>
    <row r="34597" ht="12.75" hidden="1" customHeight="1" x14ac:dyDescent="0.2"/>
    <row r="34598" ht="12.75" hidden="1" customHeight="1" x14ac:dyDescent="0.2"/>
    <row r="34599" ht="12.75" hidden="1" customHeight="1" x14ac:dyDescent="0.2"/>
    <row r="34600" ht="12.75" hidden="1" customHeight="1" x14ac:dyDescent="0.2"/>
    <row r="34601" ht="12.75" hidden="1" customHeight="1" x14ac:dyDescent="0.2"/>
    <row r="34602" ht="12.75" hidden="1" customHeight="1" x14ac:dyDescent="0.2"/>
    <row r="34603" ht="12.75" hidden="1" customHeight="1" x14ac:dyDescent="0.2"/>
    <row r="34604" ht="12.75" hidden="1" customHeight="1" x14ac:dyDescent="0.2"/>
    <row r="34605" ht="12.75" hidden="1" customHeight="1" x14ac:dyDescent="0.2"/>
    <row r="34606" ht="12.75" hidden="1" customHeight="1" x14ac:dyDescent="0.2"/>
    <row r="34607" ht="12.75" hidden="1" customHeight="1" x14ac:dyDescent="0.2"/>
    <row r="34608" ht="12.75" hidden="1" customHeight="1" x14ac:dyDescent="0.2"/>
    <row r="34609" ht="12.75" hidden="1" customHeight="1" x14ac:dyDescent="0.2"/>
    <row r="34610" ht="12.75" hidden="1" customHeight="1" x14ac:dyDescent="0.2"/>
    <row r="34611" ht="12.75" hidden="1" customHeight="1" x14ac:dyDescent="0.2"/>
    <row r="34612" ht="12.75" hidden="1" customHeight="1" x14ac:dyDescent="0.2"/>
    <row r="34613" ht="12.75" hidden="1" customHeight="1" x14ac:dyDescent="0.2"/>
    <row r="34614" ht="12.75" hidden="1" customHeight="1" x14ac:dyDescent="0.2"/>
    <row r="34615" ht="12.75" hidden="1" customHeight="1" x14ac:dyDescent="0.2"/>
    <row r="34616" ht="12.75" hidden="1" customHeight="1" x14ac:dyDescent="0.2"/>
    <row r="34617" ht="12.75" hidden="1" customHeight="1" x14ac:dyDescent="0.2"/>
    <row r="34618" ht="12.75" hidden="1" customHeight="1" x14ac:dyDescent="0.2"/>
    <row r="34619" ht="12.75" hidden="1" customHeight="1" x14ac:dyDescent="0.2"/>
    <row r="34620" ht="12.75" hidden="1" customHeight="1" x14ac:dyDescent="0.2"/>
    <row r="34621" ht="12.75" hidden="1" customHeight="1" x14ac:dyDescent="0.2"/>
    <row r="34622" ht="12.75" hidden="1" customHeight="1" x14ac:dyDescent="0.2"/>
    <row r="34623" ht="12.75" hidden="1" customHeight="1" x14ac:dyDescent="0.2"/>
    <row r="34624" ht="12.75" hidden="1" customHeight="1" x14ac:dyDescent="0.2"/>
    <row r="34625" ht="12.75" hidden="1" customHeight="1" x14ac:dyDescent="0.2"/>
    <row r="34626" ht="12.75" hidden="1" customHeight="1" x14ac:dyDescent="0.2"/>
    <row r="34627" ht="12.75" hidden="1" customHeight="1" x14ac:dyDescent="0.2"/>
    <row r="34628" ht="12.75" hidden="1" customHeight="1" x14ac:dyDescent="0.2"/>
    <row r="34629" ht="12.75" hidden="1" customHeight="1" x14ac:dyDescent="0.2"/>
    <row r="34630" ht="12.75" hidden="1" customHeight="1" x14ac:dyDescent="0.2"/>
    <row r="34631" ht="12.75" hidden="1" customHeight="1" x14ac:dyDescent="0.2"/>
    <row r="34632" ht="12.75" hidden="1" customHeight="1" x14ac:dyDescent="0.2"/>
    <row r="34633" ht="12.75" hidden="1" customHeight="1" x14ac:dyDescent="0.2"/>
    <row r="34634" ht="12.75" hidden="1" customHeight="1" x14ac:dyDescent="0.2"/>
    <row r="34635" ht="12.75" hidden="1" customHeight="1" x14ac:dyDescent="0.2"/>
    <row r="34636" ht="12.75" hidden="1" customHeight="1" x14ac:dyDescent="0.2"/>
    <row r="34637" ht="12.75" hidden="1" customHeight="1" x14ac:dyDescent="0.2"/>
    <row r="34638" ht="12.75" hidden="1" customHeight="1" x14ac:dyDescent="0.2"/>
    <row r="34639" ht="12.75" hidden="1" customHeight="1" x14ac:dyDescent="0.2"/>
    <row r="34640" ht="12.75" hidden="1" customHeight="1" x14ac:dyDescent="0.2"/>
    <row r="34641" ht="12.75" hidden="1" customHeight="1" x14ac:dyDescent="0.2"/>
    <row r="34642" ht="12.75" hidden="1" customHeight="1" x14ac:dyDescent="0.2"/>
    <row r="34643" ht="12.75" hidden="1" customHeight="1" x14ac:dyDescent="0.2"/>
    <row r="34644" ht="12.75" hidden="1" customHeight="1" x14ac:dyDescent="0.2"/>
    <row r="34645" ht="12.75" hidden="1" customHeight="1" x14ac:dyDescent="0.2"/>
    <row r="34646" ht="12.75" hidden="1" customHeight="1" x14ac:dyDescent="0.2"/>
    <row r="34647" ht="12.75" hidden="1" customHeight="1" x14ac:dyDescent="0.2"/>
    <row r="34648" ht="12.75" hidden="1" customHeight="1" x14ac:dyDescent="0.2"/>
    <row r="34649" ht="12.75" hidden="1" customHeight="1" x14ac:dyDescent="0.2"/>
    <row r="34650" ht="12.75" hidden="1" customHeight="1" x14ac:dyDescent="0.2"/>
    <row r="34651" ht="12.75" hidden="1" customHeight="1" x14ac:dyDescent="0.2"/>
    <row r="34652" ht="12.75" hidden="1" customHeight="1" x14ac:dyDescent="0.2"/>
    <row r="34653" ht="12.75" hidden="1" customHeight="1" x14ac:dyDescent="0.2"/>
    <row r="34654" ht="12.75" hidden="1" customHeight="1" x14ac:dyDescent="0.2"/>
    <row r="34655" ht="12.75" hidden="1" customHeight="1" x14ac:dyDescent="0.2"/>
    <row r="34656" ht="12.75" hidden="1" customHeight="1" x14ac:dyDescent="0.2"/>
    <row r="34657" ht="12.75" hidden="1" customHeight="1" x14ac:dyDescent="0.2"/>
    <row r="34658" ht="12.75" hidden="1" customHeight="1" x14ac:dyDescent="0.2"/>
    <row r="34659" ht="12.75" hidden="1" customHeight="1" x14ac:dyDescent="0.2"/>
    <row r="34660" ht="12.75" hidden="1" customHeight="1" x14ac:dyDescent="0.2"/>
    <row r="34661" ht="12.75" hidden="1" customHeight="1" x14ac:dyDescent="0.2"/>
    <row r="34662" ht="12.75" hidden="1" customHeight="1" x14ac:dyDescent="0.2"/>
    <row r="34663" ht="12.75" hidden="1" customHeight="1" x14ac:dyDescent="0.2"/>
    <row r="34664" ht="12.75" hidden="1" customHeight="1" x14ac:dyDescent="0.2"/>
    <row r="34665" ht="12.75" hidden="1" customHeight="1" x14ac:dyDescent="0.2"/>
    <row r="34666" ht="12.75" hidden="1" customHeight="1" x14ac:dyDescent="0.2"/>
    <row r="34667" ht="12.75" hidden="1" customHeight="1" x14ac:dyDescent="0.2"/>
    <row r="34668" ht="12.75" hidden="1" customHeight="1" x14ac:dyDescent="0.2"/>
    <row r="34669" ht="12.75" hidden="1" customHeight="1" x14ac:dyDescent="0.2"/>
    <row r="34670" ht="12.75" hidden="1" customHeight="1" x14ac:dyDescent="0.2"/>
    <row r="34671" ht="12.75" hidden="1" customHeight="1" x14ac:dyDescent="0.2"/>
    <row r="34672" ht="12.75" hidden="1" customHeight="1" x14ac:dyDescent="0.2"/>
    <row r="34673" ht="12.75" hidden="1" customHeight="1" x14ac:dyDescent="0.2"/>
    <row r="34674" ht="12.75" hidden="1" customHeight="1" x14ac:dyDescent="0.2"/>
    <row r="34675" ht="12.75" hidden="1" customHeight="1" x14ac:dyDescent="0.2"/>
    <row r="34676" ht="12.75" hidden="1" customHeight="1" x14ac:dyDescent="0.2"/>
    <row r="34677" ht="12.75" hidden="1" customHeight="1" x14ac:dyDescent="0.2"/>
    <row r="34678" ht="12.75" hidden="1" customHeight="1" x14ac:dyDescent="0.2"/>
    <row r="34679" ht="12.75" hidden="1" customHeight="1" x14ac:dyDescent="0.2"/>
    <row r="34680" ht="12.75" hidden="1" customHeight="1" x14ac:dyDescent="0.2"/>
    <row r="34681" ht="12.75" hidden="1" customHeight="1" x14ac:dyDescent="0.2"/>
    <row r="34682" ht="12.75" hidden="1" customHeight="1" x14ac:dyDescent="0.2"/>
    <row r="34683" ht="12.75" hidden="1" customHeight="1" x14ac:dyDescent="0.2"/>
    <row r="34684" ht="12.75" hidden="1" customHeight="1" x14ac:dyDescent="0.2"/>
    <row r="34685" ht="12.75" hidden="1" customHeight="1" x14ac:dyDescent="0.2"/>
    <row r="34686" ht="12.75" hidden="1" customHeight="1" x14ac:dyDescent="0.2"/>
    <row r="34687" ht="12.75" hidden="1" customHeight="1" x14ac:dyDescent="0.2"/>
    <row r="34688" ht="12.75" hidden="1" customHeight="1" x14ac:dyDescent="0.2"/>
    <row r="34689" ht="12.75" hidden="1" customHeight="1" x14ac:dyDescent="0.2"/>
    <row r="34690" ht="12.75" hidden="1" customHeight="1" x14ac:dyDescent="0.2"/>
    <row r="34691" ht="12.75" hidden="1" customHeight="1" x14ac:dyDescent="0.2"/>
    <row r="34692" ht="12.75" hidden="1" customHeight="1" x14ac:dyDescent="0.2"/>
    <row r="34693" ht="12.75" hidden="1" customHeight="1" x14ac:dyDescent="0.2"/>
    <row r="34694" ht="12.75" hidden="1" customHeight="1" x14ac:dyDescent="0.2"/>
    <row r="34695" ht="12.75" hidden="1" customHeight="1" x14ac:dyDescent="0.2"/>
    <row r="34696" ht="12.75" hidden="1" customHeight="1" x14ac:dyDescent="0.2"/>
    <row r="34697" ht="12.75" hidden="1" customHeight="1" x14ac:dyDescent="0.2"/>
    <row r="34698" ht="12.75" hidden="1" customHeight="1" x14ac:dyDescent="0.2"/>
    <row r="34699" ht="12.75" hidden="1" customHeight="1" x14ac:dyDescent="0.2"/>
    <row r="34700" ht="12.75" hidden="1" customHeight="1" x14ac:dyDescent="0.2"/>
    <row r="34701" ht="12.75" hidden="1" customHeight="1" x14ac:dyDescent="0.2"/>
    <row r="34702" ht="12.75" hidden="1" customHeight="1" x14ac:dyDescent="0.2"/>
    <row r="34703" ht="12.75" hidden="1" customHeight="1" x14ac:dyDescent="0.2"/>
    <row r="34704" ht="12.75" hidden="1" customHeight="1" x14ac:dyDescent="0.2"/>
    <row r="34705" ht="12.75" hidden="1" customHeight="1" x14ac:dyDescent="0.2"/>
    <row r="34706" ht="12.75" hidden="1" customHeight="1" x14ac:dyDescent="0.2"/>
    <row r="34707" ht="12.75" hidden="1" customHeight="1" x14ac:dyDescent="0.2"/>
    <row r="34708" ht="12.75" hidden="1" customHeight="1" x14ac:dyDescent="0.2"/>
    <row r="34709" ht="12.75" hidden="1" customHeight="1" x14ac:dyDescent="0.2"/>
    <row r="34710" ht="12.75" hidden="1" customHeight="1" x14ac:dyDescent="0.2"/>
    <row r="34711" ht="12.75" hidden="1" customHeight="1" x14ac:dyDescent="0.2"/>
    <row r="34712" ht="12.75" hidden="1" customHeight="1" x14ac:dyDescent="0.2"/>
    <row r="34713" ht="12.75" hidden="1" customHeight="1" x14ac:dyDescent="0.2"/>
    <row r="34714" ht="12.75" hidden="1" customHeight="1" x14ac:dyDescent="0.2"/>
    <row r="34715" ht="12.75" hidden="1" customHeight="1" x14ac:dyDescent="0.2"/>
    <row r="34716" ht="12.75" hidden="1" customHeight="1" x14ac:dyDescent="0.2"/>
    <row r="34717" ht="12.75" hidden="1" customHeight="1" x14ac:dyDescent="0.2"/>
    <row r="34718" ht="12.75" hidden="1" customHeight="1" x14ac:dyDescent="0.2"/>
    <row r="34719" ht="12.75" hidden="1" customHeight="1" x14ac:dyDescent="0.2"/>
    <row r="34720" ht="12.75" hidden="1" customHeight="1" x14ac:dyDescent="0.2"/>
    <row r="34721" ht="12.75" hidden="1" customHeight="1" x14ac:dyDescent="0.2"/>
    <row r="34722" ht="12.75" hidden="1" customHeight="1" x14ac:dyDescent="0.2"/>
    <row r="34723" ht="12.75" hidden="1" customHeight="1" x14ac:dyDescent="0.2"/>
    <row r="34724" ht="12.75" hidden="1" customHeight="1" x14ac:dyDescent="0.2"/>
    <row r="34725" ht="12.75" hidden="1" customHeight="1" x14ac:dyDescent="0.2"/>
    <row r="34726" ht="12.75" hidden="1" customHeight="1" x14ac:dyDescent="0.2"/>
    <row r="34727" ht="12.75" hidden="1" customHeight="1" x14ac:dyDescent="0.2"/>
    <row r="34728" ht="12.75" hidden="1" customHeight="1" x14ac:dyDescent="0.2"/>
    <row r="34729" ht="12.75" hidden="1" customHeight="1" x14ac:dyDescent="0.2"/>
    <row r="34730" ht="12.75" hidden="1" customHeight="1" x14ac:dyDescent="0.2"/>
    <row r="34731" ht="12.75" hidden="1" customHeight="1" x14ac:dyDescent="0.2"/>
    <row r="34732" ht="12.75" hidden="1" customHeight="1" x14ac:dyDescent="0.2"/>
    <row r="34733" ht="12.75" hidden="1" customHeight="1" x14ac:dyDescent="0.2"/>
    <row r="34734" ht="12.75" hidden="1" customHeight="1" x14ac:dyDescent="0.2"/>
    <row r="34735" ht="12.75" hidden="1" customHeight="1" x14ac:dyDescent="0.2"/>
    <row r="34736" ht="12.75" hidden="1" customHeight="1" x14ac:dyDescent="0.2"/>
    <row r="34737" ht="12.75" hidden="1" customHeight="1" x14ac:dyDescent="0.2"/>
    <row r="34738" ht="12.75" hidden="1" customHeight="1" x14ac:dyDescent="0.2"/>
    <row r="34739" ht="12.75" hidden="1" customHeight="1" x14ac:dyDescent="0.2"/>
    <row r="34740" ht="12.75" hidden="1" customHeight="1" x14ac:dyDescent="0.2"/>
    <row r="34741" ht="12.75" hidden="1" customHeight="1" x14ac:dyDescent="0.2"/>
    <row r="34742" ht="12.75" hidden="1" customHeight="1" x14ac:dyDescent="0.2"/>
    <row r="34743" ht="12.75" hidden="1" customHeight="1" x14ac:dyDescent="0.2"/>
    <row r="34744" ht="12.75" hidden="1" customHeight="1" x14ac:dyDescent="0.2"/>
    <row r="34745" ht="12.75" hidden="1" customHeight="1" x14ac:dyDescent="0.2"/>
    <row r="34746" ht="12.75" hidden="1" customHeight="1" x14ac:dyDescent="0.2"/>
    <row r="34747" ht="12.75" hidden="1" customHeight="1" x14ac:dyDescent="0.2"/>
    <row r="34748" ht="12.75" hidden="1" customHeight="1" x14ac:dyDescent="0.2"/>
    <row r="34749" ht="12.75" hidden="1" customHeight="1" x14ac:dyDescent="0.2"/>
    <row r="34750" ht="12.75" hidden="1" customHeight="1" x14ac:dyDescent="0.2"/>
    <row r="34751" ht="12.75" hidden="1" customHeight="1" x14ac:dyDescent="0.2"/>
    <row r="34752" ht="12.75" hidden="1" customHeight="1" x14ac:dyDescent="0.2"/>
    <row r="34753" ht="12.75" hidden="1" customHeight="1" x14ac:dyDescent="0.2"/>
    <row r="34754" ht="12.75" hidden="1" customHeight="1" x14ac:dyDescent="0.2"/>
    <row r="34755" ht="12.75" hidden="1" customHeight="1" x14ac:dyDescent="0.2"/>
    <row r="34756" ht="12.75" hidden="1" customHeight="1" x14ac:dyDescent="0.2"/>
    <row r="34757" ht="12.75" hidden="1" customHeight="1" x14ac:dyDescent="0.2"/>
    <row r="34758" ht="12.75" hidden="1" customHeight="1" x14ac:dyDescent="0.2"/>
    <row r="34759" ht="12.75" hidden="1" customHeight="1" x14ac:dyDescent="0.2"/>
    <row r="34760" ht="12.75" hidden="1" customHeight="1" x14ac:dyDescent="0.2"/>
    <row r="34761" ht="12.75" hidden="1" customHeight="1" x14ac:dyDescent="0.2"/>
    <row r="34762" ht="12.75" hidden="1" customHeight="1" x14ac:dyDescent="0.2"/>
    <row r="34763" ht="12.75" hidden="1" customHeight="1" x14ac:dyDescent="0.2"/>
    <row r="34764" ht="12.75" hidden="1" customHeight="1" x14ac:dyDescent="0.2"/>
    <row r="34765" ht="12.75" hidden="1" customHeight="1" x14ac:dyDescent="0.2"/>
    <row r="34766" ht="12.75" hidden="1" customHeight="1" x14ac:dyDescent="0.2"/>
    <row r="34767" ht="12.75" hidden="1" customHeight="1" x14ac:dyDescent="0.2"/>
    <row r="34768" ht="12.75" hidden="1" customHeight="1" x14ac:dyDescent="0.2"/>
    <row r="34769" ht="12.75" hidden="1" customHeight="1" x14ac:dyDescent="0.2"/>
    <row r="34770" ht="12.75" hidden="1" customHeight="1" x14ac:dyDescent="0.2"/>
    <row r="34771" ht="12.75" hidden="1" customHeight="1" x14ac:dyDescent="0.2"/>
    <row r="34772" ht="12.75" hidden="1" customHeight="1" x14ac:dyDescent="0.2"/>
    <row r="34773" ht="12.75" hidden="1" customHeight="1" x14ac:dyDescent="0.2"/>
    <row r="34774" ht="12.75" hidden="1" customHeight="1" x14ac:dyDescent="0.2"/>
    <row r="34775" ht="12.75" hidden="1" customHeight="1" x14ac:dyDescent="0.2"/>
    <row r="34776" ht="12.75" hidden="1" customHeight="1" x14ac:dyDescent="0.2"/>
    <row r="34777" ht="12.75" hidden="1" customHeight="1" x14ac:dyDescent="0.2"/>
    <row r="34778" ht="12.75" hidden="1" customHeight="1" x14ac:dyDescent="0.2"/>
    <row r="34779" ht="12.75" hidden="1" customHeight="1" x14ac:dyDescent="0.2"/>
    <row r="34780" ht="12.75" hidden="1" customHeight="1" x14ac:dyDescent="0.2"/>
    <row r="34781" ht="12.75" hidden="1" customHeight="1" x14ac:dyDescent="0.2"/>
    <row r="34782" ht="12.75" hidden="1" customHeight="1" x14ac:dyDescent="0.2"/>
    <row r="34783" ht="12.75" hidden="1" customHeight="1" x14ac:dyDescent="0.2"/>
    <row r="34784" ht="12.75" hidden="1" customHeight="1" x14ac:dyDescent="0.2"/>
    <row r="34785" ht="12.75" hidden="1" customHeight="1" x14ac:dyDescent="0.2"/>
    <row r="34786" ht="12.75" hidden="1" customHeight="1" x14ac:dyDescent="0.2"/>
    <row r="34787" ht="12.75" hidden="1" customHeight="1" x14ac:dyDescent="0.2"/>
    <row r="34788" ht="12.75" hidden="1" customHeight="1" x14ac:dyDescent="0.2"/>
    <row r="34789" ht="12.75" hidden="1" customHeight="1" x14ac:dyDescent="0.2"/>
    <row r="34790" ht="12.75" hidden="1" customHeight="1" x14ac:dyDescent="0.2"/>
    <row r="34791" ht="12.75" hidden="1" customHeight="1" x14ac:dyDescent="0.2"/>
    <row r="34792" ht="12.75" hidden="1" customHeight="1" x14ac:dyDescent="0.2"/>
    <row r="34793" ht="12.75" hidden="1" customHeight="1" x14ac:dyDescent="0.2"/>
    <row r="34794" ht="12.75" hidden="1" customHeight="1" x14ac:dyDescent="0.2"/>
    <row r="34795" ht="12.75" hidden="1" customHeight="1" x14ac:dyDescent="0.2"/>
    <row r="34796" ht="12.75" hidden="1" customHeight="1" x14ac:dyDescent="0.2"/>
    <row r="34797" ht="12.75" hidden="1" customHeight="1" x14ac:dyDescent="0.2"/>
    <row r="34798" ht="12.75" hidden="1" customHeight="1" x14ac:dyDescent="0.2"/>
    <row r="34799" ht="12.75" hidden="1" customHeight="1" x14ac:dyDescent="0.2"/>
    <row r="34800" ht="12.75" hidden="1" customHeight="1" x14ac:dyDescent="0.2"/>
    <row r="34801" ht="12.75" hidden="1" customHeight="1" x14ac:dyDescent="0.2"/>
    <row r="34802" ht="12.75" hidden="1" customHeight="1" x14ac:dyDescent="0.2"/>
    <row r="34803" ht="12.75" hidden="1" customHeight="1" x14ac:dyDescent="0.2"/>
    <row r="34804" ht="12.75" hidden="1" customHeight="1" x14ac:dyDescent="0.2"/>
    <row r="34805" ht="12.75" hidden="1" customHeight="1" x14ac:dyDescent="0.2"/>
    <row r="34806" ht="12.75" hidden="1" customHeight="1" x14ac:dyDescent="0.2"/>
    <row r="34807" ht="12.75" hidden="1" customHeight="1" x14ac:dyDescent="0.2"/>
    <row r="34808" ht="12.75" hidden="1" customHeight="1" x14ac:dyDescent="0.2"/>
    <row r="34809" ht="12.75" hidden="1" customHeight="1" x14ac:dyDescent="0.2"/>
    <row r="34810" ht="12.75" hidden="1" customHeight="1" x14ac:dyDescent="0.2"/>
    <row r="34811" ht="12.75" hidden="1" customHeight="1" x14ac:dyDescent="0.2"/>
    <row r="34812" ht="12.75" hidden="1" customHeight="1" x14ac:dyDescent="0.2"/>
    <row r="34813" ht="12.75" hidden="1" customHeight="1" x14ac:dyDescent="0.2"/>
    <row r="34814" ht="12.75" hidden="1" customHeight="1" x14ac:dyDescent="0.2"/>
    <row r="34815" ht="12.75" hidden="1" customHeight="1" x14ac:dyDescent="0.2"/>
    <row r="34816" ht="12.75" hidden="1" customHeight="1" x14ac:dyDescent="0.2"/>
    <row r="34817" ht="12.75" hidden="1" customHeight="1" x14ac:dyDescent="0.2"/>
    <row r="34818" ht="12.75" hidden="1" customHeight="1" x14ac:dyDescent="0.2"/>
    <row r="34819" ht="12.75" hidden="1" customHeight="1" x14ac:dyDescent="0.2"/>
    <row r="34820" ht="12.75" hidden="1" customHeight="1" x14ac:dyDescent="0.2"/>
    <row r="34821" ht="12.75" hidden="1" customHeight="1" x14ac:dyDescent="0.2"/>
    <row r="34822" ht="12.75" hidden="1" customHeight="1" x14ac:dyDescent="0.2"/>
    <row r="34823" ht="12.75" hidden="1" customHeight="1" x14ac:dyDescent="0.2"/>
    <row r="34824" ht="12.75" hidden="1" customHeight="1" x14ac:dyDescent="0.2"/>
    <row r="34825" ht="12.75" hidden="1" customHeight="1" x14ac:dyDescent="0.2"/>
    <row r="34826" ht="12.75" hidden="1" customHeight="1" x14ac:dyDescent="0.2"/>
    <row r="34827" ht="12.75" hidden="1" customHeight="1" x14ac:dyDescent="0.2"/>
    <row r="34828" ht="12.75" hidden="1" customHeight="1" x14ac:dyDescent="0.2"/>
    <row r="34829" ht="12.75" hidden="1" customHeight="1" x14ac:dyDescent="0.2"/>
    <row r="34830" ht="12.75" hidden="1" customHeight="1" x14ac:dyDescent="0.2"/>
    <row r="34831" ht="12.75" hidden="1" customHeight="1" x14ac:dyDescent="0.2"/>
    <row r="34832" ht="12.75" hidden="1" customHeight="1" x14ac:dyDescent="0.2"/>
    <row r="34833" ht="12.75" hidden="1" customHeight="1" x14ac:dyDescent="0.2"/>
    <row r="34834" ht="12.75" hidden="1" customHeight="1" x14ac:dyDescent="0.2"/>
    <row r="34835" ht="12.75" hidden="1" customHeight="1" x14ac:dyDescent="0.2"/>
    <row r="34836" ht="12.75" hidden="1" customHeight="1" x14ac:dyDescent="0.2"/>
    <row r="34837" ht="12.75" hidden="1" customHeight="1" x14ac:dyDescent="0.2"/>
    <row r="34838" ht="12.75" hidden="1" customHeight="1" x14ac:dyDescent="0.2"/>
    <row r="34839" ht="12.75" hidden="1" customHeight="1" x14ac:dyDescent="0.2"/>
    <row r="34840" ht="12.75" hidden="1" customHeight="1" x14ac:dyDescent="0.2"/>
    <row r="34841" ht="12.75" hidden="1" customHeight="1" x14ac:dyDescent="0.2"/>
    <row r="34842" ht="12.75" hidden="1" customHeight="1" x14ac:dyDescent="0.2"/>
    <row r="34843" ht="12.75" hidden="1" customHeight="1" x14ac:dyDescent="0.2"/>
    <row r="34844" ht="12.75" hidden="1" customHeight="1" x14ac:dyDescent="0.2"/>
    <row r="34845" ht="12.75" hidden="1" customHeight="1" x14ac:dyDescent="0.2"/>
    <row r="34846" ht="12.75" hidden="1" customHeight="1" x14ac:dyDescent="0.2"/>
    <row r="34847" ht="12.75" hidden="1" customHeight="1" x14ac:dyDescent="0.2"/>
    <row r="34848" ht="12.75" hidden="1" customHeight="1" x14ac:dyDescent="0.2"/>
    <row r="34849" ht="12.75" hidden="1" customHeight="1" x14ac:dyDescent="0.2"/>
    <row r="34850" ht="12.75" hidden="1" customHeight="1" x14ac:dyDescent="0.2"/>
    <row r="34851" ht="12.75" hidden="1" customHeight="1" x14ac:dyDescent="0.2"/>
    <row r="34852" ht="12.75" hidden="1" customHeight="1" x14ac:dyDescent="0.2"/>
    <row r="34853" ht="12.75" hidden="1" customHeight="1" x14ac:dyDescent="0.2"/>
    <row r="34854" ht="12.75" hidden="1" customHeight="1" x14ac:dyDescent="0.2"/>
    <row r="34855" ht="12.75" hidden="1" customHeight="1" x14ac:dyDescent="0.2"/>
    <row r="34856" ht="12.75" hidden="1" customHeight="1" x14ac:dyDescent="0.2"/>
    <row r="34857" ht="12.75" hidden="1" customHeight="1" x14ac:dyDescent="0.2"/>
    <row r="34858" ht="12.75" hidden="1" customHeight="1" x14ac:dyDescent="0.2"/>
    <row r="34859" ht="12.75" hidden="1" customHeight="1" x14ac:dyDescent="0.2"/>
    <row r="34860" ht="12.75" hidden="1" customHeight="1" x14ac:dyDescent="0.2"/>
    <row r="34861" ht="12.75" hidden="1" customHeight="1" x14ac:dyDescent="0.2"/>
    <row r="34862" ht="12.75" hidden="1" customHeight="1" x14ac:dyDescent="0.2"/>
    <row r="34863" ht="12.75" hidden="1" customHeight="1" x14ac:dyDescent="0.2"/>
    <row r="34864" ht="12.75" hidden="1" customHeight="1" x14ac:dyDescent="0.2"/>
    <row r="34865" ht="12.75" hidden="1" customHeight="1" x14ac:dyDescent="0.2"/>
    <row r="34866" ht="12.75" hidden="1" customHeight="1" x14ac:dyDescent="0.2"/>
    <row r="34867" ht="12.75" hidden="1" customHeight="1" x14ac:dyDescent="0.2"/>
    <row r="34868" ht="12.75" hidden="1" customHeight="1" x14ac:dyDescent="0.2"/>
    <row r="34869" ht="12.75" hidden="1" customHeight="1" x14ac:dyDescent="0.2"/>
    <row r="34870" ht="12.75" hidden="1" customHeight="1" x14ac:dyDescent="0.2"/>
    <row r="34871" ht="12.75" hidden="1" customHeight="1" x14ac:dyDescent="0.2"/>
    <row r="34872" ht="12.75" hidden="1" customHeight="1" x14ac:dyDescent="0.2"/>
    <row r="34873" ht="12.75" hidden="1" customHeight="1" x14ac:dyDescent="0.2"/>
    <row r="34874" ht="12.75" hidden="1" customHeight="1" x14ac:dyDescent="0.2"/>
    <row r="34875" ht="12.75" hidden="1" customHeight="1" x14ac:dyDescent="0.2"/>
    <row r="34876" ht="12.75" hidden="1" customHeight="1" x14ac:dyDescent="0.2"/>
    <row r="34877" ht="12.75" hidden="1" customHeight="1" x14ac:dyDescent="0.2"/>
    <row r="34878" ht="12.75" hidden="1" customHeight="1" x14ac:dyDescent="0.2"/>
    <row r="34879" ht="12.75" hidden="1" customHeight="1" x14ac:dyDescent="0.2"/>
    <row r="34880" ht="12.75" hidden="1" customHeight="1" x14ac:dyDescent="0.2"/>
    <row r="34881" ht="12.75" hidden="1" customHeight="1" x14ac:dyDescent="0.2"/>
    <row r="34882" ht="12.75" hidden="1" customHeight="1" x14ac:dyDescent="0.2"/>
    <row r="34883" ht="12.75" hidden="1" customHeight="1" x14ac:dyDescent="0.2"/>
    <row r="34884" ht="12.75" hidden="1" customHeight="1" x14ac:dyDescent="0.2"/>
    <row r="34885" ht="12.75" hidden="1" customHeight="1" x14ac:dyDescent="0.2"/>
    <row r="34886" ht="12.75" hidden="1" customHeight="1" x14ac:dyDescent="0.2"/>
    <row r="34887" ht="12.75" hidden="1" customHeight="1" x14ac:dyDescent="0.2"/>
    <row r="34888" ht="12.75" hidden="1" customHeight="1" x14ac:dyDescent="0.2"/>
    <row r="34889" ht="12.75" hidden="1" customHeight="1" x14ac:dyDescent="0.2"/>
    <row r="34890" ht="12.75" hidden="1" customHeight="1" x14ac:dyDescent="0.2"/>
    <row r="34891" ht="12.75" hidden="1" customHeight="1" x14ac:dyDescent="0.2"/>
    <row r="34892" ht="12.75" hidden="1" customHeight="1" x14ac:dyDescent="0.2"/>
    <row r="34893" ht="12.75" hidden="1" customHeight="1" x14ac:dyDescent="0.2"/>
    <row r="34894" ht="12.75" hidden="1" customHeight="1" x14ac:dyDescent="0.2"/>
    <row r="34895" ht="12.75" hidden="1" customHeight="1" x14ac:dyDescent="0.2"/>
    <row r="34896" ht="12.75" hidden="1" customHeight="1" x14ac:dyDescent="0.2"/>
    <row r="34897" ht="12.75" hidden="1" customHeight="1" x14ac:dyDescent="0.2"/>
    <row r="34898" ht="12.75" hidden="1" customHeight="1" x14ac:dyDescent="0.2"/>
    <row r="34899" ht="12.75" hidden="1" customHeight="1" x14ac:dyDescent="0.2"/>
    <row r="34900" ht="12.75" hidden="1" customHeight="1" x14ac:dyDescent="0.2"/>
    <row r="34901" ht="12.75" hidden="1" customHeight="1" x14ac:dyDescent="0.2"/>
    <row r="34902" ht="12.75" hidden="1" customHeight="1" x14ac:dyDescent="0.2"/>
    <row r="34903" ht="12.75" hidden="1" customHeight="1" x14ac:dyDescent="0.2"/>
    <row r="34904" ht="12.75" hidden="1" customHeight="1" x14ac:dyDescent="0.2"/>
    <row r="34905" ht="12.75" hidden="1" customHeight="1" x14ac:dyDescent="0.2"/>
    <row r="34906" ht="12.75" hidden="1" customHeight="1" x14ac:dyDescent="0.2"/>
    <row r="34907" ht="12.75" hidden="1" customHeight="1" x14ac:dyDescent="0.2"/>
    <row r="34908" ht="12.75" hidden="1" customHeight="1" x14ac:dyDescent="0.2"/>
    <row r="34909" ht="12.75" hidden="1" customHeight="1" x14ac:dyDescent="0.2"/>
    <row r="34910" ht="12.75" hidden="1" customHeight="1" x14ac:dyDescent="0.2"/>
    <row r="34911" ht="12.75" hidden="1" customHeight="1" x14ac:dyDescent="0.2"/>
    <row r="34912" ht="12.75" hidden="1" customHeight="1" x14ac:dyDescent="0.2"/>
    <row r="34913" ht="12.75" hidden="1" customHeight="1" x14ac:dyDescent="0.2"/>
    <row r="34914" ht="12.75" hidden="1" customHeight="1" x14ac:dyDescent="0.2"/>
    <row r="34915" ht="12.75" hidden="1" customHeight="1" x14ac:dyDescent="0.2"/>
    <row r="34916" ht="12.75" hidden="1" customHeight="1" x14ac:dyDescent="0.2"/>
    <row r="34917" ht="12.75" hidden="1" customHeight="1" x14ac:dyDescent="0.2"/>
    <row r="34918" ht="12.75" hidden="1" customHeight="1" x14ac:dyDescent="0.2"/>
    <row r="34919" ht="12.75" hidden="1" customHeight="1" x14ac:dyDescent="0.2"/>
    <row r="34920" ht="12.75" hidden="1" customHeight="1" x14ac:dyDescent="0.2"/>
    <row r="34921" ht="12.75" hidden="1" customHeight="1" x14ac:dyDescent="0.2"/>
    <row r="34922" ht="12.75" hidden="1" customHeight="1" x14ac:dyDescent="0.2"/>
    <row r="34923" ht="12.75" hidden="1" customHeight="1" x14ac:dyDescent="0.2"/>
    <row r="34924" ht="12.75" hidden="1" customHeight="1" x14ac:dyDescent="0.2"/>
    <row r="34925" ht="12.75" hidden="1" customHeight="1" x14ac:dyDescent="0.2"/>
    <row r="34926" ht="12.75" hidden="1" customHeight="1" x14ac:dyDescent="0.2"/>
    <row r="34927" ht="12.75" hidden="1" customHeight="1" x14ac:dyDescent="0.2"/>
    <row r="34928" ht="12.75" hidden="1" customHeight="1" x14ac:dyDescent="0.2"/>
    <row r="34929" ht="12.75" hidden="1" customHeight="1" x14ac:dyDescent="0.2"/>
    <row r="34930" ht="12.75" hidden="1" customHeight="1" x14ac:dyDescent="0.2"/>
    <row r="34931" ht="12.75" hidden="1" customHeight="1" x14ac:dyDescent="0.2"/>
    <row r="34932" ht="12.75" hidden="1" customHeight="1" x14ac:dyDescent="0.2"/>
    <row r="34933" ht="12.75" hidden="1" customHeight="1" x14ac:dyDescent="0.2"/>
    <row r="34934" ht="12.75" hidden="1" customHeight="1" x14ac:dyDescent="0.2"/>
    <row r="34935" ht="12.75" hidden="1" customHeight="1" x14ac:dyDescent="0.2"/>
    <row r="34936" ht="12.75" hidden="1" customHeight="1" x14ac:dyDescent="0.2"/>
    <row r="34937" ht="12.75" hidden="1" customHeight="1" x14ac:dyDescent="0.2"/>
    <row r="34938" ht="12.75" hidden="1" customHeight="1" x14ac:dyDescent="0.2"/>
    <row r="34939" ht="12.75" hidden="1" customHeight="1" x14ac:dyDescent="0.2"/>
    <row r="34940" ht="12.75" hidden="1" customHeight="1" x14ac:dyDescent="0.2"/>
    <row r="34941" ht="12.75" hidden="1" customHeight="1" x14ac:dyDescent="0.2"/>
    <row r="34942" ht="12.75" hidden="1" customHeight="1" x14ac:dyDescent="0.2"/>
    <row r="34943" ht="12.75" hidden="1" customHeight="1" x14ac:dyDescent="0.2"/>
    <row r="34944" ht="12.75" hidden="1" customHeight="1" x14ac:dyDescent="0.2"/>
    <row r="34945" ht="12.75" hidden="1" customHeight="1" x14ac:dyDescent="0.2"/>
    <row r="34946" ht="12.75" hidden="1" customHeight="1" x14ac:dyDescent="0.2"/>
    <row r="34947" ht="12.75" hidden="1" customHeight="1" x14ac:dyDescent="0.2"/>
    <row r="34948" ht="12.75" hidden="1" customHeight="1" x14ac:dyDescent="0.2"/>
    <row r="34949" ht="12.75" hidden="1" customHeight="1" x14ac:dyDescent="0.2"/>
    <row r="34950" ht="12.75" hidden="1" customHeight="1" x14ac:dyDescent="0.2"/>
    <row r="34951" ht="12.75" hidden="1" customHeight="1" x14ac:dyDescent="0.2"/>
    <row r="34952" ht="12.75" hidden="1" customHeight="1" x14ac:dyDescent="0.2"/>
    <row r="34953" ht="12.75" hidden="1" customHeight="1" x14ac:dyDescent="0.2"/>
    <row r="34954" ht="12.75" hidden="1" customHeight="1" x14ac:dyDescent="0.2"/>
    <row r="34955" ht="12.75" hidden="1" customHeight="1" x14ac:dyDescent="0.2"/>
    <row r="34956" ht="12.75" hidden="1" customHeight="1" x14ac:dyDescent="0.2"/>
    <row r="34957" ht="12.75" hidden="1" customHeight="1" x14ac:dyDescent="0.2"/>
    <row r="34958" ht="12.75" hidden="1" customHeight="1" x14ac:dyDescent="0.2"/>
    <row r="34959" ht="12.75" hidden="1" customHeight="1" x14ac:dyDescent="0.2"/>
    <row r="34960" ht="12.75" hidden="1" customHeight="1" x14ac:dyDescent="0.2"/>
    <row r="34961" ht="12.75" hidden="1" customHeight="1" x14ac:dyDescent="0.2"/>
    <row r="34962" ht="12.75" hidden="1" customHeight="1" x14ac:dyDescent="0.2"/>
    <row r="34963" ht="12.75" hidden="1" customHeight="1" x14ac:dyDescent="0.2"/>
    <row r="34964" ht="12.75" hidden="1" customHeight="1" x14ac:dyDescent="0.2"/>
    <row r="34965" ht="12.75" hidden="1" customHeight="1" x14ac:dyDescent="0.2"/>
    <row r="34966" ht="12.75" hidden="1" customHeight="1" x14ac:dyDescent="0.2"/>
    <row r="34967" ht="12.75" hidden="1" customHeight="1" x14ac:dyDescent="0.2"/>
    <row r="34968" ht="12.75" hidden="1" customHeight="1" x14ac:dyDescent="0.2"/>
    <row r="34969" ht="12.75" hidden="1" customHeight="1" x14ac:dyDescent="0.2"/>
    <row r="34970" ht="12.75" hidden="1" customHeight="1" x14ac:dyDescent="0.2"/>
    <row r="34971" ht="12.75" hidden="1" customHeight="1" x14ac:dyDescent="0.2"/>
    <row r="34972" ht="12.75" hidden="1" customHeight="1" x14ac:dyDescent="0.2"/>
    <row r="34973" ht="12.75" hidden="1" customHeight="1" x14ac:dyDescent="0.2"/>
    <row r="34974" ht="12.75" hidden="1" customHeight="1" x14ac:dyDescent="0.2"/>
    <row r="34975" ht="12.75" hidden="1" customHeight="1" x14ac:dyDescent="0.2"/>
    <row r="34976" ht="12.75" hidden="1" customHeight="1" x14ac:dyDescent="0.2"/>
    <row r="34977" ht="12.75" hidden="1" customHeight="1" x14ac:dyDescent="0.2"/>
    <row r="34978" ht="12.75" hidden="1" customHeight="1" x14ac:dyDescent="0.2"/>
    <row r="34979" ht="12.75" hidden="1" customHeight="1" x14ac:dyDescent="0.2"/>
    <row r="34980" ht="12.75" hidden="1" customHeight="1" x14ac:dyDescent="0.2"/>
    <row r="34981" ht="12.75" hidden="1" customHeight="1" x14ac:dyDescent="0.2"/>
    <row r="34982" ht="12.75" hidden="1" customHeight="1" x14ac:dyDescent="0.2"/>
    <row r="34983" ht="12.75" hidden="1" customHeight="1" x14ac:dyDescent="0.2"/>
    <row r="34984" ht="12.75" hidden="1" customHeight="1" x14ac:dyDescent="0.2"/>
    <row r="34985" ht="12.75" hidden="1" customHeight="1" x14ac:dyDescent="0.2"/>
    <row r="34986" ht="12.75" hidden="1" customHeight="1" x14ac:dyDescent="0.2"/>
    <row r="34987" ht="12.75" hidden="1" customHeight="1" x14ac:dyDescent="0.2"/>
    <row r="34988" ht="12.75" hidden="1" customHeight="1" x14ac:dyDescent="0.2"/>
    <row r="34989" ht="12.75" hidden="1" customHeight="1" x14ac:dyDescent="0.2"/>
    <row r="34990" ht="12.75" hidden="1" customHeight="1" x14ac:dyDescent="0.2"/>
    <row r="34991" ht="12.75" hidden="1" customHeight="1" x14ac:dyDescent="0.2"/>
    <row r="34992" ht="12.75" hidden="1" customHeight="1" x14ac:dyDescent="0.2"/>
    <row r="34993" ht="12.75" hidden="1" customHeight="1" x14ac:dyDescent="0.2"/>
    <row r="34994" ht="12.75" hidden="1" customHeight="1" x14ac:dyDescent="0.2"/>
    <row r="34995" ht="12.75" hidden="1" customHeight="1" x14ac:dyDescent="0.2"/>
    <row r="34996" ht="12.75" hidden="1" customHeight="1" x14ac:dyDescent="0.2"/>
    <row r="34997" ht="12.75" hidden="1" customHeight="1" x14ac:dyDescent="0.2"/>
    <row r="34998" ht="12.75" hidden="1" customHeight="1" x14ac:dyDescent="0.2"/>
    <row r="34999" ht="12.75" hidden="1" customHeight="1" x14ac:dyDescent="0.2"/>
    <row r="35000" ht="12.75" hidden="1" customHeight="1" x14ac:dyDescent="0.2"/>
    <row r="35001" ht="12.75" hidden="1" customHeight="1" x14ac:dyDescent="0.2"/>
    <row r="35002" ht="12.75" hidden="1" customHeight="1" x14ac:dyDescent="0.2"/>
    <row r="35003" ht="12.75" hidden="1" customHeight="1" x14ac:dyDescent="0.2"/>
    <row r="35004" ht="12.75" hidden="1" customHeight="1" x14ac:dyDescent="0.2"/>
    <row r="35005" ht="12.75" hidden="1" customHeight="1" x14ac:dyDescent="0.2"/>
    <row r="35006" ht="12.75" hidden="1" customHeight="1" x14ac:dyDescent="0.2"/>
    <row r="35007" ht="12.75" hidden="1" customHeight="1" x14ac:dyDescent="0.2"/>
    <row r="35008" ht="12.75" hidden="1" customHeight="1" x14ac:dyDescent="0.2"/>
    <row r="35009" ht="12.75" hidden="1" customHeight="1" x14ac:dyDescent="0.2"/>
    <row r="35010" ht="12.75" hidden="1" customHeight="1" x14ac:dyDescent="0.2"/>
    <row r="35011" ht="12.75" hidden="1" customHeight="1" x14ac:dyDescent="0.2"/>
    <row r="35012" ht="12.75" hidden="1" customHeight="1" x14ac:dyDescent="0.2"/>
    <row r="35013" ht="12.75" hidden="1" customHeight="1" x14ac:dyDescent="0.2"/>
    <row r="35014" ht="12.75" hidden="1" customHeight="1" x14ac:dyDescent="0.2"/>
    <row r="35015" ht="12.75" hidden="1" customHeight="1" x14ac:dyDescent="0.2"/>
    <row r="35016" ht="12.75" hidden="1" customHeight="1" x14ac:dyDescent="0.2"/>
    <row r="35017" ht="12.75" hidden="1" customHeight="1" x14ac:dyDescent="0.2"/>
    <row r="35018" ht="12.75" hidden="1" customHeight="1" x14ac:dyDescent="0.2"/>
    <row r="35019" ht="12.75" hidden="1" customHeight="1" x14ac:dyDescent="0.2"/>
    <row r="35020" ht="12.75" hidden="1" customHeight="1" x14ac:dyDescent="0.2"/>
    <row r="35021" ht="12.75" hidden="1" customHeight="1" x14ac:dyDescent="0.2"/>
    <row r="35022" ht="12.75" hidden="1" customHeight="1" x14ac:dyDescent="0.2"/>
    <row r="35023" ht="12.75" hidden="1" customHeight="1" x14ac:dyDescent="0.2"/>
    <row r="35024" ht="12.75" hidden="1" customHeight="1" x14ac:dyDescent="0.2"/>
    <row r="35025" ht="12.75" hidden="1" customHeight="1" x14ac:dyDescent="0.2"/>
    <row r="35026" ht="12.75" hidden="1" customHeight="1" x14ac:dyDescent="0.2"/>
    <row r="35027" ht="12.75" hidden="1" customHeight="1" x14ac:dyDescent="0.2"/>
    <row r="35028" ht="12.75" hidden="1" customHeight="1" x14ac:dyDescent="0.2"/>
    <row r="35029" ht="12.75" hidden="1" customHeight="1" x14ac:dyDescent="0.2"/>
    <row r="35030" ht="12.75" hidden="1" customHeight="1" x14ac:dyDescent="0.2"/>
    <row r="35031" ht="12.75" hidden="1" customHeight="1" x14ac:dyDescent="0.2"/>
    <row r="35032" ht="12.75" hidden="1" customHeight="1" x14ac:dyDescent="0.2"/>
    <row r="35033" ht="12.75" hidden="1" customHeight="1" x14ac:dyDescent="0.2"/>
    <row r="35034" ht="12.75" hidden="1" customHeight="1" x14ac:dyDescent="0.2"/>
    <row r="35035" ht="12.75" hidden="1" customHeight="1" x14ac:dyDescent="0.2"/>
    <row r="35036" ht="12.75" hidden="1" customHeight="1" x14ac:dyDescent="0.2"/>
    <row r="35037" ht="12.75" hidden="1" customHeight="1" x14ac:dyDescent="0.2"/>
    <row r="35038" ht="12.75" hidden="1" customHeight="1" x14ac:dyDescent="0.2"/>
    <row r="35039" ht="12.75" hidden="1" customHeight="1" x14ac:dyDescent="0.2"/>
    <row r="35040" ht="12.75" hidden="1" customHeight="1" x14ac:dyDescent="0.2"/>
    <row r="35041" ht="12.75" hidden="1" customHeight="1" x14ac:dyDescent="0.2"/>
    <row r="35042" ht="12.75" hidden="1" customHeight="1" x14ac:dyDescent="0.2"/>
    <row r="35043" ht="12.75" hidden="1" customHeight="1" x14ac:dyDescent="0.2"/>
    <row r="35044" ht="12.75" hidden="1" customHeight="1" x14ac:dyDescent="0.2"/>
    <row r="35045" ht="12.75" hidden="1" customHeight="1" x14ac:dyDescent="0.2"/>
    <row r="35046" ht="12.75" hidden="1" customHeight="1" x14ac:dyDescent="0.2"/>
    <row r="35047" ht="12.75" hidden="1" customHeight="1" x14ac:dyDescent="0.2"/>
    <row r="35048" ht="12.75" hidden="1" customHeight="1" x14ac:dyDescent="0.2"/>
    <row r="35049" ht="12.75" hidden="1" customHeight="1" x14ac:dyDescent="0.2"/>
    <row r="35050" ht="12.75" hidden="1" customHeight="1" x14ac:dyDescent="0.2"/>
    <row r="35051" ht="12.75" hidden="1" customHeight="1" x14ac:dyDescent="0.2"/>
    <row r="35052" ht="12.75" hidden="1" customHeight="1" x14ac:dyDescent="0.2"/>
    <row r="35053" ht="12.75" hidden="1" customHeight="1" x14ac:dyDescent="0.2"/>
    <row r="35054" ht="12.75" hidden="1" customHeight="1" x14ac:dyDescent="0.2"/>
    <row r="35055" ht="12.75" hidden="1" customHeight="1" x14ac:dyDescent="0.2"/>
    <row r="35056" ht="12.75" hidden="1" customHeight="1" x14ac:dyDescent="0.2"/>
    <row r="35057" ht="12.75" hidden="1" customHeight="1" x14ac:dyDescent="0.2"/>
    <row r="35058" ht="12.75" hidden="1" customHeight="1" x14ac:dyDescent="0.2"/>
    <row r="35059" ht="12.75" hidden="1" customHeight="1" x14ac:dyDescent="0.2"/>
    <row r="35060" ht="12.75" hidden="1" customHeight="1" x14ac:dyDescent="0.2"/>
    <row r="35061" ht="12.75" hidden="1" customHeight="1" x14ac:dyDescent="0.2"/>
    <row r="35062" ht="12.75" hidden="1" customHeight="1" x14ac:dyDescent="0.2"/>
    <row r="35063" ht="12.75" hidden="1" customHeight="1" x14ac:dyDescent="0.2"/>
    <row r="35064" ht="12.75" hidden="1" customHeight="1" x14ac:dyDescent="0.2"/>
    <row r="35065" ht="12.75" hidden="1" customHeight="1" x14ac:dyDescent="0.2"/>
    <row r="35066" ht="12.75" hidden="1" customHeight="1" x14ac:dyDescent="0.2"/>
    <row r="35067" ht="12.75" hidden="1" customHeight="1" x14ac:dyDescent="0.2"/>
    <row r="35068" ht="12.75" hidden="1" customHeight="1" x14ac:dyDescent="0.2"/>
    <row r="35069" ht="12.75" hidden="1" customHeight="1" x14ac:dyDescent="0.2"/>
    <row r="35070" ht="12.75" hidden="1" customHeight="1" x14ac:dyDescent="0.2"/>
    <row r="35071" ht="12.75" hidden="1" customHeight="1" x14ac:dyDescent="0.2"/>
    <row r="35072" ht="12.75" hidden="1" customHeight="1" x14ac:dyDescent="0.2"/>
    <row r="35073" ht="12.75" hidden="1" customHeight="1" x14ac:dyDescent="0.2"/>
    <row r="35074" ht="12.75" hidden="1" customHeight="1" x14ac:dyDescent="0.2"/>
    <row r="35075" ht="12.75" hidden="1" customHeight="1" x14ac:dyDescent="0.2"/>
    <row r="35076" ht="12.75" hidden="1" customHeight="1" x14ac:dyDescent="0.2"/>
    <row r="35077" ht="12.75" hidden="1" customHeight="1" x14ac:dyDescent="0.2"/>
    <row r="35078" ht="12.75" hidden="1" customHeight="1" x14ac:dyDescent="0.2"/>
    <row r="35079" ht="12.75" hidden="1" customHeight="1" x14ac:dyDescent="0.2"/>
    <row r="35080" ht="12.75" hidden="1" customHeight="1" x14ac:dyDescent="0.2"/>
    <row r="35081" ht="12.75" hidden="1" customHeight="1" x14ac:dyDescent="0.2"/>
    <row r="35082" ht="12.75" hidden="1" customHeight="1" x14ac:dyDescent="0.2"/>
    <row r="35083" ht="12.75" hidden="1" customHeight="1" x14ac:dyDescent="0.2"/>
    <row r="35084" ht="12.75" hidden="1" customHeight="1" x14ac:dyDescent="0.2"/>
    <row r="35085" ht="12.75" hidden="1" customHeight="1" x14ac:dyDescent="0.2"/>
    <row r="35086" ht="12.75" hidden="1" customHeight="1" x14ac:dyDescent="0.2"/>
    <row r="35087" ht="12.75" hidden="1" customHeight="1" x14ac:dyDescent="0.2"/>
    <row r="35088" ht="12.75" hidden="1" customHeight="1" x14ac:dyDescent="0.2"/>
    <row r="35089" ht="12.75" hidden="1" customHeight="1" x14ac:dyDescent="0.2"/>
    <row r="35090" ht="12.75" hidden="1" customHeight="1" x14ac:dyDescent="0.2"/>
    <row r="35091" ht="12.75" hidden="1" customHeight="1" x14ac:dyDescent="0.2"/>
    <row r="35092" ht="12.75" hidden="1" customHeight="1" x14ac:dyDescent="0.2"/>
    <row r="35093" ht="12.75" hidden="1" customHeight="1" x14ac:dyDescent="0.2"/>
    <row r="35094" ht="12.75" hidden="1" customHeight="1" x14ac:dyDescent="0.2"/>
    <row r="35095" ht="12.75" hidden="1" customHeight="1" x14ac:dyDescent="0.2"/>
    <row r="35096" ht="12.75" hidden="1" customHeight="1" x14ac:dyDescent="0.2"/>
    <row r="35097" ht="12.75" hidden="1" customHeight="1" x14ac:dyDescent="0.2"/>
    <row r="35098" ht="12.75" hidden="1" customHeight="1" x14ac:dyDescent="0.2"/>
    <row r="35099" ht="12.75" hidden="1" customHeight="1" x14ac:dyDescent="0.2"/>
    <row r="35100" ht="12.75" hidden="1" customHeight="1" x14ac:dyDescent="0.2"/>
    <row r="35101" ht="12.75" hidden="1" customHeight="1" x14ac:dyDescent="0.2"/>
    <row r="35102" ht="12.75" hidden="1" customHeight="1" x14ac:dyDescent="0.2"/>
    <row r="35103" ht="12.75" hidden="1" customHeight="1" x14ac:dyDescent="0.2"/>
    <row r="35104" ht="12.75" hidden="1" customHeight="1" x14ac:dyDescent="0.2"/>
    <row r="35105" ht="12.75" hidden="1" customHeight="1" x14ac:dyDescent="0.2"/>
    <row r="35106" ht="12.75" hidden="1" customHeight="1" x14ac:dyDescent="0.2"/>
    <row r="35107" ht="12.75" hidden="1" customHeight="1" x14ac:dyDescent="0.2"/>
    <row r="35108" ht="12.75" hidden="1" customHeight="1" x14ac:dyDescent="0.2"/>
    <row r="35109" ht="12.75" hidden="1" customHeight="1" x14ac:dyDescent="0.2"/>
    <row r="35110" ht="12.75" hidden="1" customHeight="1" x14ac:dyDescent="0.2"/>
    <row r="35111" ht="12.75" hidden="1" customHeight="1" x14ac:dyDescent="0.2"/>
    <row r="35112" ht="12.75" hidden="1" customHeight="1" x14ac:dyDescent="0.2"/>
    <row r="35113" ht="12.75" hidden="1" customHeight="1" x14ac:dyDescent="0.2"/>
    <row r="35114" ht="12.75" hidden="1" customHeight="1" x14ac:dyDescent="0.2"/>
    <row r="35115" ht="12.75" hidden="1" customHeight="1" x14ac:dyDescent="0.2"/>
    <row r="35116" ht="12.75" hidden="1" customHeight="1" x14ac:dyDescent="0.2"/>
    <row r="35117" ht="12.75" hidden="1" customHeight="1" x14ac:dyDescent="0.2"/>
    <row r="35118" ht="12.75" hidden="1" customHeight="1" x14ac:dyDescent="0.2"/>
    <row r="35119" ht="12.75" hidden="1" customHeight="1" x14ac:dyDescent="0.2"/>
    <row r="35120" ht="12.75" hidden="1" customHeight="1" x14ac:dyDescent="0.2"/>
    <row r="35121" ht="12.75" hidden="1" customHeight="1" x14ac:dyDescent="0.2"/>
    <row r="35122" ht="12.75" hidden="1" customHeight="1" x14ac:dyDescent="0.2"/>
    <row r="35123" ht="12.75" hidden="1" customHeight="1" x14ac:dyDescent="0.2"/>
    <row r="35124" ht="12.75" hidden="1" customHeight="1" x14ac:dyDescent="0.2"/>
    <row r="35125" ht="12.75" hidden="1" customHeight="1" x14ac:dyDescent="0.2"/>
    <row r="35126" ht="12.75" hidden="1" customHeight="1" x14ac:dyDescent="0.2"/>
    <row r="35127" ht="12.75" hidden="1" customHeight="1" x14ac:dyDescent="0.2"/>
    <row r="35128" ht="12.75" hidden="1" customHeight="1" x14ac:dyDescent="0.2"/>
    <row r="35129" ht="12.75" hidden="1" customHeight="1" x14ac:dyDescent="0.2"/>
    <row r="35130" ht="12.75" hidden="1" customHeight="1" x14ac:dyDescent="0.2"/>
    <row r="35131" ht="12.75" hidden="1" customHeight="1" x14ac:dyDescent="0.2"/>
    <row r="35132" ht="12.75" hidden="1" customHeight="1" x14ac:dyDescent="0.2"/>
    <row r="35133" ht="12.75" hidden="1" customHeight="1" x14ac:dyDescent="0.2"/>
    <row r="35134" ht="12.75" hidden="1" customHeight="1" x14ac:dyDescent="0.2"/>
    <row r="35135" ht="12.75" hidden="1" customHeight="1" x14ac:dyDescent="0.2"/>
    <row r="35136" ht="12.75" hidden="1" customHeight="1" x14ac:dyDescent="0.2"/>
    <row r="35137" ht="12.75" hidden="1" customHeight="1" x14ac:dyDescent="0.2"/>
    <row r="35138" ht="12.75" hidden="1" customHeight="1" x14ac:dyDescent="0.2"/>
    <row r="35139" ht="12.75" hidden="1" customHeight="1" x14ac:dyDescent="0.2"/>
    <row r="35140" ht="12.75" hidden="1" customHeight="1" x14ac:dyDescent="0.2"/>
    <row r="35141" ht="12.75" hidden="1" customHeight="1" x14ac:dyDescent="0.2"/>
    <row r="35142" ht="12.75" hidden="1" customHeight="1" x14ac:dyDescent="0.2"/>
    <row r="35143" ht="12.75" hidden="1" customHeight="1" x14ac:dyDescent="0.2"/>
    <row r="35144" ht="12.75" hidden="1" customHeight="1" x14ac:dyDescent="0.2"/>
    <row r="35145" ht="12.75" hidden="1" customHeight="1" x14ac:dyDescent="0.2"/>
    <row r="35146" ht="12.75" hidden="1" customHeight="1" x14ac:dyDescent="0.2"/>
    <row r="35147" ht="12.75" hidden="1" customHeight="1" x14ac:dyDescent="0.2"/>
    <row r="35148" ht="12.75" hidden="1" customHeight="1" x14ac:dyDescent="0.2"/>
    <row r="35149" ht="12.75" hidden="1" customHeight="1" x14ac:dyDescent="0.2"/>
    <row r="35150" ht="12.75" hidden="1" customHeight="1" x14ac:dyDescent="0.2"/>
    <row r="35151" ht="12.75" hidden="1" customHeight="1" x14ac:dyDescent="0.2"/>
    <row r="35152" ht="12.75" hidden="1" customHeight="1" x14ac:dyDescent="0.2"/>
    <row r="35153" ht="12.75" hidden="1" customHeight="1" x14ac:dyDescent="0.2"/>
    <row r="35154" ht="12.75" hidden="1" customHeight="1" x14ac:dyDescent="0.2"/>
    <row r="35155" ht="12.75" hidden="1" customHeight="1" x14ac:dyDescent="0.2"/>
    <row r="35156" ht="12.75" hidden="1" customHeight="1" x14ac:dyDescent="0.2"/>
    <row r="35157" ht="12.75" hidden="1" customHeight="1" x14ac:dyDescent="0.2"/>
    <row r="35158" ht="12.75" hidden="1" customHeight="1" x14ac:dyDescent="0.2"/>
    <row r="35159" ht="12.75" hidden="1" customHeight="1" x14ac:dyDescent="0.2"/>
    <row r="35160" ht="12.75" hidden="1" customHeight="1" x14ac:dyDescent="0.2"/>
    <row r="35161" ht="12.75" hidden="1" customHeight="1" x14ac:dyDescent="0.2"/>
    <row r="35162" ht="12.75" hidden="1" customHeight="1" x14ac:dyDescent="0.2"/>
    <row r="35163" ht="12.75" hidden="1" customHeight="1" x14ac:dyDescent="0.2"/>
    <row r="35164" ht="12.75" hidden="1" customHeight="1" x14ac:dyDescent="0.2"/>
    <row r="35165" ht="12.75" hidden="1" customHeight="1" x14ac:dyDescent="0.2"/>
    <row r="35166" ht="12.75" hidden="1" customHeight="1" x14ac:dyDescent="0.2"/>
    <row r="35167" ht="12.75" hidden="1" customHeight="1" x14ac:dyDescent="0.2"/>
    <row r="35168" ht="12.75" hidden="1" customHeight="1" x14ac:dyDescent="0.2"/>
    <row r="35169" ht="12.75" hidden="1" customHeight="1" x14ac:dyDescent="0.2"/>
    <row r="35170" ht="12.75" hidden="1" customHeight="1" x14ac:dyDescent="0.2"/>
    <row r="35171" ht="12.75" hidden="1" customHeight="1" x14ac:dyDescent="0.2"/>
    <row r="35172" ht="12.75" hidden="1" customHeight="1" x14ac:dyDescent="0.2"/>
    <row r="35173" ht="12.75" hidden="1" customHeight="1" x14ac:dyDescent="0.2"/>
    <row r="35174" ht="12.75" hidden="1" customHeight="1" x14ac:dyDescent="0.2"/>
    <row r="35175" ht="12.75" hidden="1" customHeight="1" x14ac:dyDescent="0.2"/>
    <row r="35176" ht="12.75" hidden="1" customHeight="1" x14ac:dyDescent="0.2"/>
    <row r="35177" ht="12.75" hidden="1" customHeight="1" x14ac:dyDescent="0.2"/>
    <row r="35178" ht="12.75" hidden="1" customHeight="1" x14ac:dyDescent="0.2"/>
    <row r="35179" ht="12.75" hidden="1" customHeight="1" x14ac:dyDescent="0.2"/>
    <row r="35180" ht="12.75" hidden="1" customHeight="1" x14ac:dyDescent="0.2"/>
    <row r="35181" ht="12.75" hidden="1" customHeight="1" x14ac:dyDescent="0.2"/>
    <row r="35182" ht="12.75" hidden="1" customHeight="1" x14ac:dyDescent="0.2"/>
    <row r="35183" ht="12.75" hidden="1" customHeight="1" x14ac:dyDescent="0.2"/>
    <row r="35184" ht="12.75" hidden="1" customHeight="1" x14ac:dyDescent="0.2"/>
    <row r="35185" ht="12.75" hidden="1" customHeight="1" x14ac:dyDescent="0.2"/>
    <row r="35186" ht="12.75" hidden="1" customHeight="1" x14ac:dyDescent="0.2"/>
    <row r="35187" ht="12.75" hidden="1" customHeight="1" x14ac:dyDescent="0.2"/>
    <row r="35188" ht="12.75" hidden="1" customHeight="1" x14ac:dyDescent="0.2"/>
    <row r="35189" ht="12.75" hidden="1" customHeight="1" x14ac:dyDescent="0.2"/>
    <row r="35190" ht="12.75" hidden="1" customHeight="1" x14ac:dyDescent="0.2"/>
    <row r="35191" ht="12.75" hidden="1" customHeight="1" x14ac:dyDescent="0.2"/>
    <row r="35192" ht="12.75" hidden="1" customHeight="1" x14ac:dyDescent="0.2"/>
    <row r="35193" ht="12.75" hidden="1" customHeight="1" x14ac:dyDescent="0.2"/>
    <row r="35194" ht="12.75" hidden="1" customHeight="1" x14ac:dyDescent="0.2"/>
    <row r="35195" ht="12.75" hidden="1" customHeight="1" x14ac:dyDescent="0.2"/>
    <row r="35196" ht="12.75" hidden="1" customHeight="1" x14ac:dyDescent="0.2"/>
    <row r="35197" ht="12.75" hidden="1" customHeight="1" x14ac:dyDescent="0.2"/>
    <row r="35198" ht="12.75" hidden="1" customHeight="1" x14ac:dyDescent="0.2"/>
    <row r="35199" ht="12.75" hidden="1" customHeight="1" x14ac:dyDescent="0.2"/>
    <row r="35200" ht="12.75" hidden="1" customHeight="1" x14ac:dyDescent="0.2"/>
    <row r="35201" ht="12.75" hidden="1" customHeight="1" x14ac:dyDescent="0.2"/>
    <row r="35202" ht="12.75" hidden="1" customHeight="1" x14ac:dyDescent="0.2"/>
    <row r="35203" ht="12.75" hidden="1" customHeight="1" x14ac:dyDescent="0.2"/>
    <row r="35204" ht="12.75" hidden="1" customHeight="1" x14ac:dyDescent="0.2"/>
    <row r="35205" ht="12.75" hidden="1" customHeight="1" x14ac:dyDescent="0.2"/>
    <row r="35206" ht="12.75" hidden="1" customHeight="1" x14ac:dyDescent="0.2"/>
    <row r="35207" ht="12.75" hidden="1" customHeight="1" x14ac:dyDescent="0.2"/>
    <row r="35208" ht="12.75" hidden="1" customHeight="1" x14ac:dyDescent="0.2"/>
    <row r="35209" ht="12.75" hidden="1" customHeight="1" x14ac:dyDescent="0.2"/>
    <row r="35210" ht="12.75" hidden="1" customHeight="1" x14ac:dyDescent="0.2"/>
    <row r="35211" ht="12.75" hidden="1" customHeight="1" x14ac:dyDescent="0.2"/>
    <row r="35212" ht="12.75" hidden="1" customHeight="1" x14ac:dyDescent="0.2"/>
    <row r="35213" ht="12.75" hidden="1" customHeight="1" x14ac:dyDescent="0.2"/>
    <row r="35214" ht="12.75" hidden="1" customHeight="1" x14ac:dyDescent="0.2"/>
    <row r="35215" ht="12.75" hidden="1" customHeight="1" x14ac:dyDescent="0.2"/>
    <row r="35216" ht="12.75" hidden="1" customHeight="1" x14ac:dyDescent="0.2"/>
    <row r="35217" ht="12.75" hidden="1" customHeight="1" x14ac:dyDescent="0.2"/>
    <row r="35218" ht="12.75" hidden="1" customHeight="1" x14ac:dyDescent="0.2"/>
    <row r="35219" ht="12.75" hidden="1" customHeight="1" x14ac:dyDescent="0.2"/>
    <row r="35220" ht="12.75" hidden="1" customHeight="1" x14ac:dyDescent="0.2"/>
    <row r="35221" ht="12.75" hidden="1" customHeight="1" x14ac:dyDescent="0.2"/>
    <row r="35222" ht="12.75" hidden="1" customHeight="1" x14ac:dyDescent="0.2"/>
    <row r="35223" ht="12.75" hidden="1" customHeight="1" x14ac:dyDescent="0.2"/>
    <row r="35224" ht="12.75" hidden="1" customHeight="1" x14ac:dyDescent="0.2"/>
    <row r="35225" ht="12.75" hidden="1" customHeight="1" x14ac:dyDescent="0.2"/>
    <row r="35226" ht="12.75" hidden="1" customHeight="1" x14ac:dyDescent="0.2"/>
    <row r="35227" ht="12.75" hidden="1" customHeight="1" x14ac:dyDescent="0.2"/>
    <row r="35228" ht="12.75" hidden="1" customHeight="1" x14ac:dyDescent="0.2"/>
    <row r="35229" ht="12.75" hidden="1" customHeight="1" x14ac:dyDescent="0.2"/>
    <row r="35230" ht="12.75" hidden="1" customHeight="1" x14ac:dyDescent="0.2"/>
    <row r="35231" ht="12.75" hidden="1" customHeight="1" x14ac:dyDescent="0.2"/>
    <row r="35232" ht="12.75" hidden="1" customHeight="1" x14ac:dyDescent="0.2"/>
    <row r="35233" ht="12.75" hidden="1" customHeight="1" x14ac:dyDescent="0.2"/>
    <row r="35234" ht="12.75" hidden="1" customHeight="1" x14ac:dyDescent="0.2"/>
    <row r="35235" ht="12.75" hidden="1" customHeight="1" x14ac:dyDescent="0.2"/>
    <row r="35236" ht="12.75" hidden="1" customHeight="1" x14ac:dyDescent="0.2"/>
    <row r="35237" ht="12.75" hidden="1" customHeight="1" x14ac:dyDescent="0.2"/>
    <row r="35238" ht="12.75" hidden="1" customHeight="1" x14ac:dyDescent="0.2"/>
    <row r="35239" ht="12.75" hidden="1" customHeight="1" x14ac:dyDescent="0.2"/>
    <row r="35240" ht="12.75" hidden="1" customHeight="1" x14ac:dyDescent="0.2"/>
    <row r="35241" ht="12.75" hidden="1" customHeight="1" x14ac:dyDescent="0.2"/>
    <row r="35242" ht="12.75" hidden="1" customHeight="1" x14ac:dyDescent="0.2"/>
    <row r="35243" ht="12.75" hidden="1" customHeight="1" x14ac:dyDescent="0.2"/>
    <row r="35244" ht="12.75" hidden="1" customHeight="1" x14ac:dyDescent="0.2"/>
    <row r="35245" ht="12.75" hidden="1" customHeight="1" x14ac:dyDescent="0.2"/>
    <row r="35246" ht="12.75" hidden="1" customHeight="1" x14ac:dyDescent="0.2"/>
    <row r="35247" ht="12.75" hidden="1" customHeight="1" x14ac:dyDescent="0.2"/>
    <row r="35248" ht="12.75" hidden="1" customHeight="1" x14ac:dyDescent="0.2"/>
    <row r="35249" ht="12.75" hidden="1" customHeight="1" x14ac:dyDescent="0.2"/>
    <row r="35250" ht="12.75" hidden="1" customHeight="1" x14ac:dyDescent="0.2"/>
    <row r="35251" ht="12.75" hidden="1" customHeight="1" x14ac:dyDescent="0.2"/>
    <row r="35252" ht="12.75" hidden="1" customHeight="1" x14ac:dyDescent="0.2"/>
    <row r="35253" ht="12.75" hidden="1" customHeight="1" x14ac:dyDescent="0.2"/>
    <row r="35254" ht="12.75" hidden="1" customHeight="1" x14ac:dyDescent="0.2"/>
    <row r="35255" ht="12.75" hidden="1" customHeight="1" x14ac:dyDescent="0.2"/>
    <row r="35256" ht="12.75" hidden="1" customHeight="1" x14ac:dyDescent="0.2"/>
    <row r="35257" ht="12.75" hidden="1" customHeight="1" x14ac:dyDescent="0.2"/>
    <row r="35258" ht="12.75" hidden="1" customHeight="1" x14ac:dyDescent="0.2"/>
    <row r="35259" ht="12.75" hidden="1" customHeight="1" x14ac:dyDescent="0.2"/>
    <row r="35260" ht="12.75" hidden="1" customHeight="1" x14ac:dyDescent="0.2"/>
    <row r="35261" ht="12.75" hidden="1" customHeight="1" x14ac:dyDescent="0.2"/>
    <row r="35262" ht="12.75" hidden="1" customHeight="1" x14ac:dyDescent="0.2"/>
    <row r="35263" ht="12.75" hidden="1" customHeight="1" x14ac:dyDescent="0.2"/>
    <row r="35264" ht="12.75" hidden="1" customHeight="1" x14ac:dyDescent="0.2"/>
    <row r="35265" ht="12.75" hidden="1" customHeight="1" x14ac:dyDescent="0.2"/>
    <row r="35266" ht="12.75" hidden="1" customHeight="1" x14ac:dyDescent="0.2"/>
    <row r="35267" ht="12.75" hidden="1" customHeight="1" x14ac:dyDescent="0.2"/>
    <row r="35268" ht="12.75" hidden="1" customHeight="1" x14ac:dyDescent="0.2"/>
    <row r="35269" ht="12.75" hidden="1" customHeight="1" x14ac:dyDescent="0.2"/>
    <row r="35270" ht="12.75" hidden="1" customHeight="1" x14ac:dyDescent="0.2"/>
    <row r="35271" ht="12.75" hidden="1" customHeight="1" x14ac:dyDescent="0.2"/>
    <row r="35272" ht="12.75" hidden="1" customHeight="1" x14ac:dyDescent="0.2"/>
    <row r="35273" ht="12.75" hidden="1" customHeight="1" x14ac:dyDescent="0.2"/>
    <row r="35274" ht="12.75" hidden="1" customHeight="1" x14ac:dyDescent="0.2"/>
    <row r="35275" ht="12.75" hidden="1" customHeight="1" x14ac:dyDescent="0.2"/>
    <row r="35276" ht="12.75" hidden="1" customHeight="1" x14ac:dyDescent="0.2"/>
    <row r="35277" ht="12.75" hidden="1" customHeight="1" x14ac:dyDescent="0.2"/>
    <row r="35278" ht="12.75" hidden="1" customHeight="1" x14ac:dyDescent="0.2"/>
    <row r="35279" ht="12.75" hidden="1" customHeight="1" x14ac:dyDescent="0.2"/>
    <row r="35280" ht="12.75" hidden="1" customHeight="1" x14ac:dyDescent="0.2"/>
    <row r="35281" ht="12.75" hidden="1" customHeight="1" x14ac:dyDescent="0.2"/>
    <row r="35282" ht="12.75" hidden="1" customHeight="1" x14ac:dyDescent="0.2"/>
    <row r="35283" ht="12.75" hidden="1" customHeight="1" x14ac:dyDescent="0.2"/>
    <row r="35284" ht="12.75" hidden="1" customHeight="1" x14ac:dyDescent="0.2"/>
    <row r="35285" ht="12.75" hidden="1" customHeight="1" x14ac:dyDescent="0.2"/>
    <row r="35286" ht="12.75" hidden="1" customHeight="1" x14ac:dyDescent="0.2"/>
    <row r="35287" ht="12.75" hidden="1" customHeight="1" x14ac:dyDescent="0.2"/>
    <row r="35288" ht="12.75" hidden="1" customHeight="1" x14ac:dyDescent="0.2"/>
    <row r="35289" ht="12.75" hidden="1" customHeight="1" x14ac:dyDescent="0.2"/>
    <row r="35290" ht="12.75" hidden="1" customHeight="1" x14ac:dyDescent="0.2"/>
    <row r="35291" ht="12.75" hidden="1" customHeight="1" x14ac:dyDescent="0.2"/>
    <row r="35292" ht="12.75" hidden="1" customHeight="1" x14ac:dyDescent="0.2"/>
    <row r="35293" ht="12.75" hidden="1" customHeight="1" x14ac:dyDescent="0.2"/>
    <row r="35294" ht="12.75" hidden="1" customHeight="1" x14ac:dyDescent="0.2"/>
    <row r="35295" ht="12.75" hidden="1" customHeight="1" x14ac:dyDescent="0.2"/>
    <row r="35296" ht="12.75" hidden="1" customHeight="1" x14ac:dyDescent="0.2"/>
    <row r="35297" ht="12.75" hidden="1" customHeight="1" x14ac:dyDescent="0.2"/>
    <row r="35298" ht="12.75" hidden="1" customHeight="1" x14ac:dyDescent="0.2"/>
    <row r="35299" ht="12.75" hidden="1" customHeight="1" x14ac:dyDescent="0.2"/>
    <row r="35300" ht="12.75" hidden="1" customHeight="1" x14ac:dyDescent="0.2"/>
    <row r="35301" ht="12.75" hidden="1" customHeight="1" x14ac:dyDescent="0.2"/>
    <row r="35302" ht="12.75" hidden="1" customHeight="1" x14ac:dyDescent="0.2"/>
    <row r="35303" ht="12.75" hidden="1" customHeight="1" x14ac:dyDescent="0.2"/>
    <row r="35304" ht="12.75" hidden="1" customHeight="1" x14ac:dyDescent="0.2"/>
    <row r="35305" ht="12.75" hidden="1" customHeight="1" x14ac:dyDescent="0.2"/>
    <row r="35306" ht="12.75" hidden="1" customHeight="1" x14ac:dyDescent="0.2"/>
    <row r="35307" ht="12.75" hidden="1" customHeight="1" x14ac:dyDescent="0.2"/>
    <row r="35308" ht="12.75" hidden="1" customHeight="1" x14ac:dyDescent="0.2"/>
    <row r="35309" ht="12.75" hidden="1" customHeight="1" x14ac:dyDescent="0.2"/>
    <row r="35310" ht="12.75" hidden="1" customHeight="1" x14ac:dyDescent="0.2"/>
    <row r="35311" ht="12.75" hidden="1" customHeight="1" x14ac:dyDescent="0.2"/>
    <row r="35312" ht="12.75" hidden="1" customHeight="1" x14ac:dyDescent="0.2"/>
    <row r="35313" ht="12.75" hidden="1" customHeight="1" x14ac:dyDescent="0.2"/>
    <row r="35314" ht="12.75" hidden="1" customHeight="1" x14ac:dyDescent="0.2"/>
    <row r="35315" ht="12.75" hidden="1" customHeight="1" x14ac:dyDescent="0.2"/>
    <row r="35316" ht="12.75" hidden="1" customHeight="1" x14ac:dyDescent="0.2"/>
    <row r="35317" ht="12.75" hidden="1" customHeight="1" x14ac:dyDescent="0.2"/>
    <row r="35318" ht="12.75" hidden="1" customHeight="1" x14ac:dyDescent="0.2"/>
    <row r="35319" ht="12.75" hidden="1" customHeight="1" x14ac:dyDescent="0.2"/>
    <row r="35320" ht="12.75" hidden="1" customHeight="1" x14ac:dyDescent="0.2"/>
    <row r="35321" ht="12.75" hidden="1" customHeight="1" x14ac:dyDescent="0.2"/>
    <row r="35322" ht="12.75" hidden="1" customHeight="1" x14ac:dyDescent="0.2"/>
    <row r="35323" ht="12.75" hidden="1" customHeight="1" x14ac:dyDescent="0.2"/>
    <row r="35324" ht="12.75" hidden="1" customHeight="1" x14ac:dyDescent="0.2"/>
    <row r="35325" ht="12.75" hidden="1" customHeight="1" x14ac:dyDescent="0.2"/>
    <row r="35326" ht="12.75" hidden="1" customHeight="1" x14ac:dyDescent="0.2"/>
    <row r="35327" ht="12.75" hidden="1" customHeight="1" x14ac:dyDescent="0.2"/>
    <row r="35328" ht="12.75" hidden="1" customHeight="1" x14ac:dyDescent="0.2"/>
    <row r="35329" ht="12.75" hidden="1" customHeight="1" x14ac:dyDescent="0.2"/>
    <row r="35330" ht="12.75" hidden="1" customHeight="1" x14ac:dyDescent="0.2"/>
    <row r="35331" ht="12.75" hidden="1" customHeight="1" x14ac:dyDescent="0.2"/>
    <row r="35332" ht="12.75" hidden="1" customHeight="1" x14ac:dyDescent="0.2"/>
    <row r="35333" ht="12.75" hidden="1" customHeight="1" x14ac:dyDescent="0.2"/>
    <row r="35334" ht="12.75" hidden="1" customHeight="1" x14ac:dyDescent="0.2"/>
    <row r="35335" ht="12.75" hidden="1" customHeight="1" x14ac:dyDescent="0.2"/>
    <row r="35336" ht="12.75" hidden="1" customHeight="1" x14ac:dyDescent="0.2"/>
    <row r="35337" ht="12.75" hidden="1" customHeight="1" x14ac:dyDescent="0.2"/>
    <row r="35338" ht="12.75" hidden="1" customHeight="1" x14ac:dyDescent="0.2"/>
    <row r="35339" ht="12.75" hidden="1" customHeight="1" x14ac:dyDescent="0.2"/>
    <row r="35340" ht="12.75" hidden="1" customHeight="1" x14ac:dyDescent="0.2"/>
    <row r="35341" ht="12.75" hidden="1" customHeight="1" x14ac:dyDescent="0.2"/>
    <row r="35342" ht="12.75" hidden="1" customHeight="1" x14ac:dyDescent="0.2"/>
    <row r="35343" ht="12.75" hidden="1" customHeight="1" x14ac:dyDescent="0.2"/>
    <row r="35344" ht="12.75" hidden="1" customHeight="1" x14ac:dyDescent="0.2"/>
    <row r="35345" ht="12.75" hidden="1" customHeight="1" x14ac:dyDescent="0.2"/>
    <row r="35346" ht="12.75" hidden="1" customHeight="1" x14ac:dyDescent="0.2"/>
    <row r="35347" ht="12.75" hidden="1" customHeight="1" x14ac:dyDescent="0.2"/>
    <row r="35348" ht="12.75" hidden="1" customHeight="1" x14ac:dyDescent="0.2"/>
    <row r="35349" ht="12.75" hidden="1" customHeight="1" x14ac:dyDescent="0.2"/>
    <row r="35350" ht="12.75" hidden="1" customHeight="1" x14ac:dyDescent="0.2"/>
    <row r="35351" ht="12.75" hidden="1" customHeight="1" x14ac:dyDescent="0.2"/>
    <row r="35352" ht="12.75" hidden="1" customHeight="1" x14ac:dyDescent="0.2"/>
    <row r="35353" ht="12.75" hidden="1" customHeight="1" x14ac:dyDescent="0.2"/>
    <row r="35354" ht="12.75" hidden="1" customHeight="1" x14ac:dyDescent="0.2"/>
    <row r="35355" ht="12.75" hidden="1" customHeight="1" x14ac:dyDescent="0.2"/>
    <row r="35356" ht="12.75" hidden="1" customHeight="1" x14ac:dyDescent="0.2"/>
    <row r="35357" ht="12.75" hidden="1" customHeight="1" x14ac:dyDescent="0.2"/>
    <row r="35358" ht="12.75" hidden="1" customHeight="1" x14ac:dyDescent="0.2"/>
    <row r="35359" ht="12.75" hidden="1" customHeight="1" x14ac:dyDescent="0.2"/>
    <row r="35360" ht="12.75" hidden="1" customHeight="1" x14ac:dyDescent="0.2"/>
    <row r="35361" ht="12.75" hidden="1" customHeight="1" x14ac:dyDescent="0.2"/>
    <row r="35362" ht="12.75" hidden="1" customHeight="1" x14ac:dyDescent="0.2"/>
    <row r="35363" ht="12.75" hidden="1" customHeight="1" x14ac:dyDescent="0.2"/>
    <row r="35364" ht="12.75" hidden="1" customHeight="1" x14ac:dyDescent="0.2"/>
    <row r="35365" ht="12.75" hidden="1" customHeight="1" x14ac:dyDescent="0.2"/>
    <row r="35366" ht="12.75" hidden="1" customHeight="1" x14ac:dyDescent="0.2"/>
    <row r="35367" ht="12.75" hidden="1" customHeight="1" x14ac:dyDescent="0.2"/>
    <row r="35368" ht="12.75" hidden="1" customHeight="1" x14ac:dyDescent="0.2"/>
    <row r="35369" ht="12.75" hidden="1" customHeight="1" x14ac:dyDescent="0.2"/>
    <row r="35370" ht="12.75" hidden="1" customHeight="1" x14ac:dyDescent="0.2"/>
    <row r="35371" ht="12.75" hidden="1" customHeight="1" x14ac:dyDescent="0.2"/>
    <row r="35372" ht="12.75" hidden="1" customHeight="1" x14ac:dyDescent="0.2"/>
    <row r="35373" ht="12.75" hidden="1" customHeight="1" x14ac:dyDescent="0.2"/>
    <row r="35374" ht="12.75" hidden="1" customHeight="1" x14ac:dyDescent="0.2"/>
    <row r="35375" ht="12.75" hidden="1" customHeight="1" x14ac:dyDescent="0.2"/>
    <row r="35376" ht="12.75" hidden="1" customHeight="1" x14ac:dyDescent="0.2"/>
    <row r="35377" ht="12.75" hidden="1" customHeight="1" x14ac:dyDescent="0.2"/>
    <row r="35378" ht="12.75" hidden="1" customHeight="1" x14ac:dyDescent="0.2"/>
    <row r="35379" ht="12.75" hidden="1" customHeight="1" x14ac:dyDescent="0.2"/>
    <row r="35380" ht="12.75" hidden="1" customHeight="1" x14ac:dyDescent="0.2"/>
    <row r="35381" ht="12.75" hidden="1" customHeight="1" x14ac:dyDescent="0.2"/>
    <row r="35382" ht="12.75" hidden="1" customHeight="1" x14ac:dyDescent="0.2"/>
    <row r="35383" ht="12.75" hidden="1" customHeight="1" x14ac:dyDescent="0.2"/>
    <row r="35384" ht="12.75" hidden="1" customHeight="1" x14ac:dyDescent="0.2"/>
    <row r="35385" ht="12.75" hidden="1" customHeight="1" x14ac:dyDescent="0.2"/>
    <row r="35386" ht="12.75" hidden="1" customHeight="1" x14ac:dyDescent="0.2"/>
    <row r="35387" ht="12.75" hidden="1" customHeight="1" x14ac:dyDescent="0.2"/>
    <row r="35388" ht="12.75" hidden="1" customHeight="1" x14ac:dyDescent="0.2"/>
    <row r="35389" ht="12.75" hidden="1" customHeight="1" x14ac:dyDescent="0.2"/>
    <row r="35390" ht="12.75" hidden="1" customHeight="1" x14ac:dyDescent="0.2"/>
    <row r="35391" ht="12.75" hidden="1" customHeight="1" x14ac:dyDescent="0.2"/>
    <row r="35392" ht="12.75" hidden="1" customHeight="1" x14ac:dyDescent="0.2"/>
    <row r="35393" ht="12.75" hidden="1" customHeight="1" x14ac:dyDescent="0.2"/>
    <row r="35394" ht="12.75" hidden="1" customHeight="1" x14ac:dyDescent="0.2"/>
    <row r="35395" ht="12.75" hidden="1" customHeight="1" x14ac:dyDescent="0.2"/>
    <row r="35396" ht="12.75" hidden="1" customHeight="1" x14ac:dyDescent="0.2"/>
    <row r="35397" ht="12.75" hidden="1" customHeight="1" x14ac:dyDescent="0.2"/>
    <row r="35398" ht="12.75" hidden="1" customHeight="1" x14ac:dyDescent="0.2"/>
    <row r="35399" ht="12.75" hidden="1" customHeight="1" x14ac:dyDescent="0.2"/>
    <row r="35400" ht="12.75" hidden="1" customHeight="1" x14ac:dyDescent="0.2"/>
    <row r="35401" ht="12.75" hidden="1" customHeight="1" x14ac:dyDescent="0.2"/>
    <row r="35402" ht="12.75" hidden="1" customHeight="1" x14ac:dyDescent="0.2"/>
    <row r="35403" ht="12.75" hidden="1" customHeight="1" x14ac:dyDescent="0.2"/>
    <row r="35404" ht="12.75" hidden="1" customHeight="1" x14ac:dyDescent="0.2"/>
    <row r="35405" ht="12.75" hidden="1" customHeight="1" x14ac:dyDescent="0.2"/>
    <row r="35406" ht="12.75" hidden="1" customHeight="1" x14ac:dyDescent="0.2"/>
    <row r="35407" ht="12.75" hidden="1" customHeight="1" x14ac:dyDescent="0.2"/>
    <row r="35408" ht="12.75" hidden="1" customHeight="1" x14ac:dyDescent="0.2"/>
    <row r="35409" ht="12.75" hidden="1" customHeight="1" x14ac:dyDescent="0.2"/>
    <row r="35410" ht="12.75" hidden="1" customHeight="1" x14ac:dyDescent="0.2"/>
    <row r="35411" ht="12.75" hidden="1" customHeight="1" x14ac:dyDescent="0.2"/>
    <row r="35412" ht="12.75" hidden="1" customHeight="1" x14ac:dyDescent="0.2"/>
    <row r="35413" ht="12.75" hidden="1" customHeight="1" x14ac:dyDescent="0.2"/>
    <row r="35414" ht="12.75" hidden="1" customHeight="1" x14ac:dyDescent="0.2"/>
    <row r="35415" ht="12.75" hidden="1" customHeight="1" x14ac:dyDescent="0.2"/>
    <row r="35416" ht="12.75" hidden="1" customHeight="1" x14ac:dyDescent="0.2"/>
    <row r="35417" ht="12.75" hidden="1" customHeight="1" x14ac:dyDescent="0.2"/>
    <row r="35418" ht="12.75" hidden="1" customHeight="1" x14ac:dyDescent="0.2"/>
    <row r="35419" ht="12.75" hidden="1" customHeight="1" x14ac:dyDescent="0.2"/>
    <row r="35420" ht="12.75" hidden="1" customHeight="1" x14ac:dyDescent="0.2"/>
    <row r="35421" ht="12.75" hidden="1" customHeight="1" x14ac:dyDescent="0.2"/>
    <row r="35422" ht="12.75" hidden="1" customHeight="1" x14ac:dyDescent="0.2"/>
    <row r="35423" ht="12.75" hidden="1" customHeight="1" x14ac:dyDescent="0.2"/>
    <row r="35424" ht="12.75" hidden="1" customHeight="1" x14ac:dyDescent="0.2"/>
    <row r="35425" ht="12.75" hidden="1" customHeight="1" x14ac:dyDescent="0.2"/>
    <row r="35426" ht="12.75" hidden="1" customHeight="1" x14ac:dyDescent="0.2"/>
    <row r="35427" ht="12.75" hidden="1" customHeight="1" x14ac:dyDescent="0.2"/>
    <row r="35428" ht="12.75" hidden="1" customHeight="1" x14ac:dyDescent="0.2"/>
    <row r="35429" ht="12.75" hidden="1" customHeight="1" x14ac:dyDescent="0.2"/>
    <row r="35430" ht="12.75" hidden="1" customHeight="1" x14ac:dyDescent="0.2"/>
    <row r="35431" ht="12.75" hidden="1" customHeight="1" x14ac:dyDescent="0.2"/>
    <row r="35432" ht="12.75" hidden="1" customHeight="1" x14ac:dyDescent="0.2"/>
    <row r="35433" ht="12.75" hidden="1" customHeight="1" x14ac:dyDescent="0.2"/>
    <row r="35434" ht="12.75" hidden="1" customHeight="1" x14ac:dyDescent="0.2"/>
    <row r="35435" ht="12.75" hidden="1" customHeight="1" x14ac:dyDescent="0.2"/>
    <row r="35436" ht="12.75" hidden="1" customHeight="1" x14ac:dyDescent="0.2"/>
    <row r="35437" ht="12.75" hidden="1" customHeight="1" x14ac:dyDescent="0.2"/>
    <row r="35438" ht="12.75" hidden="1" customHeight="1" x14ac:dyDescent="0.2"/>
    <row r="35439" ht="12.75" hidden="1" customHeight="1" x14ac:dyDescent="0.2"/>
    <row r="35440" ht="12.75" hidden="1" customHeight="1" x14ac:dyDescent="0.2"/>
    <row r="35441" ht="12.75" hidden="1" customHeight="1" x14ac:dyDescent="0.2"/>
    <row r="35442" ht="12.75" hidden="1" customHeight="1" x14ac:dyDescent="0.2"/>
    <row r="35443" ht="12.75" hidden="1" customHeight="1" x14ac:dyDescent="0.2"/>
    <row r="35444" ht="12.75" hidden="1" customHeight="1" x14ac:dyDescent="0.2"/>
    <row r="35445" ht="12.75" hidden="1" customHeight="1" x14ac:dyDescent="0.2"/>
    <row r="35446" ht="12.75" hidden="1" customHeight="1" x14ac:dyDescent="0.2"/>
    <row r="35447" ht="12.75" hidden="1" customHeight="1" x14ac:dyDescent="0.2"/>
    <row r="35448" ht="12.75" hidden="1" customHeight="1" x14ac:dyDescent="0.2"/>
    <row r="35449" ht="12.75" hidden="1" customHeight="1" x14ac:dyDescent="0.2"/>
    <row r="35450" ht="12.75" hidden="1" customHeight="1" x14ac:dyDescent="0.2"/>
    <row r="35451" ht="12.75" hidden="1" customHeight="1" x14ac:dyDescent="0.2"/>
    <row r="35452" ht="12.75" hidden="1" customHeight="1" x14ac:dyDescent="0.2"/>
    <row r="35453" ht="12.75" hidden="1" customHeight="1" x14ac:dyDescent="0.2"/>
    <row r="35454" ht="12.75" hidden="1" customHeight="1" x14ac:dyDescent="0.2"/>
    <row r="35455" ht="12.75" hidden="1" customHeight="1" x14ac:dyDescent="0.2"/>
    <row r="35456" ht="12.75" hidden="1" customHeight="1" x14ac:dyDescent="0.2"/>
    <row r="35457" ht="12.75" hidden="1" customHeight="1" x14ac:dyDescent="0.2"/>
    <row r="35458" ht="12.75" hidden="1" customHeight="1" x14ac:dyDescent="0.2"/>
    <row r="35459" ht="12.75" hidden="1" customHeight="1" x14ac:dyDescent="0.2"/>
    <row r="35460" ht="12.75" hidden="1" customHeight="1" x14ac:dyDescent="0.2"/>
    <row r="35461" ht="12.75" hidden="1" customHeight="1" x14ac:dyDescent="0.2"/>
    <row r="35462" ht="12.75" hidden="1" customHeight="1" x14ac:dyDescent="0.2"/>
    <row r="35463" ht="12.75" hidden="1" customHeight="1" x14ac:dyDescent="0.2"/>
    <row r="35464" ht="12.75" hidden="1" customHeight="1" x14ac:dyDescent="0.2"/>
    <row r="35465" ht="12.75" hidden="1" customHeight="1" x14ac:dyDescent="0.2"/>
    <row r="35466" ht="12.75" hidden="1" customHeight="1" x14ac:dyDescent="0.2"/>
    <row r="35467" ht="12.75" hidden="1" customHeight="1" x14ac:dyDescent="0.2"/>
    <row r="35468" ht="12.75" hidden="1" customHeight="1" x14ac:dyDescent="0.2"/>
    <row r="35469" ht="12.75" hidden="1" customHeight="1" x14ac:dyDescent="0.2"/>
    <row r="35470" ht="12.75" hidden="1" customHeight="1" x14ac:dyDescent="0.2"/>
    <row r="35471" ht="12.75" hidden="1" customHeight="1" x14ac:dyDescent="0.2"/>
    <row r="35472" ht="12.75" hidden="1" customHeight="1" x14ac:dyDescent="0.2"/>
    <row r="35473" ht="12.75" hidden="1" customHeight="1" x14ac:dyDescent="0.2"/>
    <row r="35474" ht="12.75" hidden="1" customHeight="1" x14ac:dyDescent="0.2"/>
    <row r="35475" ht="12.75" hidden="1" customHeight="1" x14ac:dyDescent="0.2"/>
    <row r="35476" ht="12.75" hidden="1" customHeight="1" x14ac:dyDescent="0.2"/>
    <row r="35477" ht="12.75" hidden="1" customHeight="1" x14ac:dyDescent="0.2"/>
    <row r="35478" ht="12.75" hidden="1" customHeight="1" x14ac:dyDescent="0.2"/>
    <row r="35479" ht="12.75" hidden="1" customHeight="1" x14ac:dyDescent="0.2"/>
    <row r="35480" ht="12.75" hidden="1" customHeight="1" x14ac:dyDescent="0.2"/>
    <row r="35481" ht="12.75" hidden="1" customHeight="1" x14ac:dyDescent="0.2"/>
    <row r="35482" ht="12.75" hidden="1" customHeight="1" x14ac:dyDescent="0.2"/>
    <row r="35483" ht="12.75" hidden="1" customHeight="1" x14ac:dyDescent="0.2"/>
    <row r="35484" ht="12.75" hidden="1" customHeight="1" x14ac:dyDescent="0.2"/>
    <row r="35485" ht="12.75" hidden="1" customHeight="1" x14ac:dyDescent="0.2"/>
    <row r="35486" ht="12.75" hidden="1" customHeight="1" x14ac:dyDescent="0.2"/>
    <row r="35487" ht="12.75" hidden="1" customHeight="1" x14ac:dyDescent="0.2"/>
    <row r="35488" ht="12.75" hidden="1" customHeight="1" x14ac:dyDescent="0.2"/>
    <row r="35489" ht="12.75" hidden="1" customHeight="1" x14ac:dyDescent="0.2"/>
    <row r="35490" ht="12.75" hidden="1" customHeight="1" x14ac:dyDescent="0.2"/>
    <row r="35491" ht="12.75" hidden="1" customHeight="1" x14ac:dyDescent="0.2"/>
    <row r="35492" ht="12.75" hidden="1" customHeight="1" x14ac:dyDescent="0.2"/>
    <row r="35493" ht="12.75" hidden="1" customHeight="1" x14ac:dyDescent="0.2"/>
    <row r="35494" ht="12.75" hidden="1" customHeight="1" x14ac:dyDescent="0.2"/>
    <row r="35495" ht="12.75" hidden="1" customHeight="1" x14ac:dyDescent="0.2"/>
    <row r="35496" ht="12.75" hidden="1" customHeight="1" x14ac:dyDescent="0.2"/>
    <row r="35497" ht="12.75" hidden="1" customHeight="1" x14ac:dyDescent="0.2"/>
    <row r="35498" ht="12.75" hidden="1" customHeight="1" x14ac:dyDescent="0.2"/>
    <row r="35499" ht="12.75" hidden="1" customHeight="1" x14ac:dyDescent="0.2"/>
    <row r="35500" ht="12.75" hidden="1" customHeight="1" x14ac:dyDescent="0.2"/>
    <row r="35501" ht="12.75" hidden="1" customHeight="1" x14ac:dyDescent="0.2"/>
    <row r="35502" ht="12.75" hidden="1" customHeight="1" x14ac:dyDescent="0.2"/>
    <row r="35503" ht="12.75" hidden="1" customHeight="1" x14ac:dyDescent="0.2"/>
    <row r="35504" ht="12.75" hidden="1" customHeight="1" x14ac:dyDescent="0.2"/>
    <row r="35505" ht="12.75" hidden="1" customHeight="1" x14ac:dyDescent="0.2"/>
    <row r="35506" ht="12.75" hidden="1" customHeight="1" x14ac:dyDescent="0.2"/>
    <row r="35507" ht="12.75" hidden="1" customHeight="1" x14ac:dyDescent="0.2"/>
    <row r="35508" ht="12.75" hidden="1" customHeight="1" x14ac:dyDescent="0.2"/>
    <row r="35509" ht="12.75" hidden="1" customHeight="1" x14ac:dyDescent="0.2"/>
    <row r="35510" ht="12.75" hidden="1" customHeight="1" x14ac:dyDescent="0.2"/>
    <row r="35511" ht="12.75" hidden="1" customHeight="1" x14ac:dyDescent="0.2"/>
    <row r="35512" ht="12.75" hidden="1" customHeight="1" x14ac:dyDescent="0.2"/>
    <row r="35513" ht="12.75" hidden="1" customHeight="1" x14ac:dyDescent="0.2"/>
    <row r="35514" ht="12.75" hidden="1" customHeight="1" x14ac:dyDescent="0.2"/>
    <row r="35515" ht="12.75" hidden="1" customHeight="1" x14ac:dyDescent="0.2"/>
    <row r="35516" ht="12.75" hidden="1" customHeight="1" x14ac:dyDescent="0.2"/>
    <row r="35517" ht="12.75" hidden="1" customHeight="1" x14ac:dyDescent="0.2"/>
    <row r="35518" ht="12.75" hidden="1" customHeight="1" x14ac:dyDescent="0.2"/>
    <row r="35519" ht="12.75" hidden="1" customHeight="1" x14ac:dyDescent="0.2"/>
    <row r="35520" ht="12.75" hidden="1" customHeight="1" x14ac:dyDescent="0.2"/>
    <row r="35521" ht="12.75" hidden="1" customHeight="1" x14ac:dyDescent="0.2"/>
    <row r="35522" ht="12.75" hidden="1" customHeight="1" x14ac:dyDescent="0.2"/>
    <row r="35523" ht="12.75" hidden="1" customHeight="1" x14ac:dyDescent="0.2"/>
    <row r="35524" ht="12.75" hidden="1" customHeight="1" x14ac:dyDescent="0.2"/>
    <row r="35525" ht="12.75" hidden="1" customHeight="1" x14ac:dyDescent="0.2"/>
    <row r="35526" ht="12.75" hidden="1" customHeight="1" x14ac:dyDescent="0.2"/>
    <row r="35527" ht="12.75" hidden="1" customHeight="1" x14ac:dyDescent="0.2"/>
    <row r="35528" ht="12.75" hidden="1" customHeight="1" x14ac:dyDescent="0.2"/>
    <row r="35529" ht="12.75" hidden="1" customHeight="1" x14ac:dyDescent="0.2"/>
    <row r="35530" ht="12.75" hidden="1" customHeight="1" x14ac:dyDescent="0.2"/>
    <row r="35531" ht="12.75" hidden="1" customHeight="1" x14ac:dyDescent="0.2"/>
    <row r="35532" ht="12.75" hidden="1" customHeight="1" x14ac:dyDescent="0.2"/>
    <row r="35533" ht="12.75" hidden="1" customHeight="1" x14ac:dyDescent="0.2"/>
    <row r="35534" ht="12.75" hidden="1" customHeight="1" x14ac:dyDescent="0.2"/>
    <row r="35535" ht="12.75" hidden="1" customHeight="1" x14ac:dyDescent="0.2"/>
    <row r="35536" ht="12.75" hidden="1" customHeight="1" x14ac:dyDescent="0.2"/>
    <row r="35537" ht="12.75" hidden="1" customHeight="1" x14ac:dyDescent="0.2"/>
    <row r="35538" ht="12.75" hidden="1" customHeight="1" x14ac:dyDescent="0.2"/>
    <row r="35539" ht="12.75" hidden="1" customHeight="1" x14ac:dyDescent="0.2"/>
    <row r="35540" ht="12.75" hidden="1" customHeight="1" x14ac:dyDescent="0.2"/>
    <row r="35541" ht="12.75" hidden="1" customHeight="1" x14ac:dyDescent="0.2"/>
    <row r="35542" ht="12.75" hidden="1" customHeight="1" x14ac:dyDescent="0.2"/>
    <row r="35543" ht="12.75" hidden="1" customHeight="1" x14ac:dyDescent="0.2"/>
    <row r="35544" ht="12.75" hidden="1" customHeight="1" x14ac:dyDescent="0.2"/>
    <row r="35545" ht="12.75" hidden="1" customHeight="1" x14ac:dyDescent="0.2"/>
    <row r="35546" ht="12.75" hidden="1" customHeight="1" x14ac:dyDescent="0.2"/>
    <row r="35547" ht="12.75" hidden="1" customHeight="1" x14ac:dyDescent="0.2"/>
    <row r="35548" ht="12.75" hidden="1" customHeight="1" x14ac:dyDescent="0.2"/>
    <row r="35549" ht="12.75" hidden="1" customHeight="1" x14ac:dyDescent="0.2"/>
    <row r="35550" ht="12.75" hidden="1" customHeight="1" x14ac:dyDescent="0.2"/>
    <row r="35551" ht="12.75" hidden="1" customHeight="1" x14ac:dyDescent="0.2"/>
    <row r="35552" ht="12.75" hidden="1" customHeight="1" x14ac:dyDescent="0.2"/>
    <row r="35553" ht="12.75" hidden="1" customHeight="1" x14ac:dyDescent="0.2"/>
    <row r="35554" ht="12.75" hidden="1" customHeight="1" x14ac:dyDescent="0.2"/>
    <row r="35555" ht="12.75" hidden="1" customHeight="1" x14ac:dyDescent="0.2"/>
    <row r="35556" ht="12.75" hidden="1" customHeight="1" x14ac:dyDescent="0.2"/>
    <row r="35557" ht="12.75" hidden="1" customHeight="1" x14ac:dyDescent="0.2"/>
    <row r="35558" ht="12.75" hidden="1" customHeight="1" x14ac:dyDescent="0.2"/>
    <row r="35559" ht="12.75" hidden="1" customHeight="1" x14ac:dyDescent="0.2"/>
    <row r="35560" ht="12.75" hidden="1" customHeight="1" x14ac:dyDescent="0.2"/>
    <row r="35561" ht="12.75" hidden="1" customHeight="1" x14ac:dyDescent="0.2"/>
    <row r="35562" ht="12.75" hidden="1" customHeight="1" x14ac:dyDescent="0.2"/>
    <row r="35563" ht="12.75" hidden="1" customHeight="1" x14ac:dyDescent="0.2"/>
    <row r="35564" ht="12.75" hidden="1" customHeight="1" x14ac:dyDescent="0.2"/>
    <row r="35565" ht="12.75" hidden="1" customHeight="1" x14ac:dyDescent="0.2"/>
    <row r="35566" ht="12.75" hidden="1" customHeight="1" x14ac:dyDescent="0.2"/>
    <row r="35567" ht="12.75" hidden="1" customHeight="1" x14ac:dyDescent="0.2"/>
    <row r="35568" ht="12.75" hidden="1" customHeight="1" x14ac:dyDescent="0.2"/>
    <row r="35569" ht="12.75" hidden="1" customHeight="1" x14ac:dyDescent="0.2"/>
    <row r="35570" ht="12.75" hidden="1" customHeight="1" x14ac:dyDescent="0.2"/>
    <row r="35571" ht="12.75" hidden="1" customHeight="1" x14ac:dyDescent="0.2"/>
    <row r="35572" ht="12.75" hidden="1" customHeight="1" x14ac:dyDescent="0.2"/>
    <row r="35573" ht="12.75" hidden="1" customHeight="1" x14ac:dyDescent="0.2"/>
    <row r="35574" ht="12.75" hidden="1" customHeight="1" x14ac:dyDescent="0.2"/>
    <row r="35575" ht="12.75" hidden="1" customHeight="1" x14ac:dyDescent="0.2"/>
    <row r="35576" ht="12.75" hidden="1" customHeight="1" x14ac:dyDescent="0.2"/>
    <row r="35577" ht="12.75" hidden="1" customHeight="1" x14ac:dyDescent="0.2"/>
    <row r="35578" ht="12.75" hidden="1" customHeight="1" x14ac:dyDescent="0.2"/>
    <row r="35579" ht="12.75" hidden="1" customHeight="1" x14ac:dyDescent="0.2"/>
    <row r="35580" ht="12.75" hidden="1" customHeight="1" x14ac:dyDescent="0.2"/>
    <row r="35581" ht="12.75" hidden="1" customHeight="1" x14ac:dyDescent="0.2"/>
    <row r="35582" ht="12.75" hidden="1" customHeight="1" x14ac:dyDescent="0.2"/>
    <row r="35583" ht="12.75" hidden="1" customHeight="1" x14ac:dyDescent="0.2"/>
    <row r="35584" ht="12.75" hidden="1" customHeight="1" x14ac:dyDescent="0.2"/>
    <row r="35585" ht="12.75" hidden="1" customHeight="1" x14ac:dyDescent="0.2"/>
    <row r="35586" ht="12.75" hidden="1" customHeight="1" x14ac:dyDescent="0.2"/>
    <row r="35587" ht="12.75" hidden="1" customHeight="1" x14ac:dyDescent="0.2"/>
    <row r="35588" ht="12.75" hidden="1" customHeight="1" x14ac:dyDescent="0.2"/>
    <row r="35589" ht="12.75" hidden="1" customHeight="1" x14ac:dyDescent="0.2"/>
    <row r="35590" ht="12.75" hidden="1" customHeight="1" x14ac:dyDescent="0.2"/>
    <row r="35591" ht="12.75" hidden="1" customHeight="1" x14ac:dyDescent="0.2"/>
    <row r="35592" ht="12.75" hidden="1" customHeight="1" x14ac:dyDescent="0.2"/>
    <row r="35593" ht="12.75" hidden="1" customHeight="1" x14ac:dyDescent="0.2"/>
    <row r="35594" ht="12.75" hidden="1" customHeight="1" x14ac:dyDescent="0.2"/>
    <row r="35595" ht="12.75" hidden="1" customHeight="1" x14ac:dyDescent="0.2"/>
    <row r="35596" ht="12.75" hidden="1" customHeight="1" x14ac:dyDescent="0.2"/>
    <row r="35597" ht="12.75" hidden="1" customHeight="1" x14ac:dyDescent="0.2"/>
    <row r="35598" ht="12.75" hidden="1" customHeight="1" x14ac:dyDescent="0.2"/>
    <row r="35599" ht="12.75" hidden="1" customHeight="1" x14ac:dyDescent="0.2"/>
    <row r="35600" ht="12.75" hidden="1" customHeight="1" x14ac:dyDescent="0.2"/>
    <row r="35601" ht="12.75" hidden="1" customHeight="1" x14ac:dyDescent="0.2"/>
    <row r="35602" ht="12.75" hidden="1" customHeight="1" x14ac:dyDescent="0.2"/>
    <row r="35603" ht="12.75" hidden="1" customHeight="1" x14ac:dyDescent="0.2"/>
    <row r="35604" ht="12.75" hidden="1" customHeight="1" x14ac:dyDescent="0.2"/>
    <row r="35605" ht="12.75" hidden="1" customHeight="1" x14ac:dyDescent="0.2"/>
    <row r="35606" ht="12.75" hidden="1" customHeight="1" x14ac:dyDescent="0.2"/>
    <row r="35607" ht="12.75" hidden="1" customHeight="1" x14ac:dyDescent="0.2"/>
    <row r="35608" ht="12.75" hidden="1" customHeight="1" x14ac:dyDescent="0.2"/>
    <row r="35609" ht="12.75" hidden="1" customHeight="1" x14ac:dyDescent="0.2"/>
    <row r="35610" ht="12.75" hidden="1" customHeight="1" x14ac:dyDescent="0.2"/>
    <row r="35611" ht="12.75" hidden="1" customHeight="1" x14ac:dyDescent="0.2"/>
    <row r="35612" ht="12.75" hidden="1" customHeight="1" x14ac:dyDescent="0.2"/>
    <row r="35613" ht="12.75" hidden="1" customHeight="1" x14ac:dyDescent="0.2"/>
    <row r="35614" ht="12.75" hidden="1" customHeight="1" x14ac:dyDescent="0.2"/>
    <row r="35615" ht="12.75" hidden="1" customHeight="1" x14ac:dyDescent="0.2"/>
    <row r="35616" ht="12.75" hidden="1" customHeight="1" x14ac:dyDescent="0.2"/>
    <row r="35617" ht="12.75" hidden="1" customHeight="1" x14ac:dyDescent="0.2"/>
    <row r="35618" ht="12.75" hidden="1" customHeight="1" x14ac:dyDescent="0.2"/>
    <row r="35619" ht="12.75" hidden="1" customHeight="1" x14ac:dyDescent="0.2"/>
    <row r="35620" ht="12.75" hidden="1" customHeight="1" x14ac:dyDescent="0.2"/>
    <row r="35621" ht="12.75" hidden="1" customHeight="1" x14ac:dyDescent="0.2"/>
    <row r="35622" ht="12.75" hidden="1" customHeight="1" x14ac:dyDescent="0.2"/>
    <row r="35623" ht="12.75" hidden="1" customHeight="1" x14ac:dyDescent="0.2"/>
    <row r="35624" ht="12.75" hidden="1" customHeight="1" x14ac:dyDescent="0.2"/>
    <row r="35625" ht="12.75" hidden="1" customHeight="1" x14ac:dyDescent="0.2"/>
    <row r="35626" ht="12.75" hidden="1" customHeight="1" x14ac:dyDescent="0.2"/>
    <row r="35627" ht="12.75" hidden="1" customHeight="1" x14ac:dyDescent="0.2"/>
    <row r="35628" ht="12.75" hidden="1" customHeight="1" x14ac:dyDescent="0.2"/>
    <row r="35629" ht="12.75" hidden="1" customHeight="1" x14ac:dyDescent="0.2"/>
    <row r="35630" ht="12.75" hidden="1" customHeight="1" x14ac:dyDescent="0.2"/>
    <row r="35631" ht="12.75" hidden="1" customHeight="1" x14ac:dyDescent="0.2"/>
    <row r="35632" ht="12.75" hidden="1" customHeight="1" x14ac:dyDescent="0.2"/>
    <row r="35633" ht="12.75" hidden="1" customHeight="1" x14ac:dyDescent="0.2"/>
    <row r="35634" ht="12.75" hidden="1" customHeight="1" x14ac:dyDescent="0.2"/>
    <row r="35635" ht="12.75" hidden="1" customHeight="1" x14ac:dyDescent="0.2"/>
    <row r="35636" ht="12.75" hidden="1" customHeight="1" x14ac:dyDescent="0.2"/>
    <row r="35637" ht="12.75" hidden="1" customHeight="1" x14ac:dyDescent="0.2"/>
    <row r="35638" ht="12.75" hidden="1" customHeight="1" x14ac:dyDescent="0.2"/>
    <row r="35639" ht="12.75" hidden="1" customHeight="1" x14ac:dyDescent="0.2"/>
    <row r="35640" ht="12.75" hidden="1" customHeight="1" x14ac:dyDescent="0.2"/>
    <row r="35641" ht="12.75" hidden="1" customHeight="1" x14ac:dyDescent="0.2"/>
    <row r="35642" ht="12.75" hidden="1" customHeight="1" x14ac:dyDescent="0.2"/>
    <row r="35643" ht="12.75" hidden="1" customHeight="1" x14ac:dyDescent="0.2"/>
    <row r="35644" ht="12.75" hidden="1" customHeight="1" x14ac:dyDescent="0.2"/>
    <row r="35645" ht="12.75" hidden="1" customHeight="1" x14ac:dyDescent="0.2"/>
    <row r="35646" ht="12.75" hidden="1" customHeight="1" x14ac:dyDescent="0.2"/>
    <row r="35647" ht="12.75" hidden="1" customHeight="1" x14ac:dyDescent="0.2"/>
    <row r="35648" ht="12.75" hidden="1" customHeight="1" x14ac:dyDescent="0.2"/>
    <row r="35649" ht="12.75" hidden="1" customHeight="1" x14ac:dyDescent="0.2"/>
    <row r="35650" ht="12.75" hidden="1" customHeight="1" x14ac:dyDescent="0.2"/>
    <row r="35651" ht="12.75" hidden="1" customHeight="1" x14ac:dyDescent="0.2"/>
    <row r="35652" ht="12.75" hidden="1" customHeight="1" x14ac:dyDescent="0.2"/>
    <row r="35653" ht="12.75" hidden="1" customHeight="1" x14ac:dyDescent="0.2"/>
    <row r="35654" ht="12.75" hidden="1" customHeight="1" x14ac:dyDescent="0.2"/>
    <row r="35655" ht="12.75" hidden="1" customHeight="1" x14ac:dyDescent="0.2"/>
    <row r="35656" ht="12.75" hidden="1" customHeight="1" x14ac:dyDescent="0.2"/>
    <row r="35657" ht="12.75" hidden="1" customHeight="1" x14ac:dyDescent="0.2"/>
    <row r="35658" ht="12.75" hidden="1" customHeight="1" x14ac:dyDescent="0.2"/>
    <row r="35659" ht="12.75" hidden="1" customHeight="1" x14ac:dyDescent="0.2"/>
    <row r="35660" ht="12.75" hidden="1" customHeight="1" x14ac:dyDescent="0.2"/>
    <row r="35661" ht="12.75" hidden="1" customHeight="1" x14ac:dyDescent="0.2"/>
    <row r="35662" ht="12.75" hidden="1" customHeight="1" x14ac:dyDescent="0.2"/>
    <row r="35663" ht="12.75" hidden="1" customHeight="1" x14ac:dyDescent="0.2"/>
    <row r="35664" ht="12.75" hidden="1" customHeight="1" x14ac:dyDescent="0.2"/>
    <row r="35665" ht="12.75" hidden="1" customHeight="1" x14ac:dyDescent="0.2"/>
    <row r="35666" ht="12.75" hidden="1" customHeight="1" x14ac:dyDescent="0.2"/>
    <row r="35667" ht="12.75" hidden="1" customHeight="1" x14ac:dyDescent="0.2"/>
    <row r="35668" ht="12.75" hidden="1" customHeight="1" x14ac:dyDescent="0.2"/>
    <row r="35669" ht="12.75" hidden="1" customHeight="1" x14ac:dyDescent="0.2"/>
    <row r="35670" ht="12.75" hidden="1" customHeight="1" x14ac:dyDescent="0.2"/>
    <row r="35671" ht="12.75" hidden="1" customHeight="1" x14ac:dyDescent="0.2"/>
    <row r="35672" ht="12.75" hidden="1" customHeight="1" x14ac:dyDescent="0.2"/>
    <row r="35673" ht="12.75" hidden="1" customHeight="1" x14ac:dyDescent="0.2"/>
    <row r="35674" ht="12.75" hidden="1" customHeight="1" x14ac:dyDescent="0.2"/>
    <row r="35675" ht="12.75" hidden="1" customHeight="1" x14ac:dyDescent="0.2"/>
    <row r="35676" ht="12.75" hidden="1" customHeight="1" x14ac:dyDescent="0.2"/>
    <row r="35677" ht="12.75" hidden="1" customHeight="1" x14ac:dyDescent="0.2"/>
    <row r="35678" ht="12.75" hidden="1" customHeight="1" x14ac:dyDescent="0.2"/>
    <row r="35679" ht="12.75" hidden="1" customHeight="1" x14ac:dyDescent="0.2"/>
    <row r="35680" ht="12.75" hidden="1" customHeight="1" x14ac:dyDescent="0.2"/>
    <row r="35681" ht="12.75" hidden="1" customHeight="1" x14ac:dyDescent="0.2"/>
    <row r="35682" ht="12.75" hidden="1" customHeight="1" x14ac:dyDescent="0.2"/>
    <row r="35683" ht="12.75" hidden="1" customHeight="1" x14ac:dyDescent="0.2"/>
    <row r="35684" ht="12.75" hidden="1" customHeight="1" x14ac:dyDescent="0.2"/>
    <row r="35685" ht="12.75" hidden="1" customHeight="1" x14ac:dyDescent="0.2"/>
    <row r="35686" ht="12.75" hidden="1" customHeight="1" x14ac:dyDescent="0.2"/>
    <row r="35687" ht="12.75" hidden="1" customHeight="1" x14ac:dyDescent="0.2"/>
    <row r="35688" ht="12.75" hidden="1" customHeight="1" x14ac:dyDescent="0.2"/>
    <row r="35689" ht="12.75" hidden="1" customHeight="1" x14ac:dyDescent="0.2"/>
    <row r="35690" ht="12.75" hidden="1" customHeight="1" x14ac:dyDescent="0.2"/>
    <row r="35691" ht="12.75" hidden="1" customHeight="1" x14ac:dyDescent="0.2"/>
    <row r="35692" ht="12.75" hidden="1" customHeight="1" x14ac:dyDescent="0.2"/>
    <row r="35693" ht="12.75" hidden="1" customHeight="1" x14ac:dyDescent="0.2"/>
    <row r="35694" ht="12.75" hidden="1" customHeight="1" x14ac:dyDescent="0.2"/>
    <row r="35695" ht="12.75" hidden="1" customHeight="1" x14ac:dyDescent="0.2"/>
    <row r="35696" ht="12.75" hidden="1" customHeight="1" x14ac:dyDescent="0.2"/>
    <row r="35697" ht="12.75" hidden="1" customHeight="1" x14ac:dyDescent="0.2"/>
    <row r="35698" ht="12.75" hidden="1" customHeight="1" x14ac:dyDescent="0.2"/>
    <row r="35699" ht="12.75" hidden="1" customHeight="1" x14ac:dyDescent="0.2"/>
    <row r="35700" ht="12.75" hidden="1" customHeight="1" x14ac:dyDescent="0.2"/>
    <row r="35701" ht="12.75" hidden="1" customHeight="1" x14ac:dyDescent="0.2"/>
    <row r="35702" ht="12.75" hidden="1" customHeight="1" x14ac:dyDescent="0.2"/>
    <row r="35703" ht="12.75" hidden="1" customHeight="1" x14ac:dyDescent="0.2"/>
    <row r="35704" ht="12.75" hidden="1" customHeight="1" x14ac:dyDescent="0.2"/>
    <row r="35705" ht="12.75" hidden="1" customHeight="1" x14ac:dyDescent="0.2"/>
    <row r="35706" ht="12.75" hidden="1" customHeight="1" x14ac:dyDescent="0.2"/>
    <row r="35707" ht="12.75" hidden="1" customHeight="1" x14ac:dyDescent="0.2"/>
    <row r="35708" ht="12.75" hidden="1" customHeight="1" x14ac:dyDescent="0.2"/>
    <row r="35709" ht="12.75" hidden="1" customHeight="1" x14ac:dyDescent="0.2"/>
    <row r="35710" ht="12.75" hidden="1" customHeight="1" x14ac:dyDescent="0.2"/>
    <row r="35711" ht="12.75" hidden="1" customHeight="1" x14ac:dyDescent="0.2"/>
    <row r="35712" ht="12.75" hidden="1" customHeight="1" x14ac:dyDescent="0.2"/>
    <row r="35713" ht="12.75" hidden="1" customHeight="1" x14ac:dyDescent="0.2"/>
    <row r="35714" ht="12.75" hidden="1" customHeight="1" x14ac:dyDescent="0.2"/>
    <row r="35715" ht="12.75" hidden="1" customHeight="1" x14ac:dyDescent="0.2"/>
    <row r="35716" ht="12.75" hidden="1" customHeight="1" x14ac:dyDescent="0.2"/>
    <row r="35717" ht="12.75" hidden="1" customHeight="1" x14ac:dyDescent="0.2"/>
    <row r="35718" ht="12.75" hidden="1" customHeight="1" x14ac:dyDescent="0.2"/>
    <row r="35719" ht="12.75" hidden="1" customHeight="1" x14ac:dyDescent="0.2"/>
    <row r="35720" ht="12.75" hidden="1" customHeight="1" x14ac:dyDescent="0.2"/>
    <row r="35721" ht="12.75" hidden="1" customHeight="1" x14ac:dyDescent="0.2"/>
    <row r="35722" ht="12.75" hidden="1" customHeight="1" x14ac:dyDescent="0.2"/>
    <row r="35723" ht="12.75" hidden="1" customHeight="1" x14ac:dyDescent="0.2"/>
    <row r="35724" ht="12.75" hidden="1" customHeight="1" x14ac:dyDescent="0.2"/>
    <row r="35725" ht="12.75" hidden="1" customHeight="1" x14ac:dyDescent="0.2"/>
    <row r="35726" ht="12.75" hidden="1" customHeight="1" x14ac:dyDescent="0.2"/>
    <row r="35727" ht="12.75" hidden="1" customHeight="1" x14ac:dyDescent="0.2"/>
    <row r="35728" ht="12.75" hidden="1" customHeight="1" x14ac:dyDescent="0.2"/>
    <row r="35729" ht="12.75" hidden="1" customHeight="1" x14ac:dyDescent="0.2"/>
    <row r="35730" ht="12.75" hidden="1" customHeight="1" x14ac:dyDescent="0.2"/>
    <row r="35731" ht="12.75" hidden="1" customHeight="1" x14ac:dyDescent="0.2"/>
    <row r="35732" ht="12.75" hidden="1" customHeight="1" x14ac:dyDescent="0.2"/>
    <row r="35733" ht="12.75" hidden="1" customHeight="1" x14ac:dyDescent="0.2"/>
    <row r="35734" ht="12.75" hidden="1" customHeight="1" x14ac:dyDescent="0.2"/>
    <row r="35735" ht="12.75" hidden="1" customHeight="1" x14ac:dyDescent="0.2"/>
    <row r="35736" ht="12.75" hidden="1" customHeight="1" x14ac:dyDescent="0.2"/>
    <row r="35737" ht="12.75" hidden="1" customHeight="1" x14ac:dyDescent="0.2"/>
    <row r="35738" ht="12.75" hidden="1" customHeight="1" x14ac:dyDescent="0.2"/>
    <row r="35739" ht="12.75" hidden="1" customHeight="1" x14ac:dyDescent="0.2"/>
    <row r="35740" ht="12.75" hidden="1" customHeight="1" x14ac:dyDescent="0.2"/>
    <row r="35741" ht="12.75" hidden="1" customHeight="1" x14ac:dyDescent="0.2"/>
    <row r="35742" ht="12.75" hidden="1" customHeight="1" x14ac:dyDescent="0.2"/>
    <row r="35743" ht="12.75" hidden="1" customHeight="1" x14ac:dyDescent="0.2"/>
    <row r="35744" ht="12.75" hidden="1" customHeight="1" x14ac:dyDescent="0.2"/>
    <row r="35745" ht="12.75" hidden="1" customHeight="1" x14ac:dyDescent="0.2"/>
    <row r="35746" ht="12.75" hidden="1" customHeight="1" x14ac:dyDescent="0.2"/>
    <row r="35747" ht="12.75" hidden="1" customHeight="1" x14ac:dyDescent="0.2"/>
    <row r="35748" ht="12.75" hidden="1" customHeight="1" x14ac:dyDescent="0.2"/>
    <row r="35749" ht="12.75" hidden="1" customHeight="1" x14ac:dyDescent="0.2"/>
    <row r="35750" ht="12.75" hidden="1" customHeight="1" x14ac:dyDescent="0.2"/>
    <row r="35751" ht="12.75" hidden="1" customHeight="1" x14ac:dyDescent="0.2"/>
    <row r="35752" ht="12.75" hidden="1" customHeight="1" x14ac:dyDescent="0.2"/>
    <row r="35753" ht="12.75" hidden="1" customHeight="1" x14ac:dyDescent="0.2"/>
    <row r="35754" ht="12.75" hidden="1" customHeight="1" x14ac:dyDescent="0.2"/>
    <row r="35755" ht="12.75" hidden="1" customHeight="1" x14ac:dyDescent="0.2"/>
    <row r="35756" ht="12.75" hidden="1" customHeight="1" x14ac:dyDescent="0.2"/>
    <row r="35757" ht="12.75" hidden="1" customHeight="1" x14ac:dyDescent="0.2"/>
    <row r="35758" ht="12.75" hidden="1" customHeight="1" x14ac:dyDescent="0.2"/>
    <row r="35759" ht="12.75" hidden="1" customHeight="1" x14ac:dyDescent="0.2"/>
    <row r="35760" ht="12.75" hidden="1" customHeight="1" x14ac:dyDescent="0.2"/>
    <row r="35761" ht="12.75" hidden="1" customHeight="1" x14ac:dyDescent="0.2"/>
    <row r="35762" ht="12.75" hidden="1" customHeight="1" x14ac:dyDescent="0.2"/>
    <row r="35763" ht="12.75" hidden="1" customHeight="1" x14ac:dyDescent="0.2"/>
    <row r="35764" ht="12.75" hidden="1" customHeight="1" x14ac:dyDescent="0.2"/>
    <row r="35765" ht="12.75" hidden="1" customHeight="1" x14ac:dyDescent="0.2"/>
    <row r="35766" ht="12.75" hidden="1" customHeight="1" x14ac:dyDescent="0.2"/>
    <row r="35767" ht="12.75" hidden="1" customHeight="1" x14ac:dyDescent="0.2"/>
    <row r="35768" ht="12.75" hidden="1" customHeight="1" x14ac:dyDescent="0.2"/>
    <row r="35769" ht="12.75" hidden="1" customHeight="1" x14ac:dyDescent="0.2"/>
    <row r="35770" ht="12.75" hidden="1" customHeight="1" x14ac:dyDescent="0.2"/>
    <row r="35771" ht="12.75" hidden="1" customHeight="1" x14ac:dyDescent="0.2"/>
    <row r="35772" ht="12.75" hidden="1" customHeight="1" x14ac:dyDescent="0.2"/>
    <row r="35773" ht="12.75" hidden="1" customHeight="1" x14ac:dyDescent="0.2"/>
    <row r="35774" ht="12.75" hidden="1" customHeight="1" x14ac:dyDescent="0.2"/>
    <row r="35775" ht="12.75" hidden="1" customHeight="1" x14ac:dyDescent="0.2"/>
    <row r="35776" ht="12.75" hidden="1" customHeight="1" x14ac:dyDescent="0.2"/>
    <row r="35777" ht="12.75" hidden="1" customHeight="1" x14ac:dyDescent="0.2"/>
    <row r="35778" ht="12.75" hidden="1" customHeight="1" x14ac:dyDescent="0.2"/>
    <row r="35779" ht="12.75" hidden="1" customHeight="1" x14ac:dyDescent="0.2"/>
    <row r="35780" ht="12.75" hidden="1" customHeight="1" x14ac:dyDescent="0.2"/>
    <row r="35781" ht="12.75" hidden="1" customHeight="1" x14ac:dyDescent="0.2"/>
    <row r="35782" ht="12.75" hidden="1" customHeight="1" x14ac:dyDescent="0.2"/>
    <row r="35783" ht="12.75" hidden="1" customHeight="1" x14ac:dyDescent="0.2"/>
    <row r="35784" ht="12.75" hidden="1" customHeight="1" x14ac:dyDescent="0.2"/>
    <row r="35785" ht="12.75" hidden="1" customHeight="1" x14ac:dyDescent="0.2"/>
    <row r="35786" ht="12.75" hidden="1" customHeight="1" x14ac:dyDescent="0.2"/>
    <row r="35787" ht="12.75" hidden="1" customHeight="1" x14ac:dyDescent="0.2"/>
    <row r="35788" ht="12.75" hidden="1" customHeight="1" x14ac:dyDescent="0.2"/>
    <row r="35789" ht="12.75" hidden="1" customHeight="1" x14ac:dyDescent="0.2"/>
    <row r="35790" ht="12.75" hidden="1" customHeight="1" x14ac:dyDescent="0.2"/>
    <row r="35791" ht="12.75" hidden="1" customHeight="1" x14ac:dyDescent="0.2"/>
    <row r="35792" ht="12.75" hidden="1" customHeight="1" x14ac:dyDescent="0.2"/>
    <row r="35793" ht="12.75" hidden="1" customHeight="1" x14ac:dyDescent="0.2"/>
    <row r="35794" ht="12.75" hidden="1" customHeight="1" x14ac:dyDescent="0.2"/>
    <row r="35795" ht="12.75" hidden="1" customHeight="1" x14ac:dyDescent="0.2"/>
    <row r="35796" ht="12.75" hidden="1" customHeight="1" x14ac:dyDescent="0.2"/>
    <row r="35797" ht="12.75" hidden="1" customHeight="1" x14ac:dyDescent="0.2"/>
    <row r="35798" ht="12.75" hidden="1" customHeight="1" x14ac:dyDescent="0.2"/>
    <row r="35799" ht="12.75" hidden="1" customHeight="1" x14ac:dyDescent="0.2"/>
    <row r="35800" ht="12.75" hidden="1" customHeight="1" x14ac:dyDescent="0.2"/>
    <row r="35801" ht="12.75" hidden="1" customHeight="1" x14ac:dyDescent="0.2"/>
    <row r="35802" ht="12.75" hidden="1" customHeight="1" x14ac:dyDescent="0.2"/>
    <row r="35803" ht="12.75" hidden="1" customHeight="1" x14ac:dyDescent="0.2"/>
    <row r="35804" ht="12.75" hidden="1" customHeight="1" x14ac:dyDescent="0.2"/>
    <row r="35805" ht="12.75" hidden="1" customHeight="1" x14ac:dyDescent="0.2"/>
    <row r="35806" ht="12.75" hidden="1" customHeight="1" x14ac:dyDescent="0.2"/>
    <row r="35807" ht="12.75" hidden="1" customHeight="1" x14ac:dyDescent="0.2"/>
    <row r="35808" ht="12.75" hidden="1" customHeight="1" x14ac:dyDescent="0.2"/>
    <row r="35809" ht="12.75" hidden="1" customHeight="1" x14ac:dyDescent="0.2"/>
    <row r="35810" ht="12.75" hidden="1" customHeight="1" x14ac:dyDescent="0.2"/>
    <row r="35811" ht="12.75" hidden="1" customHeight="1" x14ac:dyDescent="0.2"/>
    <row r="35812" ht="12.75" hidden="1" customHeight="1" x14ac:dyDescent="0.2"/>
    <row r="35813" ht="12.75" hidden="1" customHeight="1" x14ac:dyDescent="0.2"/>
    <row r="35814" ht="12.75" hidden="1" customHeight="1" x14ac:dyDescent="0.2"/>
    <row r="35815" ht="12.75" hidden="1" customHeight="1" x14ac:dyDescent="0.2"/>
    <row r="35816" ht="12.75" hidden="1" customHeight="1" x14ac:dyDescent="0.2"/>
    <row r="35817" ht="12.75" hidden="1" customHeight="1" x14ac:dyDescent="0.2"/>
    <row r="35818" ht="12.75" hidden="1" customHeight="1" x14ac:dyDescent="0.2"/>
    <row r="35819" ht="12.75" hidden="1" customHeight="1" x14ac:dyDescent="0.2"/>
    <row r="35820" ht="12.75" hidden="1" customHeight="1" x14ac:dyDescent="0.2"/>
    <row r="35821" ht="12.75" hidden="1" customHeight="1" x14ac:dyDescent="0.2"/>
    <row r="35822" ht="12.75" hidden="1" customHeight="1" x14ac:dyDescent="0.2"/>
    <row r="35823" ht="12.75" hidden="1" customHeight="1" x14ac:dyDescent="0.2"/>
    <row r="35824" ht="12.75" hidden="1" customHeight="1" x14ac:dyDescent="0.2"/>
    <row r="35825" ht="12.75" hidden="1" customHeight="1" x14ac:dyDescent="0.2"/>
    <row r="35826" ht="12.75" hidden="1" customHeight="1" x14ac:dyDescent="0.2"/>
    <row r="35827" ht="12.75" hidden="1" customHeight="1" x14ac:dyDescent="0.2"/>
    <row r="35828" ht="12.75" hidden="1" customHeight="1" x14ac:dyDescent="0.2"/>
    <row r="35829" ht="12.75" hidden="1" customHeight="1" x14ac:dyDescent="0.2"/>
    <row r="35830" ht="12.75" hidden="1" customHeight="1" x14ac:dyDescent="0.2"/>
    <row r="35831" ht="12.75" hidden="1" customHeight="1" x14ac:dyDescent="0.2"/>
    <row r="35832" ht="12.75" hidden="1" customHeight="1" x14ac:dyDescent="0.2"/>
    <row r="35833" ht="12.75" hidden="1" customHeight="1" x14ac:dyDescent="0.2"/>
    <row r="35834" ht="12.75" hidden="1" customHeight="1" x14ac:dyDescent="0.2"/>
    <row r="35835" ht="12.75" hidden="1" customHeight="1" x14ac:dyDescent="0.2"/>
    <row r="35836" ht="12.75" hidden="1" customHeight="1" x14ac:dyDescent="0.2"/>
    <row r="35837" ht="12.75" hidden="1" customHeight="1" x14ac:dyDescent="0.2"/>
    <row r="35838" ht="12.75" hidden="1" customHeight="1" x14ac:dyDescent="0.2"/>
    <row r="35839" ht="12.75" hidden="1" customHeight="1" x14ac:dyDescent="0.2"/>
    <row r="35840" ht="12.75" hidden="1" customHeight="1" x14ac:dyDescent="0.2"/>
    <row r="35841" ht="12.75" hidden="1" customHeight="1" x14ac:dyDescent="0.2"/>
    <row r="35842" ht="12.75" hidden="1" customHeight="1" x14ac:dyDescent="0.2"/>
    <row r="35843" ht="12.75" hidden="1" customHeight="1" x14ac:dyDescent="0.2"/>
    <row r="35844" ht="12.75" hidden="1" customHeight="1" x14ac:dyDescent="0.2"/>
    <row r="35845" ht="12.75" hidden="1" customHeight="1" x14ac:dyDescent="0.2"/>
    <row r="35846" ht="12.75" hidden="1" customHeight="1" x14ac:dyDescent="0.2"/>
    <row r="35847" ht="12.75" hidden="1" customHeight="1" x14ac:dyDescent="0.2"/>
    <row r="35848" ht="12.75" hidden="1" customHeight="1" x14ac:dyDescent="0.2"/>
    <row r="35849" ht="12.75" hidden="1" customHeight="1" x14ac:dyDescent="0.2"/>
    <row r="35850" ht="12.75" hidden="1" customHeight="1" x14ac:dyDescent="0.2"/>
    <row r="35851" ht="12.75" hidden="1" customHeight="1" x14ac:dyDescent="0.2"/>
    <row r="35852" ht="12.75" hidden="1" customHeight="1" x14ac:dyDescent="0.2"/>
    <row r="35853" ht="12.75" hidden="1" customHeight="1" x14ac:dyDescent="0.2"/>
    <row r="35854" ht="12.75" hidden="1" customHeight="1" x14ac:dyDescent="0.2"/>
    <row r="35855" ht="12.75" hidden="1" customHeight="1" x14ac:dyDescent="0.2"/>
    <row r="35856" ht="12.75" hidden="1" customHeight="1" x14ac:dyDescent="0.2"/>
    <row r="35857" ht="12.75" hidden="1" customHeight="1" x14ac:dyDescent="0.2"/>
    <row r="35858" ht="12.75" hidden="1" customHeight="1" x14ac:dyDescent="0.2"/>
    <row r="35859" ht="12.75" hidden="1" customHeight="1" x14ac:dyDescent="0.2"/>
    <row r="35860" ht="12.75" hidden="1" customHeight="1" x14ac:dyDescent="0.2"/>
    <row r="35861" ht="12.75" hidden="1" customHeight="1" x14ac:dyDescent="0.2"/>
    <row r="35862" ht="12.75" hidden="1" customHeight="1" x14ac:dyDescent="0.2"/>
    <row r="35863" ht="12.75" hidden="1" customHeight="1" x14ac:dyDescent="0.2"/>
    <row r="35864" ht="12.75" hidden="1" customHeight="1" x14ac:dyDescent="0.2"/>
    <row r="35865" ht="12.75" hidden="1" customHeight="1" x14ac:dyDescent="0.2"/>
    <row r="35866" ht="12.75" hidden="1" customHeight="1" x14ac:dyDescent="0.2"/>
    <row r="35867" ht="12.75" hidden="1" customHeight="1" x14ac:dyDescent="0.2"/>
    <row r="35868" ht="12.75" hidden="1" customHeight="1" x14ac:dyDescent="0.2"/>
    <row r="35869" ht="12.75" hidden="1" customHeight="1" x14ac:dyDescent="0.2"/>
    <row r="35870" ht="12.75" hidden="1" customHeight="1" x14ac:dyDescent="0.2"/>
    <row r="35871" ht="12.75" hidden="1" customHeight="1" x14ac:dyDescent="0.2"/>
    <row r="35872" ht="12.75" hidden="1" customHeight="1" x14ac:dyDescent="0.2"/>
    <row r="35873" ht="12.75" hidden="1" customHeight="1" x14ac:dyDescent="0.2"/>
    <row r="35874" ht="12.75" hidden="1" customHeight="1" x14ac:dyDescent="0.2"/>
    <row r="35875" ht="12.75" hidden="1" customHeight="1" x14ac:dyDescent="0.2"/>
    <row r="35876" ht="12.75" hidden="1" customHeight="1" x14ac:dyDescent="0.2"/>
    <row r="35877" ht="12.75" hidden="1" customHeight="1" x14ac:dyDescent="0.2"/>
    <row r="35878" ht="12.75" hidden="1" customHeight="1" x14ac:dyDescent="0.2"/>
    <row r="35879" ht="12.75" hidden="1" customHeight="1" x14ac:dyDescent="0.2"/>
    <row r="35880" ht="12.75" hidden="1" customHeight="1" x14ac:dyDescent="0.2"/>
    <row r="35881" ht="12.75" hidden="1" customHeight="1" x14ac:dyDescent="0.2"/>
    <row r="35882" ht="12.75" hidden="1" customHeight="1" x14ac:dyDescent="0.2"/>
    <row r="35883" ht="12.75" hidden="1" customHeight="1" x14ac:dyDescent="0.2"/>
    <row r="35884" ht="12.75" hidden="1" customHeight="1" x14ac:dyDescent="0.2"/>
    <row r="35885" ht="12.75" hidden="1" customHeight="1" x14ac:dyDescent="0.2"/>
    <row r="35886" ht="12.75" hidden="1" customHeight="1" x14ac:dyDescent="0.2"/>
    <row r="35887" ht="12.75" hidden="1" customHeight="1" x14ac:dyDescent="0.2"/>
    <row r="35888" ht="12.75" hidden="1" customHeight="1" x14ac:dyDescent="0.2"/>
    <row r="35889" ht="12.75" hidden="1" customHeight="1" x14ac:dyDescent="0.2"/>
    <row r="35890" ht="12.75" hidden="1" customHeight="1" x14ac:dyDescent="0.2"/>
    <row r="35891" ht="12.75" hidden="1" customHeight="1" x14ac:dyDescent="0.2"/>
    <row r="35892" ht="12.75" hidden="1" customHeight="1" x14ac:dyDescent="0.2"/>
    <row r="35893" ht="12.75" hidden="1" customHeight="1" x14ac:dyDescent="0.2"/>
    <row r="35894" ht="12.75" hidden="1" customHeight="1" x14ac:dyDescent="0.2"/>
    <row r="35895" ht="12.75" hidden="1" customHeight="1" x14ac:dyDescent="0.2"/>
    <row r="35896" ht="12.75" hidden="1" customHeight="1" x14ac:dyDescent="0.2"/>
    <row r="35897" ht="12.75" hidden="1" customHeight="1" x14ac:dyDescent="0.2"/>
    <row r="35898" ht="12.75" hidden="1" customHeight="1" x14ac:dyDescent="0.2"/>
    <row r="35899" ht="12.75" hidden="1" customHeight="1" x14ac:dyDescent="0.2"/>
    <row r="35900" ht="12.75" hidden="1" customHeight="1" x14ac:dyDescent="0.2"/>
    <row r="35901" ht="12.75" hidden="1" customHeight="1" x14ac:dyDescent="0.2"/>
    <row r="35902" ht="12.75" hidden="1" customHeight="1" x14ac:dyDescent="0.2"/>
    <row r="35903" ht="12.75" hidden="1" customHeight="1" x14ac:dyDescent="0.2"/>
    <row r="35904" ht="12.75" hidden="1" customHeight="1" x14ac:dyDescent="0.2"/>
    <row r="35905" ht="12.75" hidden="1" customHeight="1" x14ac:dyDescent="0.2"/>
    <row r="35906" ht="12.75" hidden="1" customHeight="1" x14ac:dyDescent="0.2"/>
    <row r="35907" ht="12.75" hidden="1" customHeight="1" x14ac:dyDescent="0.2"/>
    <row r="35908" ht="12.75" hidden="1" customHeight="1" x14ac:dyDescent="0.2"/>
    <row r="35909" ht="12.75" hidden="1" customHeight="1" x14ac:dyDescent="0.2"/>
    <row r="35910" ht="12.75" hidden="1" customHeight="1" x14ac:dyDescent="0.2"/>
    <row r="35911" ht="12.75" hidden="1" customHeight="1" x14ac:dyDescent="0.2"/>
    <row r="35912" ht="12.75" hidden="1" customHeight="1" x14ac:dyDescent="0.2"/>
    <row r="35913" ht="12.75" hidden="1" customHeight="1" x14ac:dyDescent="0.2"/>
    <row r="35914" ht="12.75" hidden="1" customHeight="1" x14ac:dyDescent="0.2"/>
    <row r="35915" ht="12.75" hidden="1" customHeight="1" x14ac:dyDescent="0.2"/>
    <row r="35916" ht="12.75" hidden="1" customHeight="1" x14ac:dyDescent="0.2"/>
    <row r="35917" ht="12.75" hidden="1" customHeight="1" x14ac:dyDescent="0.2"/>
    <row r="35918" ht="12.75" hidden="1" customHeight="1" x14ac:dyDescent="0.2"/>
    <row r="35919" ht="12.75" hidden="1" customHeight="1" x14ac:dyDescent="0.2"/>
    <row r="35920" ht="12.75" hidden="1" customHeight="1" x14ac:dyDescent="0.2"/>
    <row r="35921" ht="12.75" hidden="1" customHeight="1" x14ac:dyDescent="0.2"/>
    <row r="35922" ht="12.75" hidden="1" customHeight="1" x14ac:dyDescent="0.2"/>
    <row r="35923" ht="12.75" hidden="1" customHeight="1" x14ac:dyDescent="0.2"/>
    <row r="35924" ht="12.75" hidden="1" customHeight="1" x14ac:dyDescent="0.2"/>
    <row r="35925" ht="12.75" hidden="1" customHeight="1" x14ac:dyDescent="0.2"/>
    <row r="35926" ht="12.75" hidden="1" customHeight="1" x14ac:dyDescent="0.2"/>
    <row r="35927" ht="12.75" hidden="1" customHeight="1" x14ac:dyDescent="0.2"/>
    <row r="35928" ht="12.75" hidden="1" customHeight="1" x14ac:dyDescent="0.2"/>
    <row r="35929" ht="12.75" hidden="1" customHeight="1" x14ac:dyDescent="0.2"/>
    <row r="35930" ht="12.75" hidden="1" customHeight="1" x14ac:dyDescent="0.2"/>
    <row r="35931" ht="12.75" hidden="1" customHeight="1" x14ac:dyDescent="0.2"/>
    <row r="35932" ht="12.75" hidden="1" customHeight="1" x14ac:dyDescent="0.2"/>
    <row r="35933" ht="12.75" hidden="1" customHeight="1" x14ac:dyDescent="0.2"/>
    <row r="35934" ht="12.75" hidden="1" customHeight="1" x14ac:dyDescent="0.2"/>
    <row r="35935" ht="12.75" hidden="1" customHeight="1" x14ac:dyDescent="0.2"/>
    <row r="35936" ht="12.75" hidden="1" customHeight="1" x14ac:dyDescent="0.2"/>
    <row r="35937" ht="12.75" hidden="1" customHeight="1" x14ac:dyDescent="0.2"/>
    <row r="35938" ht="12.75" hidden="1" customHeight="1" x14ac:dyDescent="0.2"/>
    <row r="35939" ht="12.75" hidden="1" customHeight="1" x14ac:dyDescent="0.2"/>
    <row r="35940" ht="12.75" hidden="1" customHeight="1" x14ac:dyDescent="0.2"/>
    <row r="35941" ht="12.75" hidden="1" customHeight="1" x14ac:dyDescent="0.2"/>
    <row r="35942" ht="12.75" hidden="1" customHeight="1" x14ac:dyDescent="0.2"/>
    <row r="35943" ht="12.75" hidden="1" customHeight="1" x14ac:dyDescent="0.2"/>
    <row r="35944" ht="12.75" hidden="1" customHeight="1" x14ac:dyDescent="0.2"/>
    <row r="35945" ht="12.75" hidden="1" customHeight="1" x14ac:dyDescent="0.2"/>
    <row r="35946" ht="12.75" hidden="1" customHeight="1" x14ac:dyDescent="0.2"/>
    <row r="35947" ht="12.75" hidden="1" customHeight="1" x14ac:dyDescent="0.2"/>
    <row r="35948" ht="12.75" hidden="1" customHeight="1" x14ac:dyDescent="0.2"/>
    <row r="35949" ht="12.75" hidden="1" customHeight="1" x14ac:dyDescent="0.2"/>
    <row r="35950" ht="12.75" hidden="1" customHeight="1" x14ac:dyDescent="0.2"/>
    <row r="35951" ht="12.75" hidden="1" customHeight="1" x14ac:dyDescent="0.2"/>
    <row r="35952" ht="12.75" hidden="1" customHeight="1" x14ac:dyDescent="0.2"/>
    <row r="35953" ht="12.75" hidden="1" customHeight="1" x14ac:dyDescent="0.2"/>
    <row r="35954" ht="12.75" hidden="1" customHeight="1" x14ac:dyDescent="0.2"/>
    <row r="35955" ht="12.75" hidden="1" customHeight="1" x14ac:dyDescent="0.2"/>
    <row r="35956" ht="12.75" hidden="1" customHeight="1" x14ac:dyDescent="0.2"/>
    <row r="35957" ht="12.75" hidden="1" customHeight="1" x14ac:dyDescent="0.2"/>
    <row r="35958" ht="12.75" hidden="1" customHeight="1" x14ac:dyDescent="0.2"/>
    <row r="35959" ht="12.75" hidden="1" customHeight="1" x14ac:dyDescent="0.2"/>
    <row r="35960" ht="12.75" hidden="1" customHeight="1" x14ac:dyDescent="0.2"/>
    <row r="35961" ht="12.75" hidden="1" customHeight="1" x14ac:dyDescent="0.2"/>
    <row r="35962" ht="12.75" hidden="1" customHeight="1" x14ac:dyDescent="0.2"/>
    <row r="35963" ht="12.75" hidden="1" customHeight="1" x14ac:dyDescent="0.2"/>
    <row r="35964" ht="12.75" hidden="1" customHeight="1" x14ac:dyDescent="0.2"/>
    <row r="35965" ht="12.75" hidden="1" customHeight="1" x14ac:dyDescent="0.2"/>
    <row r="35966" ht="12.75" hidden="1" customHeight="1" x14ac:dyDescent="0.2"/>
    <row r="35967" ht="12.75" hidden="1" customHeight="1" x14ac:dyDescent="0.2"/>
    <row r="35968" ht="12.75" hidden="1" customHeight="1" x14ac:dyDescent="0.2"/>
    <row r="35969" ht="12.75" hidden="1" customHeight="1" x14ac:dyDescent="0.2"/>
    <row r="35970" ht="12.75" hidden="1" customHeight="1" x14ac:dyDescent="0.2"/>
    <row r="35971" ht="12.75" hidden="1" customHeight="1" x14ac:dyDescent="0.2"/>
    <row r="35972" ht="12.75" hidden="1" customHeight="1" x14ac:dyDescent="0.2"/>
    <row r="35973" ht="12.75" hidden="1" customHeight="1" x14ac:dyDescent="0.2"/>
    <row r="35974" ht="12.75" hidden="1" customHeight="1" x14ac:dyDescent="0.2"/>
    <row r="35975" ht="12.75" hidden="1" customHeight="1" x14ac:dyDescent="0.2"/>
    <row r="35976" ht="12.75" hidden="1" customHeight="1" x14ac:dyDescent="0.2"/>
    <row r="35977" ht="12.75" hidden="1" customHeight="1" x14ac:dyDescent="0.2"/>
    <row r="35978" ht="12.75" hidden="1" customHeight="1" x14ac:dyDescent="0.2"/>
    <row r="35979" ht="12.75" hidden="1" customHeight="1" x14ac:dyDescent="0.2"/>
    <row r="35980" ht="12.75" hidden="1" customHeight="1" x14ac:dyDescent="0.2"/>
    <row r="35981" ht="12.75" hidden="1" customHeight="1" x14ac:dyDescent="0.2"/>
    <row r="35982" ht="12.75" hidden="1" customHeight="1" x14ac:dyDescent="0.2"/>
    <row r="35983" ht="12.75" hidden="1" customHeight="1" x14ac:dyDescent="0.2"/>
    <row r="35984" ht="12.75" hidden="1" customHeight="1" x14ac:dyDescent="0.2"/>
    <row r="35985" ht="12.75" hidden="1" customHeight="1" x14ac:dyDescent="0.2"/>
    <row r="35986" ht="12.75" hidden="1" customHeight="1" x14ac:dyDescent="0.2"/>
    <row r="35987" ht="12.75" hidden="1" customHeight="1" x14ac:dyDescent="0.2"/>
    <row r="35988" ht="12.75" hidden="1" customHeight="1" x14ac:dyDescent="0.2"/>
    <row r="35989" ht="12.75" hidden="1" customHeight="1" x14ac:dyDescent="0.2"/>
    <row r="35990" ht="12.75" hidden="1" customHeight="1" x14ac:dyDescent="0.2"/>
    <row r="35991" ht="12.75" hidden="1" customHeight="1" x14ac:dyDescent="0.2"/>
    <row r="35992" ht="12.75" hidden="1" customHeight="1" x14ac:dyDescent="0.2"/>
    <row r="35993" ht="12.75" hidden="1" customHeight="1" x14ac:dyDescent="0.2"/>
    <row r="35994" ht="12.75" hidden="1" customHeight="1" x14ac:dyDescent="0.2"/>
    <row r="35995" ht="12.75" hidden="1" customHeight="1" x14ac:dyDescent="0.2"/>
    <row r="35996" ht="12.75" hidden="1" customHeight="1" x14ac:dyDescent="0.2"/>
    <row r="35997" ht="12.75" hidden="1" customHeight="1" x14ac:dyDescent="0.2"/>
    <row r="35998" ht="12.75" hidden="1" customHeight="1" x14ac:dyDescent="0.2"/>
    <row r="35999" ht="12.75" hidden="1" customHeight="1" x14ac:dyDescent="0.2"/>
    <row r="36000" ht="12.75" hidden="1" customHeight="1" x14ac:dyDescent="0.2"/>
    <row r="36001" ht="12.75" hidden="1" customHeight="1" x14ac:dyDescent="0.2"/>
    <row r="36002" ht="12.75" hidden="1" customHeight="1" x14ac:dyDescent="0.2"/>
    <row r="36003" ht="12.75" hidden="1" customHeight="1" x14ac:dyDescent="0.2"/>
    <row r="36004" ht="12.75" hidden="1" customHeight="1" x14ac:dyDescent="0.2"/>
    <row r="36005" ht="12.75" hidden="1" customHeight="1" x14ac:dyDescent="0.2"/>
    <row r="36006" ht="12.75" hidden="1" customHeight="1" x14ac:dyDescent="0.2"/>
    <row r="36007" ht="12.75" hidden="1" customHeight="1" x14ac:dyDescent="0.2"/>
    <row r="36008" ht="12.75" hidden="1" customHeight="1" x14ac:dyDescent="0.2"/>
    <row r="36009" ht="12.75" hidden="1" customHeight="1" x14ac:dyDescent="0.2"/>
    <row r="36010" ht="12.75" hidden="1" customHeight="1" x14ac:dyDescent="0.2"/>
    <row r="36011" ht="12.75" hidden="1" customHeight="1" x14ac:dyDescent="0.2"/>
    <row r="36012" ht="12.75" hidden="1" customHeight="1" x14ac:dyDescent="0.2"/>
    <row r="36013" ht="12.75" hidden="1" customHeight="1" x14ac:dyDescent="0.2"/>
    <row r="36014" ht="12.75" hidden="1" customHeight="1" x14ac:dyDescent="0.2"/>
    <row r="36015" ht="12.75" hidden="1" customHeight="1" x14ac:dyDescent="0.2"/>
    <row r="36016" ht="12.75" hidden="1" customHeight="1" x14ac:dyDescent="0.2"/>
    <row r="36017" ht="12.75" hidden="1" customHeight="1" x14ac:dyDescent="0.2"/>
    <row r="36018" ht="12.75" hidden="1" customHeight="1" x14ac:dyDescent="0.2"/>
    <row r="36019" ht="12.75" hidden="1" customHeight="1" x14ac:dyDescent="0.2"/>
    <row r="36020" ht="12.75" hidden="1" customHeight="1" x14ac:dyDescent="0.2"/>
    <row r="36021" ht="12.75" hidden="1" customHeight="1" x14ac:dyDescent="0.2"/>
    <row r="36022" ht="12.75" hidden="1" customHeight="1" x14ac:dyDescent="0.2"/>
    <row r="36023" ht="12.75" hidden="1" customHeight="1" x14ac:dyDescent="0.2"/>
    <row r="36024" ht="12.75" hidden="1" customHeight="1" x14ac:dyDescent="0.2"/>
    <row r="36025" ht="12.75" hidden="1" customHeight="1" x14ac:dyDescent="0.2"/>
    <row r="36026" ht="12.75" hidden="1" customHeight="1" x14ac:dyDescent="0.2"/>
    <row r="36027" ht="12.75" hidden="1" customHeight="1" x14ac:dyDescent="0.2"/>
    <row r="36028" ht="12.75" hidden="1" customHeight="1" x14ac:dyDescent="0.2"/>
    <row r="36029" ht="12.75" hidden="1" customHeight="1" x14ac:dyDescent="0.2"/>
    <row r="36030" ht="12.75" hidden="1" customHeight="1" x14ac:dyDescent="0.2"/>
    <row r="36031" ht="12.75" hidden="1" customHeight="1" x14ac:dyDescent="0.2"/>
    <row r="36032" ht="12.75" hidden="1" customHeight="1" x14ac:dyDescent="0.2"/>
    <row r="36033" ht="12.75" hidden="1" customHeight="1" x14ac:dyDescent="0.2"/>
    <row r="36034" ht="12.75" hidden="1" customHeight="1" x14ac:dyDescent="0.2"/>
    <row r="36035" ht="12.75" hidden="1" customHeight="1" x14ac:dyDescent="0.2"/>
    <row r="36036" ht="12.75" hidden="1" customHeight="1" x14ac:dyDescent="0.2"/>
    <row r="36037" ht="12.75" hidden="1" customHeight="1" x14ac:dyDescent="0.2"/>
    <row r="36038" ht="12.75" hidden="1" customHeight="1" x14ac:dyDescent="0.2"/>
    <row r="36039" ht="12.75" hidden="1" customHeight="1" x14ac:dyDescent="0.2"/>
    <row r="36040" ht="12.75" hidden="1" customHeight="1" x14ac:dyDescent="0.2"/>
    <row r="36041" ht="12.75" hidden="1" customHeight="1" x14ac:dyDescent="0.2"/>
    <row r="36042" ht="12.75" hidden="1" customHeight="1" x14ac:dyDescent="0.2"/>
    <row r="36043" ht="12.75" hidden="1" customHeight="1" x14ac:dyDescent="0.2"/>
    <row r="36044" ht="12.75" hidden="1" customHeight="1" x14ac:dyDescent="0.2"/>
    <row r="36045" ht="12.75" hidden="1" customHeight="1" x14ac:dyDescent="0.2"/>
    <row r="36046" ht="12.75" hidden="1" customHeight="1" x14ac:dyDescent="0.2"/>
    <row r="36047" ht="12.75" hidden="1" customHeight="1" x14ac:dyDescent="0.2"/>
    <row r="36048" ht="12.75" hidden="1" customHeight="1" x14ac:dyDescent="0.2"/>
    <row r="36049" ht="12.75" hidden="1" customHeight="1" x14ac:dyDescent="0.2"/>
    <row r="36050" ht="12.75" hidden="1" customHeight="1" x14ac:dyDescent="0.2"/>
    <row r="36051" ht="12.75" hidden="1" customHeight="1" x14ac:dyDescent="0.2"/>
    <row r="36052" ht="12.75" hidden="1" customHeight="1" x14ac:dyDescent="0.2"/>
    <row r="36053" ht="12.75" hidden="1" customHeight="1" x14ac:dyDescent="0.2"/>
    <row r="36054" ht="12.75" hidden="1" customHeight="1" x14ac:dyDescent="0.2"/>
    <row r="36055" ht="12.75" hidden="1" customHeight="1" x14ac:dyDescent="0.2"/>
    <row r="36056" ht="12.75" hidden="1" customHeight="1" x14ac:dyDescent="0.2"/>
    <row r="36057" ht="12.75" hidden="1" customHeight="1" x14ac:dyDescent="0.2"/>
    <row r="36058" ht="12.75" hidden="1" customHeight="1" x14ac:dyDescent="0.2"/>
    <row r="36059" ht="12.75" hidden="1" customHeight="1" x14ac:dyDescent="0.2"/>
    <row r="36060" ht="12.75" hidden="1" customHeight="1" x14ac:dyDescent="0.2"/>
    <row r="36061" ht="12.75" hidden="1" customHeight="1" x14ac:dyDescent="0.2"/>
    <row r="36062" ht="12.75" hidden="1" customHeight="1" x14ac:dyDescent="0.2"/>
    <row r="36063" ht="12.75" hidden="1" customHeight="1" x14ac:dyDescent="0.2"/>
    <row r="36064" ht="12.75" hidden="1" customHeight="1" x14ac:dyDescent="0.2"/>
    <row r="36065" ht="12.75" hidden="1" customHeight="1" x14ac:dyDescent="0.2"/>
    <row r="36066" ht="12.75" hidden="1" customHeight="1" x14ac:dyDescent="0.2"/>
    <row r="36067" ht="12.75" hidden="1" customHeight="1" x14ac:dyDescent="0.2"/>
    <row r="36068" ht="12.75" hidden="1" customHeight="1" x14ac:dyDescent="0.2"/>
    <row r="36069" ht="12.75" hidden="1" customHeight="1" x14ac:dyDescent="0.2"/>
    <row r="36070" ht="12.75" hidden="1" customHeight="1" x14ac:dyDescent="0.2"/>
    <row r="36071" ht="12.75" hidden="1" customHeight="1" x14ac:dyDescent="0.2"/>
    <row r="36072" ht="12.75" hidden="1" customHeight="1" x14ac:dyDescent="0.2"/>
    <row r="36073" ht="12.75" hidden="1" customHeight="1" x14ac:dyDescent="0.2"/>
    <row r="36074" ht="12.75" hidden="1" customHeight="1" x14ac:dyDescent="0.2"/>
    <row r="36075" ht="12.75" hidden="1" customHeight="1" x14ac:dyDescent="0.2"/>
    <row r="36076" ht="12.75" hidden="1" customHeight="1" x14ac:dyDescent="0.2"/>
    <row r="36077" ht="12.75" hidden="1" customHeight="1" x14ac:dyDescent="0.2"/>
    <row r="36078" ht="12.75" hidden="1" customHeight="1" x14ac:dyDescent="0.2"/>
    <row r="36079" ht="12.75" hidden="1" customHeight="1" x14ac:dyDescent="0.2"/>
    <row r="36080" ht="12.75" hidden="1" customHeight="1" x14ac:dyDescent="0.2"/>
    <row r="36081" ht="12.75" hidden="1" customHeight="1" x14ac:dyDescent="0.2"/>
    <row r="36082" ht="12.75" hidden="1" customHeight="1" x14ac:dyDescent="0.2"/>
    <row r="36083" ht="12.75" hidden="1" customHeight="1" x14ac:dyDescent="0.2"/>
    <row r="36084" ht="12.75" hidden="1" customHeight="1" x14ac:dyDescent="0.2"/>
    <row r="36085" ht="12.75" hidden="1" customHeight="1" x14ac:dyDescent="0.2"/>
    <row r="36086" ht="12.75" hidden="1" customHeight="1" x14ac:dyDescent="0.2"/>
    <row r="36087" ht="12.75" hidden="1" customHeight="1" x14ac:dyDescent="0.2"/>
    <row r="36088" ht="12.75" hidden="1" customHeight="1" x14ac:dyDescent="0.2"/>
    <row r="36089" ht="12.75" hidden="1" customHeight="1" x14ac:dyDescent="0.2"/>
    <row r="36090" ht="12.75" hidden="1" customHeight="1" x14ac:dyDescent="0.2"/>
    <row r="36091" ht="12.75" hidden="1" customHeight="1" x14ac:dyDescent="0.2"/>
    <row r="36092" ht="12.75" hidden="1" customHeight="1" x14ac:dyDescent="0.2"/>
    <row r="36093" ht="12.75" hidden="1" customHeight="1" x14ac:dyDescent="0.2"/>
    <row r="36094" ht="12.75" hidden="1" customHeight="1" x14ac:dyDescent="0.2"/>
    <row r="36095" ht="12.75" hidden="1" customHeight="1" x14ac:dyDescent="0.2"/>
    <row r="36096" ht="12.75" hidden="1" customHeight="1" x14ac:dyDescent="0.2"/>
    <row r="36097" ht="12.75" hidden="1" customHeight="1" x14ac:dyDescent="0.2"/>
    <row r="36098" ht="12.75" hidden="1" customHeight="1" x14ac:dyDescent="0.2"/>
    <row r="36099" ht="12.75" hidden="1" customHeight="1" x14ac:dyDescent="0.2"/>
    <row r="36100" ht="12.75" hidden="1" customHeight="1" x14ac:dyDescent="0.2"/>
    <row r="36101" ht="12.75" hidden="1" customHeight="1" x14ac:dyDescent="0.2"/>
    <row r="36102" ht="12.75" hidden="1" customHeight="1" x14ac:dyDescent="0.2"/>
    <row r="36103" ht="12.75" hidden="1" customHeight="1" x14ac:dyDescent="0.2"/>
    <row r="36104" ht="12.75" hidden="1" customHeight="1" x14ac:dyDescent="0.2"/>
    <row r="36105" ht="12.75" hidden="1" customHeight="1" x14ac:dyDescent="0.2"/>
    <row r="36106" ht="12.75" hidden="1" customHeight="1" x14ac:dyDescent="0.2"/>
    <row r="36107" ht="12.75" hidden="1" customHeight="1" x14ac:dyDescent="0.2"/>
    <row r="36108" ht="12.75" hidden="1" customHeight="1" x14ac:dyDescent="0.2"/>
    <row r="36109" ht="12.75" hidden="1" customHeight="1" x14ac:dyDescent="0.2"/>
    <row r="36110" ht="12.75" hidden="1" customHeight="1" x14ac:dyDescent="0.2"/>
    <row r="36111" ht="12.75" hidden="1" customHeight="1" x14ac:dyDescent="0.2"/>
    <row r="36112" ht="12.75" hidden="1" customHeight="1" x14ac:dyDescent="0.2"/>
    <row r="36113" ht="12.75" hidden="1" customHeight="1" x14ac:dyDescent="0.2"/>
    <row r="36114" ht="12.75" hidden="1" customHeight="1" x14ac:dyDescent="0.2"/>
    <row r="36115" ht="12.75" hidden="1" customHeight="1" x14ac:dyDescent="0.2"/>
    <row r="36116" ht="12.75" hidden="1" customHeight="1" x14ac:dyDescent="0.2"/>
    <row r="36117" ht="12.75" hidden="1" customHeight="1" x14ac:dyDescent="0.2"/>
    <row r="36118" ht="12.75" hidden="1" customHeight="1" x14ac:dyDescent="0.2"/>
    <row r="36119" ht="12.75" hidden="1" customHeight="1" x14ac:dyDescent="0.2"/>
    <row r="36120" ht="12.75" hidden="1" customHeight="1" x14ac:dyDescent="0.2"/>
    <row r="36121" ht="12.75" hidden="1" customHeight="1" x14ac:dyDescent="0.2"/>
    <row r="36122" ht="12.75" hidden="1" customHeight="1" x14ac:dyDescent="0.2"/>
    <row r="36123" ht="12.75" hidden="1" customHeight="1" x14ac:dyDescent="0.2"/>
    <row r="36124" ht="12.75" hidden="1" customHeight="1" x14ac:dyDescent="0.2"/>
    <row r="36125" ht="12.75" hidden="1" customHeight="1" x14ac:dyDescent="0.2"/>
    <row r="36126" ht="12.75" hidden="1" customHeight="1" x14ac:dyDescent="0.2"/>
    <row r="36127" ht="12.75" hidden="1" customHeight="1" x14ac:dyDescent="0.2"/>
    <row r="36128" ht="12.75" hidden="1" customHeight="1" x14ac:dyDescent="0.2"/>
    <row r="36129" ht="12.75" hidden="1" customHeight="1" x14ac:dyDescent="0.2"/>
    <row r="36130" ht="12.75" hidden="1" customHeight="1" x14ac:dyDescent="0.2"/>
    <row r="36131" ht="12.75" hidden="1" customHeight="1" x14ac:dyDescent="0.2"/>
    <row r="36132" ht="12.75" hidden="1" customHeight="1" x14ac:dyDescent="0.2"/>
    <row r="36133" ht="12.75" hidden="1" customHeight="1" x14ac:dyDescent="0.2"/>
    <row r="36134" ht="12.75" hidden="1" customHeight="1" x14ac:dyDescent="0.2"/>
    <row r="36135" ht="12.75" hidden="1" customHeight="1" x14ac:dyDescent="0.2"/>
    <row r="36136" ht="12.75" hidden="1" customHeight="1" x14ac:dyDescent="0.2"/>
    <row r="36137" ht="12.75" hidden="1" customHeight="1" x14ac:dyDescent="0.2"/>
    <row r="36138" ht="12.75" hidden="1" customHeight="1" x14ac:dyDescent="0.2"/>
    <row r="36139" ht="12.75" hidden="1" customHeight="1" x14ac:dyDescent="0.2"/>
    <row r="36140" ht="12.75" hidden="1" customHeight="1" x14ac:dyDescent="0.2"/>
    <row r="36141" ht="12.75" hidden="1" customHeight="1" x14ac:dyDescent="0.2"/>
    <row r="36142" ht="12.75" hidden="1" customHeight="1" x14ac:dyDescent="0.2"/>
    <row r="36143" ht="12.75" hidden="1" customHeight="1" x14ac:dyDescent="0.2"/>
    <row r="36144" ht="12.75" hidden="1" customHeight="1" x14ac:dyDescent="0.2"/>
    <row r="36145" ht="12.75" hidden="1" customHeight="1" x14ac:dyDescent="0.2"/>
    <row r="36146" ht="12.75" hidden="1" customHeight="1" x14ac:dyDescent="0.2"/>
    <row r="36147" ht="12.75" hidden="1" customHeight="1" x14ac:dyDescent="0.2"/>
    <row r="36148" ht="12.75" hidden="1" customHeight="1" x14ac:dyDescent="0.2"/>
    <row r="36149" ht="12.75" hidden="1" customHeight="1" x14ac:dyDescent="0.2"/>
    <row r="36150" ht="12.75" hidden="1" customHeight="1" x14ac:dyDescent="0.2"/>
    <row r="36151" ht="12.75" hidden="1" customHeight="1" x14ac:dyDescent="0.2"/>
    <row r="36152" ht="12.75" hidden="1" customHeight="1" x14ac:dyDescent="0.2"/>
    <row r="36153" ht="12.75" hidden="1" customHeight="1" x14ac:dyDescent="0.2"/>
    <row r="36154" ht="12.75" hidden="1" customHeight="1" x14ac:dyDescent="0.2"/>
    <row r="36155" ht="12.75" hidden="1" customHeight="1" x14ac:dyDescent="0.2"/>
    <row r="36156" ht="12.75" hidden="1" customHeight="1" x14ac:dyDescent="0.2"/>
    <row r="36157" ht="12.75" hidden="1" customHeight="1" x14ac:dyDescent="0.2"/>
    <row r="36158" ht="12.75" hidden="1" customHeight="1" x14ac:dyDescent="0.2"/>
    <row r="36159" ht="12.75" hidden="1" customHeight="1" x14ac:dyDescent="0.2"/>
    <row r="36160" ht="12.75" hidden="1" customHeight="1" x14ac:dyDescent="0.2"/>
    <row r="36161" ht="12.75" hidden="1" customHeight="1" x14ac:dyDescent="0.2"/>
    <row r="36162" ht="12.75" hidden="1" customHeight="1" x14ac:dyDescent="0.2"/>
    <row r="36163" ht="12.75" hidden="1" customHeight="1" x14ac:dyDescent="0.2"/>
    <row r="36164" ht="12.75" hidden="1" customHeight="1" x14ac:dyDescent="0.2"/>
    <row r="36165" ht="12.75" hidden="1" customHeight="1" x14ac:dyDescent="0.2"/>
    <row r="36166" ht="12.75" hidden="1" customHeight="1" x14ac:dyDescent="0.2"/>
    <row r="36167" ht="12.75" hidden="1" customHeight="1" x14ac:dyDescent="0.2"/>
    <row r="36168" ht="12.75" hidden="1" customHeight="1" x14ac:dyDescent="0.2"/>
    <row r="36169" ht="12.75" hidden="1" customHeight="1" x14ac:dyDescent="0.2"/>
    <row r="36170" ht="12.75" hidden="1" customHeight="1" x14ac:dyDescent="0.2"/>
    <row r="36171" ht="12.75" hidden="1" customHeight="1" x14ac:dyDescent="0.2"/>
    <row r="36172" ht="12.75" hidden="1" customHeight="1" x14ac:dyDescent="0.2"/>
    <row r="36173" ht="12.75" hidden="1" customHeight="1" x14ac:dyDescent="0.2"/>
    <row r="36174" ht="12.75" hidden="1" customHeight="1" x14ac:dyDescent="0.2"/>
    <row r="36175" ht="12.75" hidden="1" customHeight="1" x14ac:dyDescent="0.2"/>
    <row r="36176" ht="12.75" hidden="1" customHeight="1" x14ac:dyDescent="0.2"/>
    <row r="36177" ht="12.75" hidden="1" customHeight="1" x14ac:dyDescent="0.2"/>
    <row r="36178" ht="12.75" hidden="1" customHeight="1" x14ac:dyDescent="0.2"/>
    <row r="36179" ht="12.75" hidden="1" customHeight="1" x14ac:dyDescent="0.2"/>
    <row r="36180" ht="12.75" hidden="1" customHeight="1" x14ac:dyDescent="0.2"/>
    <row r="36181" ht="12.75" hidden="1" customHeight="1" x14ac:dyDescent="0.2"/>
    <row r="36182" ht="12.75" hidden="1" customHeight="1" x14ac:dyDescent="0.2"/>
    <row r="36183" ht="12.75" hidden="1" customHeight="1" x14ac:dyDescent="0.2"/>
    <row r="36184" ht="12.75" hidden="1" customHeight="1" x14ac:dyDescent="0.2"/>
    <row r="36185" ht="12.75" hidden="1" customHeight="1" x14ac:dyDescent="0.2"/>
    <row r="36186" ht="12.75" hidden="1" customHeight="1" x14ac:dyDescent="0.2"/>
    <row r="36187" ht="12.75" hidden="1" customHeight="1" x14ac:dyDescent="0.2"/>
    <row r="36188" ht="12.75" hidden="1" customHeight="1" x14ac:dyDescent="0.2"/>
    <row r="36189" ht="12.75" hidden="1" customHeight="1" x14ac:dyDescent="0.2"/>
    <row r="36190" ht="12.75" hidden="1" customHeight="1" x14ac:dyDescent="0.2"/>
    <row r="36191" ht="12.75" hidden="1" customHeight="1" x14ac:dyDescent="0.2"/>
    <row r="36192" ht="12.75" hidden="1" customHeight="1" x14ac:dyDescent="0.2"/>
    <row r="36193" ht="12.75" hidden="1" customHeight="1" x14ac:dyDescent="0.2"/>
    <row r="36194" ht="12.75" hidden="1" customHeight="1" x14ac:dyDescent="0.2"/>
    <row r="36195" ht="12.75" hidden="1" customHeight="1" x14ac:dyDescent="0.2"/>
    <row r="36196" ht="12.75" hidden="1" customHeight="1" x14ac:dyDescent="0.2"/>
    <row r="36197" ht="12.75" hidden="1" customHeight="1" x14ac:dyDescent="0.2"/>
    <row r="36198" ht="12.75" hidden="1" customHeight="1" x14ac:dyDescent="0.2"/>
    <row r="36199" ht="12.75" hidden="1" customHeight="1" x14ac:dyDescent="0.2"/>
    <row r="36200" ht="12.75" hidden="1" customHeight="1" x14ac:dyDescent="0.2"/>
    <row r="36201" ht="12.75" hidden="1" customHeight="1" x14ac:dyDescent="0.2"/>
    <row r="36202" ht="12.75" hidden="1" customHeight="1" x14ac:dyDescent="0.2"/>
    <row r="36203" ht="12.75" hidden="1" customHeight="1" x14ac:dyDescent="0.2"/>
    <row r="36204" ht="12.75" hidden="1" customHeight="1" x14ac:dyDescent="0.2"/>
    <row r="36205" ht="12.75" hidden="1" customHeight="1" x14ac:dyDescent="0.2"/>
    <row r="36206" ht="12.75" hidden="1" customHeight="1" x14ac:dyDescent="0.2"/>
    <row r="36207" ht="12.75" hidden="1" customHeight="1" x14ac:dyDescent="0.2"/>
    <row r="36208" ht="12.75" hidden="1" customHeight="1" x14ac:dyDescent="0.2"/>
    <row r="36209" ht="12.75" hidden="1" customHeight="1" x14ac:dyDescent="0.2"/>
    <row r="36210" ht="12.75" hidden="1" customHeight="1" x14ac:dyDescent="0.2"/>
    <row r="36211" ht="12.75" hidden="1" customHeight="1" x14ac:dyDescent="0.2"/>
    <row r="36212" ht="12.75" hidden="1" customHeight="1" x14ac:dyDescent="0.2"/>
    <row r="36213" ht="12.75" hidden="1" customHeight="1" x14ac:dyDescent="0.2"/>
    <row r="36214" ht="12.75" hidden="1" customHeight="1" x14ac:dyDescent="0.2"/>
    <row r="36215" ht="12.75" hidden="1" customHeight="1" x14ac:dyDescent="0.2"/>
    <row r="36216" ht="12.75" hidden="1" customHeight="1" x14ac:dyDescent="0.2"/>
    <row r="36217" ht="12.75" hidden="1" customHeight="1" x14ac:dyDescent="0.2"/>
    <row r="36218" ht="12.75" hidden="1" customHeight="1" x14ac:dyDescent="0.2"/>
    <row r="36219" ht="12.75" hidden="1" customHeight="1" x14ac:dyDescent="0.2"/>
    <row r="36220" ht="12.75" hidden="1" customHeight="1" x14ac:dyDescent="0.2"/>
    <row r="36221" ht="12.75" hidden="1" customHeight="1" x14ac:dyDescent="0.2"/>
    <row r="36222" ht="12.75" hidden="1" customHeight="1" x14ac:dyDescent="0.2"/>
    <row r="36223" ht="12.75" hidden="1" customHeight="1" x14ac:dyDescent="0.2"/>
    <row r="36224" ht="12.75" hidden="1" customHeight="1" x14ac:dyDescent="0.2"/>
    <row r="36225" ht="12.75" hidden="1" customHeight="1" x14ac:dyDescent="0.2"/>
    <row r="36226" ht="12.75" hidden="1" customHeight="1" x14ac:dyDescent="0.2"/>
    <row r="36227" ht="12.75" hidden="1" customHeight="1" x14ac:dyDescent="0.2"/>
    <row r="36228" ht="12.75" hidden="1" customHeight="1" x14ac:dyDescent="0.2"/>
    <row r="36229" ht="12.75" hidden="1" customHeight="1" x14ac:dyDescent="0.2"/>
    <row r="36230" ht="12.75" hidden="1" customHeight="1" x14ac:dyDescent="0.2"/>
    <row r="36231" ht="12.75" hidden="1" customHeight="1" x14ac:dyDescent="0.2"/>
    <row r="36232" ht="12.75" hidden="1" customHeight="1" x14ac:dyDescent="0.2"/>
    <row r="36233" ht="12.75" hidden="1" customHeight="1" x14ac:dyDescent="0.2"/>
    <row r="36234" ht="12.75" hidden="1" customHeight="1" x14ac:dyDescent="0.2"/>
    <row r="36235" ht="12.75" hidden="1" customHeight="1" x14ac:dyDescent="0.2"/>
    <row r="36236" ht="12.75" hidden="1" customHeight="1" x14ac:dyDescent="0.2"/>
    <row r="36237" ht="12.75" hidden="1" customHeight="1" x14ac:dyDescent="0.2"/>
    <row r="36238" ht="12.75" hidden="1" customHeight="1" x14ac:dyDescent="0.2"/>
    <row r="36239" ht="12.75" hidden="1" customHeight="1" x14ac:dyDescent="0.2"/>
    <row r="36240" ht="12.75" hidden="1" customHeight="1" x14ac:dyDescent="0.2"/>
    <row r="36241" ht="12.75" hidden="1" customHeight="1" x14ac:dyDescent="0.2"/>
    <row r="36242" ht="12.75" hidden="1" customHeight="1" x14ac:dyDescent="0.2"/>
    <row r="36243" ht="12.75" hidden="1" customHeight="1" x14ac:dyDescent="0.2"/>
    <row r="36244" ht="12.75" hidden="1" customHeight="1" x14ac:dyDescent="0.2"/>
    <row r="36245" ht="12.75" hidden="1" customHeight="1" x14ac:dyDescent="0.2"/>
    <row r="36246" ht="12.75" hidden="1" customHeight="1" x14ac:dyDescent="0.2"/>
    <row r="36247" ht="12.75" hidden="1" customHeight="1" x14ac:dyDescent="0.2"/>
    <row r="36248" ht="12.75" hidden="1" customHeight="1" x14ac:dyDescent="0.2"/>
    <row r="36249" ht="12.75" hidden="1" customHeight="1" x14ac:dyDescent="0.2"/>
    <row r="36250" ht="12.75" hidden="1" customHeight="1" x14ac:dyDescent="0.2"/>
    <row r="36251" ht="12.75" hidden="1" customHeight="1" x14ac:dyDescent="0.2"/>
    <row r="36252" ht="12.75" hidden="1" customHeight="1" x14ac:dyDescent="0.2"/>
    <row r="36253" ht="12.75" hidden="1" customHeight="1" x14ac:dyDescent="0.2"/>
    <row r="36254" ht="12.75" hidden="1" customHeight="1" x14ac:dyDescent="0.2"/>
    <row r="36255" ht="12.75" hidden="1" customHeight="1" x14ac:dyDescent="0.2"/>
    <row r="36256" ht="12.75" hidden="1" customHeight="1" x14ac:dyDescent="0.2"/>
    <row r="36257" ht="12.75" hidden="1" customHeight="1" x14ac:dyDescent="0.2"/>
    <row r="36258" ht="12.75" hidden="1" customHeight="1" x14ac:dyDescent="0.2"/>
    <row r="36259" ht="12.75" hidden="1" customHeight="1" x14ac:dyDescent="0.2"/>
    <row r="36260" ht="12.75" hidden="1" customHeight="1" x14ac:dyDescent="0.2"/>
    <row r="36261" ht="12.75" hidden="1" customHeight="1" x14ac:dyDescent="0.2"/>
    <row r="36262" ht="12.75" hidden="1" customHeight="1" x14ac:dyDescent="0.2"/>
    <row r="36263" ht="12.75" hidden="1" customHeight="1" x14ac:dyDescent="0.2"/>
    <row r="36264" ht="12.75" hidden="1" customHeight="1" x14ac:dyDescent="0.2"/>
    <row r="36265" ht="12.75" hidden="1" customHeight="1" x14ac:dyDescent="0.2"/>
    <row r="36266" ht="12.75" hidden="1" customHeight="1" x14ac:dyDescent="0.2"/>
    <row r="36267" ht="12.75" hidden="1" customHeight="1" x14ac:dyDescent="0.2"/>
    <row r="36268" ht="12.75" hidden="1" customHeight="1" x14ac:dyDescent="0.2"/>
    <row r="36269" ht="12.75" hidden="1" customHeight="1" x14ac:dyDescent="0.2"/>
    <row r="36270" ht="12.75" hidden="1" customHeight="1" x14ac:dyDescent="0.2"/>
    <row r="36271" ht="12.75" hidden="1" customHeight="1" x14ac:dyDescent="0.2"/>
    <row r="36272" ht="12.75" hidden="1" customHeight="1" x14ac:dyDescent="0.2"/>
    <row r="36273" ht="12.75" hidden="1" customHeight="1" x14ac:dyDescent="0.2"/>
    <row r="36274" ht="12.75" hidden="1" customHeight="1" x14ac:dyDescent="0.2"/>
    <row r="36275" ht="12.75" hidden="1" customHeight="1" x14ac:dyDescent="0.2"/>
    <row r="36276" ht="12.75" hidden="1" customHeight="1" x14ac:dyDescent="0.2"/>
    <row r="36277" ht="12.75" hidden="1" customHeight="1" x14ac:dyDescent="0.2"/>
    <row r="36278" ht="12.75" hidden="1" customHeight="1" x14ac:dyDescent="0.2"/>
    <row r="36279" ht="12.75" hidden="1" customHeight="1" x14ac:dyDescent="0.2"/>
    <row r="36280" ht="12.75" hidden="1" customHeight="1" x14ac:dyDescent="0.2"/>
    <row r="36281" ht="12.75" hidden="1" customHeight="1" x14ac:dyDescent="0.2"/>
    <row r="36282" ht="12.75" hidden="1" customHeight="1" x14ac:dyDescent="0.2"/>
    <row r="36283" ht="12.75" hidden="1" customHeight="1" x14ac:dyDescent="0.2"/>
    <row r="36284" ht="12.75" hidden="1" customHeight="1" x14ac:dyDescent="0.2"/>
    <row r="36285" ht="12.75" hidden="1" customHeight="1" x14ac:dyDescent="0.2"/>
    <row r="36286" ht="12.75" hidden="1" customHeight="1" x14ac:dyDescent="0.2"/>
    <row r="36287" ht="12.75" hidden="1" customHeight="1" x14ac:dyDescent="0.2"/>
    <row r="36288" ht="12.75" hidden="1" customHeight="1" x14ac:dyDescent="0.2"/>
    <row r="36289" ht="12.75" hidden="1" customHeight="1" x14ac:dyDescent="0.2"/>
    <row r="36290" ht="12.75" hidden="1" customHeight="1" x14ac:dyDescent="0.2"/>
    <row r="36291" ht="12.75" hidden="1" customHeight="1" x14ac:dyDescent="0.2"/>
    <row r="36292" ht="12.75" hidden="1" customHeight="1" x14ac:dyDescent="0.2"/>
    <row r="36293" ht="12.75" hidden="1" customHeight="1" x14ac:dyDescent="0.2"/>
    <row r="36294" ht="12.75" hidden="1" customHeight="1" x14ac:dyDescent="0.2"/>
    <row r="36295" ht="12.75" hidden="1" customHeight="1" x14ac:dyDescent="0.2"/>
    <row r="36296" ht="12.75" hidden="1" customHeight="1" x14ac:dyDescent="0.2"/>
    <row r="36297" ht="12.75" hidden="1" customHeight="1" x14ac:dyDescent="0.2"/>
    <row r="36298" ht="12.75" hidden="1" customHeight="1" x14ac:dyDescent="0.2"/>
    <row r="36299" ht="12.75" hidden="1" customHeight="1" x14ac:dyDescent="0.2"/>
    <row r="36300" ht="12.75" hidden="1" customHeight="1" x14ac:dyDescent="0.2"/>
    <row r="36301" ht="12.75" hidden="1" customHeight="1" x14ac:dyDescent="0.2"/>
    <row r="36302" ht="12.75" hidden="1" customHeight="1" x14ac:dyDescent="0.2"/>
    <row r="36303" ht="12.75" hidden="1" customHeight="1" x14ac:dyDescent="0.2"/>
    <row r="36304" ht="12.75" hidden="1" customHeight="1" x14ac:dyDescent="0.2"/>
    <row r="36305" ht="12.75" hidden="1" customHeight="1" x14ac:dyDescent="0.2"/>
    <row r="36306" ht="12.75" hidden="1" customHeight="1" x14ac:dyDescent="0.2"/>
    <row r="36307" ht="12.75" hidden="1" customHeight="1" x14ac:dyDescent="0.2"/>
    <row r="36308" ht="12.75" hidden="1" customHeight="1" x14ac:dyDescent="0.2"/>
    <row r="36309" ht="12.75" hidden="1" customHeight="1" x14ac:dyDescent="0.2"/>
    <row r="36310" ht="12.75" hidden="1" customHeight="1" x14ac:dyDescent="0.2"/>
    <row r="36311" ht="12.75" hidden="1" customHeight="1" x14ac:dyDescent="0.2"/>
    <row r="36312" ht="12.75" hidden="1" customHeight="1" x14ac:dyDescent="0.2"/>
    <row r="36313" ht="12.75" hidden="1" customHeight="1" x14ac:dyDescent="0.2"/>
    <row r="36314" ht="12.75" hidden="1" customHeight="1" x14ac:dyDescent="0.2"/>
    <row r="36315" ht="12.75" hidden="1" customHeight="1" x14ac:dyDescent="0.2"/>
    <row r="36316" ht="12.75" hidden="1" customHeight="1" x14ac:dyDescent="0.2"/>
    <row r="36317" ht="12.75" hidden="1" customHeight="1" x14ac:dyDescent="0.2"/>
    <row r="36318" ht="12.75" hidden="1" customHeight="1" x14ac:dyDescent="0.2"/>
    <row r="36319" ht="12.75" hidden="1" customHeight="1" x14ac:dyDescent="0.2"/>
    <row r="36320" ht="12.75" hidden="1" customHeight="1" x14ac:dyDescent="0.2"/>
    <row r="36321" ht="12.75" hidden="1" customHeight="1" x14ac:dyDescent="0.2"/>
    <row r="36322" ht="12.75" hidden="1" customHeight="1" x14ac:dyDescent="0.2"/>
    <row r="36323" ht="12.75" hidden="1" customHeight="1" x14ac:dyDescent="0.2"/>
    <row r="36324" ht="12.75" hidden="1" customHeight="1" x14ac:dyDescent="0.2"/>
    <row r="36325" ht="12.75" hidden="1" customHeight="1" x14ac:dyDescent="0.2"/>
    <row r="36326" ht="12.75" hidden="1" customHeight="1" x14ac:dyDescent="0.2"/>
    <row r="36327" ht="12.75" hidden="1" customHeight="1" x14ac:dyDescent="0.2"/>
    <row r="36328" ht="12.75" hidden="1" customHeight="1" x14ac:dyDescent="0.2"/>
    <row r="36329" ht="12.75" hidden="1" customHeight="1" x14ac:dyDescent="0.2"/>
    <row r="36330" ht="12.75" hidden="1" customHeight="1" x14ac:dyDescent="0.2"/>
    <row r="36331" ht="12.75" hidden="1" customHeight="1" x14ac:dyDescent="0.2"/>
    <row r="36332" ht="12.75" hidden="1" customHeight="1" x14ac:dyDescent="0.2"/>
    <row r="36333" ht="12.75" hidden="1" customHeight="1" x14ac:dyDescent="0.2"/>
    <row r="36334" ht="12.75" hidden="1" customHeight="1" x14ac:dyDescent="0.2"/>
    <row r="36335" ht="12.75" hidden="1" customHeight="1" x14ac:dyDescent="0.2"/>
    <row r="36336" ht="12.75" hidden="1" customHeight="1" x14ac:dyDescent="0.2"/>
    <row r="36337" ht="12.75" hidden="1" customHeight="1" x14ac:dyDescent="0.2"/>
    <row r="36338" ht="12.75" hidden="1" customHeight="1" x14ac:dyDescent="0.2"/>
    <row r="36339" ht="12.75" hidden="1" customHeight="1" x14ac:dyDescent="0.2"/>
    <row r="36340" ht="12.75" hidden="1" customHeight="1" x14ac:dyDescent="0.2"/>
    <row r="36341" ht="12.75" hidden="1" customHeight="1" x14ac:dyDescent="0.2"/>
    <row r="36342" ht="12.75" hidden="1" customHeight="1" x14ac:dyDescent="0.2"/>
    <row r="36343" ht="12.75" hidden="1" customHeight="1" x14ac:dyDescent="0.2"/>
    <row r="36344" ht="12.75" hidden="1" customHeight="1" x14ac:dyDescent="0.2"/>
    <row r="36345" ht="12.75" hidden="1" customHeight="1" x14ac:dyDescent="0.2"/>
    <row r="36346" ht="12.75" hidden="1" customHeight="1" x14ac:dyDescent="0.2"/>
    <row r="36347" ht="12.75" hidden="1" customHeight="1" x14ac:dyDescent="0.2"/>
    <row r="36348" ht="12.75" hidden="1" customHeight="1" x14ac:dyDescent="0.2"/>
    <row r="36349" ht="12.75" hidden="1" customHeight="1" x14ac:dyDescent="0.2"/>
    <row r="36350" ht="12.75" hidden="1" customHeight="1" x14ac:dyDescent="0.2"/>
    <row r="36351" ht="12.75" hidden="1" customHeight="1" x14ac:dyDescent="0.2"/>
    <row r="36352" ht="12.75" hidden="1" customHeight="1" x14ac:dyDescent="0.2"/>
    <row r="36353" ht="12.75" hidden="1" customHeight="1" x14ac:dyDescent="0.2"/>
    <row r="36354" ht="12.75" hidden="1" customHeight="1" x14ac:dyDescent="0.2"/>
    <row r="36355" ht="12.75" hidden="1" customHeight="1" x14ac:dyDescent="0.2"/>
    <row r="36356" ht="12.75" hidden="1" customHeight="1" x14ac:dyDescent="0.2"/>
    <row r="36357" ht="12.75" hidden="1" customHeight="1" x14ac:dyDescent="0.2"/>
    <row r="36358" ht="12.75" hidden="1" customHeight="1" x14ac:dyDescent="0.2"/>
    <row r="36359" ht="12.75" hidden="1" customHeight="1" x14ac:dyDescent="0.2"/>
    <row r="36360" ht="12.75" hidden="1" customHeight="1" x14ac:dyDescent="0.2"/>
    <row r="36361" ht="12.75" hidden="1" customHeight="1" x14ac:dyDescent="0.2"/>
    <row r="36362" ht="12.75" hidden="1" customHeight="1" x14ac:dyDescent="0.2"/>
    <row r="36363" ht="12.75" hidden="1" customHeight="1" x14ac:dyDescent="0.2"/>
    <row r="36364" ht="12.75" hidden="1" customHeight="1" x14ac:dyDescent="0.2"/>
    <row r="36365" ht="12.75" hidden="1" customHeight="1" x14ac:dyDescent="0.2"/>
    <row r="36366" ht="12.75" hidden="1" customHeight="1" x14ac:dyDescent="0.2"/>
    <row r="36367" ht="12.75" hidden="1" customHeight="1" x14ac:dyDescent="0.2"/>
    <row r="36368" ht="12.75" hidden="1" customHeight="1" x14ac:dyDescent="0.2"/>
    <row r="36369" ht="12.75" hidden="1" customHeight="1" x14ac:dyDescent="0.2"/>
    <row r="36370" ht="12.75" hidden="1" customHeight="1" x14ac:dyDescent="0.2"/>
    <row r="36371" ht="12.75" hidden="1" customHeight="1" x14ac:dyDescent="0.2"/>
    <row r="36372" ht="12.75" hidden="1" customHeight="1" x14ac:dyDescent="0.2"/>
    <row r="36373" ht="12.75" hidden="1" customHeight="1" x14ac:dyDescent="0.2"/>
    <row r="36374" ht="12.75" hidden="1" customHeight="1" x14ac:dyDescent="0.2"/>
    <row r="36375" ht="12.75" hidden="1" customHeight="1" x14ac:dyDescent="0.2"/>
    <row r="36376" ht="12.75" hidden="1" customHeight="1" x14ac:dyDescent="0.2"/>
    <row r="36377" ht="12.75" hidden="1" customHeight="1" x14ac:dyDescent="0.2"/>
    <row r="36378" ht="12.75" hidden="1" customHeight="1" x14ac:dyDescent="0.2"/>
    <row r="36379" ht="12.75" hidden="1" customHeight="1" x14ac:dyDescent="0.2"/>
    <row r="36380" ht="12.75" hidden="1" customHeight="1" x14ac:dyDescent="0.2"/>
    <row r="36381" ht="12.75" hidden="1" customHeight="1" x14ac:dyDescent="0.2"/>
    <row r="36382" ht="12.75" hidden="1" customHeight="1" x14ac:dyDescent="0.2"/>
    <row r="36383" ht="12.75" hidden="1" customHeight="1" x14ac:dyDescent="0.2"/>
    <row r="36384" ht="12.75" hidden="1" customHeight="1" x14ac:dyDescent="0.2"/>
    <row r="36385" ht="12.75" hidden="1" customHeight="1" x14ac:dyDescent="0.2"/>
    <row r="36386" ht="12.75" hidden="1" customHeight="1" x14ac:dyDescent="0.2"/>
    <row r="36387" ht="12.75" hidden="1" customHeight="1" x14ac:dyDescent="0.2"/>
    <row r="36388" ht="12.75" hidden="1" customHeight="1" x14ac:dyDescent="0.2"/>
    <row r="36389" ht="12.75" hidden="1" customHeight="1" x14ac:dyDescent="0.2"/>
    <row r="36390" ht="12.75" hidden="1" customHeight="1" x14ac:dyDescent="0.2"/>
    <row r="36391" ht="12.75" hidden="1" customHeight="1" x14ac:dyDescent="0.2"/>
    <row r="36392" ht="12.75" hidden="1" customHeight="1" x14ac:dyDescent="0.2"/>
    <row r="36393" ht="12.75" hidden="1" customHeight="1" x14ac:dyDescent="0.2"/>
    <row r="36394" ht="12.75" hidden="1" customHeight="1" x14ac:dyDescent="0.2"/>
    <row r="36395" ht="12.75" hidden="1" customHeight="1" x14ac:dyDescent="0.2"/>
    <row r="36396" ht="12.75" hidden="1" customHeight="1" x14ac:dyDescent="0.2"/>
    <row r="36397" ht="12.75" hidden="1" customHeight="1" x14ac:dyDescent="0.2"/>
    <row r="36398" ht="12.75" hidden="1" customHeight="1" x14ac:dyDescent="0.2"/>
    <row r="36399" ht="12.75" hidden="1" customHeight="1" x14ac:dyDescent="0.2"/>
    <row r="36400" ht="12.75" hidden="1" customHeight="1" x14ac:dyDescent="0.2"/>
    <row r="36401" ht="12.75" hidden="1" customHeight="1" x14ac:dyDescent="0.2"/>
    <row r="36402" ht="12.75" hidden="1" customHeight="1" x14ac:dyDescent="0.2"/>
    <row r="36403" ht="12.75" hidden="1" customHeight="1" x14ac:dyDescent="0.2"/>
    <row r="36404" ht="12.75" hidden="1" customHeight="1" x14ac:dyDescent="0.2"/>
    <row r="36405" ht="12.75" hidden="1" customHeight="1" x14ac:dyDescent="0.2"/>
    <row r="36406" ht="12.75" hidden="1" customHeight="1" x14ac:dyDescent="0.2"/>
    <row r="36407" ht="12.75" hidden="1" customHeight="1" x14ac:dyDescent="0.2"/>
    <row r="36408" ht="12.75" hidden="1" customHeight="1" x14ac:dyDescent="0.2"/>
    <row r="36409" ht="12.75" hidden="1" customHeight="1" x14ac:dyDescent="0.2"/>
    <row r="36410" ht="12.75" hidden="1" customHeight="1" x14ac:dyDescent="0.2"/>
    <row r="36411" ht="12.75" hidden="1" customHeight="1" x14ac:dyDescent="0.2"/>
    <row r="36412" ht="12.75" hidden="1" customHeight="1" x14ac:dyDescent="0.2"/>
    <row r="36413" ht="12.75" hidden="1" customHeight="1" x14ac:dyDescent="0.2"/>
    <row r="36414" ht="12.75" hidden="1" customHeight="1" x14ac:dyDescent="0.2"/>
    <row r="36415" ht="12.75" hidden="1" customHeight="1" x14ac:dyDescent="0.2"/>
    <row r="36416" ht="12.75" hidden="1" customHeight="1" x14ac:dyDescent="0.2"/>
    <row r="36417" ht="12.75" hidden="1" customHeight="1" x14ac:dyDescent="0.2"/>
    <row r="36418" ht="12.75" hidden="1" customHeight="1" x14ac:dyDescent="0.2"/>
    <row r="36419" ht="12.75" hidden="1" customHeight="1" x14ac:dyDescent="0.2"/>
    <row r="36420" ht="12.75" hidden="1" customHeight="1" x14ac:dyDescent="0.2"/>
    <row r="36421" ht="12.75" hidden="1" customHeight="1" x14ac:dyDescent="0.2"/>
    <row r="36422" ht="12.75" hidden="1" customHeight="1" x14ac:dyDescent="0.2"/>
    <row r="36423" ht="12.75" hidden="1" customHeight="1" x14ac:dyDescent="0.2"/>
    <row r="36424" ht="12.75" hidden="1" customHeight="1" x14ac:dyDescent="0.2"/>
    <row r="36425" ht="12.75" hidden="1" customHeight="1" x14ac:dyDescent="0.2"/>
    <row r="36426" ht="12.75" hidden="1" customHeight="1" x14ac:dyDescent="0.2"/>
    <row r="36427" ht="12.75" hidden="1" customHeight="1" x14ac:dyDescent="0.2"/>
    <row r="36428" ht="12.75" hidden="1" customHeight="1" x14ac:dyDescent="0.2"/>
    <row r="36429" ht="12.75" hidden="1" customHeight="1" x14ac:dyDescent="0.2"/>
    <row r="36430" ht="12.75" hidden="1" customHeight="1" x14ac:dyDescent="0.2"/>
    <row r="36431" ht="12.75" hidden="1" customHeight="1" x14ac:dyDescent="0.2"/>
    <row r="36432" ht="12.75" hidden="1" customHeight="1" x14ac:dyDescent="0.2"/>
    <row r="36433" ht="12.75" hidden="1" customHeight="1" x14ac:dyDescent="0.2"/>
    <row r="36434" ht="12.75" hidden="1" customHeight="1" x14ac:dyDescent="0.2"/>
    <row r="36435" ht="12.75" hidden="1" customHeight="1" x14ac:dyDescent="0.2"/>
    <row r="36436" ht="12.75" hidden="1" customHeight="1" x14ac:dyDescent="0.2"/>
    <row r="36437" ht="12.75" hidden="1" customHeight="1" x14ac:dyDescent="0.2"/>
    <row r="36438" ht="12.75" hidden="1" customHeight="1" x14ac:dyDescent="0.2"/>
    <row r="36439" ht="12.75" hidden="1" customHeight="1" x14ac:dyDescent="0.2"/>
    <row r="36440" ht="12.75" hidden="1" customHeight="1" x14ac:dyDescent="0.2"/>
    <row r="36441" ht="12.75" hidden="1" customHeight="1" x14ac:dyDescent="0.2"/>
    <row r="36442" ht="12.75" hidden="1" customHeight="1" x14ac:dyDescent="0.2"/>
    <row r="36443" ht="12.75" hidden="1" customHeight="1" x14ac:dyDescent="0.2"/>
    <row r="36444" ht="12.75" hidden="1" customHeight="1" x14ac:dyDescent="0.2"/>
    <row r="36445" ht="12.75" hidden="1" customHeight="1" x14ac:dyDescent="0.2"/>
    <row r="36446" ht="12.75" hidden="1" customHeight="1" x14ac:dyDescent="0.2"/>
    <row r="36447" ht="12.75" hidden="1" customHeight="1" x14ac:dyDescent="0.2"/>
    <row r="36448" ht="12.75" hidden="1" customHeight="1" x14ac:dyDescent="0.2"/>
    <row r="36449" ht="12.75" hidden="1" customHeight="1" x14ac:dyDescent="0.2"/>
    <row r="36450" ht="12.75" hidden="1" customHeight="1" x14ac:dyDescent="0.2"/>
    <row r="36451" ht="12.75" hidden="1" customHeight="1" x14ac:dyDescent="0.2"/>
    <row r="36452" ht="12.75" hidden="1" customHeight="1" x14ac:dyDescent="0.2"/>
    <row r="36453" ht="12.75" hidden="1" customHeight="1" x14ac:dyDescent="0.2"/>
    <row r="36454" ht="12.75" hidden="1" customHeight="1" x14ac:dyDescent="0.2"/>
    <row r="36455" ht="12.75" hidden="1" customHeight="1" x14ac:dyDescent="0.2"/>
    <row r="36456" ht="12.75" hidden="1" customHeight="1" x14ac:dyDescent="0.2"/>
    <row r="36457" ht="12.75" hidden="1" customHeight="1" x14ac:dyDescent="0.2"/>
    <row r="36458" ht="12.75" hidden="1" customHeight="1" x14ac:dyDescent="0.2"/>
    <row r="36459" ht="12.75" hidden="1" customHeight="1" x14ac:dyDescent="0.2"/>
    <row r="36460" ht="12.75" hidden="1" customHeight="1" x14ac:dyDescent="0.2"/>
    <row r="36461" ht="12.75" hidden="1" customHeight="1" x14ac:dyDescent="0.2"/>
    <row r="36462" ht="12.75" hidden="1" customHeight="1" x14ac:dyDescent="0.2"/>
    <row r="36463" ht="12.75" hidden="1" customHeight="1" x14ac:dyDescent="0.2"/>
    <row r="36464" ht="12.75" hidden="1" customHeight="1" x14ac:dyDescent="0.2"/>
    <row r="36465" ht="12.75" hidden="1" customHeight="1" x14ac:dyDescent="0.2"/>
    <row r="36466" ht="12.75" hidden="1" customHeight="1" x14ac:dyDescent="0.2"/>
    <row r="36467" ht="12.75" hidden="1" customHeight="1" x14ac:dyDescent="0.2"/>
    <row r="36468" ht="12.75" hidden="1" customHeight="1" x14ac:dyDescent="0.2"/>
    <row r="36469" ht="12.75" hidden="1" customHeight="1" x14ac:dyDescent="0.2"/>
    <row r="36470" ht="12.75" hidden="1" customHeight="1" x14ac:dyDescent="0.2"/>
    <row r="36471" ht="12.75" hidden="1" customHeight="1" x14ac:dyDescent="0.2"/>
    <row r="36472" ht="12.75" hidden="1" customHeight="1" x14ac:dyDescent="0.2"/>
    <row r="36473" ht="12.75" hidden="1" customHeight="1" x14ac:dyDescent="0.2"/>
    <row r="36474" ht="12.75" hidden="1" customHeight="1" x14ac:dyDescent="0.2"/>
    <row r="36475" ht="12.75" hidden="1" customHeight="1" x14ac:dyDescent="0.2"/>
    <row r="36476" ht="12.75" hidden="1" customHeight="1" x14ac:dyDescent="0.2"/>
    <row r="36477" ht="12.75" hidden="1" customHeight="1" x14ac:dyDescent="0.2"/>
    <row r="36478" ht="12.75" hidden="1" customHeight="1" x14ac:dyDescent="0.2"/>
    <row r="36479" ht="12.75" hidden="1" customHeight="1" x14ac:dyDescent="0.2"/>
    <row r="36480" ht="12.75" hidden="1" customHeight="1" x14ac:dyDescent="0.2"/>
    <row r="36481" ht="12.75" hidden="1" customHeight="1" x14ac:dyDescent="0.2"/>
    <row r="36482" ht="12.75" hidden="1" customHeight="1" x14ac:dyDescent="0.2"/>
    <row r="36483" ht="12.75" hidden="1" customHeight="1" x14ac:dyDescent="0.2"/>
    <row r="36484" ht="12.75" hidden="1" customHeight="1" x14ac:dyDescent="0.2"/>
    <row r="36485" ht="12.75" hidden="1" customHeight="1" x14ac:dyDescent="0.2"/>
    <row r="36486" ht="12.75" hidden="1" customHeight="1" x14ac:dyDescent="0.2"/>
    <row r="36487" ht="12.75" hidden="1" customHeight="1" x14ac:dyDescent="0.2"/>
    <row r="36488" ht="12.75" hidden="1" customHeight="1" x14ac:dyDescent="0.2"/>
    <row r="36489" ht="12.75" hidden="1" customHeight="1" x14ac:dyDescent="0.2"/>
    <row r="36490" ht="12.75" hidden="1" customHeight="1" x14ac:dyDescent="0.2"/>
    <row r="36491" ht="12.75" hidden="1" customHeight="1" x14ac:dyDescent="0.2"/>
    <row r="36492" ht="12.75" hidden="1" customHeight="1" x14ac:dyDescent="0.2"/>
    <row r="36493" ht="12.75" hidden="1" customHeight="1" x14ac:dyDescent="0.2"/>
    <row r="36494" ht="12.75" hidden="1" customHeight="1" x14ac:dyDescent="0.2"/>
    <row r="36495" ht="12.75" hidden="1" customHeight="1" x14ac:dyDescent="0.2"/>
    <row r="36496" ht="12.75" hidden="1" customHeight="1" x14ac:dyDescent="0.2"/>
    <row r="36497" ht="12.75" hidden="1" customHeight="1" x14ac:dyDescent="0.2"/>
    <row r="36498" ht="12.75" hidden="1" customHeight="1" x14ac:dyDescent="0.2"/>
    <row r="36499" ht="12.75" hidden="1" customHeight="1" x14ac:dyDescent="0.2"/>
    <row r="36500" ht="12.75" hidden="1" customHeight="1" x14ac:dyDescent="0.2"/>
    <row r="36501" ht="12.75" hidden="1" customHeight="1" x14ac:dyDescent="0.2"/>
    <row r="36502" ht="12.75" hidden="1" customHeight="1" x14ac:dyDescent="0.2"/>
    <row r="36503" ht="12.75" hidden="1" customHeight="1" x14ac:dyDescent="0.2"/>
    <row r="36504" ht="12.75" hidden="1" customHeight="1" x14ac:dyDescent="0.2"/>
    <row r="36505" ht="12.75" hidden="1" customHeight="1" x14ac:dyDescent="0.2"/>
    <row r="36506" ht="12.75" hidden="1" customHeight="1" x14ac:dyDescent="0.2"/>
    <row r="36507" ht="12.75" hidden="1" customHeight="1" x14ac:dyDescent="0.2"/>
    <row r="36508" ht="12.75" hidden="1" customHeight="1" x14ac:dyDescent="0.2"/>
    <row r="36509" ht="12.75" hidden="1" customHeight="1" x14ac:dyDescent="0.2"/>
    <row r="36510" ht="12.75" hidden="1" customHeight="1" x14ac:dyDescent="0.2"/>
    <row r="36511" ht="12.75" hidden="1" customHeight="1" x14ac:dyDescent="0.2"/>
    <row r="36512" ht="12.75" hidden="1" customHeight="1" x14ac:dyDescent="0.2"/>
    <row r="36513" ht="12.75" hidden="1" customHeight="1" x14ac:dyDescent="0.2"/>
    <row r="36514" ht="12.75" hidden="1" customHeight="1" x14ac:dyDescent="0.2"/>
    <row r="36515" ht="12.75" hidden="1" customHeight="1" x14ac:dyDescent="0.2"/>
    <row r="36516" ht="12.75" hidden="1" customHeight="1" x14ac:dyDescent="0.2"/>
    <row r="36517" ht="12.75" hidden="1" customHeight="1" x14ac:dyDescent="0.2"/>
    <row r="36518" ht="12.75" hidden="1" customHeight="1" x14ac:dyDescent="0.2"/>
    <row r="36519" ht="12.75" hidden="1" customHeight="1" x14ac:dyDescent="0.2"/>
    <row r="36520" ht="12.75" hidden="1" customHeight="1" x14ac:dyDescent="0.2"/>
    <row r="36521" ht="12.75" hidden="1" customHeight="1" x14ac:dyDescent="0.2"/>
    <row r="36522" ht="12.75" hidden="1" customHeight="1" x14ac:dyDescent="0.2"/>
    <row r="36523" ht="12.75" hidden="1" customHeight="1" x14ac:dyDescent="0.2"/>
    <row r="36524" ht="12.75" hidden="1" customHeight="1" x14ac:dyDescent="0.2"/>
    <row r="36525" ht="12.75" hidden="1" customHeight="1" x14ac:dyDescent="0.2"/>
    <row r="36526" ht="12.75" hidden="1" customHeight="1" x14ac:dyDescent="0.2"/>
    <row r="36527" ht="12.75" hidden="1" customHeight="1" x14ac:dyDescent="0.2"/>
    <row r="36528" ht="12.75" hidden="1" customHeight="1" x14ac:dyDescent="0.2"/>
    <row r="36529" ht="12.75" hidden="1" customHeight="1" x14ac:dyDescent="0.2"/>
    <row r="36530" ht="12.75" hidden="1" customHeight="1" x14ac:dyDescent="0.2"/>
    <row r="36531" ht="12.75" hidden="1" customHeight="1" x14ac:dyDescent="0.2"/>
    <row r="36532" ht="12.75" hidden="1" customHeight="1" x14ac:dyDescent="0.2"/>
    <row r="36533" ht="12.75" hidden="1" customHeight="1" x14ac:dyDescent="0.2"/>
    <row r="36534" ht="12.75" hidden="1" customHeight="1" x14ac:dyDescent="0.2"/>
    <row r="36535" ht="12.75" hidden="1" customHeight="1" x14ac:dyDescent="0.2"/>
    <row r="36536" ht="12.75" hidden="1" customHeight="1" x14ac:dyDescent="0.2"/>
    <row r="36537" ht="12.75" hidden="1" customHeight="1" x14ac:dyDescent="0.2"/>
    <row r="36538" ht="12.75" hidden="1" customHeight="1" x14ac:dyDescent="0.2"/>
    <row r="36539" ht="12.75" hidden="1" customHeight="1" x14ac:dyDescent="0.2"/>
    <row r="36540" ht="12.75" hidden="1" customHeight="1" x14ac:dyDescent="0.2"/>
    <row r="36541" ht="12.75" hidden="1" customHeight="1" x14ac:dyDescent="0.2"/>
    <row r="36542" ht="12.75" hidden="1" customHeight="1" x14ac:dyDescent="0.2"/>
    <row r="36543" ht="12.75" hidden="1" customHeight="1" x14ac:dyDescent="0.2"/>
    <row r="36544" ht="12.75" hidden="1" customHeight="1" x14ac:dyDescent="0.2"/>
    <row r="36545" ht="12.75" hidden="1" customHeight="1" x14ac:dyDescent="0.2"/>
    <row r="36546" ht="12.75" hidden="1" customHeight="1" x14ac:dyDescent="0.2"/>
    <row r="36547" ht="12.75" hidden="1" customHeight="1" x14ac:dyDescent="0.2"/>
    <row r="36548" ht="12.75" hidden="1" customHeight="1" x14ac:dyDescent="0.2"/>
    <row r="36549" ht="12.75" hidden="1" customHeight="1" x14ac:dyDescent="0.2"/>
    <row r="36550" ht="12.75" hidden="1" customHeight="1" x14ac:dyDescent="0.2"/>
    <row r="36551" ht="12.75" hidden="1" customHeight="1" x14ac:dyDescent="0.2"/>
    <row r="36552" ht="12.75" hidden="1" customHeight="1" x14ac:dyDescent="0.2"/>
    <row r="36553" ht="12.75" hidden="1" customHeight="1" x14ac:dyDescent="0.2"/>
    <row r="36554" ht="12.75" hidden="1" customHeight="1" x14ac:dyDescent="0.2"/>
    <row r="36555" ht="12.75" hidden="1" customHeight="1" x14ac:dyDescent="0.2"/>
    <row r="36556" ht="12.75" hidden="1" customHeight="1" x14ac:dyDescent="0.2"/>
    <row r="36557" ht="12.75" hidden="1" customHeight="1" x14ac:dyDescent="0.2"/>
    <row r="36558" ht="12.75" hidden="1" customHeight="1" x14ac:dyDescent="0.2"/>
    <row r="36559" ht="12.75" hidden="1" customHeight="1" x14ac:dyDescent="0.2"/>
    <row r="36560" ht="12.75" hidden="1" customHeight="1" x14ac:dyDescent="0.2"/>
    <row r="36561" ht="12.75" hidden="1" customHeight="1" x14ac:dyDescent="0.2"/>
    <row r="36562" ht="12.75" hidden="1" customHeight="1" x14ac:dyDescent="0.2"/>
    <row r="36563" ht="12.75" hidden="1" customHeight="1" x14ac:dyDescent="0.2"/>
    <row r="36564" ht="12.75" hidden="1" customHeight="1" x14ac:dyDescent="0.2"/>
    <row r="36565" ht="12.75" hidden="1" customHeight="1" x14ac:dyDescent="0.2"/>
    <row r="36566" ht="12.75" hidden="1" customHeight="1" x14ac:dyDescent="0.2"/>
    <row r="36567" ht="12.75" hidden="1" customHeight="1" x14ac:dyDescent="0.2"/>
    <row r="36568" ht="12.75" hidden="1" customHeight="1" x14ac:dyDescent="0.2"/>
    <row r="36569" ht="12.75" hidden="1" customHeight="1" x14ac:dyDescent="0.2"/>
    <row r="36570" ht="12.75" hidden="1" customHeight="1" x14ac:dyDescent="0.2"/>
    <row r="36571" ht="12.75" hidden="1" customHeight="1" x14ac:dyDescent="0.2"/>
    <row r="36572" ht="12.75" hidden="1" customHeight="1" x14ac:dyDescent="0.2"/>
    <row r="36573" ht="12.75" hidden="1" customHeight="1" x14ac:dyDescent="0.2"/>
    <row r="36574" ht="12.75" hidden="1" customHeight="1" x14ac:dyDescent="0.2"/>
    <row r="36575" ht="12.75" hidden="1" customHeight="1" x14ac:dyDescent="0.2"/>
    <row r="36576" ht="12.75" hidden="1" customHeight="1" x14ac:dyDescent="0.2"/>
    <row r="36577" ht="12.75" hidden="1" customHeight="1" x14ac:dyDescent="0.2"/>
    <row r="36578" ht="12.75" hidden="1" customHeight="1" x14ac:dyDescent="0.2"/>
    <row r="36579" ht="12.75" hidden="1" customHeight="1" x14ac:dyDescent="0.2"/>
    <row r="36580" ht="12.75" hidden="1" customHeight="1" x14ac:dyDescent="0.2"/>
    <row r="36581" ht="12.75" hidden="1" customHeight="1" x14ac:dyDescent="0.2"/>
    <row r="36582" ht="12.75" hidden="1" customHeight="1" x14ac:dyDescent="0.2"/>
    <row r="36583" ht="12.75" hidden="1" customHeight="1" x14ac:dyDescent="0.2"/>
    <row r="36584" ht="12.75" hidden="1" customHeight="1" x14ac:dyDescent="0.2"/>
    <row r="36585" ht="12.75" hidden="1" customHeight="1" x14ac:dyDescent="0.2"/>
    <row r="36586" ht="12.75" hidden="1" customHeight="1" x14ac:dyDescent="0.2"/>
    <row r="36587" ht="12.75" hidden="1" customHeight="1" x14ac:dyDescent="0.2"/>
    <row r="36588" ht="12.75" hidden="1" customHeight="1" x14ac:dyDescent="0.2"/>
    <row r="36589" ht="12.75" hidden="1" customHeight="1" x14ac:dyDescent="0.2"/>
    <row r="36590" ht="12.75" hidden="1" customHeight="1" x14ac:dyDescent="0.2"/>
    <row r="36591" ht="12.75" hidden="1" customHeight="1" x14ac:dyDescent="0.2"/>
    <row r="36592" ht="12.75" hidden="1" customHeight="1" x14ac:dyDescent="0.2"/>
    <row r="36593" ht="12.75" hidden="1" customHeight="1" x14ac:dyDescent="0.2"/>
    <row r="36594" ht="12.75" hidden="1" customHeight="1" x14ac:dyDescent="0.2"/>
    <row r="36595" ht="12.75" hidden="1" customHeight="1" x14ac:dyDescent="0.2"/>
    <row r="36596" ht="12.75" hidden="1" customHeight="1" x14ac:dyDescent="0.2"/>
    <row r="36597" ht="12.75" hidden="1" customHeight="1" x14ac:dyDescent="0.2"/>
    <row r="36598" ht="12.75" hidden="1" customHeight="1" x14ac:dyDescent="0.2"/>
    <row r="36599" ht="12.75" hidden="1" customHeight="1" x14ac:dyDescent="0.2"/>
    <row r="36600" ht="12.75" hidden="1" customHeight="1" x14ac:dyDescent="0.2"/>
    <row r="36601" ht="12.75" hidden="1" customHeight="1" x14ac:dyDescent="0.2"/>
    <row r="36602" ht="12.75" hidden="1" customHeight="1" x14ac:dyDescent="0.2"/>
    <row r="36603" ht="12.75" hidden="1" customHeight="1" x14ac:dyDescent="0.2"/>
    <row r="36604" ht="12.75" hidden="1" customHeight="1" x14ac:dyDescent="0.2"/>
    <row r="36605" ht="12.75" hidden="1" customHeight="1" x14ac:dyDescent="0.2"/>
    <row r="36606" ht="12.75" hidden="1" customHeight="1" x14ac:dyDescent="0.2"/>
    <row r="36607" ht="12.75" hidden="1" customHeight="1" x14ac:dyDescent="0.2"/>
    <row r="36608" ht="12.75" hidden="1" customHeight="1" x14ac:dyDescent="0.2"/>
    <row r="36609" ht="12.75" hidden="1" customHeight="1" x14ac:dyDescent="0.2"/>
    <row r="36610" ht="12.75" hidden="1" customHeight="1" x14ac:dyDescent="0.2"/>
    <row r="36611" ht="12.75" hidden="1" customHeight="1" x14ac:dyDescent="0.2"/>
    <row r="36612" ht="12.75" hidden="1" customHeight="1" x14ac:dyDescent="0.2"/>
    <row r="36613" ht="12.75" hidden="1" customHeight="1" x14ac:dyDescent="0.2"/>
    <row r="36614" ht="12.75" hidden="1" customHeight="1" x14ac:dyDescent="0.2"/>
    <row r="36615" ht="12.75" hidden="1" customHeight="1" x14ac:dyDescent="0.2"/>
    <row r="36616" ht="12.75" hidden="1" customHeight="1" x14ac:dyDescent="0.2"/>
    <row r="36617" ht="12.75" hidden="1" customHeight="1" x14ac:dyDescent="0.2"/>
    <row r="36618" ht="12.75" hidden="1" customHeight="1" x14ac:dyDescent="0.2"/>
    <row r="36619" ht="12.75" hidden="1" customHeight="1" x14ac:dyDescent="0.2"/>
    <row r="36620" ht="12.75" hidden="1" customHeight="1" x14ac:dyDescent="0.2"/>
    <row r="36621" ht="12.75" hidden="1" customHeight="1" x14ac:dyDescent="0.2"/>
    <row r="36622" ht="12.75" hidden="1" customHeight="1" x14ac:dyDescent="0.2"/>
    <row r="36623" ht="12.75" hidden="1" customHeight="1" x14ac:dyDescent="0.2"/>
    <row r="36624" ht="12.75" hidden="1" customHeight="1" x14ac:dyDescent="0.2"/>
    <row r="36625" ht="12.75" hidden="1" customHeight="1" x14ac:dyDescent="0.2"/>
    <row r="36626" ht="12.75" hidden="1" customHeight="1" x14ac:dyDescent="0.2"/>
    <row r="36627" ht="12.75" hidden="1" customHeight="1" x14ac:dyDescent="0.2"/>
    <row r="36628" ht="12.75" hidden="1" customHeight="1" x14ac:dyDescent="0.2"/>
    <row r="36629" ht="12.75" hidden="1" customHeight="1" x14ac:dyDescent="0.2"/>
    <row r="36630" ht="12.75" hidden="1" customHeight="1" x14ac:dyDescent="0.2"/>
    <row r="36631" ht="12.75" hidden="1" customHeight="1" x14ac:dyDescent="0.2"/>
    <row r="36632" ht="12.75" hidden="1" customHeight="1" x14ac:dyDescent="0.2"/>
    <row r="36633" ht="12.75" hidden="1" customHeight="1" x14ac:dyDescent="0.2"/>
    <row r="36634" ht="12.75" hidden="1" customHeight="1" x14ac:dyDescent="0.2"/>
    <row r="36635" ht="12.75" hidden="1" customHeight="1" x14ac:dyDescent="0.2"/>
    <row r="36636" ht="12.75" hidden="1" customHeight="1" x14ac:dyDescent="0.2"/>
    <row r="36637" ht="12.75" hidden="1" customHeight="1" x14ac:dyDescent="0.2"/>
    <row r="36638" ht="12.75" hidden="1" customHeight="1" x14ac:dyDescent="0.2"/>
    <row r="36639" ht="12.75" hidden="1" customHeight="1" x14ac:dyDescent="0.2"/>
    <row r="36640" ht="12.75" hidden="1" customHeight="1" x14ac:dyDescent="0.2"/>
    <row r="36641" ht="12.75" hidden="1" customHeight="1" x14ac:dyDescent="0.2"/>
    <row r="36642" ht="12.75" hidden="1" customHeight="1" x14ac:dyDescent="0.2"/>
    <row r="36643" ht="12.75" hidden="1" customHeight="1" x14ac:dyDescent="0.2"/>
    <row r="36644" ht="12.75" hidden="1" customHeight="1" x14ac:dyDescent="0.2"/>
    <row r="36645" ht="12.75" hidden="1" customHeight="1" x14ac:dyDescent="0.2"/>
    <row r="36646" ht="12.75" hidden="1" customHeight="1" x14ac:dyDescent="0.2"/>
    <row r="36647" ht="12.75" hidden="1" customHeight="1" x14ac:dyDescent="0.2"/>
    <row r="36648" ht="12.75" hidden="1" customHeight="1" x14ac:dyDescent="0.2"/>
    <row r="36649" ht="12.75" hidden="1" customHeight="1" x14ac:dyDescent="0.2"/>
    <row r="36650" ht="12.75" hidden="1" customHeight="1" x14ac:dyDescent="0.2"/>
    <row r="36651" ht="12.75" hidden="1" customHeight="1" x14ac:dyDescent="0.2"/>
    <row r="36652" ht="12.75" hidden="1" customHeight="1" x14ac:dyDescent="0.2"/>
    <row r="36653" ht="12.75" hidden="1" customHeight="1" x14ac:dyDescent="0.2"/>
    <row r="36654" ht="12.75" hidden="1" customHeight="1" x14ac:dyDescent="0.2"/>
    <row r="36655" ht="12.75" hidden="1" customHeight="1" x14ac:dyDescent="0.2"/>
    <row r="36656" ht="12.75" hidden="1" customHeight="1" x14ac:dyDescent="0.2"/>
    <row r="36657" ht="12.75" hidden="1" customHeight="1" x14ac:dyDescent="0.2"/>
    <row r="36658" ht="12.75" hidden="1" customHeight="1" x14ac:dyDescent="0.2"/>
    <row r="36659" ht="12.75" hidden="1" customHeight="1" x14ac:dyDescent="0.2"/>
    <row r="36660" ht="12.75" hidden="1" customHeight="1" x14ac:dyDescent="0.2"/>
    <row r="36661" ht="12.75" hidden="1" customHeight="1" x14ac:dyDescent="0.2"/>
    <row r="36662" ht="12.75" hidden="1" customHeight="1" x14ac:dyDescent="0.2"/>
    <row r="36663" ht="12.75" hidden="1" customHeight="1" x14ac:dyDescent="0.2"/>
    <row r="36664" ht="12.75" hidden="1" customHeight="1" x14ac:dyDescent="0.2"/>
    <row r="36665" ht="12.75" hidden="1" customHeight="1" x14ac:dyDescent="0.2"/>
    <row r="36666" ht="12.75" hidden="1" customHeight="1" x14ac:dyDescent="0.2"/>
    <row r="36667" ht="12.75" hidden="1" customHeight="1" x14ac:dyDescent="0.2"/>
    <row r="36668" ht="12.75" hidden="1" customHeight="1" x14ac:dyDescent="0.2"/>
    <row r="36669" ht="12.75" hidden="1" customHeight="1" x14ac:dyDescent="0.2"/>
    <row r="36670" ht="12.75" hidden="1" customHeight="1" x14ac:dyDescent="0.2"/>
    <row r="36671" ht="12.75" hidden="1" customHeight="1" x14ac:dyDescent="0.2"/>
    <row r="36672" ht="12.75" hidden="1" customHeight="1" x14ac:dyDescent="0.2"/>
    <row r="36673" ht="12.75" hidden="1" customHeight="1" x14ac:dyDescent="0.2"/>
    <row r="36674" ht="12.75" hidden="1" customHeight="1" x14ac:dyDescent="0.2"/>
    <row r="36675" ht="12.75" hidden="1" customHeight="1" x14ac:dyDescent="0.2"/>
    <row r="36676" ht="12.75" hidden="1" customHeight="1" x14ac:dyDescent="0.2"/>
    <row r="36677" ht="12.75" hidden="1" customHeight="1" x14ac:dyDescent="0.2"/>
    <row r="36678" ht="12.75" hidden="1" customHeight="1" x14ac:dyDescent="0.2"/>
    <row r="36679" ht="12.75" hidden="1" customHeight="1" x14ac:dyDescent="0.2"/>
    <row r="36680" ht="12.75" hidden="1" customHeight="1" x14ac:dyDescent="0.2"/>
    <row r="36681" ht="12.75" hidden="1" customHeight="1" x14ac:dyDescent="0.2"/>
    <row r="36682" ht="12.75" hidden="1" customHeight="1" x14ac:dyDescent="0.2"/>
    <row r="36683" ht="12.75" hidden="1" customHeight="1" x14ac:dyDescent="0.2"/>
    <row r="36684" ht="12.75" hidden="1" customHeight="1" x14ac:dyDescent="0.2"/>
    <row r="36685" ht="12.75" hidden="1" customHeight="1" x14ac:dyDescent="0.2"/>
    <row r="36686" ht="12.75" hidden="1" customHeight="1" x14ac:dyDescent="0.2"/>
    <row r="36687" ht="12.75" hidden="1" customHeight="1" x14ac:dyDescent="0.2"/>
    <row r="36688" ht="12.75" hidden="1" customHeight="1" x14ac:dyDescent="0.2"/>
    <row r="36689" ht="12.75" hidden="1" customHeight="1" x14ac:dyDescent="0.2"/>
    <row r="36690" ht="12.75" hidden="1" customHeight="1" x14ac:dyDescent="0.2"/>
    <row r="36691" ht="12.75" hidden="1" customHeight="1" x14ac:dyDescent="0.2"/>
    <row r="36692" ht="12.75" hidden="1" customHeight="1" x14ac:dyDescent="0.2"/>
    <row r="36693" ht="12.75" hidden="1" customHeight="1" x14ac:dyDescent="0.2"/>
    <row r="36694" ht="12.75" hidden="1" customHeight="1" x14ac:dyDescent="0.2"/>
    <row r="36695" ht="12.75" hidden="1" customHeight="1" x14ac:dyDescent="0.2"/>
    <row r="36696" ht="12.75" hidden="1" customHeight="1" x14ac:dyDescent="0.2"/>
    <row r="36697" ht="12.75" hidden="1" customHeight="1" x14ac:dyDescent="0.2"/>
    <row r="36698" ht="12.75" hidden="1" customHeight="1" x14ac:dyDescent="0.2"/>
    <row r="36699" ht="12.75" hidden="1" customHeight="1" x14ac:dyDescent="0.2"/>
    <row r="36700" ht="12.75" hidden="1" customHeight="1" x14ac:dyDescent="0.2"/>
    <row r="36701" ht="12.75" hidden="1" customHeight="1" x14ac:dyDescent="0.2"/>
    <row r="36702" ht="12.75" hidden="1" customHeight="1" x14ac:dyDescent="0.2"/>
    <row r="36703" ht="12.75" hidden="1" customHeight="1" x14ac:dyDescent="0.2"/>
    <row r="36704" ht="12.75" hidden="1" customHeight="1" x14ac:dyDescent="0.2"/>
    <row r="36705" ht="12.75" hidden="1" customHeight="1" x14ac:dyDescent="0.2"/>
    <row r="36706" ht="12.75" hidden="1" customHeight="1" x14ac:dyDescent="0.2"/>
    <row r="36707" ht="12.75" hidden="1" customHeight="1" x14ac:dyDescent="0.2"/>
    <row r="36708" ht="12.75" hidden="1" customHeight="1" x14ac:dyDescent="0.2"/>
    <row r="36709" ht="12.75" hidden="1" customHeight="1" x14ac:dyDescent="0.2"/>
    <row r="36710" ht="12.75" hidden="1" customHeight="1" x14ac:dyDescent="0.2"/>
    <row r="36711" ht="12.75" hidden="1" customHeight="1" x14ac:dyDescent="0.2"/>
    <row r="36712" ht="12.75" hidden="1" customHeight="1" x14ac:dyDescent="0.2"/>
    <row r="36713" ht="12.75" hidden="1" customHeight="1" x14ac:dyDescent="0.2"/>
    <row r="36714" ht="12.75" hidden="1" customHeight="1" x14ac:dyDescent="0.2"/>
    <row r="36715" ht="12.75" hidden="1" customHeight="1" x14ac:dyDescent="0.2"/>
    <row r="36716" ht="12.75" hidden="1" customHeight="1" x14ac:dyDescent="0.2"/>
    <row r="36717" ht="12.75" hidden="1" customHeight="1" x14ac:dyDescent="0.2"/>
    <row r="36718" ht="12.75" hidden="1" customHeight="1" x14ac:dyDescent="0.2"/>
    <row r="36719" ht="12.75" hidden="1" customHeight="1" x14ac:dyDescent="0.2"/>
    <row r="36720" ht="12.75" hidden="1" customHeight="1" x14ac:dyDescent="0.2"/>
    <row r="36721" ht="12.75" hidden="1" customHeight="1" x14ac:dyDescent="0.2"/>
    <row r="36722" ht="12.75" hidden="1" customHeight="1" x14ac:dyDescent="0.2"/>
    <row r="36723" ht="12.75" hidden="1" customHeight="1" x14ac:dyDescent="0.2"/>
    <row r="36724" ht="12.75" hidden="1" customHeight="1" x14ac:dyDescent="0.2"/>
    <row r="36725" ht="12.75" hidden="1" customHeight="1" x14ac:dyDescent="0.2"/>
    <row r="36726" ht="12.75" hidden="1" customHeight="1" x14ac:dyDescent="0.2"/>
    <row r="36727" ht="12.75" hidden="1" customHeight="1" x14ac:dyDescent="0.2"/>
    <row r="36728" ht="12.75" hidden="1" customHeight="1" x14ac:dyDescent="0.2"/>
    <row r="36729" ht="12.75" hidden="1" customHeight="1" x14ac:dyDescent="0.2"/>
    <row r="36730" ht="12.75" hidden="1" customHeight="1" x14ac:dyDescent="0.2"/>
    <row r="36731" ht="12.75" hidden="1" customHeight="1" x14ac:dyDescent="0.2"/>
    <row r="36732" ht="12.75" hidden="1" customHeight="1" x14ac:dyDescent="0.2"/>
    <row r="36733" ht="12.75" hidden="1" customHeight="1" x14ac:dyDescent="0.2"/>
    <row r="36734" ht="12.75" hidden="1" customHeight="1" x14ac:dyDescent="0.2"/>
    <row r="36735" ht="12.75" hidden="1" customHeight="1" x14ac:dyDescent="0.2"/>
    <row r="36736" ht="12.75" hidden="1" customHeight="1" x14ac:dyDescent="0.2"/>
    <row r="36737" ht="12.75" hidden="1" customHeight="1" x14ac:dyDescent="0.2"/>
    <row r="36738" ht="12.75" hidden="1" customHeight="1" x14ac:dyDescent="0.2"/>
    <row r="36739" ht="12.75" hidden="1" customHeight="1" x14ac:dyDescent="0.2"/>
    <row r="36740" ht="12.75" hidden="1" customHeight="1" x14ac:dyDescent="0.2"/>
    <row r="36741" ht="12.75" hidden="1" customHeight="1" x14ac:dyDescent="0.2"/>
    <row r="36742" ht="12.75" hidden="1" customHeight="1" x14ac:dyDescent="0.2"/>
    <row r="36743" ht="12.75" hidden="1" customHeight="1" x14ac:dyDescent="0.2"/>
    <row r="36744" ht="12.75" hidden="1" customHeight="1" x14ac:dyDescent="0.2"/>
    <row r="36745" ht="12.75" hidden="1" customHeight="1" x14ac:dyDescent="0.2"/>
    <row r="36746" ht="12.75" hidden="1" customHeight="1" x14ac:dyDescent="0.2"/>
    <row r="36747" ht="12.75" hidden="1" customHeight="1" x14ac:dyDescent="0.2"/>
    <row r="36748" ht="12.75" hidden="1" customHeight="1" x14ac:dyDescent="0.2"/>
    <row r="36749" ht="12.75" hidden="1" customHeight="1" x14ac:dyDescent="0.2"/>
    <row r="36750" ht="12.75" hidden="1" customHeight="1" x14ac:dyDescent="0.2"/>
    <row r="36751" ht="12.75" hidden="1" customHeight="1" x14ac:dyDescent="0.2"/>
    <row r="36752" ht="12.75" hidden="1" customHeight="1" x14ac:dyDescent="0.2"/>
    <row r="36753" ht="12.75" hidden="1" customHeight="1" x14ac:dyDescent="0.2"/>
    <row r="36754" ht="12.75" hidden="1" customHeight="1" x14ac:dyDescent="0.2"/>
    <row r="36755" ht="12.75" hidden="1" customHeight="1" x14ac:dyDescent="0.2"/>
    <row r="36756" ht="12.75" hidden="1" customHeight="1" x14ac:dyDescent="0.2"/>
    <row r="36757" ht="12.75" hidden="1" customHeight="1" x14ac:dyDescent="0.2"/>
    <row r="36758" ht="12.75" hidden="1" customHeight="1" x14ac:dyDescent="0.2"/>
    <row r="36759" ht="12.75" hidden="1" customHeight="1" x14ac:dyDescent="0.2"/>
    <row r="36760" ht="12.75" hidden="1" customHeight="1" x14ac:dyDescent="0.2"/>
    <row r="36761" ht="12.75" hidden="1" customHeight="1" x14ac:dyDescent="0.2"/>
    <row r="36762" ht="12.75" hidden="1" customHeight="1" x14ac:dyDescent="0.2"/>
    <row r="36763" ht="12.75" hidden="1" customHeight="1" x14ac:dyDescent="0.2"/>
    <row r="36764" ht="12.75" hidden="1" customHeight="1" x14ac:dyDescent="0.2"/>
    <row r="36765" ht="12.75" hidden="1" customHeight="1" x14ac:dyDescent="0.2"/>
    <row r="36766" ht="12.75" hidden="1" customHeight="1" x14ac:dyDescent="0.2"/>
    <row r="36767" ht="12.75" hidden="1" customHeight="1" x14ac:dyDescent="0.2"/>
    <row r="36768" ht="12.75" hidden="1" customHeight="1" x14ac:dyDescent="0.2"/>
    <row r="36769" ht="12.75" hidden="1" customHeight="1" x14ac:dyDescent="0.2"/>
    <row r="36770" ht="12.75" hidden="1" customHeight="1" x14ac:dyDescent="0.2"/>
    <row r="36771" ht="12.75" hidden="1" customHeight="1" x14ac:dyDescent="0.2"/>
    <row r="36772" ht="12.75" hidden="1" customHeight="1" x14ac:dyDescent="0.2"/>
    <row r="36773" ht="12.75" hidden="1" customHeight="1" x14ac:dyDescent="0.2"/>
    <row r="36774" ht="12.75" hidden="1" customHeight="1" x14ac:dyDescent="0.2"/>
    <row r="36775" ht="12.75" hidden="1" customHeight="1" x14ac:dyDescent="0.2"/>
    <row r="36776" ht="12.75" hidden="1" customHeight="1" x14ac:dyDescent="0.2"/>
    <row r="36777" ht="12.75" hidden="1" customHeight="1" x14ac:dyDescent="0.2"/>
    <row r="36778" ht="12.75" hidden="1" customHeight="1" x14ac:dyDescent="0.2"/>
    <row r="36779" ht="12.75" hidden="1" customHeight="1" x14ac:dyDescent="0.2"/>
    <row r="36780" ht="12.75" hidden="1" customHeight="1" x14ac:dyDescent="0.2"/>
    <row r="36781" ht="12.75" hidden="1" customHeight="1" x14ac:dyDescent="0.2"/>
    <row r="36782" ht="12.75" hidden="1" customHeight="1" x14ac:dyDescent="0.2"/>
    <row r="36783" ht="12.75" hidden="1" customHeight="1" x14ac:dyDescent="0.2"/>
    <row r="36784" ht="12.75" hidden="1" customHeight="1" x14ac:dyDescent="0.2"/>
    <row r="36785" ht="12.75" hidden="1" customHeight="1" x14ac:dyDescent="0.2"/>
    <row r="36786" ht="12.75" hidden="1" customHeight="1" x14ac:dyDescent="0.2"/>
    <row r="36787" ht="12.75" hidden="1" customHeight="1" x14ac:dyDescent="0.2"/>
    <row r="36788" ht="12.75" hidden="1" customHeight="1" x14ac:dyDescent="0.2"/>
    <row r="36789" ht="12.75" hidden="1" customHeight="1" x14ac:dyDescent="0.2"/>
    <row r="36790" ht="12.75" hidden="1" customHeight="1" x14ac:dyDescent="0.2"/>
    <row r="36791" ht="12.75" hidden="1" customHeight="1" x14ac:dyDescent="0.2"/>
    <row r="36792" ht="12.75" hidden="1" customHeight="1" x14ac:dyDescent="0.2"/>
    <row r="36793" ht="12.75" hidden="1" customHeight="1" x14ac:dyDescent="0.2"/>
    <row r="36794" ht="12.75" hidden="1" customHeight="1" x14ac:dyDescent="0.2"/>
    <row r="36795" ht="12.75" hidden="1" customHeight="1" x14ac:dyDescent="0.2"/>
    <row r="36796" ht="12.75" hidden="1" customHeight="1" x14ac:dyDescent="0.2"/>
    <row r="36797" ht="12.75" hidden="1" customHeight="1" x14ac:dyDescent="0.2"/>
    <row r="36798" ht="12.75" hidden="1" customHeight="1" x14ac:dyDescent="0.2"/>
    <row r="36799" ht="12.75" hidden="1" customHeight="1" x14ac:dyDescent="0.2"/>
    <row r="36800" ht="12.75" hidden="1" customHeight="1" x14ac:dyDescent="0.2"/>
    <row r="36801" ht="12.75" hidden="1" customHeight="1" x14ac:dyDescent="0.2"/>
    <row r="36802" ht="12.75" hidden="1" customHeight="1" x14ac:dyDescent="0.2"/>
    <row r="36803" ht="12.75" hidden="1" customHeight="1" x14ac:dyDescent="0.2"/>
    <row r="36804" ht="12.75" hidden="1" customHeight="1" x14ac:dyDescent="0.2"/>
    <row r="36805" ht="12.75" hidden="1" customHeight="1" x14ac:dyDescent="0.2"/>
    <row r="36806" ht="12.75" hidden="1" customHeight="1" x14ac:dyDescent="0.2"/>
    <row r="36807" ht="12.75" hidden="1" customHeight="1" x14ac:dyDescent="0.2"/>
    <row r="36808" ht="12.75" hidden="1" customHeight="1" x14ac:dyDescent="0.2"/>
    <row r="36809" ht="12.75" hidden="1" customHeight="1" x14ac:dyDescent="0.2"/>
    <row r="36810" ht="12.75" hidden="1" customHeight="1" x14ac:dyDescent="0.2"/>
    <row r="36811" ht="12.75" hidden="1" customHeight="1" x14ac:dyDescent="0.2"/>
    <row r="36812" ht="12.75" hidden="1" customHeight="1" x14ac:dyDescent="0.2"/>
    <row r="36813" ht="12.75" hidden="1" customHeight="1" x14ac:dyDescent="0.2"/>
    <row r="36814" ht="12.75" hidden="1" customHeight="1" x14ac:dyDescent="0.2"/>
    <row r="36815" ht="12.75" hidden="1" customHeight="1" x14ac:dyDescent="0.2"/>
    <row r="36816" ht="12.75" hidden="1" customHeight="1" x14ac:dyDescent="0.2"/>
    <row r="36817" ht="12.75" hidden="1" customHeight="1" x14ac:dyDescent="0.2"/>
    <row r="36818" ht="12.75" hidden="1" customHeight="1" x14ac:dyDescent="0.2"/>
    <row r="36819" ht="12.75" hidden="1" customHeight="1" x14ac:dyDescent="0.2"/>
    <row r="36820" ht="12.75" hidden="1" customHeight="1" x14ac:dyDescent="0.2"/>
    <row r="36821" ht="12.75" hidden="1" customHeight="1" x14ac:dyDescent="0.2"/>
    <row r="36822" ht="12.75" hidden="1" customHeight="1" x14ac:dyDescent="0.2"/>
    <row r="36823" ht="12.75" hidden="1" customHeight="1" x14ac:dyDescent="0.2"/>
    <row r="36824" ht="12.75" hidden="1" customHeight="1" x14ac:dyDescent="0.2"/>
    <row r="36825" ht="12.75" hidden="1" customHeight="1" x14ac:dyDescent="0.2"/>
    <row r="36826" ht="12.75" hidden="1" customHeight="1" x14ac:dyDescent="0.2"/>
    <row r="36827" ht="12.75" hidden="1" customHeight="1" x14ac:dyDescent="0.2"/>
    <row r="36828" ht="12.75" hidden="1" customHeight="1" x14ac:dyDescent="0.2"/>
    <row r="36829" ht="12.75" hidden="1" customHeight="1" x14ac:dyDescent="0.2"/>
    <row r="36830" ht="12.75" hidden="1" customHeight="1" x14ac:dyDescent="0.2"/>
    <row r="36831" ht="12.75" hidden="1" customHeight="1" x14ac:dyDescent="0.2"/>
    <row r="36832" ht="12.75" hidden="1" customHeight="1" x14ac:dyDescent="0.2"/>
    <row r="36833" ht="12.75" hidden="1" customHeight="1" x14ac:dyDescent="0.2"/>
    <row r="36834" ht="12.75" hidden="1" customHeight="1" x14ac:dyDescent="0.2"/>
    <row r="36835" ht="12.75" hidden="1" customHeight="1" x14ac:dyDescent="0.2"/>
    <row r="36836" ht="12.75" hidden="1" customHeight="1" x14ac:dyDescent="0.2"/>
    <row r="36837" ht="12.75" hidden="1" customHeight="1" x14ac:dyDescent="0.2"/>
    <row r="36838" ht="12.75" hidden="1" customHeight="1" x14ac:dyDescent="0.2"/>
    <row r="36839" ht="12.75" hidden="1" customHeight="1" x14ac:dyDescent="0.2"/>
    <row r="36840" ht="12.75" hidden="1" customHeight="1" x14ac:dyDescent="0.2"/>
    <row r="36841" ht="12.75" hidden="1" customHeight="1" x14ac:dyDescent="0.2"/>
    <row r="36842" ht="12.75" hidden="1" customHeight="1" x14ac:dyDescent="0.2"/>
    <row r="36843" ht="12.75" hidden="1" customHeight="1" x14ac:dyDescent="0.2"/>
    <row r="36844" ht="12.75" hidden="1" customHeight="1" x14ac:dyDescent="0.2"/>
    <row r="36845" ht="12.75" hidden="1" customHeight="1" x14ac:dyDescent="0.2"/>
    <row r="36846" ht="12.75" hidden="1" customHeight="1" x14ac:dyDescent="0.2"/>
    <row r="36847" ht="12.75" hidden="1" customHeight="1" x14ac:dyDescent="0.2"/>
    <row r="36848" ht="12.75" hidden="1" customHeight="1" x14ac:dyDescent="0.2"/>
    <row r="36849" ht="12.75" hidden="1" customHeight="1" x14ac:dyDescent="0.2"/>
    <row r="36850" ht="12.75" hidden="1" customHeight="1" x14ac:dyDescent="0.2"/>
    <row r="36851" ht="12.75" hidden="1" customHeight="1" x14ac:dyDescent="0.2"/>
    <row r="36852" ht="12.75" hidden="1" customHeight="1" x14ac:dyDescent="0.2"/>
    <row r="36853" ht="12.75" hidden="1" customHeight="1" x14ac:dyDescent="0.2"/>
    <row r="36854" ht="12.75" hidden="1" customHeight="1" x14ac:dyDescent="0.2"/>
    <row r="36855" ht="12.75" hidden="1" customHeight="1" x14ac:dyDescent="0.2"/>
    <row r="36856" ht="12.75" hidden="1" customHeight="1" x14ac:dyDescent="0.2"/>
    <row r="36857" ht="12.75" hidden="1" customHeight="1" x14ac:dyDescent="0.2"/>
    <row r="36858" ht="12.75" hidden="1" customHeight="1" x14ac:dyDescent="0.2"/>
    <row r="36859" ht="12.75" hidden="1" customHeight="1" x14ac:dyDescent="0.2"/>
    <row r="36860" ht="12.75" hidden="1" customHeight="1" x14ac:dyDescent="0.2"/>
    <row r="36861" ht="12.75" hidden="1" customHeight="1" x14ac:dyDescent="0.2"/>
    <row r="36862" ht="12.75" hidden="1" customHeight="1" x14ac:dyDescent="0.2"/>
    <row r="36863" ht="12.75" hidden="1" customHeight="1" x14ac:dyDescent="0.2"/>
    <row r="36864" ht="12.75" hidden="1" customHeight="1" x14ac:dyDescent="0.2"/>
    <row r="36865" ht="12.75" hidden="1" customHeight="1" x14ac:dyDescent="0.2"/>
    <row r="36866" ht="12.75" hidden="1" customHeight="1" x14ac:dyDescent="0.2"/>
    <row r="36867" ht="12.75" hidden="1" customHeight="1" x14ac:dyDescent="0.2"/>
    <row r="36868" ht="12.75" hidden="1" customHeight="1" x14ac:dyDescent="0.2"/>
    <row r="36869" ht="12.75" hidden="1" customHeight="1" x14ac:dyDescent="0.2"/>
    <row r="36870" ht="12.75" hidden="1" customHeight="1" x14ac:dyDescent="0.2"/>
    <row r="36871" ht="12.75" hidden="1" customHeight="1" x14ac:dyDescent="0.2"/>
    <row r="36872" ht="12.75" hidden="1" customHeight="1" x14ac:dyDescent="0.2"/>
    <row r="36873" ht="12.75" hidden="1" customHeight="1" x14ac:dyDescent="0.2"/>
    <row r="36874" ht="12.75" hidden="1" customHeight="1" x14ac:dyDescent="0.2"/>
    <row r="36875" ht="12.75" hidden="1" customHeight="1" x14ac:dyDescent="0.2"/>
    <row r="36876" ht="12.75" hidden="1" customHeight="1" x14ac:dyDescent="0.2"/>
    <row r="36877" ht="12.75" hidden="1" customHeight="1" x14ac:dyDescent="0.2"/>
    <row r="36878" ht="12.75" hidden="1" customHeight="1" x14ac:dyDescent="0.2"/>
    <row r="36879" ht="12.75" hidden="1" customHeight="1" x14ac:dyDescent="0.2"/>
    <row r="36880" ht="12.75" hidden="1" customHeight="1" x14ac:dyDescent="0.2"/>
    <row r="36881" ht="12.75" hidden="1" customHeight="1" x14ac:dyDescent="0.2"/>
    <row r="36882" ht="12.75" hidden="1" customHeight="1" x14ac:dyDescent="0.2"/>
    <row r="36883" ht="12.75" hidden="1" customHeight="1" x14ac:dyDescent="0.2"/>
    <row r="36884" ht="12.75" hidden="1" customHeight="1" x14ac:dyDescent="0.2"/>
    <row r="36885" ht="12.75" hidden="1" customHeight="1" x14ac:dyDescent="0.2"/>
    <row r="36886" ht="12.75" hidden="1" customHeight="1" x14ac:dyDescent="0.2"/>
    <row r="36887" ht="12.75" hidden="1" customHeight="1" x14ac:dyDescent="0.2"/>
    <row r="36888" ht="12.75" hidden="1" customHeight="1" x14ac:dyDescent="0.2"/>
    <row r="36889" ht="12.75" hidden="1" customHeight="1" x14ac:dyDescent="0.2"/>
    <row r="36890" ht="12.75" hidden="1" customHeight="1" x14ac:dyDescent="0.2"/>
    <row r="36891" ht="12.75" hidden="1" customHeight="1" x14ac:dyDescent="0.2"/>
    <row r="36892" ht="12.75" hidden="1" customHeight="1" x14ac:dyDescent="0.2"/>
    <row r="36893" ht="12.75" hidden="1" customHeight="1" x14ac:dyDescent="0.2"/>
    <row r="36894" ht="12.75" hidden="1" customHeight="1" x14ac:dyDescent="0.2"/>
    <row r="36895" ht="12.75" hidden="1" customHeight="1" x14ac:dyDescent="0.2"/>
    <row r="36896" ht="12.75" hidden="1" customHeight="1" x14ac:dyDescent="0.2"/>
    <row r="36897" ht="12.75" hidden="1" customHeight="1" x14ac:dyDescent="0.2"/>
    <row r="36898" ht="12.75" hidden="1" customHeight="1" x14ac:dyDescent="0.2"/>
    <row r="36899" ht="12.75" hidden="1" customHeight="1" x14ac:dyDescent="0.2"/>
    <row r="36900" ht="12.75" hidden="1" customHeight="1" x14ac:dyDescent="0.2"/>
    <row r="36901" ht="12.75" hidden="1" customHeight="1" x14ac:dyDescent="0.2"/>
    <row r="36902" ht="12.75" hidden="1" customHeight="1" x14ac:dyDescent="0.2"/>
    <row r="36903" ht="12.75" hidden="1" customHeight="1" x14ac:dyDescent="0.2"/>
    <row r="36904" ht="12.75" hidden="1" customHeight="1" x14ac:dyDescent="0.2"/>
    <row r="36905" ht="12.75" hidden="1" customHeight="1" x14ac:dyDescent="0.2"/>
    <row r="36906" ht="12.75" hidden="1" customHeight="1" x14ac:dyDescent="0.2"/>
    <row r="36907" ht="12.75" hidden="1" customHeight="1" x14ac:dyDescent="0.2"/>
    <row r="36908" ht="12.75" hidden="1" customHeight="1" x14ac:dyDescent="0.2"/>
    <row r="36909" ht="12.75" hidden="1" customHeight="1" x14ac:dyDescent="0.2"/>
    <row r="36910" ht="12.75" hidden="1" customHeight="1" x14ac:dyDescent="0.2"/>
    <row r="36911" ht="12.75" hidden="1" customHeight="1" x14ac:dyDescent="0.2"/>
    <row r="36912" ht="12.75" hidden="1" customHeight="1" x14ac:dyDescent="0.2"/>
    <row r="36913" ht="12.75" hidden="1" customHeight="1" x14ac:dyDescent="0.2"/>
    <row r="36914" ht="12.75" hidden="1" customHeight="1" x14ac:dyDescent="0.2"/>
    <row r="36915" ht="12.75" hidden="1" customHeight="1" x14ac:dyDescent="0.2"/>
    <row r="36916" ht="12.75" hidden="1" customHeight="1" x14ac:dyDescent="0.2"/>
    <row r="36917" ht="12.75" hidden="1" customHeight="1" x14ac:dyDescent="0.2"/>
    <row r="36918" ht="12.75" hidden="1" customHeight="1" x14ac:dyDescent="0.2"/>
    <row r="36919" ht="12.75" hidden="1" customHeight="1" x14ac:dyDescent="0.2"/>
    <row r="36920" ht="12.75" hidden="1" customHeight="1" x14ac:dyDescent="0.2"/>
    <row r="36921" ht="12.75" hidden="1" customHeight="1" x14ac:dyDescent="0.2"/>
    <row r="36922" ht="12.75" hidden="1" customHeight="1" x14ac:dyDescent="0.2"/>
    <row r="36923" ht="12.75" hidden="1" customHeight="1" x14ac:dyDescent="0.2"/>
    <row r="36924" ht="12.75" hidden="1" customHeight="1" x14ac:dyDescent="0.2"/>
    <row r="36925" ht="12.75" hidden="1" customHeight="1" x14ac:dyDescent="0.2"/>
    <row r="36926" ht="12.75" hidden="1" customHeight="1" x14ac:dyDescent="0.2"/>
    <row r="36927" ht="12.75" hidden="1" customHeight="1" x14ac:dyDescent="0.2"/>
    <row r="36928" ht="12.75" hidden="1" customHeight="1" x14ac:dyDescent="0.2"/>
    <row r="36929" ht="12.75" hidden="1" customHeight="1" x14ac:dyDescent="0.2"/>
    <row r="36930" ht="12.75" hidden="1" customHeight="1" x14ac:dyDescent="0.2"/>
    <row r="36931" ht="12.75" hidden="1" customHeight="1" x14ac:dyDescent="0.2"/>
    <row r="36932" ht="12.75" hidden="1" customHeight="1" x14ac:dyDescent="0.2"/>
    <row r="36933" ht="12.75" hidden="1" customHeight="1" x14ac:dyDescent="0.2"/>
    <row r="36934" ht="12.75" hidden="1" customHeight="1" x14ac:dyDescent="0.2"/>
    <row r="36935" ht="12.75" hidden="1" customHeight="1" x14ac:dyDescent="0.2"/>
    <row r="36936" ht="12.75" hidden="1" customHeight="1" x14ac:dyDescent="0.2"/>
    <row r="36937" ht="12.75" hidden="1" customHeight="1" x14ac:dyDescent="0.2"/>
    <row r="36938" ht="12.75" hidden="1" customHeight="1" x14ac:dyDescent="0.2"/>
    <row r="36939" ht="12.75" hidden="1" customHeight="1" x14ac:dyDescent="0.2"/>
    <row r="36940" ht="12.75" hidden="1" customHeight="1" x14ac:dyDescent="0.2"/>
    <row r="36941" ht="12.75" hidden="1" customHeight="1" x14ac:dyDescent="0.2"/>
    <row r="36942" ht="12.75" hidden="1" customHeight="1" x14ac:dyDescent="0.2"/>
    <row r="36943" ht="12.75" hidden="1" customHeight="1" x14ac:dyDescent="0.2"/>
    <row r="36944" ht="12.75" hidden="1" customHeight="1" x14ac:dyDescent="0.2"/>
    <row r="36945" ht="12.75" hidden="1" customHeight="1" x14ac:dyDescent="0.2"/>
    <row r="36946" ht="12.75" hidden="1" customHeight="1" x14ac:dyDescent="0.2"/>
    <row r="36947" ht="12.75" hidden="1" customHeight="1" x14ac:dyDescent="0.2"/>
    <row r="36948" ht="12.75" hidden="1" customHeight="1" x14ac:dyDescent="0.2"/>
    <row r="36949" ht="12.75" hidden="1" customHeight="1" x14ac:dyDescent="0.2"/>
    <row r="36950" ht="12.75" hidden="1" customHeight="1" x14ac:dyDescent="0.2"/>
    <row r="36951" ht="12.75" hidden="1" customHeight="1" x14ac:dyDescent="0.2"/>
    <row r="36952" ht="12.75" hidden="1" customHeight="1" x14ac:dyDescent="0.2"/>
    <row r="36953" ht="12.75" hidden="1" customHeight="1" x14ac:dyDescent="0.2"/>
    <row r="36954" ht="12.75" hidden="1" customHeight="1" x14ac:dyDescent="0.2"/>
    <row r="36955" ht="12.75" hidden="1" customHeight="1" x14ac:dyDescent="0.2"/>
    <row r="36956" ht="12.75" hidden="1" customHeight="1" x14ac:dyDescent="0.2"/>
    <row r="36957" ht="12.75" hidden="1" customHeight="1" x14ac:dyDescent="0.2"/>
    <row r="36958" ht="12.75" hidden="1" customHeight="1" x14ac:dyDescent="0.2"/>
    <row r="36959" ht="12.75" hidden="1" customHeight="1" x14ac:dyDescent="0.2"/>
    <row r="36960" ht="12.75" hidden="1" customHeight="1" x14ac:dyDescent="0.2"/>
    <row r="36961" ht="12.75" hidden="1" customHeight="1" x14ac:dyDescent="0.2"/>
    <row r="36962" ht="12.75" hidden="1" customHeight="1" x14ac:dyDescent="0.2"/>
    <row r="36963" ht="12.75" hidden="1" customHeight="1" x14ac:dyDescent="0.2"/>
    <row r="36964" ht="12.75" hidden="1" customHeight="1" x14ac:dyDescent="0.2"/>
    <row r="36965" ht="12.75" hidden="1" customHeight="1" x14ac:dyDescent="0.2"/>
    <row r="36966" ht="12.75" hidden="1" customHeight="1" x14ac:dyDescent="0.2"/>
    <row r="36967" ht="12.75" hidden="1" customHeight="1" x14ac:dyDescent="0.2"/>
    <row r="36968" ht="12.75" hidden="1" customHeight="1" x14ac:dyDescent="0.2"/>
    <row r="36969" ht="12.75" hidden="1" customHeight="1" x14ac:dyDescent="0.2"/>
    <row r="36970" ht="12.75" hidden="1" customHeight="1" x14ac:dyDescent="0.2"/>
    <row r="36971" ht="12.75" hidden="1" customHeight="1" x14ac:dyDescent="0.2"/>
    <row r="36972" ht="12.75" hidden="1" customHeight="1" x14ac:dyDescent="0.2"/>
    <row r="36973" ht="12.75" hidden="1" customHeight="1" x14ac:dyDescent="0.2"/>
    <row r="36974" ht="12.75" hidden="1" customHeight="1" x14ac:dyDescent="0.2"/>
    <row r="36975" ht="12.75" hidden="1" customHeight="1" x14ac:dyDescent="0.2"/>
    <row r="36976" ht="12.75" hidden="1" customHeight="1" x14ac:dyDescent="0.2"/>
    <row r="36977" ht="12.75" hidden="1" customHeight="1" x14ac:dyDescent="0.2"/>
    <row r="36978" ht="12.75" hidden="1" customHeight="1" x14ac:dyDescent="0.2"/>
    <row r="36979" ht="12.75" hidden="1" customHeight="1" x14ac:dyDescent="0.2"/>
    <row r="36980" ht="12.75" hidden="1" customHeight="1" x14ac:dyDescent="0.2"/>
    <row r="36981" ht="12.75" hidden="1" customHeight="1" x14ac:dyDescent="0.2"/>
    <row r="36982" ht="12.75" hidden="1" customHeight="1" x14ac:dyDescent="0.2"/>
    <row r="36983" ht="12.75" hidden="1" customHeight="1" x14ac:dyDescent="0.2"/>
    <row r="36984" ht="12.75" hidden="1" customHeight="1" x14ac:dyDescent="0.2"/>
    <row r="36985" ht="12.75" hidden="1" customHeight="1" x14ac:dyDescent="0.2"/>
    <row r="36986" ht="12.75" hidden="1" customHeight="1" x14ac:dyDescent="0.2"/>
    <row r="36987" ht="12.75" hidden="1" customHeight="1" x14ac:dyDescent="0.2"/>
    <row r="36988" ht="12.75" hidden="1" customHeight="1" x14ac:dyDescent="0.2"/>
    <row r="36989" ht="12.75" hidden="1" customHeight="1" x14ac:dyDescent="0.2"/>
    <row r="36990" ht="12.75" hidden="1" customHeight="1" x14ac:dyDescent="0.2"/>
    <row r="36991" ht="12.75" hidden="1" customHeight="1" x14ac:dyDescent="0.2"/>
    <row r="36992" ht="12.75" hidden="1" customHeight="1" x14ac:dyDescent="0.2"/>
    <row r="36993" ht="12.75" hidden="1" customHeight="1" x14ac:dyDescent="0.2"/>
    <row r="36994" ht="12.75" hidden="1" customHeight="1" x14ac:dyDescent="0.2"/>
    <row r="36995" ht="12.75" hidden="1" customHeight="1" x14ac:dyDescent="0.2"/>
    <row r="36996" ht="12.75" hidden="1" customHeight="1" x14ac:dyDescent="0.2"/>
    <row r="36997" ht="12.75" hidden="1" customHeight="1" x14ac:dyDescent="0.2"/>
    <row r="36998" ht="12.75" hidden="1" customHeight="1" x14ac:dyDescent="0.2"/>
    <row r="36999" ht="12.75" hidden="1" customHeight="1" x14ac:dyDescent="0.2"/>
    <row r="37000" ht="12.75" hidden="1" customHeight="1" x14ac:dyDescent="0.2"/>
    <row r="37001" ht="12.75" hidden="1" customHeight="1" x14ac:dyDescent="0.2"/>
    <row r="37002" ht="12.75" hidden="1" customHeight="1" x14ac:dyDescent="0.2"/>
    <row r="37003" ht="12.75" hidden="1" customHeight="1" x14ac:dyDescent="0.2"/>
    <row r="37004" ht="12.75" hidden="1" customHeight="1" x14ac:dyDescent="0.2"/>
    <row r="37005" ht="12.75" hidden="1" customHeight="1" x14ac:dyDescent="0.2"/>
    <row r="37006" ht="12.75" hidden="1" customHeight="1" x14ac:dyDescent="0.2"/>
    <row r="37007" ht="12.75" hidden="1" customHeight="1" x14ac:dyDescent="0.2"/>
    <row r="37008" ht="12.75" hidden="1" customHeight="1" x14ac:dyDescent="0.2"/>
    <row r="37009" ht="12.75" hidden="1" customHeight="1" x14ac:dyDescent="0.2"/>
    <row r="37010" ht="12.75" hidden="1" customHeight="1" x14ac:dyDescent="0.2"/>
    <row r="37011" ht="12.75" hidden="1" customHeight="1" x14ac:dyDescent="0.2"/>
    <row r="37012" ht="12.75" hidden="1" customHeight="1" x14ac:dyDescent="0.2"/>
    <row r="37013" ht="12.75" hidden="1" customHeight="1" x14ac:dyDescent="0.2"/>
    <row r="37014" ht="12.75" hidden="1" customHeight="1" x14ac:dyDescent="0.2"/>
    <row r="37015" ht="12.75" hidden="1" customHeight="1" x14ac:dyDescent="0.2"/>
    <row r="37016" ht="12.75" hidden="1" customHeight="1" x14ac:dyDescent="0.2"/>
    <row r="37017" ht="12.75" hidden="1" customHeight="1" x14ac:dyDescent="0.2"/>
    <row r="37018" ht="12.75" hidden="1" customHeight="1" x14ac:dyDescent="0.2"/>
    <row r="37019" ht="12.75" hidden="1" customHeight="1" x14ac:dyDescent="0.2"/>
    <row r="37020" ht="12.75" hidden="1" customHeight="1" x14ac:dyDescent="0.2"/>
    <row r="37021" ht="12.75" hidden="1" customHeight="1" x14ac:dyDescent="0.2"/>
    <row r="37022" ht="12.75" hidden="1" customHeight="1" x14ac:dyDescent="0.2"/>
    <row r="37023" ht="12.75" hidden="1" customHeight="1" x14ac:dyDescent="0.2"/>
    <row r="37024" ht="12.75" hidden="1" customHeight="1" x14ac:dyDescent="0.2"/>
    <row r="37025" ht="12.75" hidden="1" customHeight="1" x14ac:dyDescent="0.2"/>
    <row r="37026" ht="12.75" hidden="1" customHeight="1" x14ac:dyDescent="0.2"/>
    <row r="37027" ht="12.75" hidden="1" customHeight="1" x14ac:dyDescent="0.2"/>
    <row r="37028" ht="12.75" hidden="1" customHeight="1" x14ac:dyDescent="0.2"/>
    <row r="37029" ht="12.75" hidden="1" customHeight="1" x14ac:dyDescent="0.2"/>
    <row r="37030" ht="12.75" hidden="1" customHeight="1" x14ac:dyDescent="0.2"/>
    <row r="37031" ht="12.75" hidden="1" customHeight="1" x14ac:dyDescent="0.2"/>
    <row r="37032" ht="12.75" hidden="1" customHeight="1" x14ac:dyDescent="0.2"/>
    <row r="37033" ht="12.75" hidden="1" customHeight="1" x14ac:dyDescent="0.2"/>
    <row r="37034" ht="12.75" hidden="1" customHeight="1" x14ac:dyDescent="0.2"/>
    <row r="37035" ht="12.75" hidden="1" customHeight="1" x14ac:dyDescent="0.2"/>
    <row r="37036" ht="12.75" hidden="1" customHeight="1" x14ac:dyDescent="0.2"/>
    <row r="37037" ht="12.75" hidden="1" customHeight="1" x14ac:dyDescent="0.2"/>
    <row r="37038" ht="12.75" hidden="1" customHeight="1" x14ac:dyDescent="0.2"/>
    <row r="37039" ht="12.75" hidden="1" customHeight="1" x14ac:dyDescent="0.2"/>
    <row r="37040" ht="12.75" hidden="1" customHeight="1" x14ac:dyDescent="0.2"/>
    <row r="37041" ht="12.75" hidden="1" customHeight="1" x14ac:dyDescent="0.2"/>
    <row r="37042" ht="12.75" hidden="1" customHeight="1" x14ac:dyDescent="0.2"/>
    <row r="37043" ht="12.75" hidden="1" customHeight="1" x14ac:dyDescent="0.2"/>
    <row r="37044" ht="12.75" hidden="1" customHeight="1" x14ac:dyDescent="0.2"/>
    <row r="37045" ht="12.75" hidden="1" customHeight="1" x14ac:dyDescent="0.2"/>
    <row r="37046" ht="12.75" hidden="1" customHeight="1" x14ac:dyDescent="0.2"/>
    <row r="37047" ht="12.75" hidden="1" customHeight="1" x14ac:dyDescent="0.2"/>
    <row r="37048" ht="12.75" hidden="1" customHeight="1" x14ac:dyDescent="0.2"/>
    <row r="37049" ht="12.75" hidden="1" customHeight="1" x14ac:dyDescent="0.2"/>
    <row r="37050" ht="12.75" hidden="1" customHeight="1" x14ac:dyDescent="0.2"/>
    <row r="37051" ht="12.75" hidden="1" customHeight="1" x14ac:dyDescent="0.2"/>
    <row r="37052" ht="12.75" hidden="1" customHeight="1" x14ac:dyDescent="0.2"/>
    <row r="37053" ht="12.75" hidden="1" customHeight="1" x14ac:dyDescent="0.2"/>
    <row r="37054" ht="12.75" hidden="1" customHeight="1" x14ac:dyDescent="0.2"/>
    <row r="37055" ht="12.75" hidden="1" customHeight="1" x14ac:dyDescent="0.2"/>
    <row r="37056" ht="12.75" hidden="1" customHeight="1" x14ac:dyDescent="0.2"/>
    <row r="37057" ht="12.75" hidden="1" customHeight="1" x14ac:dyDescent="0.2"/>
    <row r="37058" ht="12.75" hidden="1" customHeight="1" x14ac:dyDescent="0.2"/>
    <row r="37059" ht="12.75" hidden="1" customHeight="1" x14ac:dyDescent="0.2"/>
    <row r="37060" ht="12.75" hidden="1" customHeight="1" x14ac:dyDescent="0.2"/>
    <row r="37061" ht="12.75" hidden="1" customHeight="1" x14ac:dyDescent="0.2"/>
    <row r="37062" ht="12.75" hidden="1" customHeight="1" x14ac:dyDescent="0.2"/>
    <row r="37063" ht="12.75" hidden="1" customHeight="1" x14ac:dyDescent="0.2"/>
    <row r="37064" ht="12.75" hidden="1" customHeight="1" x14ac:dyDescent="0.2"/>
    <row r="37065" ht="12.75" hidden="1" customHeight="1" x14ac:dyDescent="0.2"/>
    <row r="37066" ht="12.75" hidden="1" customHeight="1" x14ac:dyDescent="0.2"/>
    <row r="37067" ht="12.75" hidden="1" customHeight="1" x14ac:dyDescent="0.2"/>
    <row r="37068" ht="12.75" hidden="1" customHeight="1" x14ac:dyDescent="0.2"/>
    <row r="37069" ht="12.75" hidden="1" customHeight="1" x14ac:dyDescent="0.2"/>
    <row r="37070" ht="12.75" hidden="1" customHeight="1" x14ac:dyDescent="0.2"/>
    <row r="37071" ht="12.75" hidden="1" customHeight="1" x14ac:dyDescent="0.2"/>
    <row r="37072" ht="12.75" hidden="1" customHeight="1" x14ac:dyDescent="0.2"/>
    <row r="37073" ht="12.75" hidden="1" customHeight="1" x14ac:dyDescent="0.2"/>
    <row r="37074" ht="12.75" hidden="1" customHeight="1" x14ac:dyDescent="0.2"/>
    <row r="37075" ht="12.75" hidden="1" customHeight="1" x14ac:dyDescent="0.2"/>
    <row r="37076" ht="12.75" hidden="1" customHeight="1" x14ac:dyDescent="0.2"/>
    <row r="37077" ht="12.75" hidden="1" customHeight="1" x14ac:dyDescent="0.2"/>
    <row r="37078" ht="12.75" hidden="1" customHeight="1" x14ac:dyDescent="0.2"/>
    <row r="37079" ht="12.75" hidden="1" customHeight="1" x14ac:dyDescent="0.2"/>
    <row r="37080" ht="12.75" hidden="1" customHeight="1" x14ac:dyDescent="0.2"/>
    <row r="37081" ht="12.75" hidden="1" customHeight="1" x14ac:dyDescent="0.2"/>
    <row r="37082" ht="12.75" hidden="1" customHeight="1" x14ac:dyDescent="0.2"/>
    <row r="37083" ht="12.75" hidden="1" customHeight="1" x14ac:dyDescent="0.2"/>
    <row r="37084" ht="12.75" hidden="1" customHeight="1" x14ac:dyDescent="0.2"/>
    <row r="37085" ht="12.75" hidden="1" customHeight="1" x14ac:dyDescent="0.2"/>
    <row r="37086" ht="12.75" hidden="1" customHeight="1" x14ac:dyDescent="0.2"/>
    <row r="37087" ht="12.75" hidden="1" customHeight="1" x14ac:dyDescent="0.2"/>
    <row r="37088" ht="12.75" hidden="1" customHeight="1" x14ac:dyDescent="0.2"/>
    <row r="37089" ht="12.75" hidden="1" customHeight="1" x14ac:dyDescent="0.2"/>
    <row r="37090" ht="12.75" hidden="1" customHeight="1" x14ac:dyDescent="0.2"/>
    <row r="37091" ht="12.75" hidden="1" customHeight="1" x14ac:dyDescent="0.2"/>
    <row r="37092" ht="12.75" hidden="1" customHeight="1" x14ac:dyDescent="0.2"/>
    <row r="37093" ht="12.75" hidden="1" customHeight="1" x14ac:dyDescent="0.2"/>
    <row r="37094" ht="12.75" hidden="1" customHeight="1" x14ac:dyDescent="0.2"/>
    <row r="37095" ht="12.75" hidden="1" customHeight="1" x14ac:dyDescent="0.2"/>
    <row r="37096" ht="12.75" hidden="1" customHeight="1" x14ac:dyDescent="0.2"/>
    <row r="37097" ht="12.75" hidden="1" customHeight="1" x14ac:dyDescent="0.2"/>
    <row r="37098" ht="12.75" hidden="1" customHeight="1" x14ac:dyDescent="0.2"/>
    <row r="37099" ht="12.75" hidden="1" customHeight="1" x14ac:dyDescent="0.2"/>
    <row r="37100" ht="12.75" hidden="1" customHeight="1" x14ac:dyDescent="0.2"/>
    <row r="37101" ht="12.75" hidden="1" customHeight="1" x14ac:dyDescent="0.2"/>
    <row r="37102" ht="12.75" hidden="1" customHeight="1" x14ac:dyDescent="0.2"/>
    <row r="37103" ht="12.75" hidden="1" customHeight="1" x14ac:dyDescent="0.2"/>
    <row r="37104" ht="12.75" hidden="1" customHeight="1" x14ac:dyDescent="0.2"/>
    <row r="37105" ht="12.75" hidden="1" customHeight="1" x14ac:dyDescent="0.2"/>
    <row r="37106" ht="12.75" hidden="1" customHeight="1" x14ac:dyDescent="0.2"/>
    <row r="37107" ht="12.75" hidden="1" customHeight="1" x14ac:dyDescent="0.2"/>
    <row r="37108" ht="12.75" hidden="1" customHeight="1" x14ac:dyDescent="0.2"/>
    <row r="37109" ht="12.75" hidden="1" customHeight="1" x14ac:dyDescent="0.2"/>
    <row r="37110" ht="12.75" hidden="1" customHeight="1" x14ac:dyDescent="0.2"/>
    <row r="37111" ht="12.75" hidden="1" customHeight="1" x14ac:dyDescent="0.2"/>
    <row r="37112" ht="12.75" hidden="1" customHeight="1" x14ac:dyDescent="0.2"/>
    <row r="37113" ht="12.75" hidden="1" customHeight="1" x14ac:dyDescent="0.2"/>
    <row r="37114" ht="12.75" hidden="1" customHeight="1" x14ac:dyDescent="0.2"/>
    <row r="37115" ht="12.75" hidden="1" customHeight="1" x14ac:dyDescent="0.2"/>
    <row r="37116" ht="12.75" hidden="1" customHeight="1" x14ac:dyDescent="0.2"/>
    <row r="37117" ht="12.75" hidden="1" customHeight="1" x14ac:dyDescent="0.2"/>
    <row r="37118" ht="12.75" hidden="1" customHeight="1" x14ac:dyDescent="0.2"/>
    <row r="37119" ht="12.75" hidden="1" customHeight="1" x14ac:dyDescent="0.2"/>
    <row r="37120" ht="12.75" hidden="1" customHeight="1" x14ac:dyDescent="0.2"/>
    <row r="37121" ht="12.75" hidden="1" customHeight="1" x14ac:dyDescent="0.2"/>
    <row r="37122" ht="12.75" hidden="1" customHeight="1" x14ac:dyDescent="0.2"/>
    <row r="37123" ht="12.75" hidden="1" customHeight="1" x14ac:dyDescent="0.2"/>
    <row r="37124" ht="12.75" hidden="1" customHeight="1" x14ac:dyDescent="0.2"/>
    <row r="37125" ht="12.75" hidden="1" customHeight="1" x14ac:dyDescent="0.2"/>
    <row r="37126" ht="12.75" hidden="1" customHeight="1" x14ac:dyDescent="0.2"/>
    <row r="37127" ht="12.75" hidden="1" customHeight="1" x14ac:dyDescent="0.2"/>
    <row r="37128" ht="12.75" hidden="1" customHeight="1" x14ac:dyDescent="0.2"/>
    <row r="37129" ht="12.75" hidden="1" customHeight="1" x14ac:dyDescent="0.2"/>
    <row r="37130" ht="12.75" hidden="1" customHeight="1" x14ac:dyDescent="0.2"/>
    <row r="37131" ht="12.75" hidden="1" customHeight="1" x14ac:dyDescent="0.2"/>
    <row r="37132" ht="12.75" hidden="1" customHeight="1" x14ac:dyDescent="0.2"/>
    <row r="37133" ht="12.75" hidden="1" customHeight="1" x14ac:dyDescent="0.2"/>
    <row r="37134" ht="12.75" hidden="1" customHeight="1" x14ac:dyDescent="0.2"/>
    <row r="37135" ht="12.75" hidden="1" customHeight="1" x14ac:dyDescent="0.2"/>
    <row r="37136" ht="12.75" hidden="1" customHeight="1" x14ac:dyDescent="0.2"/>
    <row r="37137" ht="12.75" hidden="1" customHeight="1" x14ac:dyDescent="0.2"/>
    <row r="37138" ht="12.75" hidden="1" customHeight="1" x14ac:dyDescent="0.2"/>
    <row r="37139" ht="12.75" hidden="1" customHeight="1" x14ac:dyDescent="0.2"/>
    <row r="37140" ht="12.75" hidden="1" customHeight="1" x14ac:dyDescent="0.2"/>
    <row r="37141" ht="12.75" hidden="1" customHeight="1" x14ac:dyDescent="0.2"/>
    <row r="37142" ht="12.75" hidden="1" customHeight="1" x14ac:dyDescent="0.2"/>
    <row r="37143" ht="12.75" hidden="1" customHeight="1" x14ac:dyDescent="0.2"/>
    <row r="37144" ht="12.75" hidden="1" customHeight="1" x14ac:dyDescent="0.2"/>
    <row r="37145" ht="12.75" hidden="1" customHeight="1" x14ac:dyDescent="0.2"/>
    <row r="37146" ht="12.75" hidden="1" customHeight="1" x14ac:dyDescent="0.2"/>
    <row r="37147" ht="12.75" hidden="1" customHeight="1" x14ac:dyDescent="0.2"/>
    <row r="37148" ht="12.75" hidden="1" customHeight="1" x14ac:dyDescent="0.2"/>
    <row r="37149" ht="12.75" hidden="1" customHeight="1" x14ac:dyDescent="0.2"/>
    <row r="37150" ht="12.75" hidden="1" customHeight="1" x14ac:dyDescent="0.2"/>
    <row r="37151" ht="12.75" hidden="1" customHeight="1" x14ac:dyDescent="0.2"/>
    <row r="37152" ht="12.75" hidden="1" customHeight="1" x14ac:dyDescent="0.2"/>
    <row r="37153" ht="12.75" hidden="1" customHeight="1" x14ac:dyDescent="0.2"/>
    <row r="37154" ht="12.75" hidden="1" customHeight="1" x14ac:dyDescent="0.2"/>
    <row r="37155" ht="12.75" hidden="1" customHeight="1" x14ac:dyDescent="0.2"/>
    <row r="37156" ht="12.75" hidden="1" customHeight="1" x14ac:dyDescent="0.2"/>
    <row r="37157" ht="12.75" hidden="1" customHeight="1" x14ac:dyDescent="0.2"/>
    <row r="37158" ht="12.75" hidden="1" customHeight="1" x14ac:dyDescent="0.2"/>
    <row r="37159" ht="12.75" hidden="1" customHeight="1" x14ac:dyDescent="0.2"/>
    <row r="37160" ht="12.75" hidden="1" customHeight="1" x14ac:dyDescent="0.2"/>
    <row r="37161" ht="12.75" hidden="1" customHeight="1" x14ac:dyDescent="0.2"/>
    <row r="37162" ht="12.75" hidden="1" customHeight="1" x14ac:dyDescent="0.2"/>
    <row r="37163" ht="12.75" hidden="1" customHeight="1" x14ac:dyDescent="0.2"/>
    <row r="37164" ht="12.75" hidden="1" customHeight="1" x14ac:dyDescent="0.2"/>
    <row r="37165" ht="12.75" hidden="1" customHeight="1" x14ac:dyDescent="0.2"/>
    <row r="37166" ht="12.75" hidden="1" customHeight="1" x14ac:dyDescent="0.2"/>
    <row r="37167" ht="12.75" hidden="1" customHeight="1" x14ac:dyDescent="0.2"/>
    <row r="37168" ht="12.75" hidden="1" customHeight="1" x14ac:dyDescent="0.2"/>
    <row r="37169" ht="12.75" hidden="1" customHeight="1" x14ac:dyDescent="0.2"/>
    <row r="37170" ht="12.75" hidden="1" customHeight="1" x14ac:dyDescent="0.2"/>
    <row r="37171" ht="12.75" hidden="1" customHeight="1" x14ac:dyDescent="0.2"/>
    <row r="37172" ht="12.75" hidden="1" customHeight="1" x14ac:dyDescent="0.2"/>
    <row r="37173" ht="12.75" hidden="1" customHeight="1" x14ac:dyDescent="0.2"/>
    <row r="37174" ht="12.75" hidden="1" customHeight="1" x14ac:dyDescent="0.2"/>
    <row r="37175" ht="12.75" hidden="1" customHeight="1" x14ac:dyDescent="0.2"/>
    <row r="37176" ht="12.75" hidden="1" customHeight="1" x14ac:dyDescent="0.2"/>
    <row r="37177" ht="12.75" hidden="1" customHeight="1" x14ac:dyDescent="0.2"/>
    <row r="37178" ht="12.75" hidden="1" customHeight="1" x14ac:dyDescent="0.2"/>
    <row r="37179" ht="12.75" hidden="1" customHeight="1" x14ac:dyDescent="0.2"/>
    <row r="37180" ht="12.75" hidden="1" customHeight="1" x14ac:dyDescent="0.2"/>
    <row r="37181" ht="12.75" hidden="1" customHeight="1" x14ac:dyDescent="0.2"/>
    <row r="37182" ht="12.75" hidden="1" customHeight="1" x14ac:dyDescent="0.2"/>
    <row r="37183" ht="12.75" hidden="1" customHeight="1" x14ac:dyDescent="0.2"/>
    <row r="37184" ht="12.75" hidden="1" customHeight="1" x14ac:dyDescent="0.2"/>
    <row r="37185" ht="12.75" hidden="1" customHeight="1" x14ac:dyDescent="0.2"/>
    <row r="37186" ht="12.75" hidden="1" customHeight="1" x14ac:dyDescent="0.2"/>
    <row r="37187" ht="12.75" hidden="1" customHeight="1" x14ac:dyDescent="0.2"/>
    <row r="37188" ht="12.75" hidden="1" customHeight="1" x14ac:dyDescent="0.2"/>
    <row r="37189" ht="12.75" hidden="1" customHeight="1" x14ac:dyDescent="0.2"/>
    <row r="37190" ht="12.75" hidden="1" customHeight="1" x14ac:dyDescent="0.2"/>
    <row r="37191" ht="12.75" hidden="1" customHeight="1" x14ac:dyDescent="0.2"/>
    <row r="37192" ht="12.75" hidden="1" customHeight="1" x14ac:dyDescent="0.2"/>
    <row r="37193" ht="12.75" hidden="1" customHeight="1" x14ac:dyDescent="0.2"/>
    <row r="37194" ht="12.75" hidden="1" customHeight="1" x14ac:dyDescent="0.2"/>
    <row r="37195" ht="12.75" hidden="1" customHeight="1" x14ac:dyDescent="0.2"/>
    <row r="37196" ht="12.75" hidden="1" customHeight="1" x14ac:dyDescent="0.2"/>
    <row r="37197" ht="12.75" hidden="1" customHeight="1" x14ac:dyDescent="0.2"/>
    <row r="37198" ht="12.75" hidden="1" customHeight="1" x14ac:dyDescent="0.2"/>
    <row r="37199" ht="12.75" hidden="1" customHeight="1" x14ac:dyDescent="0.2"/>
    <row r="37200" ht="12.75" hidden="1" customHeight="1" x14ac:dyDescent="0.2"/>
    <row r="37201" ht="12.75" hidden="1" customHeight="1" x14ac:dyDescent="0.2"/>
    <row r="37202" ht="12.75" hidden="1" customHeight="1" x14ac:dyDescent="0.2"/>
    <row r="37203" ht="12.75" hidden="1" customHeight="1" x14ac:dyDescent="0.2"/>
    <row r="37204" ht="12.75" hidden="1" customHeight="1" x14ac:dyDescent="0.2"/>
    <row r="37205" ht="12.75" hidden="1" customHeight="1" x14ac:dyDescent="0.2"/>
    <row r="37206" ht="12.75" hidden="1" customHeight="1" x14ac:dyDescent="0.2"/>
    <row r="37207" ht="12.75" hidden="1" customHeight="1" x14ac:dyDescent="0.2"/>
    <row r="37208" ht="12.75" hidden="1" customHeight="1" x14ac:dyDescent="0.2"/>
    <row r="37209" ht="12.75" hidden="1" customHeight="1" x14ac:dyDescent="0.2"/>
    <row r="37210" ht="12.75" hidden="1" customHeight="1" x14ac:dyDescent="0.2"/>
    <row r="37211" ht="12.75" hidden="1" customHeight="1" x14ac:dyDescent="0.2"/>
    <row r="37212" ht="12.75" hidden="1" customHeight="1" x14ac:dyDescent="0.2"/>
    <row r="37213" ht="12.75" hidden="1" customHeight="1" x14ac:dyDescent="0.2"/>
    <row r="37214" ht="12.75" hidden="1" customHeight="1" x14ac:dyDescent="0.2"/>
    <row r="37215" ht="12.75" hidden="1" customHeight="1" x14ac:dyDescent="0.2"/>
    <row r="37216" ht="12.75" hidden="1" customHeight="1" x14ac:dyDescent="0.2"/>
    <row r="37217" ht="12.75" hidden="1" customHeight="1" x14ac:dyDescent="0.2"/>
    <row r="37218" ht="12.75" hidden="1" customHeight="1" x14ac:dyDescent="0.2"/>
    <row r="37219" ht="12.75" hidden="1" customHeight="1" x14ac:dyDescent="0.2"/>
    <row r="37220" ht="12.75" hidden="1" customHeight="1" x14ac:dyDescent="0.2"/>
    <row r="37221" ht="12.75" hidden="1" customHeight="1" x14ac:dyDescent="0.2"/>
    <row r="37222" ht="12.75" hidden="1" customHeight="1" x14ac:dyDescent="0.2"/>
    <row r="37223" ht="12.75" hidden="1" customHeight="1" x14ac:dyDescent="0.2"/>
    <row r="37224" ht="12.75" hidden="1" customHeight="1" x14ac:dyDescent="0.2"/>
    <row r="37225" ht="12.75" hidden="1" customHeight="1" x14ac:dyDescent="0.2"/>
    <row r="37226" ht="12.75" hidden="1" customHeight="1" x14ac:dyDescent="0.2"/>
    <row r="37227" ht="12.75" hidden="1" customHeight="1" x14ac:dyDescent="0.2"/>
    <row r="37228" ht="12.75" hidden="1" customHeight="1" x14ac:dyDescent="0.2"/>
    <row r="37229" ht="12.75" hidden="1" customHeight="1" x14ac:dyDescent="0.2"/>
    <row r="37230" ht="12.75" hidden="1" customHeight="1" x14ac:dyDescent="0.2"/>
    <row r="37231" ht="12.75" hidden="1" customHeight="1" x14ac:dyDescent="0.2"/>
    <row r="37232" ht="12.75" hidden="1" customHeight="1" x14ac:dyDescent="0.2"/>
    <row r="37233" ht="12.75" hidden="1" customHeight="1" x14ac:dyDescent="0.2"/>
    <row r="37234" ht="12.75" hidden="1" customHeight="1" x14ac:dyDescent="0.2"/>
    <row r="37235" ht="12.75" hidden="1" customHeight="1" x14ac:dyDescent="0.2"/>
    <row r="37236" ht="12.75" hidden="1" customHeight="1" x14ac:dyDescent="0.2"/>
    <row r="37237" ht="12.75" hidden="1" customHeight="1" x14ac:dyDescent="0.2"/>
    <row r="37238" ht="12.75" hidden="1" customHeight="1" x14ac:dyDescent="0.2"/>
    <row r="37239" ht="12.75" hidden="1" customHeight="1" x14ac:dyDescent="0.2"/>
    <row r="37240" ht="12.75" hidden="1" customHeight="1" x14ac:dyDescent="0.2"/>
    <row r="37241" ht="12.75" hidden="1" customHeight="1" x14ac:dyDescent="0.2"/>
    <row r="37242" ht="12.75" hidden="1" customHeight="1" x14ac:dyDescent="0.2"/>
    <row r="37243" ht="12.75" hidden="1" customHeight="1" x14ac:dyDescent="0.2"/>
    <row r="37244" ht="12.75" hidden="1" customHeight="1" x14ac:dyDescent="0.2"/>
    <row r="37245" ht="12.75" hidden="1" customHeight="1" x14ac:dyDescent="0.2"/>
    <row r="37246" ht="12.75" hidden="1" customHeight="1" x14ac:dyDescent="0.2"/>
    <row r="37247" ht="12.75" hidden="1" customHeight="1" x14ac:dyDescent="0.2"/>
    <row r="37248" ht="12.75" hidden="1" customHeight="1" x14ac:dyDescent="0.2"/>
    <row r="37249" ht="12.75" hidden="1" customHeight="1" x14ac:dyDescent="0.2"/>
    <row r="37250" ht="12.75" hidden="1" customHeight="1" x14ac:dyDescent="0.2"/>
    <row r="37251" ht="12.75" hidden="1" customHeight="1" x14ac:dyDescent="0.2"/>
    <row r="37252" ht="12.75" hidden="1" customHeight="1" x14ac:dyDescent="0.2"/>
    <row r="37253" ht="12.75" hidden="1" customHeight="1" x14ac:dyDescent="0.2"/>
    <row r="37254" ht="12.75" hidden="1" customHeight="1" x14ac:dyDescent="0.2"/>
    <row r="37255" ht="12.75" hidden="1" customHeight="1" x14ac:dyDescent="0.2"/>
    <row r="37256" ht="12.75" hidden="1" customHeight="1" x14ac:dyDescent="0.2"/>
    <row r="37257" ht="12.75" hidden="1" customHeight="1" x14ac:dyDescent="0.2"/>
    <row r="37258" ht="12.75" hidden="1" customHeight="1" x14ac:dyDescent="0.2"/>
    <row r="37259" ht="12.75" hidden="1" customHeight="1" x14ac:dyDescent="0.2"/>
    <row r="37260" ht="12.75" hidden="1" customHeight="1" x14ac:dyDescent="0.2"/>
    <row r="37261" ht="12.75" hidden="1" customHeight="1" x14ac:dyDescent="0.2"/>
    <row r="37262" ht="12.75" hidden="1" customHeight="1" x14ac:dyDescent="0.2"/>
    <row r="37263" ht="12.75" hidden="1" customHeight="1" x14ac:dyDescent="0.2"/>
    <row r="37264" ht="12.75" hidden="1" customHeight="1" x14ac:dyDescent="0.2"/>
    <row r="37265" ht="12.75" hidden="1" customHeight="1" x14ac:dyDescent="0.2"/>
    <row r="37266" ht="12.75" hidden="1" customHeight="1" x14ac:dyDescent="0.2"/>
    <row r="37267" ht="12.75" hidden="1" customHeight="1" x14ac:dyDescent="0.2"/>
    <row r="37268" ht="12.75" hidden="1" customHeight="1" x14ac:dyDescent="0.2"/>
    <row r="37269" ht="12.75" hidden="1" customHeight="1" x14ac:dyDescent="0.2"/>
    <row r="37270" ht="12.75" hidden="1" customHeight="1" x14ac:dyDescent="0.2"/>
    <row r="37271" ht="12.75" hidden="1" customHeight="1" x14ac:dyDescent="0.2"/>
    <row r="37272" ht="12.75" hidden="1" customHeight="1" x14ac:dyDescent="0.2"/>
    <row r="37273" ht="12.75" hidden="1" customHeight="1" x14ac:dyDescent="0.2"/>
    <row r="37274" ht="12.75" hidden="1" customHeight="1" x14ac:dyDescent="0.2"/>
    <row r="37275" ht="12.75" hidden="1" customHeight="1" x14ac:dyDescent="0.2"/>
    <row r="37276" ht="12.75" hidden="1" customHeight="1" x14ac:dyDescent="0.2"/>
    <row r="37277" ht="12.75" hidden="1" customHeight="1" x14ac:dyDescent="0.2"/>
    <row r="37278" ht="12.75" hidden="1" customHeight="1" x14ac:dyDescent="0.2"/>
    <row r="37279" ht="12.75" hidden="1" customHeight="1" x14ac:dyDescent="0.2"/>
    <row r="37280" ht="12.75" hidden="1" customHeight="1" x14ac:dyDescent="0.2"/>
    <row r="37281" ht="12.75" hidden="1" customHeight="1" x14ac:dyDescent="0.2"/>
    <row r="37282" ht="12.75" hidden="1" customHeight="1" x14ac:dyDescent="0.2"/>
    <row r="37283" ht="12.75" hidden="1" customHeight="1" x14ac:dyDescent="0.2"/>
    <row r="37284" ht="12.75" hidden="1" customHeight="1" x14ac:dyDescent="0.2"/>
    <row r="37285" ht="12.75" hidden="1" customHeight="1" x14ac:dyDescent="0.2"/>
    <row r="37286" ht="12.75" hidden="1" customHeight="1" x14ac:dyDescent="0.2"/>
    <row r="37287" ht="12.75" hidden="1" customHeight="1" x14ac:dyDescent="0.2"/>
    <row r="37288" ht="12.75" hidden="1" customHeight="1" x14ac:dyDescent="0.2"/>
    <row r="37289" ht="12.75" hidden="1" customHeight="1" x14ac:dyDescent="0.2"/>
    <row r="37290" ht="12.75" hidden="1" customHeight="1" x14ac:dyDescent="0.2"/>
    <row r="37291" ht="12.75" hidden="1" customHeight="1" x14ac:dyDescent="0.2"/>
    <row r="37292" ht="12.75" hidden="1" customHeight="1" x14ac:dyDescent="0.2"/>
    <row r="37293" ht="12.75" hidden="1" customHeight="1" x14ac:dyDescent="0.2"/>
    <row r="37294" ht="12.75" hidden="1" customHeight="1" x14ac:dyDescent="0.2"/>
    <row r="37295" ht="12.75" hidden="1" customHeight="1" x14ac:dyDescent="0.2"/>
    <row r="37296" ht="12.75" hidden="1" customHeight="1" x14ac:dyDescent="0.2"/>
    <row r="37297" ht="12.75" hidden="1" customHeight="1" x14ac:dyDescent="0.2"/>
    <row r="37298" ht="12.75" hidden="1" customHeight="1" x14ac:dyDescent="0.2"/>
    <row r="37299" ht="12.75" hidden="1" customHeight="1" x14ac:dyDescent="0.2"/>
    <row r="37300" ht="12.75" hidden="1" customHeight="1" x14ac:dyDescent="0.2"/>
    <row r="37301" ht="12.75" hidden="1" customHeight="1" x14ac:dyDescent="0.2"/>
    <row r="37302" ht="12.75" hidden="1" customHeight="1" x14ac:dyDescent="0.2"/>
    <row r="37303" ht="12.75" hidden="1" customHeight="1" x14ac:dyDescent="0.2"/>
    <row r="37304" ht="12.75" hidden="1" customHeight="1" x14ac:dyDescent="0.2"/>
    <row r="37305" ht="12.75" hidden="1" customHeight="1" x14ac:dyDescent="0.2"/>
    <row r="37306" ht="12.75" hidden="1" customHeight="1" x14ac:dyDescent="0.2"/>
    <row r="37307" ht="12.75" hidden="1" customHeight="1" x14ac:dyDescent="0.2"/>
    <row r="37308" ht="12.75" hidden="1" customHeight="1" x14ac:dyDescent="0.2"/>
    <row r="37309" ht="12.75" hidden="1" customHeight="1" x14ac:dyDescent="0.2"/>
    <row r="37310" ht="12.75" hidden="1" customHeight="1" x14ac:dyDescent="0.2"/>
    <row r="37311" ht="12.75" hidden="1" customHeight="1" x14ac:dyDescent="0.2"/>
    <row r="37312" ht="12.75" hidden="1" customHeight="1" x14ac:dyDescent="0.2"/>
    <row r="37313" ht="12.75" hidden="1" customHeight="1" x14ac:dyDescent="0.2"/>
    <row r="37314" ht="12.75" hidden="1" customHeight="1" x14ac:dyDescent="0.2"/>
    <row r="37315" ht="12.75" hidden="1" customHeight="1" x14ac:dyDescent="0.2"/>
    <row r="37316" ht="12.75" hidden="1" customHeight="1" x14ac:dyDescent="0.2"/>
    <row r="37317" ht="12.75" hidden="1" customHeight="1" x14ac:dyDescent="0.2"/>
    <row r="37318" ht="12.75" hidden="1" customHeight="1" x14ac:dyDescent="0.2"/>
    <row r="37319" ht="12.75" hidden="1" customHeight="1" x14ac:dyDescent="0.2"/>
    <row r="37320" ht="12.75" hidden="1" customHeight="1" x14ac:dyDescent="0.2"/>
    <row r="37321" ht="12.75" hidden="1" customHeight="1" x14ac:dyDescent="0.2"/>
    <row r="37322" ht="12.75" hidden="1" customHeight="1" x14ac:dyDescent="0.2"/>
    <row r="37323" ht="12.75" hidden="1" customHeight="1" x14ac:dyDescent="0.2"/>
    <row r="37324" ht="12.75" hidden="1" customHeight="1" x14ac:dyDescent="0.2"/>
    <row r="37325" ht="12.75" hidden="1" customHeight="1" x14ac:dyDescent="0.2"/>
    <row r="37326" ht="12.75" hidden="1" customHeight="1" x14ac:dyDescent="0.2"/>
    <row r="37327" ht="12.75" hidden="1" customHeight="1" x14ac:dyDescent="0.2"/>
    <row r="37328" ht="12.75" hidden="1" customHeight="1" x14ac:dyDescent="0.2"/>
    <row r="37329" ht="12.75" hidden="1" customHeight="1" x14ac:dyDescent="0.2"/>
    <row r="37330" ht="12.75" hidden="1" customHeight="1" x14ac:dyDescent="0.2"/>
    <row r="37331" ht="12.75" hidden="1" customHeight="1" x14ac:dyDescent="0.2"/>
    <row r="37332" ht="12.75" hidden="1" customHeight="1" x14ac:dyDescent="0.2"/>
    <row r="37333" ht="12.75" hidden="1" customHeight="1" x14ac:dyDescent="0.2"/>
    <row r="37334" ht="12.75" hidden="1" customHeight="1" x14ac:dyDescent="0.2"/>
    <row r="37335" ht="12.75" hidden="1" customHeight="1" x14ac:dyDescent="0.2"/>
    <row r="37336" ht="12.75" hidden="1" customHeight="1" x14ac:dyDescent="0.2"/>
    <row r="37337" ht="12.75" hidden="1" customHeight="1" x14ac:dyDescent="0.2"/>
    <row r="37338" ht="12.75" hidden="1" customHeight="1" x14ac:dyDescent="0.2"/>
    <row r="37339" ht="12.75" hidden="1" customHeight="1" x14ac:dyDescent="0.2"/>
    <row r="37340" ht="12.75" hidden="1" customHeight="1" x14ac:dyDescent="0.2"/>
    <row r="37341" ht="12.75" hidden="1" customHeight="1" x14ac:dyDescent="0.2"/>
    <row r="37342" ht="12.75" hidden="1" customHeight="1" x14ac:dyDescent="0.2"/>
    <row r="37343" ht="12.75" hidden="1" customHeight="1" x14ac:dyDescent="0.2"/>
    <row r="37344" ht="12.75" hidden="1" customHeight="1" x14ac:dyDescent="0.2"/>
    <row r="37345" ht="12.75" hidden="1" customHeight="1" x14ac:dyDescent="0.2"/>
    <row r="37346" ht="12.75" hidden="1" customHeight="1" x14ac:dyDescent="0.2"/>
    <row r="37347" ht="12.75" hidden="1" customHeight="1" x14ac:dyDescent="0.2"/>
    <row r="37348" ht="12.75" hidden="1" customHeight="1" x14ac:dyDescent="0.2"/>
    <row r="37349" ht="12.75" hidden="1" customHeight="1" x14ac:dyDescent="0.2"/>
    <row r="37350" ht="12.75" hidden="1" customHeight="1" x14ac:dyDescent="0.2"/>
    <row r="37351" ht="12.75" hidden="1" customHeight="1" x14ac:dyDescent="0.2"/>
    <row r="37352" ht="12.75" hidden="1" customHeight="1" x14ac:dyDescent="0.2"/>
    <row r="37353" ht="12.75" hidden="1" customHeight="1" x14ac:dyDescent="0.2"/>
    <row r="37354" ht="12.75" hidden="1" customHeight="1" x14ac:dyDescent="0.2"/>
    <row r="37355" ht="12.75" hidden="1" customHeight="1" x14ac:dyDescent="0.2"/>
    <row r="37356" ht="12.75" hidden="1" customHeight="1" x14ac:dyDescent="0.2"/>
    <row r="37357" ht="12.75" hidden="1" customHeight="1" x14ac:dyDescent="0.2"/>
    <row r="37358" ht="12.75" hidden="1" customHeight="1" x14ac:dyDescent="0.2"/>
    <row r="37359" ht="12.75" hidden="1" customHeight="1" x14ac:dyDescent="0.2"/>
    <row r="37360" ht="12.75" hidden="1" customHeight="1" x14ac:dyDescent="0.2"/>
    <row r="37361" ht="12.75" hidden="1" customHeight="1" x14ac:dyDescent="0.2"/>
    <row r="37362" ht="12.75" hidden="1" customHeight="1" x14ac:dyDescent="0.2"/>
    <row r="37363" ht="12.75" hidden="1" customHeight="1" x14ac:dyDescent="0.2"/>
    <row r="37364" ht="12.75" hidden="1" customHeight="1" x14ac:dyDescent="0.2"/>
    <row r="37365" ht="12.75" hidden="1" customHeight="1" x14ac:dyDescent="0.2"/>
    <row r="37366" ht="12.75" hidden="1" customHeight="1" x14ac:dyDescent="0.2"/>
    <row r="37367" ht="12.75" hidden="1" customHeight="1" x14ac:dyDescent="0.2"/>
    <row r="37368" ht="12.75" hidden="1" customHeight="1" x14ac:dyDescent="0.2"/>
    <row r="37369" ht="12.75" hidden="1" customHeight="1" x14ac:dyDescent="0.2"/>
    <row r="37370" ht="12.75" hidden="1" customHeight="1" x14ac:dyDescent="0.2"/>
    <row r="37371" ht="12.75" hidden="1" customHeight="1" x14ac:dyDescent="0.2"/>
    <row r="37372" ht="12.75" hidden="1" customHeight="1" x14ac:dyDescent="0.2"/>
    <row r="37373" ht="12.75" hidden="1" customHeight="1" x14ac:dyDescent="0.2"/>
    <row r="37374" ht="12.75" hidden="1" customHeight="1" x14ac:dyDescent="0.2"/>
    <row r="37375" ht="12.75" hidden="1" customHeight="1" x14ac:dyDescent="0.2"/>
    <row r="37376" ht="12.75" hidden="1" customHeight="1" x14ac:dyDescent="0.2"/>
    <row r="37377" ht="12.75" hidden="1" customHeight="1" x14ac:dyDescent="0.2"/>
    <row r="37378" ht="12.75" hidden="1" customHeight="1" x14ac:dyDescent="0.2"/>
    <row r="37379" ht="12.75" hidden="1" customHeight="1" x14ac:dyDescent="0.2"/>
    <row r="37380" ht="12.75" hidden="1" customHeight="1" x14ac:dyDescent="0.2"/>
    <row r="37381" ht="12.75" hidden="1" customHeight="1" x14ac:dyDescent="0.2"/>
    <row r="37382" ht="12.75" hidden="1" customHeight="1" x14ac:dyDescent="0.2"/>
    <row r="37383" ht="12.75" hidden="1" customHeight="1" x14ac:dyDescent="0.2"/>
    <row r="37384" ht="12.75" hidden="1" customHeight="1" x14ac:dyDescent="0.2"/>
    <row r="37385" ht="12.75" hidden="1" customHeight="1" x14ac:dyDescent="0.2"/>
    <row r="37386" ht="12.75" hidden="1" customHeight="1" x14ac:dyDescent="0.2"/>
    <row r="37387" ht="12.75" hidden="1" customHeight="1" x14ac:dyDescent="0.2"/>
    <row r="37388" ht="12.75" hidden="1" customHeight="1" x14ac:dyDescent="0.2"/>
    <row r="37389" ht="12.75" hidden="1" customHeight="1" x14ac:dyDescent="0.2"/>
    <row r="37390" ht="12.75" hidden="1" customHeight="1" x14ac:dyDescent="0.2"/>
    <row r="37391" ht="12.75" hidden="1" customHeight="1" x14ac:dyDescent="0.2"/>
    <row r="37392" ht="12.75" hidden="1" customHeight="1" x14ac:dyDescent="0.2"/>
    <row r="37393" ht="12.75" hidden="1" customHeight="1" x14ac:dyDescent="0.2"/>
    <row r="37394" ht="12.75" hidden="1" customHeight="1" x14ac:dyDescent="0.2"/>
    <row r="37395" ht="12.75" hidden="1" customHeight="1" x14ac:dyDescent="0.2"/>
    <row r="37396" ht="12.75" hidden="1" customHeight="1" x14ac:dyDescent="0.2"/>
    <row r="37397" ht="12.75" hidden="1" customHeight="1" x14ac:dyDescent="0.2"/>
    <row r="37398" ht="12.75" hidden="1" customHeight="1" x14ac:dyDescent="0.2"/>
    <row r="37399" ht="12.75" hidden="1" customHeight="1" x14ac:dyDescent="0.2"/>
    <row r="37400" ht="12.75" hidden="1" customHeight="1" x14ac:dyDescent="0.2"/>
    <row r="37401" ht="12.75" hidden="1" customHeight="1" x14ac:dyDescent="0.2"/>
    <row r="37402" ht="12.75" hidden="1" customHeight="1" x14ac:dyDescent="0.2"/>
    <row r="37403" ht="12.75" hidden="1" customHeight="1" x14ac:dyDescent="0.2"/>
    <row r="37404" ht="12.75" hidden="1" customHeight="1" x14ac:dyDescent="0.2"/>
    <row r="37405" ht="12.75" hidden="1" customHeight="1" x14ac:dyDescent="0.2"/>
    <row r="37406" ht="12.75" hidden="1" customHeight="1" x14ac:dyDescent="0.2"/>
    <row r="37407" ht="12.75" hidden="1" customHeight="1" x14ac:dyDescent="0.2"/>
    <row r="37408" ht="12.75" hidden="1" customHeight="1" x14ac:dyDescent="0.2"/>
    <row r="37409" ht="12.75" hidden="1" customHeight="1" x14ac:dyDescent="0.2"/>
    <row r="37410" ht="12.75" hidden="1" customHeight="1" x14ac:dyDescent="0.2"/>
    <row r="37411" ht="12.75" hidden="1" customHeight="1" x14ac:dyDescent="0.2"/>
    <row r="37412" ht="12.75" hidden="1" customHeight="1" x14ac:dyDescent="0.2"/>
    <row r="37413" ht="12.75" hidden="1" customHeight="1" x14ac:dyDescent="0.2"/>
    <row r="37414" ht="12.75" hidden="1" customHeight="1" x14ac:dyDescent="0.2"/>
    <row r="37415" ht="12.75" hidden="1" customHeight="1" x14ac:dyDescent="0.2"/>
    <row r="37416" ht="12.75" hidden="1" customHeight="1" x14ac:dyDescent="0.2"/>
    <row r="37417" ht="12.75" hidden="1" customHeight="1" x14ac:dyDescent="0.2"/>
    <row r="37418" ht="12.75" hidden="1" customHeight="1" x14ac:dyDescent="0.2"/>
    <row r="37419" ht="12.75" hidden="1" customHeight="1" x14ac:dyDescent="0.2"/>
    <row r="37420" ht="12.75" hidden="1" customHeight="1" x14ac:dyDescent="0.2"/>
    <row r="37421" ht="12.75" hidden="1" customHeight="1" x14ac:dyDescent="0.2"/>
    <row r="37422" ht="12.75" hidden="1" customHeight="1" x14ac:dyDescent="0.2"/>
    <row r="37423" ht="12.75" hidden="1" customHeight="1" x14ac:dyDescent="0.2"/>
    <row r="37424" ht="12.75" hidden="1" customHeight="1" x14ac:dyDescent="0.2"/>
    <row r="37425" ht="12.75" hidden="1" customHeight="1" x14ac:dyDescent="0.2"/>
    <row r="37426" ht="12.75" hidden="1" customHeight="1" x14ac:dyDescent="0.2"/>
    <row r="37427" ht="12.75" hidden="1" customHeight="1" x14ac:dyDescent="0.2"/>
    <row r="37428" ht="12.75" hidden="1" customHeight="1" x14ac:dyDescent="0.2"/>
    <row r="37429" ht="12.75" hidden="1" customHeight="1" x14ac:dyDescent="0.2"/>
    <row r="37430" ht="12.75" hidden="1" customHeight="1" x14ac:dyDescent="0.2"/>
    <row r="37431" ht="12.75" hidden="1" customHeight="1" x14ac:dyDescent="0.2"/>
    <row r="37432" ht="12.75" hidden="1" customHeight="1" x14ac:dyDescent="0.2"/>
    <row r="37433" ht="12.75" hidden="1" customHeight="1" x14ac:dyDescent="0.2"/>
    <row r="37434" ht="12.75" hidden="1" customHeight="1" x14ac:dyDescent="0.2"/>
    <row r="37435" ht="12.75" hidden="1" customHeight="1" x14ac:dyDescent="0.2"/>
    <row r="37436" ht="12.75" hidden="1" customHeight="1" x14ac:dyDescent="0.2"/>
    <row r="37437" ht="12.75" hidden="1" customHeight="1" x14ac:dyDescent="0.2"/>
    <row r="37438" ht="12.75" hidden="1" customHeight="1" x14ac:dyDescent="0.2"/>
    <row r="37439" ht="12.75" hidden="1" customHeight="1" x14ac:dyDescent="0.2"/>
    <row r="37440" ht="12.75" hidden="1" customHeight="1" x14ac:dyDescent="0.2"/>
    <row r="37441" ht="12.75" hidden="1" customHeight="1" x14ac:dyDescent="0.2"/>
    <row r="37442" ht="12.75" hidden="1" customHeight="1" x14ac:dyDescent="0.2"/>
    <row r="37443" ht="12.75" hidden="1" customHeight="1" x14ac:dyDescent="0.2"/>
    <row r="37444" ht="12.75" hidden="1" customHeight="1" x14ac:dyDescent="0.2"/>
    <row r="37445" ht="12.75" hidden="1" customHeight="1" x14ac:dyDescent="0.2"/>
    <row r="37446" ht="12.75" hidden="1" customHeight="1" x14ac:dyDescent="0.2"/>
    <row r="37447" ht="12.75" hidden="1" customHeight="1" x14ac:dyDescent="0.2"/>
    <row r="37448" ht="12.75" hidden="1" customHeight="1" x14ac:dyDescent="0.2"/>
    <row r="37449" ht="12.75" hidden="1" customHeight="1" x14ac:dyDescent="0.2"/>
    <row r="37450" ht="12.75" hidden="1" customHeight="1" x14ac:dyDescent="0.2"/>
    <row r="37451" ht="12.75" hidden="1" customHeight="1" x14ac:dyDescent="0.2"/>
    <row r="37452" ht="12.75" hidden="1" customHeight="1" x14ac:dyDescent="0.2"/>
    <row r="37453" ht="12.75" hidden="1" customHeight="1" x14ac:dyDescent="0.2"/>
    <row r="37454" ht="12.75" hidden="1" customHeight="1" x14ac:dyDescent="0.2"/>
    <row r="37455" ht="12.75" hidden="1" customHeight="1" x14ac:dyDescent="0.2"/>
    <row r="37456" ht="12.75" hidden="1" customHeight="1" x14ac:dyDescent="0.2"/>
    <row r="37457" ht="12.75" hidden="1" customHeight="1" x14ac:dyDescent="0.2"/>
    <row r="37458" ht="12.75" hidden="1" customHeight="1" x14ac:dyDescent="0.2"/>
    <row r="37459" ht="12.75" hidden="1" customHeight="1" x14ac:dyDescent="0.2"/>
    <row r="37460" ht="12.75" hidden="1" customHeight="1" x14ac:dyDescent="0.2"/>
    <row r="37461" ht="12.75" hidden="1" customHeight="1" x14ac:dyDescent="0.2"/>
    <row r="37462" ht="12.75" hidden="1" customHeight="1" x14ac:dyDescent="0.2"/>
    <row r="37463" ht="12.75" hidden="1" customHeight="1" x14ac:dyDescent="0.2"/>
    <row r="37464" ht="12.75" hidden="1" customHeight="1" x14ac:dyDescent="0.2"/>
    <row r="37465" ht="12.75" hidden="1" customHeight="1" x14ac:dyDescent="0.2"/>
    <row r="37466" ht="12.75" hidden="1" customHeight="1" x14ac:dyDescent="0.2"/>
    <row r="37467" ht="12.75" hidden="1" customHeight="1" x14ac:dyDescent="0.2"/>
    <row r="37468" ht="12.75" hidden="1" customHeight="1" x14ac:dyDescent="0.2"/>
    <row r="37469" ht="12.75" hidden="1" customHeight="1" x14ac:dyDescent="0.2"/>
    <row r="37470" ht="12.75" hidden="1" customHeight="1" x14ac:dyDescent="0.2"/>
    <row r="37471" ht="12.75" hidden="1" customHeight="1" x14ac:dyDescent="0.2"/>
    <row r="37472" ht="12.75" hidden="1" customHeight="1" x14ac:dyDescent="0.2"/>
    <row r="37473" ht="12.75" hidden="1" customHeight="1" x14ac:dyDescent="0.2"/>
    <row r="37474" ht="12.75" hidden="1" customHeight="1" x14ac:dyDescent="0.2"/>
    <row r="37475" ht="12.75" hidden="1" customHeight="1" x14ac:dyDescent="0.2"/>
    <row r="37476" ht="12.75" hidden="1" customHeight="1" x14ac:dyDescent="0.2"/>
    <row r="37477" ht="12.75" hidden="1" customHeight="1" x14ac:dyDescent="0.2"/>
    <row r="37478" ht="12.75" hidden="1" customHeight="1" x14ac:dyDescent="0.2"/>
    <row r="37479" ht="12.75" hidden="1" customHeight="1" x14ac:dyDescent="0.2"/>
    <row r="37480" ht="12.75" hidden="1" customHeight="1" x14ac:dyDescent="0.2"/>
    <row r="37481" ht="12.75" hidden="1" customHeight="1" x14ac:dyDescent="0.2"/>
    <row r="37482" ht="12.75" hidden="1" customHeight="1" x14ac:dyDescent="0.2"/>
    <row r="37483" ht="12.75" hidden="1" customHeight="1" x14ac:dyDescent="0.2"/>
    <row r="37484" ht="12.75" hidden="1" customHeight="1" x14ac:dyDescent="0.2"/>
    <row r="37485" ht="12.75" hidden="1" customHeight="1" x14ac:dyDescent="0.2"/>
    <row r="37486" ht="12.75" hidden="1" customHeight="1" x14ac:dyDescent="0.2"/>
    <row r="37487" ht="12.75" hidden="1" customHeight="1" x14ac:dyDescent="0.2"/>
    <row r="37488" ht="12.75" hidden="1" customHeight="1" x14ac:dyDescent="0.2"/>
    <row r="37489" ht="12.75" hidden="1" customHeight="1" x14ac:dyDescent="0.2"/>
    <row r="37490" ht="12.75" hidden="1" customHeight="1" x14ac:dyDescent="0.2"/>
    <row r="37491" ht="12.75" hidden="1" customHeight="1" x14ac:dyDescent="0.2"/>
    <row r="37492" ht="12.75" hidden="1" customHeight="1" x14ac:dyDescent="0.2"/>
    <row r="37493" ht="12.75" hidden="1" customHeight="1" x14ac:dyDescent="0.2"/>
    <row r="37494" ht="12.75" hidden="1" customHeight="1" x14ac:dyDescent="0.2"/>
    <row r="37495" ht="12.75" hidden="1" customHeight="1" x14ac:dyDescent="0.2"/>
    <row r="37496" ht="12.75" hidden="1" customHeight="1" x14ac:dyDescent="0.2"/>
    <row r="37497" ht="12.75" hidden="1" customHeight="1" x14ac:dyDescent="0.2"/>
    <row r="37498" ht="12.75" hidden="1" customHeight="1" x14ac:dyDescent="0.2"/>
    <row r="37499" ht="12.75" hidden="1" customHeight="1" x14ac:dyDescent="0.2"/>
    <row r="37500" ht="12.75" hidden="1" customHeight="1" x14ac:dyDescent="0.2"/>
    <row r="37501" ht="12.75" hidden="1" customHeight="1" x14ac:dyDescent="0.2"/>
    <row r="37502" ht="12.75" hidden="1" customHeight="1" x14ac:dyDescent="0.2"/>
    <row r="37503" ht="12.75" hidden="1" customHeight="1" x14ac:dyDescent="0.2"/>
    <row r="37504" ht="12.75" hidden="1" customHeight="1" x14ac:dyDescent="0.2"/>
    <row r="37505" ht="12.75" hidden="1" customHeight="1" x14ac:dyDescent="0.2"/>
    <row r="37506" ht="12.75" hidden="1" customHeight="1" x14ac:dyDescent="0.2"/>
    <row r="37507" ht="12.75" hidden="1" customHeight="1" x14ac:dyDescent="0.2"/>
    <row r="37508" ht="12.75" hidden="1" customHeight="1" x14ac:dyDescent="0.2"/>
    <row r="37509" ht="12.75" hidden="1" customHeight="1" x14ac:dyDescent="0.2"/>
    <row r="37510" ht="12.75" hidden="1" customHeight="1" x14ac:dyDescent="0.2"/>
    <row r="37511" ht="12.75" hidden="1" customHeight="1" x14ac:dyDescent="0.2"/>
    <row r="37512" ht="12.75" hidden="1" customHeight="1" x14ac:dyDescent="0.2"/>
    <row r="37513" ht="12.75" hidden="1" customHeight="1" x14ac:dyDescent="0.2"/>
    <row r="37514" ht="12.75" hidden="1" customHeight="1" x14ac:dyDescent="0.2"/>
    <row r="37515" ht="12.75" hidden="1" customHeight="1" x14ac:dyDescent="0.2"/>
    <row r="37516" ht="12.75" hidden="1" customHeight="1" x14ac:dyDescent="0.2"/>
    <row r="37517" ht="12.75" hidden="1" customHeight="1" x14ac:dyDescent="0.2"/>
    <row r="37518" ht="12.75" hidden="1" customHeight="1" x14ac:dyDescent="0.2"/>
    <row r="37519" ht="12.75" hidden="1" customHeight="1" x14ac:dyDescent="0.2"/>
    <row r="37520" ht="12.75" hidden="1" customHeight="1" x14ac:dyDescent="0.2"/>
    <row r="37521" ht="12.75" hidden="1" customHeight="1" x14ac:dyDescent="0.2"/>
    <row r="37522" ht="12.75" hidden="1" customHeight="1" x14ac:dyDescent="0.2"/>
    <row r="37523" ht="12.75" hidden="1" customHeight="1" x14ac:dyDescent="0.2"/>
    <row r="37524" ht="12.75" hidden="1" customHeight="1" x14ac:dyDescent="0.2"/>
    <row r="37525" ht="12.75" hidden="1" customHeight="1" x14ac:dyDescent="0.2"/>
    <row r="37526" ht="12.75" hidden="1" customHeight="1" x14ac:dyDescent="0.2"/>
    <row r="37527" ht="12.75" hidden="1" customHeight="1" x14ac:dyDescent="0.2"/>
    <row r="37528" ht="12.75" hidden="1" customHeight="1" x14ac:dyDescent="0.2"/>
    <row r="37529" ht="12.75" hidden="1" customHeight="1" x14ac:dyDescent="0.2"/>
    <row r="37530" ht="12.75" hidden="1" customHeight="1" x14ac:dyDescent="0.2"/>
    <row r="37531" ht="12.75" hidden="1" customHeight="1" x14ac:dyDescent="0.2"/>
    <row r="37532" ht="12.75" hidden="1" customHeight="1" x14ac:dyDescent="0.2"/>
    <row r="37533" ht="12.75" hidden="1" customHeight="1" x14ac:dyDescent="0.2"/>
    <row r="37534" ht="12.75" hidden="1" customHeight="1" x14ac:dyDescent="0.2"/>
    <row r="37535" ht="12.75" hidden="1" customHeight="1" x14ac:dyDescent="0.2"/>
    <row r="37536" ht="12.75" hidden="1" customHeight="1" x14ac:dyDescent="0.2"/>
    <row r="37537" ht="12.75" hidden="1" customHeight="1" x14ac:dyDescent="0.2"/>
    <row r="37538" ht="12.75" hidden="1" customHeight="1" x14ac:dyDescent="0.2"/>
    <row r="37539" ht="12.75" hidden="1" customHeight="1" x14ac:dyDescent="0.2"/>
    <row r="37540" ht="12.75" hidden="1" customHeight="1" x14ac:dyDescent="0.2"/>
    <row r="37541" ht="12.75" hidden="1" customHeight="1" x14ac:dyDescent="0.2"/>
    <row r="37542" ht="12.75" hidden="1" customHeight="1" x14ac:dyDescent="0.2"/>
    <row r="37543" ht="12.75" hidden="1" customHeight="1" x14ac:dyDescent="0.2"/>
    <row r="37544" ht="12.75" hidden="1" customHeight="1" x14ac:dyDescent="0.2"/>
    <row r="37545" ht="12.75" hidden="1" customHeight="1" x14ac:dyDescent="0.2"/>
    <row r="37546" ht="12.75" hidden="1" customHeight="1" x14ac:dyDescent="0.2"/>
    <row r="37547" ht="12.75" hidden="1" customHeight="1" x14ac:dyDescent="0.2"/>
    <row r="37548" ht="12.75" hidden="1" customHeight="1" x14ac:dyDescent="0.2"/>
    <row r="37549" ht="12.75" hidden="1" customHeight="1" x14ac:dyDescent="0.2"/>
    <row r="37550" ht="12.75" hidden="1" customHeight="1" x14ac:dyDescent="0.2"/>
    <row r="37551" ht="12.75" hidden="1" customHeight="1" x14ac:dyDescent="0.2"/>
    <row r="37552" ht="12.75" hidden="1" customHeight="1" x14ac:dyDescent="0.2"/>
    <row r="37553" ht="12.75" hidden="1" customHeight="1" x14ac:dyDescent="0.2"/>
    <row r="37554" ht="12.75" hidden="1" customHeight="1" x14ac:dyDescent="0.2"/>
    <row r="37555" ht="12.75" hidden="1" customHeight="1" x14ac:dyDescent="0.2"/>
    <row r="37556" ht="12.75" hidden="1" customHeight="1" x14ac:dyDescent="0.2"/>
    <row r="37557" ht="12.75" hidden="1" customHeight="1" x14ac:dyDescent="0.2"/>
    <row r="37558" ht="12.75" hidden="1" customHeight="1" x14ac:dyDescent="0.2"/>
    <row r="37559" ht="12.75" hidden="1" customHeight="1" x14ac:dyDescent="0.2"/>
    <row r="37560" ht="12.75" hidden="1" customHeight="1" x14ac:dyDescent="0.2"/>
    <row r="37561" ht="12.75" hidden="1" customHeight="1" x14ac:dyDescent="0.2"/>
    <row r="37562" ht="12.75" hidden="1" customHeight="1" x14ac:dyDescent="0.2"/>
    <row r="37563" ht="12.75" hidden="1" customHeight="1" x14ac:dyDescent="0.2"/>
    <row r="37564" ht="12.75" hidden="1" customHeight="1" x14ac:dyDescent="0.2"/>
    <row r="37565" ht="12.75" hidden="1" customHeight="1" x14ac:dyDescent="0.2"/>
    <row r="37566" ht="12.75" hidden="1" customHeight="1" x14ac:dyDescent="0.2"/>
    <row r="37567" ht="12.75" hidden="1" customHeight="1" x14ac:dyDescent="0.2"/>
    <row r="37568" ht="12.75" hidden="1" customHeight="1" x14ac:dyDescent="0.2"/>
    <row r="37569" ht="12.75" hidden="1" customHeight="1" x14ac:dyDescent="0.2"/>
    <row r="37570" ht="12.75" hidden="1" customHeight="1" x14ac:dyDescent="0.2"/>
    <row r="37571" ht="12.75" hidden="1" customHeight="1" x14ac:dyDescent="0.2"/>
    <row r="37572" ht="12.75" hidden="1" customHeight="1" x14ac:dyDescent="0.2"/>
    <row r="37573" ht="12.75" hidden="1" customHeight="1" x14ac:dyDescent="0.2"/>
    <row r="37574" ht="12.75" hidden="1" customHeight="1" x14ac:dyDescent="0.2"/>
    <row r="37575" ht="12.75" hidden="1" customHeight="1" x14ac:dyDescent="0.2"/>
    <row r="37576" ht="12.75" hidden="1" customHeight="1" x14ac:dyDescent="0.2"/>
    <row r="37577" ht="12.75" hidden="1" customHeight="1" x14ac:dyDescent="0.2"/>
    <row r="37578" ht="12.75" hidden="1" customHeight="1" x14ac:dyDescent="0.2"/>
    <row r="37579" ht="12.75" hidden="1" customHeight="1" x14ac:dyDescent="0.2"/>
    <row r="37580" ht="12.75" hidden="1" customHeight="1" x14ac:dyDescent="0.2"/>
    <row r="37581" ht="12.75" hidden="1" customHeight="1" x14ac:dyDescent="0.2"/>
    <row r="37582" ht="12.75" hidden="1" customHeight="1" x14ac:dyDescent="0.2"/>
    <row r="37583" ht="12.75" hidden="1" customHeight="1" x14ac:dyDescent="0.2"/>
    <row r="37584" ht="12.75" hidden="1" customHeight="1" x14ac:dyDescent="0.2"/>
    <row r="37585" ht="12.75" hidden="1" customHeight="1" x14ac:dyDescent="0.2"/>
    <row r="37586" ht="12.75" hidden="1" customHeight="1" x14ac:dyDescent="0.2"/>
    <row r="37587" ht="12.75" hidden="1" customHeight="1" x14ac:dyDescent="0.2"/>
    <row r="37588" ht="12.75" hidden="1" customHeight="1" x14ac:dyDescent="0.2"/>
    <row r="37589" ht="12.75" hidden="1" customHeight="1" x14ac:dyDescent="0.2"/>
    <row r="37590" ht="12.75" hidden="1" customHeight="1" x14ac:dyDescent="0.2"/>
    <row r="37591" ht="12.75" hidden="1" customHeight="1" x14ac:dyDescent="0.2"/>
    <row r="37592" ht="12.75" hidden="1" customHeight="1" x14ac:dyDescent="0.2"/>
    <row r="37593" ht="12.75" hidden="1" customHeight="1" x14ac:dyDescent="0.2"/>
    <row r="37594" ht="12.75" hidden="1" customHeight="1" x14ac:dyDescent="0.2"/>
    <row r="37595" ht="12.75" hidden="1" customHeight="1" x14ac:dyDescent="0.2"/>
    <row r="37596" ht="12.75" hidden="1" customHeight="1" x14ac:dyDescent="0.2"/>
    <row r="37597" ht="12.75" hidden="1" customHeight="1" x14ac:dyDescent="0.2"/>
    <row r="37598" ht="12.75" hidden="1" customHeight="1" x14ac:dyDescent="0.2"/>
    <row r="37599" ht="12.75" hidden="1" customHeight="1" x14ac:dyDescent="0.2"/>
    <row r="37600" ht="12.75" hidden="1" customHeight="1" x14ac:dyDescent="0.2"/>
    <row r="37601" ht="12.75" hidden="1" customHeight="1" x14ac:dyDescent="0.2"/>
    <row r="37602" ht="12.75" hidden="1" customHeight="1" x14ac:dyDescent="0.2"/>
    <row r="37603" ht="12.75" hidden="1" customHeight="1" x14ac:dyDescent="0.2"/>
    <row r="37604" ht="12.75" hidden="1" customHeight="1" x14ac:dyDescent="0.2"/>
    <row r="37605" ht="12.75" hidden="1" customHeight="1" x14ac:dyDescent="0.2"/>
    <row r="37606" ht="12.75" hidden="1" customHeight="1" x14ac:dyDescent="0.2"/>
    <row r="37607" ht="12.75" hidden="1" customHeight="1" x14ac:dyDescent="0.2"/>
    <row r="37608" ht="12.75" hidden="1" customHeight="1" x14ac:dyDescent="0.2"/>
    <row r="37609" ht="12.75" hidden="1" customHeight="1" x14ac:dyDescent="0.2"/>
    <row r="37610" ht="12.75" hidden="1" customHeight="1" x14ac:dyDescent="0.2"/>
    <row r="37611" ht="12.75" hidden="1" customHeight="1" x14ac:dyDescent="0.2"/>
    <row r="37612" ht="12.75" hidden="1" customHeight="1" x14ac:dyDescent="0.2"/>
    <row r="37613" ht="12.75" hidden="1" customHeight="1" x14ac:dyDescent="0.2"/>
    <row r="37614" ht="12.75" hidden="1" customHeight="1" x14ac:dyDescent="0.2"/>
    <row r="37615" ht="12.75" hidden="1" customHeight="1" x14ac:dyDescent="0.2"/>
    <row r="37616" ht="12.75" hidden="1" customHeight="1" x14ac:dyDescent="0.2"/>
    <row r="37617" ht="12.75" hidden="1" customHeight="1" x14ac:dyDescent="0.2"/>
    <row r="37618" ht="12.75" hidden="1" customHeight="1" x14ac:dyDescent="0.2"/>
    <row r="37619" ht="12.75" hidden="1" customHeight="1" x14ac:dyDescent="0.2"/>
    <row r="37620" ht="12.75" hidden="1" customHeight="1" x14ac:dyDescent="0.2"/>
    <row r="37621" ht="12.75" hidden="1" customHeight="1" x14ac:dyDescent="0.2"/>
    <row r="37622" ht="12.75" hidden="1" customHeight="1" x14ac:dyDescent="0.2"/>
    <row r="37623" ht="12.75" hidden="1" customHeight="1" x14ac:dyDescent="0.2"/>
    <row r="37624" ht="12.75" hidden="1" customHeight="1" x14ac:dyDescent="0.2"/>
    <row r="37625" ht="12.75" hidden="1" customHeight="1" x14ac:dyDescent="0.2"/>
    <row r="37626" ht="12.75" hidden="1" customHeight="1" x14ac:dyDescent="0.2"/>
    <row r="37627" ht="12.75" hidden="1" customHeight="1" x14ac:dyDescent="0.2"/>
    <row r="37628" ht="12.75" hidden="1" customHeight="1" x14ac:dyDescent="0.2"/>
    <row r="37629" ht="12.75" hidden="1" customHeight="1" x14ac:dyDescent="0.2"/>
    <row r="37630" ht="12.75" hidden="1" customHeight="1" x14ac:dyDescent="0.2"/>
    <row r="37631" ht="12.75" hidden="1" customHeight="1" x14ac:dyDescent="0.2"/>
    <row r="37632" ht="12.75" hidden="1" customHeight="1" x14ac:dyDescent="0.2"/>
    <row r="37633" ht="12.75" hidden="1" customHeight="1" x14ac:dyDescent="0.2"/>
    <row r="37634" ht="12.75" hidden="1" customHeight="1" x14ac:dyDescent="0.2"/>
    <row r="37635" ht="12.75" hidden="1" customHeight="1" x14ac:dyDescent="0.2"/>
    <row r="37636" ht="12.75" hidden="1" customHeight="1" x14ac:dyDescent="0.2"/>
    <row r="37637" ht="12.75" hidden="1" customHeight="1" x14ac:dyDescent="0.2"/>
    <row r="37638" ht="12.75" hidden="1" customHeight="1" x14ac:dyDescent="0.2"/>
    <row r="37639" ht="12.75" hidden="1" customHeight="1" x14ac:dyDescent="0.2"/>
    <row r="37640" ht="12.75" hidden="1" customHeight="1" x14ac:dyDescent="0.2"/>
    <row r="37641" ht="12.75" hidden="1" customHeight="1" x14ac:dyDescent="0.2"/>
    <row r="37642" ht="12.75" hidden="1" customHeight="1" x14ac:dyDescent="0.2"/>
    <row r="37643" ht="12.75" hidden="1" customHeight="1" x14ac:dyDescent="0.2"/>
    <row r="37644" ht="12.75" hidden="1" customHeight="1" x14ac:dyDescent="0.2"/>
    <row r="37645" ht="12.75" hidden="1" customHeight="1" x14ac:dyDescent="0.2"/>
    <row r="37646" ht="12.75" hidden="1" customHeight="1" x14ac:dyDescent="0.2"/>
    <row r="37647" ht="12.75" hidden="1" customHeight="1" x14ac:dyDescent="0.2"/>
    <row r="37648" ht="12.75" hidden="1" customHeight="1" x14ac:dyDescent="0.2"/>
    <row r="37649" ht="12.75" hidden="1" customHeight="1" x14ac:dyDescent="0.2"/>
    <row r="37650" ht="12.75" hidden="1" customHeight="1" x14ac:dyDescent="0.2"/>
    <row r="37651" ht="12.75" hidden="1" customHeight="1" x14ac:dyDescent="0.2"/>
    <row r="37652" ht="12.75" hidden="1" customHeight="1" x14ac:dyDescent="0.2"/>
    <row r="37653" ht="12.75" hidden="1" customHeight="1" x14ac:dyDescent="0.2"/>
    <row r="37654" ht="12.75" hidden="1" customHeight="1" x14ac:dyDescent="0.2"/>
    <row r="37655" ht="12.75" hidden="1" customHeight="1" x14ac:dyDescent="0.2"/>
    <row r="37656" ht="12.75" hidden="1" customHeight="1" x14ac:dyDescent="0.2"/>
    <row r="37657" ht="12.75" hidden="1" customHeight="1" x14ac:dyDescent="0.2"/>
    <row r="37658" ht="12.75" hidden="1" customHeight="1" x14ac:dyDescent="0.2"/>
    <row r="37659" ht="12.75" hidden="1" customHeight="1" x14ac:dyDescent="0.2"/>
    <row r="37660" ht="12.75" hidden="1" customHeight="1" x14ac:dyDescent="0.2"/>
    <row r="37661" ht="12.75" hidden="1" customHeight="1" x14ac:dyDescent="0.2"/>
    <row r="37662" ht="12.75" hidden="1" customHeight="1" x14ac:dyDescent="0.2"/>
    <row r="37663" ht="12.75" hidden="1" customHeight="1" x14ac:dyDescent="0.2"/>
    <row r="37664" ht="12.75" hidden="1" customHeight="1" x14ac:dyDescent="0.2"/>
    <row r="37665" ht="12.75" hidden="1" customHeight="1" x14ac:dyDescent="0.2"/>
    <row r="37666" ht="12.75" hidden="1" customHeight="1" x14ac:dyDescent="0.2"/>
    <row r="37667" ht="12.75" hidden="1" customHeight="1" x14ac:dyDescent="0.2"/>
    <row r="37668" ht="12.75" hidden="1" customHeight="1" x14ac:dyDescent="0.2"/>
    <row r="37669" ht="12.75" hidden="1" customHeight="1" x14ac:dyDescent="0.2"/>
    <row r="37670" ht="12.75" hidden="1" customHeight="1" x14ac:dyDescent="0.2"/>
    <row r="37671" ht="12.75" hidden="1" customHeight="1" x14ac:dyDescent="0.2"/>
    <row r="37672" ht="12.75" hidden="1" customHeight="1" x14ac:dyDescent="0.2"/>
    <row r="37673" ht="12.75" hidden="1" customHeight="1" x14ac:dyDescent="0.2"/>
    <row r="37674" ht="12.75" hidden="1" customHeight="1" x14ac:dyDescent="0.2"/>
    <row r="37675" ht="12.75" hidden="1" customHeight="1" x14ac:dyDescent="0.2"/>
    <row r="37676" ht="12.75" hidden="1" customHeight="1" x14ac:dyDescent="0.2"/>
    <row r="37677" ht="12.75" hidden="1" customHeight="1" x14ac:dyDescent="0.2"/>
    <row r="37678" ht="12.75" hidden="1" customHeight="1" x14ac:dyDescent="0.2"/>
    <row r="37679" ht="12.75" hidden="1" customHeight="1" x14ac:dyDescent="0.2"/>
    <row r="37680" ht="12.75" hidden="1" customHeight="1" x14ac:dyDescent="0.2"/>
    <row r="37681" ht="12.75" hidden="1" customHeight="1" x14ac:dyDescent="0.2"/>
    <row r="37682" ht="12.75" hidden="1" customHeight="1" x14ac:dyDescent="0.2"/>
    <row r="37683" ht="12.75" hidden="1" customHeight="1" x14ac:dyDescent="0.2"/>
    <row r="37684" ht="12.75" hidden="1" customHeight="1" x14ac:dyDescent="0.2"/>
    <row r="37685" ht="12.75" hidden="1" customHeight="1" x14ac:dyDescent="0.2"/>
    <row r="37686" ht="12.75" hidden="1" customHeight="1" x14ac:dyDescent="0.2"/>
    <row r="37687" ht="12.75" hidden="1" customHeight="1" x14ac:dyDescent="0.2"/>
    <row r="37688" ht="12.75" hidden="1" customHeight="1" x14ac:dyDescent="0.2"/>
    <row r="37689" ht="12.75" hidden="1" customHeight="1" x14ac:dyDescent="0.2"/>
    <row r="37690" ht="12.75" hidden="1" customHeight="1" x14ac:dyDescent="0.2"/>
    <row r="37691" ht="12.75" hidden="1" customHeight="1" x14ac:dyDescent="0.2"/>
    <row r="37692" ht="12.75" hidden="1" customHeight="1" x14ac:dyDescent="0.2"/>
    <row r="37693" ht="12.75" hidden="1" customHeight="1" x14ac:dyDescent="0.2"/>
    <row r="37694" ht="12.75" hidden="1" customHeight="1" x14ac:dyDescent="0.2"/>
    <row r="37695" ht="12.75" hidden="1" customHeight="1" x14ac:dyDescent="0.2"/>
    <row r="37696" ht="12.75" hidden="1" customHeight="1" x14ac:dyDescent="0.2"/>
    <row r="37697" ht="12.75" hidden="1" customHeight="1" x14ac:dyDescent="0.2"/>
    <row r="37698" ht="12.75" hidden="1" customHeight="1" x14ac:dyDescent="0.2"/>
    <row r="37699" ht="12.75" hidden="1" customHeight="1" x14ac:dyDescent="0.2"/>
    <row r="37700" ht="12.75" hidden="1" customHeight="1" x14ac:dyDescent="0.2"/>
    <row r="37701" ht="12.75" hidden="1" customHeight="1" x14ac:dyDescent="0.2"/>
    <row r="37702" ht="12.75" hidden="1" customHeight="1" x14ac:dyDescent="0.2"/>
    <row r="37703" ht="12.75" hidden="1" customHeight="1" x14ac:dyDescent="0.2"/>
    <row r="37704" ht="12.75" hidden="1" customHeight="1" x14ac:dyDescent="0.2"/>
    <row r="37705" ht="12.75" hidden="1" customHeight="1" x14ac:dyDescent="0.2"/>
    <row r="37706" ht="12.75" hidden="1" customHeight="1" x14ac:dyDescent="0.2"/>
    <row r="37707" ht="12.75" hidden="1" customHeight="1" x14ac:dyDescent="0.2"/>
    <row r="37708" ht="12.75" hidden="1" customHeight="1" x14ac:dyDescent="0.2"/>
    <row r="37709" ht="12.75" hidden="1" customHeight="1" x14ac:dyDescent="0.2"/>
    <row r="37710" ht="12.75" hidden="1" customHeight="1" x14ac:dyDescent="0.2"/>
    <row r="37711" ht="12.75" hidden="1" customHeight="1" x14ac:dyDescent="0.2"/>
    <row r="37712" ht="12.75" hidden="1" customHeight="1" x14ac:dyDescent="0.2"/>
    <row r="37713" ht="12.75" hidden="1" customHeight="1" x14ac:dyDescent="0.2"/>
    <row r="37714" ht="12.75" hidden="1" customHeight="1" x14ac:dyDescent="0.2"/>
    <row r="37715" ht="12.75" hidden="1" customHeight="1" x14ac:dyDescent="0.2"/>
    <row r="37716" ht="12.75" hidden="1" customHeight="1" x14ac:dyDescent="0.2"/>
    <row r="37717" ht="12.75" hidden="1" customHeight="1" x14ac:dyDescent="0.2"/>
    <row r="37718" ht="12.75" hidden="1" customHeight="1" x14ac:dyDescent="0.2"/>
    <row r="37719" ht="12.75" hidden="1" customHeight="1" x14ac:dyDescent="0.2"/>
    <row r="37720" ht="12.75" hidden="1" customHeight="1" x14ac:dyDescent="0.2"/>
    <row r="37721" ht="12.75" hidden="1" customHeight="1" x14ac:dyDescent="0.2"/>
    <row r="37722" ht="12.75" hidden="1" customHeight="1" x14ac:dyDescent="0.2"/>
    <row r="37723" ht="12.75" hidden="1" customHeight="1" x14ac:dyDescent="0.2"/>
    <row r="37724" ht="12.75" hidden="1" customHeight="1" x14ac:dyDescent="0.2"/>
    <row r="37725" ht="12.75" hidden="1" customHeight="1" x14ac:dyDescent="0.2"/>
    <row r="37726" ht="12.75" hidden="1" customHeight="1" x14ac:dyDescent="0.2"/>
    <row r="37727" ht="12.75" hidden="1" customHeight="1" x14ac:dyDescent="0.2"/>
    <row r="37728" ht="12.75" hidden="1" customHeight="1" x14ac:dyDescent="0.2"/>
    <row r="37729" ht="12.75" hidden="1" customHeight="1" x14ac:dyDescent="0.2"/>
    <row r="37730" ht="12.75" hidden="1" customHeight="1" x14ac:dyDescent="0.2"/>
    <row r="37731" ht="12.75" hidden="1" customHeight="1" x14ac:dyDescent="0.2"/>
    <row r="37732" ht="12.75" hidden="1" customHeight="1" x14ac:dyDescent="0.2"/>
    <row r="37733" ht="12.75" hidden="1" customHeight="1" x14ac:dyDescent="0.2"/>
    <row r="37734" ht="12.75" hidden="1" customHeight="1" x14ac:dyDescent="0.2"/>
    <row r="37735" ht="12.75" hidden="1" customHeight="1" x14ac:dyDescent="0.2"/>
    <row r="37736" ht="12.75" hidden="1" customHeight="1" x14ac:dyDescent="0.2"/>
    <row r="37737" ht="12.75" hidden="1" customHeight="1" x14ac:dyDescent="0.2"/>
    <row r="37738" ht="12.75" hidden="1" customHeight="1" x14ac:dyDescent="0.2"/>
    <row r="37739" ht="12.75" hidden="1" customHeight="1" x14ac:dyDescent="0.2"/>
    <row r="37740" ht="12.75" hidden="1" customHeight="1" x14ac:dyDescent="0.2"/>
    <row r="37741" ht="12.75" hidden="1" customHeight="1" x14ac:dyDescent="0.2"/>
    <row r="37742" ht="12.75" hidden="1" customHeight="1" x14ac:dyDescent="0.2"/>
    <row r="37743" ht="12.75" hidden="1" customHeight="1" x14ac:dyDescent="0.2"/>
    <row r="37744" ht="12.75" hidden="1" customHeight="1" x14ac:dyDescent="0.2"/>
    <row r="37745" ht="12.75" hidden="1" customHeight="1" x14ac:dyDescent="0.2"/>
    <row r="37746" ht="12.75" hidden="1" customHeight="1" x14ac:dyDescent="0.2"/>
    <row r="37747" ht="12.75" hidden="1" customHeight="1" x14ac:dyDescent="0.2"/>
    <row r="37748" ht="12.75" hidden="1" customHeight="1" x14ac:dyDescent="0.2"/>
    <row r="37749" ht="12.75" hidden="1" customHeight="1" x14ac:dyDescent="0.2"/>
    <row r="37750" ht="12.75" hidden="1" customHeight="1" x14ac:dyDescent="0.2"/>
    <row r="37751" ht="12.75" hidden="1" customHeight="1" x14ac:dyDescent="0.2"/>
    <row r="37752" ht="12.75" hidden="1" customHeight="1" x14ac:dyDescent="0.2"/>
    <row r="37753" ht="12.75" hidden="1" customHeight="1" x14ac:dyDescent="0.2"/>
    <row r="37754" ht="12.75" hidden="1" customHeight="1" x14ac:dyDescent="0.2"/>
    <row r="37755" ht="12.75" hidden="1" customHeight="1" x14ac:dyDescent="0.2"/>
    <row r="37756" ht="12.75" hidden="1" customHeight="1" x14ac:dyDescent="0.2"/>
    <row r="37757" ht="12.75" hidden="1" customHeight="1" x14ac:dyDescent="0.2"/>
    <row r="37758" ht="12.75" hidden="1" customHeight="1" x14ac:dyDescent="0.2"/>
    <row r="37759" ht="12.75" hidden="1" customHeight="1" x14ac:dyDescent="0.2"/>
    <row r="37760" ht="12.75" hidden="1" customHeight="1" x14ac:dyDescent="0.2"/>
    <row r="37761" ht="12.75" hidden="1" customHeight="1" x14ac:dyDescent="0.2"/>
    <row r="37762" ht="12.75" hidden="1" customHeight="1" x14ac:dyDescent="0.2"/>
    <row r="37763" ht="12.75" hidden="1" customHeight="1" x14ac:dyDescent="0.2"/>
    <row r="37764" ht="12.75" hidden="1" customHeight="1" x14ac:dyDescent="0.2"/>
    <row r="37765" ht="12.75" hidden="1" customHeight="1" x14ac:dyDescent="0.2"/>
    <row r="37766" ht="12.75" hidden="1" customHeight="1" x14ac:dyDescent="0.2"/>
    <row r="37767" ht="12.75" hidden="1" customHeight="1" x14ac:dyDescent="0.2"/>
    <row r="37768" ht="12.75" hidden="1" customHeight="1" x14ac:dyDescent="0.2"/>
    <row r="37769" ht="12.75" hidden="1" customHeight="1" x14ac:dyDescent="0.2"/>
    <row r="37770" ht="12.75" hidden="1" customHeight="1" x14ac:dyDescent="0.2"/>
    <row r="37771" ht="12.75" hidden="1" customHeight="1" x14ac:dyDescent="0.2"/>
    <row r="37772" ht="12.75" hidden="1" customHeight="1" x14ac:dyDescent="0.2"/>
    <row r="37773" ht="12.75" hidden="1" customHeight="1" x14ac:dyDescent="0.2"/>
    <row r="37774" ht="12.75" hidden="1" customHeight="1" x14ac:dyDescent="0.2"/>
    <row r="37775" ht="12.75" hidden="1" customHeight="1" x14ac:dyDescent="0.2"/>
    <row r="37776" ht="12.75" hidden="1" customHeight="1" x14ac:dyDescent="0.2"/>
    <row r="37777" ht="12.75" hidden="1" customHeight="1" x14ac:dyDescent="0.2"/>
    <row r="37778" ht="12.75" hidden="1" customHeight="1" x14ac:dyDescent="0.2"/>
    <row r="37779" ht="12.75" hidden="1" customHeight="1" x14ac:dyDescent="0.2"/>
    <row r="37780" ht="12.75" hidden="1" customHeight="1" x14ac:dyDescent="0.2"/>
    <row r="37781" ht="12.75" hidden="1" customHeight="1" x14ac:dyDescent="0.2"/>
    <row r="37782" ht="12.75" hidden="1" customHeight="1" x14ac:dyDescent="0.2"/>
    <row r="37783" ht="12.75" hidden="1" customHeight="1" x14ac:dyDescent="0.2"/>
    <row r="37784" ht="12.75" hidden="1" customHeight="1" x14ac:dyDescent="0.2"/>
    <row r="37785" ht="12.75" hidden="1" customHeight="1" x14ac:dyDescent="0.2"/>
    <row r="37786" ht="12.75" hidden="1" customHeight="1" x14ac:dyDescent="0.2"/>
    <row r="37787" ht="12.75" hidden="1" customHeight="1" x14ac:dyDescent="0.2"/>
    <row r="37788" ht="12.75" hidden="1" customHeight="1" x14ac:dyDescent="0.2"/>
    <row r="37789" ht="12.75" hidden="1" customHeight="1" x14ac:dyDescent="0.2"/>
    <row r="37790" ht="12.75" hidden="1" customHeight="1" x14ac:dyDescent="0.2"/>
    <row r="37791" ht="12.75" hidden="1" customHeight="1" x14ac:dyDescent="0.2"/>
    <row r="37792" ht="12.75" hidden="1" customHeight="1" x14ac:dyDescent="0.2"/>
    <row r="37793" ht="12.75" hidden="1" customHeight="1" x14ac:dyDescent="0.2"/>
    <row r="37794" ht="12.75" hidden="1" customHeight="1" x14ac:dyDescent="0.2"/>
    <row r="37795" ht="12.75" hidden="1" customHeight="1" x14ac:dyDescent="0.2"/>
    <row r="37796" ht="12.75" hidden="1" customHeight="1" x14ac:dyDescent="0.2"/>
    <row r="37797" ht="12.75" hidden="1" customHeight="1" x14ac:dyDescent="0.2"/>
    <row r="37798" ht="12.75" hidden="1" customHeight="1" x14ac:dyDescent="0.2"/>
    <row r="37799" ht="12.75" hidden="1" customHeight="1" x14ac:dyDescent="0.2"/>
    <row r="37800" ht="12.75" hidden="1" customHeight="1" x14ac:dyDescent="0.2"/>
    <row r="37801" ht="12.75" hidden="1" customHeight="1" x14ac:dyDescent="0.2"/>
    <row r="37802" ht="12.75" hidden="1" customHeight="1" x14ac:dyDescent="0.2"/>
    <row r="37803" ht="12.75" hidden="1" customHeight="1" x14ac:dyDescent="0.2"/>
    <row r="37804" ht="12.75" hidden="1" customHeight="1" x14ac:dyDescent="0.2"/>
    <row r="37805" ht="12.75" hidden="1" customHeight="1" x14ac:dyDescent="0.2"/>
    <row r="37806" ht="12.75" hidden="1" customHeight="1" x14ac:dyDescent="0.2"/>
    <row r="37807" ht="12.75" hidden="1" customHeight="1" x14ac:dyDescent="0.2"/>
    <row r="37808" ht="12.75" hidden="1" customHeight="1" x14ac:dyDescent="0.2"/>
    <row r="37809" ht="12.75" hidden="1" customHeight="1" x14ac:dyDescent="0.2"/>
    <row r="37810" ht="12.75" hidden="1" customHeight="1" x14ac:dyDescent="0.2"/>
    <row r="37811" ht="12.75" hidden="1" customHeight="1" x14ac:dyDescent="0.2"/>
    <row r="37812" ht="12.75" hidden="1" customHeight="1" x14ac:dyDescent="0.2"/>
    <row r="37813" ht="12.75" hidden="1" customHeight="1" x14ac:dyDescent="0.2"/>
    <row r="37814" ht="12.75" hidden="1" customHeight="1" x14ac:dyDescent="0.2"/>
    <row r="37815" ht="12.75" hidden="1" customHeight="1" x14ac:dyDescent="0.2"/>
    <row r="37816" ht="12.75" hidden="1" customHeight="1" x14ac:dyDescent="0.2"/>
    <row r="37817" ht="12.75" hidden="1" customHeight="1" x14ac:dyDescent="0.2"/>
    <row r="37818" ht="12.75" hidden="1" customHeight="1" x14ac:dyDescent="0.2"/>
    <row r="37819" ht="12.75" hidden="1" customHeight="1" x14ac:dyDescent="0.2"/>
    <row r="37820" ht="12.75" hidden="1" customHeight="1" x14ac:dyDescent="0.2"/>
    <row r="37821" ht="12.75" hidden="1" customHeight="1" x14ac:dyDescent="0.2"/>
    <row r="37822" ht="12.75" hidden="1" customHeight="1" x14ac:dyDescent="0.2"/>
    <row r="37823" ht="12.75" hidden="1" customHeight="1" x14ac:dyDescent="0.2"/>
    <row r="37824" ht="12.75" hidden="1" customHeight="1" x14ac:dyDescent="0.2"/>
    <row r="37825" ht="12.75" hidden="1" customHeight="1" x14ac:dyDescent="0.2"/>
    <row r="37826" ht="12.75" hidden="1" customHeight="1" x14ac:dyDescent="0.2"/>
    <row r="37827" ht="12.75" hidden="1" customHeight="1" x14ac:dyDescent="0.2"/>
    <row r="37828" ht="12.75" hidden="1" customHeight="1" x14ac:dyDescent="0.2"/>
    <row r="37829" ht="12.75" hidden="1" customHeight="1" x14ac:dyDescent="0.2"/>
    <row r="37830" ht="12.75" hidden="1" customHeight="1" x14ac:dyDescent="0.2"/>
    <row r="37831" ht="12.75" hidden="1" customHeight="1" x14ac:dyDescent="0.2"/>
    <row r="37832" ht="12.75" hidden="1" customHeight="1" x14ac:dyDescent="0.2"/>
    <row r="37833" ht="12.75" hidden="1" customHeight="1" x14ac:dyDescent="0.2"/>
    <row r="37834" ht="12.75" hidden="1" customHeight="1" x14ac:dyDescent="0.2"/>
    <row r="37835" ht="12.75" hidden="1" customHeight="1" x14ac:dyDescent="0.2"/>
    <row r="37836" ht="12.75" hidden="1" customHeight="1" x14ac:dyDescent="0.2"/>
    <row r="37837" ht="12.75" hidden="1" customHeight="1" x14ac:dyDescent="0.2"/>
    <row r="37838" ht="12.75" hidden="1" customHeight="1" x14ac:dyDescent="0.2"/>
    <row r="37839" ht="12.75" hidden="1" customHeight="1" x14ac:dyDescent="0.2"/>
    <row r="37840" ht="12.75" hidden="1" customHeight="1" x14ac:dyDescent="0.2"/>
    <row r="37841" ht="12.75" hidden="1" customHeight="1" x14ac:dyDescent="0.2"/>
    <row r="37842" ht="12.75" hidden="1" customHeight="1" x14ac:dyDescent="0.2"/>
    <row r="37843" ht="12.75" hidden="1" customHeight="1" x14ac:dyDescent="0.2"/>
    <row r="37844" ht="12.75" hidden="1" customHeight="1" x14ac:dyDescent="0.2"/>
    <row r="37845" ht="12.75" hidden="1" customHeight="1" x14ac:dyDescent="0.2"/>
    <row r="37846" ht="12.75" hidden="1" customHeight="1" x14ac:dyDescent="0.2"/>
    <row r="37847" ht="12.75" hidden="1" customHeight="1" x14ac:dyDescent="0.2"/>
    <row r="37848" ht="12.75" hidden="1" customHeight="1" x14ac:dyDescent="0.2"/>
    <row r="37849" ht="12.75" hidden="1" customHeight="1" x14ac:dyDescent="0.2"/>
    <row r="37850" ht="12.75" hidden="1" customHeight="1" x14ac:dyDescent="0.2"/>
    <row r="37851" ht="12.75" hidden="1" customHeight="1" x14ac:dyDescent="0.2"/>
    <row r="37852" ht="12.75" hidden="1" customHeight="1" x14ac:dyDescent="0.2"/>
    <row r="37853" ht="12.75" hidden="1" customHeight="1" x14ac:dyDescent="0.2"/>
    <row r="37854" ht="12.75" hidden="1" customHeight="1" x14ac:dyDescent="0.2"/>
    <row r="37855" ht="12.75" hidden="1" customHeight="1" x14ac:dyDescent="0.2"/>
    <row r="37856" ht="12.75" hidden="1" customHeight="1" x14ac:dyDescent="0.2"/>
    <row r="37857" ht="12.75" hidden="1" customHeight="1" x14ac:dyDescent="0.2"/>
    <row r="37858" ht="12.75" hidden="1" customHeight="1" x14ac:dyDescent="0.2"/>
    <row r="37859" ht="12.75" hidden="1" customHeight="1" x14ac:dyDescent="0.2"/>
    <row r="37860" ht="12.75" hidden="1" customHeight="1" x14ac:dyDescent="0.2"/>
    <row r="37861" ht="12.75" hidden="1" customHeight="1" x14ac:dyDescent="0.2"/>
    <row r="37862" ht="12.75" hidden="1" customHeight="1" x14ac:dyDescent="0.2"/>
    <row r="37863" ht="12.75" hidden="1" customHeight="1" x14ac:dyDescent="0.2"/>
    <row r="37864" ht="12.75" hidden="1" customHeight="1" x14ac:dyDescent="0.2"/>
    <row r="37865" ht="12.75" hidden="1" customHeight="1" x14ac:dyDescent="0.2"/>
    <row r="37866" ht="12.75" hidden="1" customHeight="1" x14ac:dyDescent="0.2"/>
    <row r="37867" ht="12.75" hidden="1" customHeight="1" x14ac:dyDescent="0.2"/>
    <row r="37868" ht="12.75" hidden="1" customHeight="1" x14ac:dyDescent="0.2"/>
    <row r="37869" ht="12.75" hidden="1" customHeight="1" x14ac:dyDescent="0.2"/>
    <row r="37870" ht="12.75" hidden="1" customHeight="1" x14ac:dyDescent="0.2"/>
    <row r="37871" ht="12.75" hidden="1" customHeight="1" x14ac:dyDescent="0.2"/>
    <row r="37872" ht="12.75" hidden="1" customHeight="1" x14ac:dyDescent="0.2"/>
    <row r="37873" ht="12.75" hidden="1" customHeight="1" x14ac:dyDescent="0.2"/>
    <row r="37874" ht="12.75" hidden="1" customHeight="1" x14ac:dyDescent="0.2"/>
    <row r="37875" ht="12.75" hidden="1" customHeight="1" x14ac:dyDescent="0.2"/>
    <row r="37876" ht="12.75" hidden="1" customHeight="1" x14ac:dyDescent="0.2"/>
    <row r="37877" ht="12.75" hidden="1" customHeight="1" x14ac:dyDescent="0.2"/>
    <row r="37878" ht="12.75" hidden="1" customHeight="1" x14ac:dyDescent="0.2"/>
    <row r="37879" ht="12.75" hidden="1" customHeight="1" x14ac:dyDescent="0.2"/>
    <row r="37880" ht="12.75" hidden="1" customHeight="1" x14ac:dyDescent="0.2"/>
    <row r="37881" ht="12.75" hidden="1" customHeight="1" x14ac:dyDescent="0.2"/>
    <row r="37882" ht="12.75" hidden="1" customHeight="1" x14ac:dyDescent="0.2"/>
    <row r="37883" ht="12.75" hidden="1" customHeight="1" x14ac:dyDescent="0.2"/>
    <row r="37884" ht="12.75" hidden="1" customHeight="1" x14ac:dyDescent="0.2"/>
    <row r="37885" ht="12.75" hidden="1" customHeight="1" x14ac:dyDescent="0.2"/>
    <row r="37886" ht="12.75" hidden="1" customHeight="1" x14ac:dyDescent="0.2"/>
    <row r="37887" ht="12.75" hidden="1" customHeight="1" x14ac:dyDescent="0.2"/>
    <row r="37888" ht="12.75" hidden="1" customHeight="1" x14ac:dyDescent="0.2"/>
    <row r="37889" ht="12.75" hidden="1" customHeight="1" x14ac:dyDescent="0.2"/>
    <row r="37890" ht="12.75" hidden="1" customHeight="1" x14ac:dyDescent="0.2"/>
    <row r="37891" ht="12.75" hidden="1" customHeight="1" x14ac:dyDescent="0.2"/>
    <row r="37892" ht="12.75" hidden="1" customHeight="1" x14ac:dyDescent="0.2"/>
    <row r="37893" ht="12.75" hidden="1" customHeight="1" x14ac:dyDescent="0.2"/>
    <row r="37894" ht="12.75" hidden="1" customHeight="1" x14ac:dyDescent="0.2"/>
    <row r="37895" ht="12.75" hidden="1" customHeight="1" x14ac:dyDescent="0.2"/>
    <row r="37896" ht="12.75" hidden="1" customHeight="1" x14ac:dyDescent="0.2"/>
    <row r="37897" ht="12.75" hidden="1" customHeight="1" x14ac:dyDescent="0.2"/>
    <row r="37898" ht="12.75" hidden="1" customHeight="1" x14ac:dyDescent="0.2"/>
    <row r="37899" ht="12.75" hidden="1" customHeight="1" x14ac:dyDescent="0.2"/>
    <row r="37900" ht="12.75" hidden="1" customHeight="1" x14ac:dyDescent="0.2"/>
    <row r="37901" ht="12.75" hidden="1" customHeight="1" x14ac:dyDescent="0.2"/>
    <row r="37902" ht="12.75" hidden="1" customHeight="1" x14ac:dyDescent="0.2"/>
    <row r="37903" ht="12.75" hidden="1" customHeight="1" x14ac:dyDescent="0.2"/>
    <row r="37904" ht="12.75" hidden="1" customHeight="1" x14ac:dyDescent="0.2"/>
    <row r="37905" ht="12.75" hidden="1" customHeight="1" x14ac:dyDescent="0.2"/>
    <row r="37906" ht="12.75" hidden="1" customHeight="1" x14ac:dyDescent="0.2"/>
    <row r="37907" ht="12.75" hidden="1" customHeight="1" x14ac:dyDescent="0.2"/>
    <row r="37908" ht="12.75" hidden="1" customHeight="1" x14ac:dyDescent="0.2"/>
    <row r="37909" ht="12.75" hidden="1" customHeight="1" x14ac:dyDescent="0.2"/>
    <row r="37910" ht="12.75" hidden="1" customHeight="1" x14ac:dyDescent="0.2"/>
    <row r="37911" ht="12.75" hidden="1" customHeight="1" x14ac:dyDescent="0.2"/>
    <row r="37912" ht="12.75" hidden="1" customHeight="1" x14ac:dyDescent="0.2"/>
    <row r="37913" ht="12.75" hidden="1" customHeight="1" x14ac:dyDescent="0.2"/>
    <row r="37914" ht="12.75" hidden="1" customHeight="1" x14ac:dyDescent="0.2"/>
    <row r="37915" ht="12.75" hidden="1" customHeight="1" x14ac:dyDescent="0.2"/>
    <row r="37916" ht="12.75" hidden="1" customHeight="1" x14ac:dyDescent="0.2"/>
    <row r="37917" ht="12.75" hidden="1" customHeight="1" x14ac:dyDescent="0.2"/>
    <row r="37918" ht="12.75" hidden="1" customHeight="1" x14ac:dyDescent="0.2"/>
    <row r="37919" ht="12.75" hidden="1" customHeight="1" x14ac:dyDescent="0.2"/>
    <row r="37920" ht="12.75" hidden="1" customHeight="1" x14ac:dyDescent="0.2"/>
    <row r="37921" ht="12.75" hidden="1" customHeight="1" x14ac:dyDescent="0.2"/>
    <row r="37922" ht="12.75" hidden="1" customHeight="1" x14ac:dyDescent="0.2"/>
    <row r="37923" ht="12.75" hidden="1" customHeight="1" x14ac:dyDescent="0.2"/>
    <row r="37924" ht="12.75" hidden="1" customHeight="1" x14ac:dyDescent="0.2"/>
    <row r="37925" ht="12.75" hidden="1" customHeight="1" x14ac:dyDescent="0.2"/>
    <row r="37926" ht="12.75" hidden="1" customHeight="1" x14ac:dyDescent="0.2"/>
    <row r="37927" ht="12.75" hidden="1" customHeight="1" x14ac:dyDescent="0.2"/>
    <row r="37928" ht="12.75" hidden="1" customHeight="1" x14ac:dyDescent="0.2"/>
    <row r="37929" ht="12.75" hidden="1" customHeight="1" x14ac:dyDescent="0.2"/>
    <row r="37930" ht="12.75" hidden="1" customHeight="1" x14ac:dyDescent="0.2"/>
    <row r="37931" ht="12.75" hidden="1" customHeight="1" x14ac:dyDescent="0.2"/>
    <row r="37932" ht="12.75" hidden="1" customHeight="1" x14ac:dyDescent="0.2"/>
    <row r="37933" ht="12.75" hidden="1" customHeight="1" x14ac:dyDescent="0.2"/>
    <row r="37934" ht="12.75" hidden="1" customHeight="1" x14ac:dyDescent="0.2"/>
    <row r="37935" ht="12.75" hidden="1" customHeight="1" x14ac:dyDescent="0.2"/>
    <row r="37936" ht="12.75" hidden="1" customHeight="1" x14ac:dyDescent="0.2"/>
    <row r="37937" ht="12.75" hidden="1" customHeight="1" x14ac:dyDescent="0.2"/>
    <row r="37938" ht="12.75" hidden="1" customHeight="1" x14ac:dyDescent="0.2"/>
    <row r="37939" ht="12.75" hidden="1" customHeight="1" x14ac:dyDescent="0.2"/>
    <row r="37940" ht="12.75" hidden="1" customHeight="1" x14ac:dyDescent="0.2"/>
    <row r="37941" ht="12.75" hidden="1" customHeight="1" x14ac:dyDescent="0.2"/>
    <row r="37942" ht="12.75" hidden="1" customHeight="1" x14ac:dyDescent="0.2"/>
    <row r="37943" ht="12.75" hidden="1" customHeight="1" x14ac:dyDescent="0.2"/>
    <row r="37944" ht="12.75" hidden="1" customHeight="1" x14ac:dyDescent="0.2"/>
    <row r="37945" ht="12.75" hidden="1" customHeight="1" x14ac:dyDescent="0.2"/>
    <row r="37946" ht="12.75" hidden="1" customHeight="1" x14ac:dyDescent="0.2"/>
    <row r="37947" ht="12.75" hidden="1" customHeight="1" x14ac:dyDescent="0.2"/>
    <row r="37948" ht="12.75" hidden="1" customHeight="1" x14ac:dyDescent="0.2"/>
    <row r="37949" ht="12.75" hidden="1" customHeight="1" x14ac:dyDescent="0.2"/>
    <row r="37950" ht="12.75" hidden="1" customHeight="1" x14ac:dyDescent="0.2"/>
    <row r="37951" ht="12.75" hidden="1" customHeight="1" x14ac:dyDescent="0.2"/>
    <row r="37952" ht="12.75" hidden="1" customHeight="1" x14ac:dyDescent="0.2"/>
    <row r="37953" ht="12.75" hidden="1" customHeight="1" x14ac:dyDescent="0.2"/>
    <row r="37954" ht="12.75" hidden="1" customHeight="1" x14ac:dyDescent="0.2"/>
    <row r="37955" ht="12.75" hidden="1" customHeight="1" x14ac:dyDescent="0.2"/>
    <row r="37956" ht="12.75" hidden="1" customHeight="1" x14ac:dyDescent="0.2"/>
    <row r="37957" ht="12.75" hidden="1" customHeight="1" x14ac:dyDescent="0.2"/>
    <row r="37958" ht="12.75" hidden="1" customHeight="1" x14ac:dyDescent="0.2"/>
    <row r="37959" ht="12.75" hidden="1" customHeight="1" x14ac:dyDescent="0.2"/>
    <row r="37960" ht="12.75" hidden="1" customHeight="1" x14ac:dyDescent="0.2"/>
    <row r="37961" ht="12.75" hidden="1" customHeight="1" x14ac:dyDescent="0.2"/>
    <row r="37962" ht="12.75" hidden="1" customHeight="1" x14ac:dyDescent="0.2"/>
    <row r="37963" ht="12.75" hidden="1" customHeight="1" x14ac:dyDescent="0.2"/>
    <row r="37964" ht="12.75" hidden="1" customHeight="1" x14ac:dyDescent="0.2"/>
    <row r="37965" ht="12.75" hidden="1" customHeight="1" x14ac:dyDescent="0.2"/>
    <row r="37966" ht="12.75" hidden="1" customHeight="1" x14ac:dyDescent="0.2"/>
    <row r="37967" ht="12.75" hidden="1" customHeight="1" x14ac:dyDescent="0.2"/>
    <row r="37968" ht="12.75" hidden="1" customHeight="1" x14ac:dyDescent="0.2"/>
    <row r="37969" ht="12.75" hidden="1" customHeight="1" x14ac:dyDescent="0.2"/>
    <row r="37970" ht="12.75" hidden="1" customHeight="1" x14ac:dyDescent="0.2"/>
    <row r="37971" ht="12.75" hidden="1" customHeight="1" x14ac:dyDescent="0.2"/>
    <row r="37972" ht="12.75" hidden="1" customHeight="1" x14ac:dyDescent="0.2"/>
    <row r="37973" ht="12.75" hidden="1" customHeight="1" x14ac:dyDescent="0.2"/>
    <row r="37974" ht="12.75" hidden="1" customHeight="1" x14ac:dyDescent="0.2"/>
    <row r="37975" ht="12.75" hidden="1" customHeight="1" x14ac:dyDescent="0.2"/>
    <row r="37976" ht="12.75" hidden="1" customHeight="1" x14ac:dyDescent="0.2"/>
    <row r="37977" ht="12.75" hidden="1" customHeight="1" x14ac:dyDescent="0.2"/>
    <row r="37978" ht="12.75" hidden="1" customHeight="1" x14ac:dyDescent="0.2"/>
    <row r="37979" ht="12.75" hidden="1" customHeight="1" x14ac:dyDescent="0.2"/>
    <row r="37980" ht="12.75" hidden="1" customHeight="1" x14ac:dyDescent="0.2"/>
    <row r="37981" ht="12.75" hidden="1" customHeight="1" x14ac:dyDescent="0.2"/>
    <row r="37982" ht="12.75" hidden="1" customHeight="1" x14ac:dyDescent="0.2"/>
    <row r="37983" ht="12.75" hidden="1" customHeight="1" x14ac:dyDescent="0.2"/>
    <row r="37984" ht="12.75" hidden="1" customHeight="1" x14ac:dyDescent="0.2"/>
    <row r="37985" ht="12.75" hidden="1" customHeight="1" x14ac:dyDescent="0.2"/>
    <row r="37986" ht="12.75" hidden="1" customHeight="1" x14ac:dyDescent="0.2"/>
    <row r="37987" ht="12.75" hidden="1" customHeight="1" x14ac:dyDescent="0.2"/>
    <row r="37988" ht="12.75" hidden="1" customHeight="1" x14ac:dyDescent="0.2"/>
    <row r="37989" ht="12.75" hidden="1" customHeight="1" x14ac:dyDescent="0.2"/>
    <row r="37990" ht="12.75" hidden="1" customHeight="1" x14ac:dyDescent="0.2"/>
    <row r="37991" ht="12.75" hidden="1" customHeight="1" x14ac:dyDescent="0.2"/>
    <row r="37992" ht="12.75" hidden="1" customHeight="1" x14ac:dyDescent="0.2"/>
    <row r="37993" ht="12.75" hidden="1" customHeight="1" x14ac:dyDescent="0.2"/>
    <row r="37994" ht="12.75" hidden="1" customHeight="1" x14ac:dyDescent="0.2"/>
    <row r="37995" ht="12.75" hidden="1" customHeight="1" x14ac:dyDescent="0.2"/>
    <row r="37996" ht="12.75" hidden="1" customHeight="1" x14ac:dyDescent="0.2"/>
    <row r="37997" ht="12.75" hidden="1" customHeight="1" x14ac:dyDescent="0.2"/>
    <row r="37998" ht="12.75" hidden="1" customHeight="1" x14ac:dyDescent="0.2"/>
    <row r="37999" ht="12.75" hidden="1" customHeight="1" x14ac:dyDescent="0.2"/>
    <row r="38000" ht="12.75" hidden="1" customHeight="1" x14ac:dyDescent="0.2"/>
    <row r="38001" ht="12.75" hidden="1" customHeight="1" x14ac:dyDescent="0.2"/>
    <row r="38002" ht="12.75" hidden="1" customHeight="1" x14ac:dyDescent="0.2"/>
    <row r="38003" ht="12.75" hidden="1" customHeight="1" x14ac:dyDescent="0.2"/>
    <row r="38004" ht="12.75" hidden="1" customHeight="1" x14ac:dyDescent="0.2"/>
    <row r="38005" ht="12.75" hidden="1" customHeight="1" x14ac:dyDescent="0.2"/>
    <row r="38006" ht="12.75" hidden="1" customHeight="1" x14ac:dyDescent="0.2"/>
    <row r="38007" ht="12.75" hidden="1" customHeight="1" x14ac:dyDescent="0.2"/>
    <row r="38008" ht="12.75" hidden="1" customHeight="1" x14ac:dyDescent="0.2"/>
    <row r="38009" ht="12.75" hidden="1" customHeight="1" x14ac:dyDescent="0.2"/>
    <row r="38010" ht="12.75" hidden="1" customHeight="1" x14ac:dyDescent="0.2"/>
    <row r="38011" ht="12.75" hidden="1" customHeight="1" x14ac:dyDescent="0.2"/>
    <row r="38012" ht="12.75" hidden="1" customHeight="1" x14ac:dyDescent="0.2"/>
    <row r="38013" ht="12.75" hidden="1" customHeight="1" x14ac:dyDescent="0.2"/>
    <row r="38014" ht="12.75" hidden="1" customHeight="1" x14ac:dyDescent="0.2"/>
    <row r="38015" ht="12.75" hidden="1" customHeight="1" x14ac:dyDescent="0.2"/>
    <row r="38016" ht="12.75" hidden="1" customHeight="1" x14ac:dyDescent="0.2"/>
    <row r="38017" ht="12.75" hidden="1" customHeight="1" x14ac:dyDescent="0.2"/>
    <row r="38018" ht="12.75" hidden="1" customHeight="1" x14ac:dyDescent="0.2"/>
    <row r="38019" ht="12.75" hidden="1" customHeight="1" x14ac:dyDescent="0.2"/>
    <row r="38020" ht="12.75" hidden="1" customHeight="1" x14ac:dyDescent="0.2"/>
    <row r="38021" ht="12.75" hidden="1" customHeight="1" x14ac:dyDescent="0.2"/>
    <row r="38022" ht="12.75" hidden="1" customHeight="1" x14ac:dyDescent="0.2"/>
    <row r="38023" ht="12.75" hidden="1" customHeight="1" x14ac:dyDescent="0.2"/>
    <row r="38024" ht="12.75" hidden="1" customHeight="1" x14ac:dyDescent="0.2"/>
    <row r="38025" ht="12.75" hidden="1" customHeight="1" x14ac:dyDescent="0.2"/>
    <row r="38026" ht="12.75" hidden="1" customHeight="1" x14ac:dyDescent="0.2"/>
    <row r="38027" ht="12.75" hidden="1" customHeight="1" x14ac:dyDescent="0.2"/>
    <row r="38028" ht="12.75" hidden="1" customHeight="1" x14ac:dyDescent="0.2"/>
    <row r="38029" ht="12.75" hidden="1" customHeight="1" x14ac:dyDescent="0.2"/>
    <row r="38030" ht="12.75" hidden="1" customHeight="1" x14ac:dyDescent="0.2"/>
    <row r="38031" ht="12.75" hidden="1" customHeight="1" x14ac:dyDescent="0.2"/>
    <row r="38032" ht="12.75" hidden="1" customHeight="1" x14ac:dyDescent="0.2"/>
    <row r="38033" ht="12.75" hidden="1" customHeight="1" x14ac:dyDescent="0.2"/>
    <row r="38034" ht="12.75" hidden="1" customHeight="1" x14ac:dyDescent="0.2"/>
    <row r="38035" ht="12.75" hidden="1" customHeight="1" x14ac:dyDescent="0.2"/>
    <row r="38036" ht="12.75" hidden="1" customHeight="1" x14ac:dyDescent="0.2"/>
    <row r="38037" ht="12.75" hidden="1" customHeight="1" x14ac:dyDescent="0.2"/>
    <row r="38038" ht="12.75" hidden="1" customHeight="1" x14ac:dyDescent="0.2"/>
    <row r="38039" ht="12.75" hidden="1" customHeight="1" x14ac:dyDescent="0.2"/>
    <row r="38040" ht="12.75" hidden="1" customHeight="1" x14ac:dyDescent="0.2"/>
    <row r="38041" ht="12.75" hidden="1" customHeight="1" x14ac:dyDescent="0.2"/>
    <row r="38042" ht="12.75" hidden="1" customHeight="1" x14ac:dyDescent="0.2"/>
    <row r="38043" ht="12.75" hidden="1" customHeight="1" x14ac:dyDescent="0.2"/>
    <row r="38044" ht="12.75" hidden="1" customHeight="1" x14ac:dyDescent="0.2"/>
    <row r="38045" ht="12.75" hidden="1" customHeight="1" x14ac:dyDescent="0.2"/>
    <row r="38046" ht="12.75" hidden="1" customHeight="1" x14ac:dyDescent="0.2"/>
    <row r="38047" ht="12.75" hidden="1" customHeight="1" x14ac:dyDescent="0.2"/>
    <row r="38048" ht="12.75" hidden="1" customHeight="1" x14ac:dyDescent="0.2"/>
    <row r="38049" ht="12.75" hidden="1" customHeight="1" x14ac:dyDescent="0.2"/>
    <row r="38050" ht="12.75" hidden="1" customHeight="1" x14ac:dyDescent="0.2"/>
    <row r="38051" ht="12.75" hidden="1" customHeight="1" x14ac:dyDescent="0.2"/>
    <row r="38052" ht="12.75" hidden="1" customHeight="1" x14ac:dyDescent="0.2"/>
    <row r="38053" ht="12.75" hidden="1" customHeight="1" x14ac:dyDescent="0.2"/>
    <row r="38054" ht="12.75" hidden="1" customHeight="1" x14ac:dyDescent="0.2"/>
    <row r="38055" ht="12.75" hidden="1" customHeight="1" x14ac:dyDescent="0.2"/>
    <row r="38056" ht="12.75" hidden="1" customHeight="1" x14ac:dyDescent="0.2"/>
    <row r="38057" ht="12.75" hidden="1" customHeight="1" x14ac:dyDescent="0.2"/>
    <row r="38058" ht="12.75" hidden="1" customHeight="1" x14ac:dyDescent="0.2"/>
    <row r="38059" ht="12.75" hidden="1" customHeight="1" x14ac:dyDescent="0.2"/>
    <row r="38060" ht="12.75" hidden="1" customHeight="1" x14ac:dyDescent="0.2"/>
    <row r="38061" ht="12.75" hidden="1" customHeight="1" x14ac:dyDescent="0.2"/>
    <row r="38062" ht="12.75" hidden="1" customHeight="1" x14ac:dyDescent="0.2"/>
    <row r="38063" ht="12.75" hidden="1" customHeight="1" x14ac:dyDescent="0.2"/>
    <row r="38064" ht="12.75" hidden="1" customHeight="1" x14ac:dyDescent="0.2"/>
    <row r="38065" ht="12.75" hidden="1" customHeight="1" x14ac:dyDescent="0.2"/>
    <row r="38066" ht="12.75" hidden="1" customHeight="1" x14ac:dyDescent="0.2"/>
    <row r="38067" ht="12.75" hidden="1" customHeight="1" x14ac:dyDescent="0.2"/>
    <row r="38068" ht="12.75" hidden="1" customHeight="1" x14ac:dyDescent="0.2"/>
    <row r="38069" ht="12.75" hidden="1" customHeight="1" x14ac:dyDescent="0.2"/>
    <row r="38070" ht="12.75" hidden="1" customHeight="1" x14ac:dyDescent="0.2"/>
    <row r="38071" ht="12.75" hidden="1" customHeight="1" x14ac:dyDescent="0.2"/>
    <row r="38072" ht="12.75" hidden="1" customHeight="1" x14ac:dyDescent="0.2"/>
    <row r="38073" ht="12.75" hidden="1" customHeight="1" x14ac:dyDescent="0.2"/>
    <row r="38074" ht="12.75" hidden="1" customHeight="1" x14ac:dyDescent="0.2"/>
    <row r="38075" ht="12.75" hidden="1" customHeight="1" x14ac:dyDescent="0.2"/>
    <row r="38076" ht="12.75" hidden="1" customHeight="1" x14ac:dyDescent="0.2"/>
    <row r="38077" ht="12.75" hidden="1" customHeight="1" x14ac:dyDescent="0.2"/>
    <row r="38078" ht="12.75" hidden="1" customHeight="1" x14ac:dyDescent="0.2"/>
    <row r="38079" ht="12.75" hidden="1" customHeight="1" x14ac:dyDescent="0.2"/>
    <row r="38080" ht="12.75" hidden="1" customHeight="1" x14ac:dyDescent="0.2"/>
    <row r="38081" ht="12.75" hidden="1" customHeight="1" x14ac:dyDescent="0.2"/>
    <row r="38082" ht="12.75" hidden="1" customHeight="1" x14ac:dyDescent="0.2"/>
    <row r="38083" ht="12.75" hidden="1" customHeight="1" x14ac:dyDescent="0.2"/>
    <row r="38084" ht="12.75" hidden="1" customHeight="1" x14ac:dyDescent="0.2"/>
    <row r="38085" ht="12.75" hidden="1" customHeight="1" x14ac:dyDescent="0.2"/>
    <row r="38086" ht="12.75" hidden="1" customHeight="1" x14ac:dyDescent="0.2"/>
    <row r="38087" ht="12.75" hidden="1" customHeight="1" x14ac:dyDescent="0.2"/>
    <row r="38088" ht="12.75" hidden="1" customHeight="1" x14ac:dyDescent="0.2"/>
    <row r="38089" ht="12.75" hidden="1" customHeight="1" x14ac:dyDescent="0.2"/>
    <row r="38090" ht="12.75" hidden="1" customHeight="1" x14ac:dyDescent="0.2"/>
    <row r="38091" ht="12.75" hidden="1" customHeight="1" x14ac:dyDescent="0.2"/>
    <row r="38092" ht="12.75" hidden="1" customHeight="1" x14ac:dyDescent="0.2"/>
    <row r="38093" ht="12.75" hidden="1" customHeight="1" x14ac:dyDescent="0.2"/>
    <row r="38094" ht="12.75" hidden="1" customHeight="1" x14ac:dyDescent="0.2"/>
    <row r="38095" ht="12.75" hidden="1" customHeight="1" x14ac:dyDescent="0.2"/>
    <row r="38096" ht="12.75" hidden="1" customHeight="1" x14ac:dyDescent="0.2"/>
    <row r="38097" ht="12.75" hidden="1" customHeight="1" x14ac:dyDescent="0.2"/>
    <row r="38098" ht="12.75" hidden="1" customHeight="1" x14ac:dyDescent="0.2"/>
    <row r="38099" ht="12.75" hidden="1" customHeight="1" x14ac:dyDescent="0.2"/>
    <row r="38100" ht="12.75" hidden="1" customHeight="1" x14ac:dyDescent="0.2"/>
    <row r="38101" ht="12.75" hidden="1" customHeight="1" x14ac:dyDescent="0.2"/>
    <row r="38102" ht="12.75" hidden="1" customHeight="1" x14ac:dyDescent="0.2"/>
    <row r="38103" ht="12.75" hidden="1" customHeight="1" x14ac:dyDescent="0.2"/>
    <row r="38104" ht="12.75" hidden="1" customHeight="1" x14ac:dyDescent="0.2"/>
    <row r="38105" ht="12.75" hidden="1" customHeight="1" x14ac:dyDescent="0.2"/>
    <row r="38106" ht="12.75" hidden="1" customHeight="1" x14ac:dyDescent="0.2"/>
    <row r="38107" ht="12.75" hidden="1" customHeight="1" x14ac:dyDescent="0.2"/>
    <row r="38108" ht="12.75" hidden="1" customHeight="1" x14ac:dyDescent="0.2"/>
    <row r="38109" ht="12.75" hidden="1" customHeight="1" x14ac:dyDescent="0.2"/>
    <row r="38110" ht="12.75" hidden="1" customHeight="1" x14ac:dyDescent="0.2"/>
    <row r="38111" ht="12.75" hidden="1" customHeight="1" x14ac:dyDescent="0.2"/>
    <row r="38112" ht="12.75" hidden="1" customHeight="1" x14ac:dyDescent="0.2"/>
    <row r="38113" ht="12.75" hidden="1" customHeight="1" x14ac:dyDescent="0.2"/>
    <row r="38114" ht="12.75" hidden="1" customHeight="1" x14ac:dyDescent="0.2"/>
    <row r="38115" ht="12.75" hidden="1" customHeight="1" x14ac:dyDescent="0.2"/>
    <row r="38116" ht="12.75" hidden="1" customHeight="1" x14ac:dyDescent="0.2"/>
    <row r="38117" ht="12.75" hidden="1" customHeight="1" x14ac:dyDescent="0.2"/>
    <row r="38118" ht="12.75" hidden="1" customHeight="1" x14ac:dyDescent="0.2"/>
    <row r="38119" ht="12.75" hidden="1" customHeight="1" x14ac:dyDescent="0.2"/>
    <row r="38120" ht="12.75" hidden="1" customHeight="1" x14ac:dyDescent="0.2"/>
    <row r="38121" ht="12.75" hidden="1" customHeight="1" x14ac:dyDescent="0.2"/>
    <row r="38122" ht="12.75" hidden="1" customHeight="1" x14ac:dyDescent="0.2"/>
    <row r="38123" ht="12.75" hidden="1" customHeight="1" x14ac:dyDescent="0.2"/>
    <row r="38124" ht="12.75" hidden="1" customHeight="1" x14ac:dyDescent="0.2"/>
    <row r="38125" ht="12.75" hidden="1" customHeight="1" x14ac:dyDescent="0.2"/>
    <row r="38126" ht="12.75" hidden="1" customHeight="1" x14ac:dyDescent="0.2"/>
    <row r="38127" ht="12.75" hidden="1" customHeight="1" x14ac:dyDescent="0.2"/>
    <row r="38128" ht="12.75" hidden="1" customHeight="1" x14ac:dyDescent="0.2"/>
    <row r="38129" ht="12.75" hidden="1" customHeight="1" x14ac:dyDescent="0.2"/>
    <row r="38130" ht="12.75" hidden="1" customHeight="1" x14ac:dyDescent="0.2"/>
    <row r="38131" ht="12.75" hidden="1" customHeight="1" x14ac:dyDescent="0.2"/>
    <row r="38132" ht="12.75" hidden="1" customHeight="1" x14ac:dyDescent="0.2"/>
    <row r="38133" ht="12.75" hidden="1" customHeight="1" x14ac:dyDescent="0.2"/>
    <row r="38134" ht="12.75" hidden="1" customHeight="1" x14ac:dyDescent="0.2"/>
    <row r="38135" ht="12.75" hidden="1" customHeight="1" x14ac:dyDescent="0.2"/>
    <row r="38136" ht="12.75" hidden="1" customHeight="1" x14ac:dyDescent="0.2"/>
    <row r="38137" ht="12.75" hidden="1" customHeight="1" x14ac:dyDescent="0.2"/>
    <row r="38138" ht="12.75" hidden="1" customHeight="1" x14ac:dyDescent="0.2"/>
    <row r="38139" ht="12.75" hidden="1" customHeight="1" x14ac:dyDescent="0.2"/>
    <row r="38140" ht="12.75" hidden="1" customHeight="1" x14ac:dyDescent="0.2"/>
    <row r="38141" ht="12.75" hidden="1" customHeight="1" x14ac:dyDescent="0.2"/>
    <row r="38142" ht="12.75" hidden="1" customHeight="1" x14ac:dyDescent="0.2"/>
    <row r="38143" ht="12.75" hidden="1" customHeight="1" x14ac:dyDescent="0.2"/>
    <row r="38144" ht="12.75" hidden="1" customHeight="1" x14ac:dyDescent="0.2"/>
    <row r="38145" ht="12.75" hidden="1" customHeight="1" x14ac:dyDescent="0.2"/>
    <row r="38146" ht="12.75" hidden="1" customHeight="1" x14ac:dyDescent="0.2"/>
    <row r="38147" ht="12.75" hidden="1" customHeight="1" x14ac:dyDescent="0.2"/>
    <row r="38148" ht="12.75" hidden="1" customHeight="1" x14ac:dyDescent="0.2"/>
    <row r="38149" ht="12.75" hidden="1" customHeight="1" x14ac:dyDescent="0.2"/>
    <row r="38150" ht="12.75" hidden="1" customHeight="1" x14ac:dyDescent="0.2"/>
    <row r="38151" ht="12.75" hidden="1" customHeight="1" x14ac:dyDescent="0.2"/>
    <row r="38152" ht="12.75" hidden="1" customHeight="1" x14ac:dyDescent="0.2"/>
    <row r="38153" ht="12.75" hidden="1" customHeight="1" x14ac:dyDescent="0.2"/>
    <row r="38154" ht="12.75" hidden="1" customHeight="1" x14ac:dyDescent="0.2"/>
    <row r="38155" ht="12.75" hidden="1" customHeight="1" x14ac:dyDescent="0.2"/>
    <row r="38156" ht="12.75" hidden="1" customHeight="1" x14ac:dyDescent="0.2"/>
    <row r="38157" ht="12.75" hidden="1" customHeight="1" x14ac:dyDescent="0.2"/>
    <row r="38158" ht="12.75" hidden="1" customHeight="1" x14ac:dyDescent="0.2"/>
    <row r="38159" ht="12.75" hidden="1" customHeight="1" x14ac:dyDescent="0.2"/>
    <row r="38160" ht="12.75" hidden="1" customHeight="1" x14ac:dyDescent="0.2"/>
    <row r="38161" ht="12.75" hidden="1" customHeight="1" x14ac:dyDescent="0.2"/>
    <row r="38162" ht="12.75" hidden="1" customHeight="1" x14ac:dyDescent="0.2"/>
    <row r="38163" ht="12.75" hidden="1" customHeight="1" x14ac:dyDescent="0.2"/>
    <row r="38164" ht="12.75" hidden="1" customHeight="1" x14ac:dyDescent="0.2"/>
    <row r="38165" ht="12.75" hidden="1" customHeight="1" x14ac:dyDescent="0.2"/>
    <row r="38166" ht="12.75" hidden="1" customHeight="1" x14ac:dyDescent="0.2"/>
    <row r="38167" ht="12.75" hidden="1" customHeight="1" x14ac:dyDescent="0.2"/>
    <row r="38168" ht="12.75" hidden="1" customHeight="1" x14ac:dyDescent="0.2"/>
    <row r="38169" ht="12.75" hidden="1" customHeight="1" x14ac:dyDescent="0.2"/>
    <row r="38170" ht="12.75" hidden="1" customHeight="1" x14ac:dyDescent="0.2"/>
    <row r="38171" ht="12.75" hidden="1" customHeight="1" x14ac:dyDescent="0.2"/>
    <row r="38172" ht="12.75" hidden="1" customHeight="1" x14ac:dyDescent="0.2"/>
    <row r="38173" ht="12.75" hidden="1" customHeight="1" x14ac:dyDescent="0.2"/>
    <row r="38174" ht="12.75" hidden="1" customHeight="1" x14ac:dyDescent="0.2"/>
    <row r="38175" ht="12.75" hidden="1" customHeight="1" x14ac:dyDescent="0.2"/>
    <row r="38176" ht="12.75" hidden="1" customHeight="1" x14ac:dyDescent="0.2"/>
    <row r="38177" ht="12.75" hidden="1" customHeight="1" x14ac:dyDescent="0.2"/>
    <row r="38178" ht="12.75" hidden="1" customHeight="1" x14ac:dyDescent="0.2"/>
    <row r="38179" ht="12.75" hidden="1" customHeight="1" x14ac:dyDescent="0.2"/>
    <row r="38180" ht="12.75" hidden="1" customHeight="1" x14ac:dyDescent="0.2"/>
    <row r="38181" ht="12.75" hidden="1" customHeight="1" x14ac:dyDescent="0.2"/>
    <row r="38182" ht="12.75" hidden="1" customHeight="1" x14ac:dyDescent="0.2"/>
    <row r="38183" ht="12.75" hidden="1" customHeight="1" x14ac:dyDescent="0.2"/>
    <row r="38184" ht="12.75" hidden="1" customHeight="1" x14ac:dyDescent="0.2"/>
    <row r="38185" ht="12.75" hidden="1" customHeight="1" x14ac:dyDescent="0.2"/>
    <row r="38186" ht="12.75" hidden="1" customHeight="1" x14ac:dyDescent="0.2"/>
    <row r="38187" ht="12.75" hidden="1" customHeight="1" x14ac:dyDescent="0.2"/>
    <row r="38188" ht="12.75" hidden="1" customHeight="1" x14ac:dyDescent="0.2"/>
    <row r="38189" ht="12.75" hidden="1" customHeight="1" x14ac:dyDescent="0.2"/>
    <row r="38190" ht="12.75" hidden="1" customHeight="1" x14ac:dyDescent="0.2"/>
    <row r="38191" ht="12.75" hidden="1" customHeight="1" x14ac:dyDescent="0.2"/>
    <row r="38192" ht="12.75" hidden="1" customHeight="1" x14ac:dyDescent="0.2"/>
    <row r="38193" ht="12.75" hidden="1" customHeight="1" x14ac:dyDescent="0.2"/>
    <row r="38194" ht="12.75" hidden="1" customHeight="1" x14ac:dyDescent="0.2"/>
    <row r="38195" ht="12.75" hidden="1" customHeight="1" x14ac:dyDescent="0.2"/>
    <row r="38196" ht="12.75" hidden="1" customHeight="1" x14ac:dyDescent="0.2"/>
    <row r="38197" ht="12.75" hidden="1" customHeight="1" x14ac:dyDescent="0.2"/>
    <row r="38198" ht="12.75" hidden="1" customHeight="1" x14ac:dyDescent="0.2"/>
    <row r="38199" ht="12.75" hidden="1" customHeight="1" x14ac:dyDescent="0.2"/>
    <row r="38200" ht="12.75" hidden="1" customHeight="1" x14ac:dyDescent="0.2"/>
    <row r="38201" ht="12.75" hidden="1" customHeight="1" x14ac:dyDescent="0.2"/>
    <row r="38202" ht="12.75" hidden="1" customHeight="1" x14ac:dyDescent="0.2"/>
    <row r="38203" ht="12.75" hidden="1" customHeight="1" x14ac:dyDescent="0.2"/>
    <row r="38204" ht="12.75" hidden="1" customHeight="1" x14ac:dyDescent="0.2"/>
    <row r="38205" ht="12.75" hidden="1" customHeight="1" x14ac:dyDescent="0.2"/>
    <row r="38206" ht="12.75" hidden="1" customHeight="1" x14ac:dyDescent="0.2"/>
    <row r="38207" ht="12.75" hidden="1" customHeight="1" x14ac:dyDescent="0.2"/>
    <row r="38208" ht="12.75" hidden="1" customHeight="1" x14ac:dyDescent="0.2"/>
    <row r="38209" ht="12.75" hidden="1" customHeight="1" x14ac:dyDescent="0.2"/>
    <row r="38210" ht="12.75" hidden="1" customHeight="1" x14ac:dyDescent="0.2"/>
    <row r="38211" ht="12.75" hidden="1" customHeight="1" x14ac:dyDescent="0.2"/>
    <row r="38212" ht="12.75" hidden="1" customHeight="1" x14ac:dyDescent="0.2"/>
    <row r="38213" ht="12.75" hidden="1" customHeight="1" x14ac:dyDescent="0.2"/>
    <row r="38214" ht="12.75" hidden="1" customHeight="1" x14ac:dyDescent="0.2"/>
    <row r="38215" ht="12.75" hidden="1" customHeight="1" x14ac:dyDescent="0.2"/>
    <row r="38216" ht="12.75" hidden="1" customHeight="1" x14ac:dyDescent="0.2"/>
    <row r="38217" ht="12.75" hidden="1" customHeight="1" x14ac:dyDescent="0.2"/>
    <row r="38218" ht="12.75" hidden="1" customHeight="1" x14ac:dyDescent="0.2"/>
    <row r="38219" ht="12.75" hidden="1" customHeight="1" x14ac:dyDescent="0.2"/>
    <row r="38220" ht="12.75" hidden="1" customHeight="1" x14ac:dyDescent="0.2"/>
    <row r="38221" ht="12.75" hidden="1" customHeight="1" x14ac:dyDescent="0.2"/>
    <row r="38222" ht="12.75" hidden="1" customHeight="1" x14ac:dyDescent="0.2"/>
    <row r="38223" ht="12.75" hidden="1" customHeight="1" x14ac:dyDescent="0.2"/>
    <row r="38224" ht="12.75" hidden="1" customHeight="1" x14ac:dyDescent="0.2"/>
    <row r="38225" ht="12.75" hidden="1" customHeight="1" x14ac:dyDescent="0.2"/>
    <row r="38226" ht="12.75" hidden="1" customHeight="1" x14ac:dyDescent="0.2"/>
    <row r="38227" ht="12.75" hidden="1" customHeight="1" x14ac:dyDescent="0.2"/>
    <row r="38228" ht="12.75" hidden="1" customHeight="1" x14ac:dyDescent="0.2"/>
    <row r="38229" ht="12.75" hidden="1" customHeight="1" x14ac:dyDescent="0.2"/>
    <row r="38230" ht="12.75" hidden="1" customHeight="1" x14ac:dyDescent="0.2"/>
    <row r="38231" ht="12.75" hidden="1" customHeight="1" x14ac:dyDescent="0.2"/>
    <row r="38232" ht="12.75" hidden="1" customHeight="1" x14ac:dyDescent="0.2"/>
    <row r="38233" ht="12.75" hidden="1" customHeight="1" x14ac:dyDescent="0.2"/>
    <row r="38234" ht="12.75" hidden="1" customHeight="1" x14ac:dyDescent="0.2"/>
    <row r="38235" ht="12.75" hidden="1" customHeight="1" x14ac:dyDescent="0.2"/>
    <row r="38236" ht="12.75" hidden="1" customHeight="1" x14ac:dyDescent="0.2"/>
    <row r="38237" ht="12.75" hidden="1" customHeight="1" x14ac:dyDescent="0.2"/>
    <row r="38238" ht="12.75" hidden="1" customHeight="1" x14ac:dyDescent="0.2"/>
    <row r="38239" ht="12.75" hidden="1" customHeight="1" x14ac:dyDescent="0.2"/>
    <row r="38240" ht="12.75" hidden="1" customHeight="1" x14ac:dyDescent="0.2"/>
    <row r="38241" ht="12.75" hidden="1" customHeight="1" x14ac:dyDescent="0.2"/>
    <row r="38242" ht="12.75" hidden="1" customHeight="1" x14ac:dyDescent="0.2"/>
    <row r="38243" ht="12.75" hidden="1" customHeight="1" x14ac:dyDescent="0.2"/>
    <row r="38244" ht="12.75" hidden="1" customHeight="1" x14ac:dyDescent="0.2"/>
    <row r="38245" ht="12.75" hidden="1" customHeight="1" x14ac:dyDescent="0.2"/>
    <row r="38246" ht="12.75" hidden="1" customHeight="1" x14ac:dyDescent="0.2"/>
    <row r="38247" ht="12.75" hidden="1" customHeight="1" x14ac:dyDescent="0.2"/>
    <row r="38248" ht="12.75" hidden="1" customHeight="1" x14ac:dyDescent="0.2"/>
    <row r="38249" ht="12.75" hidden="1" customHeight="1" x14ac:dyDescent="0.2"/>
    <row r="38250" ht="12.75" hidden="1" customHeight="1" x14ac:dyDescent="0.2"/>
    <row r="38251" ht="12.75" hidden="1" customHeight="1" x14ac:dyDescent="0.2"/>
    <row r="38252" ht="12.75" hidden="1" customHeight="1" x14ac:dyDescent="0.2"/>
    <row r="38253" ht="12.75" hidden="1" customHeight="1" x14ac:dyDescent="0.2"/>
    <row r="38254" ht="12.75" hidden="1" customHeight="1" x14ac:dyDescent="0.2"/>
    <row r="38255" ht="12.75" hidden="1" customHeight="1" x14ac:dyDescent="0.2"/>
    <row r="38256" ht="12.75" hidden="1" customHeight="1" x14ac:dyDescent="0.2"/>
    <row r="38257" ht="12.75" hidden="1" customHeight="1" x14ac:dyDescent="0.2"/>
    <row r="38258" ht="12.75" hidden="1" customHeight="1" x14ac:dyDescent="0.2"/>
    <row r="38259" ht="12.75" hidden="1" customHeight="1" x14ac:dyDescent="0.2"/>
    <row r="38260" ht="12.75" hidden="1" customHeight="1" x14ac:dyDescent="0.2"/>
    <row r="38261" ht="12.75" hidden="1" customHeight="1" x14ac:dyDescent="0.2"/>
    <row r="38262" ht="12.75" hidden="1" customHeight="1" x14ac:dyDescent="0.2"/>
    <row r="38263" ht="12.75" hidden="1" customHeight="1" x14ac:dyDescent="0.2"/>
    <row r="38264" ht="12.75" hidden="1" customHeight="1" x14ac:dyDescent="0.2"/>
    <row r="38265" ht="12.75" hidden="1" customHeight="1" x14ac:dyDescent="0.2"/>
    <row r="38266" ht="12.75" hidden="1" customHeight="1" x14ac:dyDescent="0.2"/>
    <row r="38267" ht="12.75" hidden="1" customHeight="1" x14ac:dyDescent="0.2"/>
    <row r="38268" ht="12.75" hidden="1" customHeight="1" x14ac:dyDescent="0.2"/>
    <row r="38269" ht="12.75" hidden="1" customHeight="1" x14ac:dyDescent="0.2"/>
    <row r="38270" ht="12.75" hidden="1" customHeight="1" x14ac:dyDescent="0.2"/>
    <row r="38271" ht="12.75" hidden="1" customHeight="1" x14ac:dyDescent="0.2"/>
    <row r="38272" ht="12.75" hidden="1" customHeight="1" x14ac:dyDescent="0.2"/>
    <row r="38273" ht="12.75" hidden="1" customHeight="1" x14ac:dyDescent="0.2"/>
    <row r="38274" ht="12.75" hidden="1" customHeight="1" x14ac:dyDescent="0.2"/>
    <row r="38275" ht="12.75" hidden="1" customHeight="1" x14ac:dyDescent="0.2"/>
    <row r="38276" ht="12.75" hidden="1" customHeight="1" x14ac:dyDescent="0.2"/>
    <row r="38277" ht="12.75" hidden="1" customHeight="1" x14ac:dyDescent="0.2"/>
    <row r="38278" ht="12.75" hidden="1" customHeight="1" x14ac:dyDescent="0.2"/>
    <row r="38279" ht="12.75" hidden="1" customHeight="1" x14ac:dyDescent="0.2"/>
    <row r="38280" ht="12.75" hidden="1" customHeight="1" x14ac:dyDescent="0.2"/>
    <row r="38281" ht="12.75" hidden="1" customHeight="1" x14ac:dyDescent="0.2"/>
    <row r="38282" ht="12.75" hidden="1" customHeight="1" x14ac:dyDescent="0.2"/>
    <row r="38283" ht="12.75" hidden="1" customHeight="1" x14ac:dyDescent="0.2"/>
    <row r="38284" ht="12.75" hidden="1" customHeight="1" x14ac:dyDescent="0.2"/>
    <row r="38285" ht="12.75" hidden="1" customHeight="1" x14ac:dyDescent="0.2"/>
    <row r="38286" ht="12.75" hidden="1" customHeight="1" x14ac:dyDescent="0.2"/>
    <row r="38287" ht="12.75" hidden="1" customHeight="1" x14ac:dyDescent="0.2"/>
    <row r="38288" ht="12.75" hidden="1" customHeight="1" x14ac:dyDescent="0.2"/>
    <row r="38289" ht="12.75" hidden="1" customHeight="1" x14ac:dyDescent="0.2"/>
    <row r="38290" ht="12.75" hidden="1" customHeight="1" x14ac:dyDescent="0.2"/>
    <row r="38291" ht="12.75" hidden="1" customHeight="1" x14ac:dyDescent="0.2"/>
    <row r="38292" ht="12.75" hidden="1" customHeight="1" x14ac:dyDescent="0.2"/>
    <row r="38293" ht="12.75" hidden="1" customHeight="1" x14ac:dyDescent="0.2"/>
    <row r="38294" ht="12.75" hidden="1" customHeight="1" x14ac:dyDescent="0.2"/>
    <row r="38295" ht="12.75" hidden="1" customHeight="1" x14ac:dyDescent="0.2"/>
    <row r="38296" ht="12.75" hidden="1" customHeight="1" x14ac:dyDescent="0.2"/>
    <row r="38297" ht="12.75" hidden="1" customHeight="1" x14ac:dyDescent="0.2"/>
    <row r="38298" ht="12.75" hidden="1" customHeight="1" x14ac:dyDescent="0.2"/>
    <row r="38299" ht="12.75" hidden="1" customHeight="1" x14ac:dyDescent="0.2"/>
    <row r="38300" ht="12.75" hidden="1" customHeight="1" x14ac:dyDescent="0.2"/>
    <row r="38301" ht="12.75" hidden="1" customHeight="1" x14ac:dyDescent="0.2"/>
    <row r="38302" ht="12.75" hidden="1" customHeight="1" x14ac:dyDescent="0.2"/>
    <row r="38303" ht="12.75" hidden="1" customHeight="1" x14ac:dyDescent="0.2"/>
    <row r="38304" ht="12.75" hidden="1" customHeight="1" x14ac:dyDescent="0.2"/>
    <row r="38305" ht="12.75" hidden="1" customHeight="1" x14ac:dyDescent="0.2"/>
    <row r="38306" ht="12.75" hidden="1" customHeight="1" x14ac:dyDescent="0.2"/>
    <row r="38307" ht="12.75" hidden="1" customHeight="1" x14ac:dyDescent="0.2"/>
    <row r="38308" ht="12.75" hidden="1" customHeight="1" x14ac:dyDescent="0.2"/>
    <row r="38309" ht="12.75" hidden="1" customHeight="1" x14ac:dyDescent="0.2"/>
    <row r="38310" ht="12.75" hidden="1" customHeight="1" x14ac:dyDescent="0.2"/>
    <row r="38311" ht="12.75" hidden="1" customHeight="1" x14ac:dyDescent="0.2"/>
    <row r="38312" ht="12.75" hidden="1" customHeight="1" x14ac:dyDescent="0.2"/>
    <row r="38313" ht="12.75" hidden="1" customHeight="1" x14ac:dyDescent="0.2"/>
    <row r="38314" ht="12.75" hidden="1" customHeight="1" x14ac:dyDescent="0.2"/>
    <row r="38315" ht="12.75" hidden="1" customHeight="1" x14ac:dyDescent="0.2"/>
    <row r="38316" ht="12.75" hidden="1" customHeight="1" x14ac:dyDescent="0.2"/>
    <row r="38317" ht="12.75" hidden="1" customHeight="1" x14ac:dyDescent="0.2"/>
    <row r="38318" ht="12.75" hidden="1" customHeight="1" x14ac:dyDescent="0.2"/>
    <row r="38319" ht="12.75" hidden="1" customHeight="1" x14ac:dyDescent="0.2"/>
    <row r="38320" ht="12.75" hidden="1" customHeight="1" x14ac:dyDescent="0.2"/>
    <row r="38321" ht="12.75" hidden="1" customHeight="1" x14ac:dyDescent="0.2"/>
    <row r="38322" ht="12.75" hidden="1" customHeight="1" x14ac:dyDescent="0.2"/>
    <row r="38323" ht="12.75" hidden="1" customHeight="1" x14ac:dyDescent="0.2"/>
    <row r="38324" ht="12.75" hidden="1" customHeight="1" x14ac:dyDescent="0.2"/>
    <row r="38325" ht="12.75" hidden="1" customHeight="1" x14ac:dyDescent="0.2"/>
    <row r="38326" ht="12.75" hidden="1" customHeight="1" x14ac:dyDescent="0.2"/>
    <row r="38327" ht="12.75" hidden="1" customHeight="1" x14ac:dyDescent="0.2"/>
    <row r="38328" ht="12.75" hidden="1" customHeight="1" x14ac:dyDescent="0.2"/>
    <row r="38329" ht="12.75" hidden="1" customHeight="1" x14ac:dyDescent="0.2"/>
    <row r="38330" ht="12.75" hidden="1" customHeight="1" x14ac:dyDescent="0.2"/>
    <row r="38331" ht="12.75" hidden="1" customHeight="1" x14ac:dyDescent="0.2"/>
    <row r="38332" ht="12.75" hidden="1" customHeight="1" x14ac:dyDescent="0.2"/>
    <row r="38333" ht="12.75" hidden="1" customHeight="1" x14ac:dyDescent="0.2"/>
    <row r="38334" ht="12.75" hidden="1" customHeight="1" x14ac:dyDescent="0.2"/>
    <row r="38335" ht="12.75" hidden="1" customHeight="1" x14ac:dyDescent="0.2"/>
    <row r="38336" ht="12.75" hidden="1" customHeight="1" x14ac:dyDescent="0.2"/>
    <row r="38337" ht="12.75" hidden="1" customHeight="1" x14ac:dyDescent="0.2"/>
    <row r="38338" ht="12.75" hidden="1" customHeight="1" x14ac:dyDescent="0.2"/>
    <row r="38339" ht="12.75" hidden="1" customHeight="1" x14ac:dyDescent="0.2"/>
    <row r="38340" ht="12.75" hidden="1" customHeight="1" x14ac:dyDescent="0.2"/>
    <row r="38341" ht="12.75" hidden="1" customHeight="1" x14ac:dyDescent="0.2"/>
    <row r="38342" ht="12.75" hidden="1" customHeight="1" x14ac:dyDescent="0.2"/>
    <row r="38343" ht="12.75" hidden="1" customHeight="1" x14ac:dyDescent="0.2"/>
    <row r="38344" ht="12.75" hidden="1" customHeight="1" x14ac:dyDescent="0.2"/>
    <row r="38345" ht="12.75" hidden="1" customHeight="1" x14ac:dyDescent="0.2"/>
    <row r="38346" ht="12.75" hidden="1" customHeight="1" x14ac:dyDescent="0.2"/>
    <row r="38347" ht="12.75" hidden="1" customHeight="1" x14ac:dyDescent="0.2"/>
    <row r="38348" ht="12.75" hidden="1" customHeight="1" x14ac:dyDescent="0.2"/>
    <row r="38349" ht="12.75" hidden="1" customHeight="1" x14ac:dyDescent="0.2"/>
    <row r="38350" ht="12.75" hidden="1" customHeight="1" x14ac:dyDescent="0.2"/>
    <row r="38351" ht="12.75" hidden="1" customHeight="1" x14ac:dyDescent="0.2"/>
    <row r="38352" ht="12.75" hidden="1" customHeight="1" x14ac:dyDescent="0.2"/>
    <row r="38353" ht="12.75" hidden="1" customHeight="1" x14ac:dyDescent="0.2"/>
    <row r="38354" ht="12.75" hidden="1" customHeight="1" x14ac:dyDescent="0.2"/>
    <row r="38355" ht="12.75" hidden="1" customHeight="1" x14ac:dyDescent="0.2"/>
    <row r="38356" ht="12.75" hidden="1" customHeight="1" x14ac:dyDescent="0.2"/>
    <row r="38357" ht="12.75" hidden="1" customHeight="1" x14ac:dyDescent="0.2"/>
    <row r="38358" ht="12.75" hidden="1" customHeight="1" x14ac:dyDescent="0.2"/>
    <row r="38359" ht="12.75" hidden="1" customHeight="1" x14ac:dyDescent="0.2"/>
    <row r="38360" ht="12.75" hidden="1" customHeight="1" x14ac:dyDescent="0.2"/>
    <row r="38361" ht="12.75" hidden="1" customHeight="1" x14ac:dyDescent="0.2"/>
    <row r="38362" ht="12.75" hidden="1" customHeight="1" x14ac:dyDescent="0.2"/>
    <row r="38363" ht="12.75" hidden="1" customHeight="1" x14ac:dyDescent="0.2"/>
    <row r="38364" ht="12.75" hidden="1" customHeight="1" x14ac:dyDescent="0.2"/>
    <row r="38365" ht="12.75" hidden="1" customHeight="1" x14ac:dyDescent="0.2"/>
    <row r="38366" ht="12.75" hidden="1" customHeight="1" x14ac:dyDescent="0.2"/>
    <row r="38367" ht="12.75" hidden="1" customHeight="1" x14ac:dyDescent="0.2"/>
    <row r="38368" ht="12.75" hidden="1" customHeight="1" x14ac:dyDescent="0.2"/>
    <row r="38369" ht="12.75" hidden="1" customHeight="1" x14ac:dyDescent="0.2"/>
    <row r="38370" ht="12.75" hidden="1" customHeight="1" x14ac:dyDescent="0.2"/>
    <row r="38371" ht="12.75" hidden="1" customHeight="1" x14ac:dyDescent="0.2"/>
    <row r="38372" ht="12.75" hidden="1" customHeight="1" x14ac:dyDescent="0.2"/>
    <row r="38373" ht="12.75" hidden="1" customHeight="1" x14ac:dyDescent="0.2"/>
    <row r="38374" ht="12.75" hidden="1" customHeight="1" x14ac:dyDescent="0.2"/>
    <row r="38375" ht="12.75" hidden="1" customHeight="1" x14ac:dyDescent="0.2"/>
    <row r="38376" ht="12.75" hidden="1" customHeight="1" x14ac:dyDescent="0.2"/>
    <row r="38377" ht="12.75" hidden="1" customHeight="1" x14ac:dyDescent="0.2"/>
    <row r="38378" ht="12.75" hidden="1" customHeight="1" x14ac:dyDescent="0.2"/>
    <row r="38379" ht="12.75" hidden="1" customHeight="1" x14ac:dyDescent="0.2"/>
    <row r="38380" ht="12.75" hidden="1" customHeight="1" x14ac:dyDescent="0.2"/>
    <row r="38381" ht="12.75" hidden="1" customHeight="1" x14ac:dyDescent="0.2"/>
    <row r="38382" ht="12.75" hidden="1" customHeight="1" x14ac:dyDescent="0.2"/>
    <row r="38383" ht="12.75" hidden="1" customHeight="1" x14ac:dyDescent="0.2"/>
    <row r="38384" ht="12.75" hidden="1" customHeight="1" x14ac:dyDescent="0.2"/>
    <row r="38385" ht="12.75" hidden="1" customHeight="1" x14ac:dyDescent="0.2"/>
    <row r="38386" ht="12.75" hidden="1" customHeight="1" x14ac:dyDescent="0.2"/>
    <row r="38387" ht="12.75" hidden="1" customHeight="1" x14ac:dyDescent="0.2"/>
    <row r="38388" ht="12.75" hidden="1" customHeight="1" x14ac:dyDescent="0.2"/>
    <row r="38389" ht="12.75" hidden="1" customHeight="1" x14ac:dyDescent="0.2"/>
    <row r="38390" ht="12.75" hidden="1" customHeight="1" x14ac:dyDescent="0.2"/>
    <row r="38391" ht="12.75" hidden="1" customHeight="1" x14ac:dyDescent="0.2"/>
    <row r="38392" ht="12.75" hidden="1" customHeight="1" x14ac:dyDescent="0.2"/>
    <row r="38393" ht="12.75" hidden="1" customHeight="1" x14ac:dyDescent="0.2"/>
    <row r="38394" ht="12.75" hidden="1" customHeight="1" x14ac:dyDescent="0.2"/>
    <row r="38395" ht="12.75" hidden="1" customHeight="1" x14ac:dyDescent="0.2"/>
    <row r="38396" ht="12.75" hidden="1" customHeight="1" x14ac:dyDescent="0.2"/>
    <row r="38397" ht="12.75" hidden="1" customHeight="1" x14ac:dyDescent="0.2"/>
    <row r="38398" ht="12.75" hidden="1" customHeight="1" x14ac:dyDescent="0.2"/>
    <row r="38399" ht="12.75" hidden="1" customHeight="1" x14ac:dyDescent="0.2"/>
    <row r="38400" ht="12.75" hidden="1" customHeight="1" x14ac:dyDescent="0.2"/>
    <row r="38401" ht="12.75" hidden="1" customHeight="1" x14ac:dyDescent="0.2"/>
    <row r="38402" ht="12.75" hidden="1" customHeight="1" x14ac:dyDescent="0.2"/>
    <row r="38403" ht="12.75" hidden="1" customHeight="1" x14ac:dyDescent="0.2"/>
    <row r="38404" ht="12.75" hidden="1" customHeight="1" x14ac:dyDescent="0.2"/>
    <row r="38405" ht="12.75" hidden="1" customHeight="1" x14ac:dyDescent="0.2"/>
    <row r="38406" ht="12.75" hidden="1" customHeight="1" x14ac:dyDescent="0.2"/>
    <row r="38407" ht="12.75" hidden="1" customHeight="1" x14ac:dyDescent="0.2"/>
    <row r="38408" ht="12.75" hidden="1" customHeight="1" x14ac:dyDescent="0.2"/>
    <row r="38409" ht="12.75" hidden="1" customHeight="1" x14ac:dyDescent="0.2"/>
    <row r="38410" ht="12.75" hidden="1" customHeight="1" x14ac:dyDescent="0.2"/>
    <row r="38411" ht="12.75" hidden="1" customHeight="1" x14ac:dyDescent="0.2"/>
    <row r="38412" ht="12.75" hidden="1" customHeight="1" x14ac:dyDescent="0.2"/>
    <row r="38413" ht="12.75" hidden="1" customHeight="1" x14ac:dyDescent="0.2"/>
    <row r="38414" ht="12.75" hidden="1" customHeight="1" x14ac:dyDescent="0.2"/>
    <row r="38415" ht="12.75" hidden="1" customHeight="1" x14ac:dyDescent="0.2"/>
    <row r="38416" ht="12.75" hidden="1" customHeight="1" x14ac:dyDescent="0.2"/>
    <row r="38417" ht="12.75" hidden="1" customHeight="1" x14ac:dyDescent="0.2"/>
    <row r="38418" ht="12.75" hidden="1" customHeight="1" x14ac:dyDescent="0.2"/>
    <row r="38419" ht="12.75" hidden="1" customHeight="1" x14ac:dyDescent="0.2"/>
    <row r="38420" ht="12.75" hidden="1" customHeight="1" x14ac:dyDescent="0.2"/>
    <row r="38421" ht="12.75" hidden="1" customHeight="1" x14ac:dyDescent="0.2"/>
    <row r="38422" ht="12.75" hidden="1" customHeight="1" x14ac:dyDescent="0.2"/>
    <row r="38423" ht="12.75" hidden="1" customHeight="1" x14ac:dyDescent="0.2"/>
    <row r="38424" ht="12.75" hidden="1" customHeight="1" x14ac:dyDescent="0.2"/>
    <row r="38425" ht="12.75" hidden="1" customHeight="1" x14ac:dyDescent="0.2"/>
    <row r="38426" ht="12.75" hidden="1" customHeight="1" x14ac:dyDescent="0.2"/>
    <row r="38427" ht="12.75" hidden="1" customHeight="1" x14ac:dyDescent="0.2"/>
    <row r="38428" ht="12.75" hidden="1" customHeight="1" x14ac:dyDescent="0.2"/>
    <row r="38429" ht="12.75" hidden="1" customHeight="1" x14ac:dyDescent="0.2"/>
    <row r="38430" ht="12.75" hidden="1" customHeight="1" x14ac:dyDescent="0.2"/>
    <row r="38431" ht="12.75" hidden="1" customHeight="1" x14ac:dyDescent="0.2"/>
    <row r="38432" ht="12.75" hidden="1" customHeight="1" x14ac:dyDescent="0.2"/>
    <row r="38433" ht="12.75" hidden="1" customHeight="1" x14ac:dyDescent="0.2"/>
    <row r="38434" ht="12.75" hidden="1" customHeight="1" x14ac:dyDescent="0.2"/>
    <row r="38435" ht="12.75" hidden="1" customHeight="1" x14ac:dyDescent="0.2"/>
    <row r="38436" ht="12.75" hidden="1" customHeight="1" x14ac:dyDescent="0.2"/>
    <row r="38437" ht="12.75" hidden="1" customHeight="1" x14ac:dyDescent="0.2"/>
    <row r="38438" ht="12.75" hidden="1" customHeight="1" x14ac:dyDescent="0.2"/>
    <row r="38439" ht="12.75" hidden="1" customHeight="1" x14ac:dyDescent="0.2"/>
    <row r="38440" ht="12.75" hidden="1" customHeight="1" x14ac:dyDescent="0.2"/>
    <row r="38441" ht="12.75" hidden="1" customHeight="1" x14ac:dyDescent="0.2"/>
    <row r="38442" ht="12.75" hidden="1" customHeight="1" x14ac:dyDescent="0.2"/>
    <row r="38443" ht="12.75" hidden="1" customHeight="1" x14ac:dyDescent="0.2"/>
    <row r="38444" ht="12.75" hidden="1" customHeight="1" x14ac:dyDescent="0.2"/>
    <row r="38445" ht="12.75" hidden="1" customHeight="1" x14ac:dyDescent="0.2"/>
    <row r="38446" ht="12.75" hidden="1" customHeight="1" x14ac:dyDescent="0.2"/>
    <row r="38447" ht="12.75" hidden="1" customHeight="1" x14ac:dyDescent="0.2"/>
    <row r="38448" ht="12.75" hidden="1" customHeight="1" x14ac:dyDescent="0.2"/>
    <row r="38449" ht="12.75" hidden="1" customHeight="1" x14ac:dyDescent="0.2"/>
    <row r="38450" ht="12.75" hidden="1" customHeight="1" x14ac:dyDescent="0.2"/>
    <row r="38451" ht="12.75" hidden="1" customHeight="1" x14ac:dyDescent="0.2"/>
    <row r="38452" ht="12.75" hidden="1" customHeight="1" x14ac:dyDescent="0.2"/>
    <row r="38453" ht="12.75" hidden="1" customHeight="1" x14ac:dyDescent="0.2"/>
    <row r="38454" ht="12.75" hidden="1" customHeight="1" x14ac:dyDescent="0.2"/>
    <row r="38455" ht="12.75" hidden="1" customHeight="1" x14ac:dyDescent="0.2"/>
    <row r="38456" ht="12.75" hidden="1" customHeight="1" x14ac:dyDescent="0.2"/>
    <row r="38457" ht="12.75" hidden="1" customHeight="1" x14ac:dyDescent="0.2"/>
    <row r="38458" ht="12.75" hidden="1" customHeight="1" x14ac:dyDescent="0.2"/>
    <row r="38459" ht="12.75" hidden="1" customHeight="1" x14ac:dyDescent="0.2"/>
    <row r="38460" ht="12.75" hidden="1" customHeight="1" x14ac:dyDescent="0.2"/>
    <row r="38461" ht="12.75" hidden="1" customHeight="1" x14ac:dyDescent="0.2"/>
    <row r="38462" ht="12.75" hidden="1" customHeight="1" x14ac:dyDescent="0.2"/>
    <row r="38463" ht="12.75" hidden="1" customHeight="1" x14ac:dyDescent="0.2"/>
    <row r="38464" ht="12.75" hidden="1" customHeight="1" x14ac:dyDescent="0.2"/>
    <row r="38465" ht="12.75" hidden="1" customHeight="1" x14ac:dyDescent="0.2"/>
    <row r="38466" ht="12.75" hidden="1" customHeight="1" x14ac:dyDescent="0.2"/>
    <row r="38467" ht="12.75" hidden="1" customHeight="1" x14ac:dyDescent="0.2"/>
    <row r="38468" ht="12.75" hidden="1" customHeight="1" x14ac:dyDescent="0.2"/>
    <row r="38469" ht="12.75" hidden="1" customHeight="1" x14ac:dyDescent="0.2"/>
    <row r="38470" ht="12.75" hidden="1" customHeight="1" x14ac:dyDescent="0.2"/>
    <row r="38471" ht="12.75" hidden="1" customHeight="1" x14ac:dyDescent="0.2"/>
    <row r="38472" ht="12.75" hidden="1" customHeight="1" x14ac:dyDescent="0.2"/>
    <row r="38473" ht="12.75" hidden="1" customHeight="1" x14ac:dyDescent="0.2"/>
    <row r="38474" ht="12.75" hidden="1" customHeight="1" x14ac:dyDescent="0.2"/>
    <row r="38475" ht="12.75" hidden="1" customHeight="1" x14ac:dyDescent="0.2"/>
    <row r="38476" ht="12.75" hidden="1" customHeight="1" x14ac:dyDescent="0.2"/>
    <row r="38477" ht="12.75" hidden="1" customHeight="1" x14ac:dyDescent="0.2"/>
    <row r="38478" ht="12.75" hidden="1" customHeight="1" x14ac:dyDescent="0.2"/>
    <row r="38479" ht="12.75" hidden="1" customHeight="1" x14ac:dyDescent="0.2"/>
    <row r="38480" ht="12.75" hidden="1" customHeight="1" x14ac:dyDescent="0.2"/>
    <row r="38481" ht="12.75" hidden="1" customHeight="1" x14ac:dyDescent="0.2"/>
    <row r="38482" ht="12.75" hidden="1" customHeight="1" x14ac:dyDescent="0.2"/>
    <row r="38483" ht="12.75" hidden="1" customHeight="1" x14ac:dyDescent="0.2"/>
    <row r="38484" ht="12.75" hidden="1" customHeight="1" x14ac:dyDescent="0.2"/>
    <row r="38485" ht="12.75" hidden="1" customHeight="1" x14ac:dyDescent="0.2"/>
    <row r="38486" ht="12.75" hidden="1" customHeight="1" x14ac:dyDescent="0.2"/>
    <row r="38487" ht="12.75" hidden="1" customHeight="1" x14ac:dyDescent="0.2"/>
    <row r="38488" ht="12.75" hidden="1" customHeight="1" x14ac:dyDescent="0.2"/>
    <row r="38489" ht="12.75" hidden="1" customHeight="1" x14ac:dyDescent="0.2"/>
    <row r="38490" ht="12.75" hidden="1" customHeight="1" x14ac:dyDescent="0.2"/>
    <row r="38491" ht="12.75" hidden="1" customHeight="1" x14ac:dyDescent="0.2"/>
    <row r="38492" ht="12.75" hidden="1" customHeight="1" x14ac:dyDescent="0.2"/>
    <row r="38493" ht="12.75" hidden="1" customHeight="1" x14ac:dyDescent="0.2"/>
    <row r="38494" ht="12.75" hidden="1" customHeight="1" x14ac:dyDescent="0.2"/>
    <row r="38495" ht="12.75" hidden="1" customHeight="1" x14ac:dyDescent="0.2"/>
    <row r="38496" ht="12.75" hidden="1" customHeight="1" x14ac:dyDescent="0.2"/>
    <row r="38497" ht="12.75" hidden="1" customHeight="1" x14ac:dyDescent="0.2"/>
    <row r="38498" ht="12.75" hidden="1" customHeight="1" x14ac:dyDescent="0.2"/>
    <row r="38499" ht="12.75" hidden="1" customHeight="1" x14ac:dyDescent="0.2"/>
    <row r="38500" ht="12.75" hidden="1" customHeight="1" x14ac:dyDescent="0.2"/>
    <row r="38501" ht="12.75" hidden="1" customHeight="1" x14ac:dyDescent="0.2"/>
    <row r="38502" ht="12.75" hidden="1" customHeight="1" x14ac:dyDescent="0.2"/>
    <row r="38503" ht="12.75" hidden="1" customHeight="1" x14ac:dyDescent="0.2"/>
    <row r="38504" ht="12.75" hidden="1" customHeight="1" x14ac:dyDescent="0.2"/>
    <row r="38505" ht="12.75" hidden="1" customHeight="1" x14ac:dyDescent="0.2"/>
    <row r="38506" ht="12.75" hidden="1" customHeight="1" x14ac:dyDescent="0.2"/>
    <row r="38507" ht="12.75" hidden="1" customHeight="1" x14ac:dyDescent="0.2"/>
    <row r="38508" ht="12.75" hidden="1" customHeight="1" x14ac:dyDescent="0.2"/>
    <row r="38509" ht="12.75" hidden="1" customHeight="1" x14ac:dyDescent="0.2"/>
    <row r="38510" ht="12.75" hidden="1" customHeight="1" x14ac:dyDescent="0.2"/>
    <row r="38511" ht="12.75" hidden="1" customHeight="1" x14ac:dyDescent="0.2"/>
    <row r="38512" ht="12.75" hidden="1" customHeight="1" x14ac:dyDescent="0.2"/>
    <row r="38513" ht="12.75" hidden="1" customHeight="1" x14ac:dyDescent="0.2"/>
    <row r="38514" ht="12.75" hidden="1" customHeight="1" x14ac:dyDescent="0.2"/>
    <row r="38515" ht="12.75" hidden="1" customHeight="1" x14ac:dyDescent="0.2"/>
    <row r="38516" ht="12.75" hidden="1" customHeight="1" x14ac:dyDescent="0.2"/>
    <row r="38517" ht="12.75" hidden="1" customHeight="1" x14ac:dyDescent="0.2"/>
    <row r="38518" ht="12.75" hidden="1" customHeight="1" x14ac:dyDescent="0.2"/>
    <row r="38519" ht="12.75" hidden="1" customHeight="1" x14ac:dyDescent="0.2"/>
    <row r="38520" ht="12.75" hidden="1" customHeight="1" x14ac:dyDescent="0.2"/>
    <row r="38521" ht="12.75" hidden="1" customHeight="1" x14ac:dyDescent="0.2"/>
    <row r="38522" ht="12.75" hidden="1" customHeight="1" x14ac:dyDescent="0.2"/>
    <row r="38523" ht="12.75" hidden="1" customHeight="1" x14ac:dyDescent="0.2"/>
    <row r="38524" ht="12.75" hidden="1" customHeight="1" x14ac:dyDescent="0.2"/>
    <row r="38525" ht="12.75" hidden="1" customHeight="1" x14ac:dyDescent="0.2"/>
    <row r="38526" ht="12.75" hidden="1" customHeight="1" x14ac:dyDescent="0.2"/>
    <row r="38527" ht="12.75" hidden="1" customHeight="1" x14ac:dyDescent="0.2"/>
    <row r="38528" ht="12.75" hidden="1" customHeight="1" x14ac:dyDescent="0.2"/>
    <row r="38529" ht="12.75" hidden="1" customHeight="1" x14ac:dyDescent="0.2"/>
    <row r="38530" ht="12.75" hidden="1" customHeight="1" x14ac:dyDescent="0.2"/>
    <row r="38531" ht="12.75" hidden="1" customHeight="1" x14ac:dyDescent="0.2"/>
    <row r="38532" ht="12.75" hidden="1" customHeight="1" x14ac:dyDescent="0.2"/>
    <row r="38533" ht="12.75" hidden="1" customHeight="1" x14ac:dyDescent="0.2"/>
    <row r="38534" ht="12.75" hidden="1" customHeight="1" x14ac:dyDescent="0.2"/>
    <row r="38535" ht="12.75" hidden="1" customHeight="1" x14ac:dyDescent="0.2"/>
    <row r="38536" ht="12.75" hidden="1" customHeight="1" x14ac:dyDescent="0.2"/>
    <row r="38537" ht="12.75" hidden="1" customHeight="1" x14ac:dyDescent="0.2"/>
    <row r="38538" ht="12.75" hidden="1" customHeight="1" x14ac:dyDescent="0.2"/>
    <row r="38539" ht="12.75" hidden="1" customHeight="1" x14ac:dyDescent="0.2"/>
    <row r="38540" ht="12.75" hidden="1" customHeight="1" x14ac:dyDescent="0.2"/>
    <row r="38541" ht="12.75" hidden="1" customHeight="1" x14ac:dyDescent="0.2"/>
    <row r="38542" ht="12.75" hidden="1" customHeight="1" x14ac:dyDescent="0.2"/>
    <row r="38543" ht="12.75" hidden="1" customHeight="1" x14ac:dyDescent="0.2"/>
    <row r="38544" ht="12.75" hidden="1" customHeight="1" x14ac:dyDescent="0.2"/>
    <row r="38545" ht="12.75" hidden="1" customHeight="1" x14ac:dyDescent="0.2"/>
    <row r="38546" ht="12.75" hidden="1" customHeight="1" x14ac:dyDescent="0.2"/>
    <row r="38547" ht="12.75" hidden="1" customHeight="1" x14ac:dyDescent="0.2"/>
    <row r="38548" ht="12.75" hidden="1" customHeight="1" x14ac:dyDescent="0.2"/>
    <row r="38549" ht="12.75" hidden="1" customHeight="1" x14ac:dyDescent="0.2"/>
    <row r="38550" ht="12.75" hidden="1" customHeight="1" x14ac:dyDescent="0.2"/>
    <row r="38551" ht="12.75" hidden="1" customHeight="1" x14ac:dyDescent="0.2"/>
    <row r="38552" ht="12.75" hidden="1" customHeight="1" x14ac:dyDescent="0.2"/>
    <row r="38553" ht="12.75" hidden="1" customHeight="1" x14ac:dyDescent="0.2"/>
    <row r="38554" ht="12.75" hidden="1" customHeight="1" x14ac:dyDescent="0.2"/>
    <row r="38555" ht="12.75" hidden="1" customHeight="1" x14ac:dyDescent="0.2"/>
    <row r="38556" ht="12.75" hidden="1" customHeight="1" x14ac:dyDescent="0.2"/>
    <row r="38557" ht="12.75" hidden="1" customHeight="1" x14ac:dyDescent="0.2"/>
    <row r="38558" ht="12.75" hidden="1" customHeight="1" x14ac:dyDescent="0.2"/>
    <row r="38559" ht="12.75" hidden="1" customHeight="1" x14ac:dyDescent="0.2"/>
    <row r="38560" ht="12.75" hidden="1" customHeight="1" x14ac:dyDescent="0.2"/>
    <row r="38561" ht="12.75" hidden="1" customHeight="1" x14ac:dyDescent="0.2"/>
    <row r="38562" ht="12.75" hidden="1" customHeight="1" x14ac:dyDescent="0.2"/>
    <row r="38563" ht="12.75" hidden="1" customHeight="1" x14ac:dyDescent="0.2"/>
    <row r="38564" ht="12.75" hidden="1" customHeight="1" x14ac:dyDescent="0.2"/>
    <row r="38565" ht="12.75" hidden="1" customHeight="1" x14ac:dyDescent="0.2"/>
    <row r="38566" ht="12.75" hidden="1" customHeight="1" x14ac:dyDescent="0.2"/>
    <row r="38567" ht="12.75" hidden="1" customHeight="1" x14ac:dyDescent="0.2"/>
    <row r="38568" ht="12.75" hidden="1" customHeight="1" x14ac:dyDescent="0.2"/>
    <row r="38569" ht="12.75" hidden="1" customHeight="1" x14ac:dyDescent="0.2"/>
    <row r="38570" ht="12.75" hidden="1" customHeight="1" x14ac:dyDescent="0.2"/>
    <row r="38571" ht="12.75" hidden="1" customHeight="1" x14ac:dyDescent="0.2"/>
    <row r="38572" ht="12.75" hidden="1" customHeight="1" x14ac:dyDescent="0.2"/>
    <row r="38573" ht="12.75" hidden="1" customHeight="1" x14ac:dyDescent="0.2"/>
    <row r="38574" ht="12.75" hidden="1" customHeight="1" x14ac:dyDescent="0.2"/>
    <row r="38575" ht="12.75" hidden="1" customHeight="1" x14ac:dyDescent="0.2"/>
    <row r="38576" ht="12.75" hidden="1" customHeight="1" x14ac:dyDescent="0.2"/>
    <row r="38577" ht="12.75" hidden="1" customHeight="1" x14ac:dyDescent="0.2"/>
    <row r="38578" ht="12.75" hidden="1" customHeight="1" x14ac:dyDescent="0.2"/>
    <row r="38579" ht="12.75" hidden="1" customHeight="1" x14ac:dyDescent="0.2"/>
    <row r="38580" ht="12.75" hidden="1" customHeight="1" x14ac:dyDescent="0.2"/>
    <row r="38581" ht="12.75" hidden="1" customHeight="1" x14ac:dyDescent="0.2"/>
    <row r="38582" ht="12.75" hidden="1" customHeight="1" x14ac:dyDescent="0.2"/>
    <row r="38583" ht="12.75" hidden="1" customHeight="1" x14ac:dyDescent="0.2"/>
    <row r="38584" ht="12.75" hidden="1" customHeight="1" x14ac:dyDescent="0.2"/>
    <row r="38585" ht="12.75" hidden="1" customHeight="1" x14ac:dyDescent="0.2"/>
    <row r="38586" ht="12.75" hidden="1" customHeight="1" x14ac:dyDescent="0.2"/>
    <row r="38587" ht="12.75" hidden="1" customHeight="1" x14ac:dyDescent="0.2"/>
    <row r="38588" ht="12.75" hidden="1" customHeight="1" x14ac:dyDescent="0.2"/>
    <row r="38589" ht="12.75" hidden="1" customHeight="1" x14ac:dyDescent="0.2"/>
    <row r="38590" ht="12.75" hidden="1" customHeight="1" x14ac:dyDescent="0.2"/>
    <row r="38591" ht="12.75" hidden="1" customHeight="1" x14ac:dyDescent="0.2"/>
    <row r="38592" ht="12.75" hidden="1" customHeight="1" x14ac:dyDescent="0.2"/>
    <row r="38593" ht="12.75" hidden="1" customHeight="1" x14ac:dyDescent="0.2"/>
    <row r="38594" ht="12.75" hidden="1" customHeight="1" x14ac:dyDescent="0.2"/>
    <row r="38595" ht="12.75" hidden="1" customHeight="1" x14ac:dyDescent="0.2"/>
    <row r="38596" ht="12.75" hidden="1" customHeight="1" x14ac:dyDescent="0.2"/>
    <row r="38597" ht="12.75" hidden="1" customHeight="1" x14ac:dyDescent="0.2"/>
    <row r="38598" ht="12.75" hidden="1" customHeight="1" x14ac:dyDescent="0.2"/>
    <row r="38599" ht="12.75" hidden="1" customHeight="1" x14ac:dyDescent="0.2"/>
    <row r="38600" ht="12.75" hidden="1" customHeight="1" x14ac:dyDescent="0.2"/>
    <row r="38601" ht="12.75" hidden="1" customHeight="1" x14ac:dyDescent="0.2"/>
    <row r="38602" ht="12.75" hidden="1" customHeight="1" x14ac:dyDescent="0.2"/>
    <row r="38603" ht="12.75" hidden="1" customHeight="1" x14ac:dyDescent="0.2"/>
    <row r="38604" ht="12.75" hidden="1" customHeight="1" x14ac:dyDescent="0.2"/>
    <row r="38605" ht="12.75" hidden="1" customHeight="1" x14ac:dyDescent="0.2"/>
    <row r="38606" ht="12.75" hidden="1" customHeight="1" x14ac:dyDescent="0.2"/>
    <row r="38607" ht="12.75" hidden="1" customHeight="1" x14ac:dyDescent="0.2"/>
    <row r="38608" ht="12.75" hidden="1" customHeight="1" x14ac:dyDescent="0.2"/>
    <row r="38609" ht="12.75" hidden="1" customHeight="1" x14ac:dyDescent="0.2"/>
    <row r="38610" ht="12.75" hidden="1" customHeight="1" x14ac:dyDescent="0.2"/>
    <row r="38611" ht="12.75" hidden="1" customHeight="1" x14ac:dyDescent="0.2"/>
    <row r="38612" ht="12.75" hidden="1" customHeight="1" x14ac:dyDescent="0.2"/>
    <row r="38613" ht="12.75" hidden="1" customHeight="1" x14ac:dyDescent="0.2"/>
    <row r="38614" ht="12.75" hidden="1" customHeight="1" x14ac:dyDescent="0.2"/>
    <row r="38615" ht="12.75" hidden="1" customHeight="1" x14ac:dyDescent="0.2"/>
    <row r="38616" ht="12.75" hidden="1" customHeight="1" x14ac:dyDescent="0.2"/>
    <row r="38617" ht="12.75" hidden="1" customHeight="1" x14ac:dyDescent="0.2"/>
    <row r="38618" ht="12.75" hidden="1" customHeight="1" x14ac:dyDescent="0.2"/>
    <row r="38619" ht="12.75" hidden="1" customHeight="1" x14ac:dyDescent="0.2"/>
    <row r="38620" ht="12.75" hidden="1" customHeight="1" x14ac:dyDescent="0.2"/>
    <row r="38621" ht="12.75" hidden="1" customHeight="1" x14ac:dyDescent="0.2"/>
    <row r="38622" ht="12.75" hidden="1" customHeight="1" x14ac:dyDescent="0.2"/>
    <row r="38623" ht="12.75" hidden="1" customHeight="1" x14ac:dyDescent="0.2"/>
    <row r="38624" ht="12.75" hidden="1" customHeight="1" x14ac:dyDescent="0.2"/>
    <row r="38625" ht="12.75" hidden="1" customHeight="1" x14ac:dyDescent="0.2"/>
    <row r="38626" ht="12.75" hidden="1" customHeight="1" x14ac:dyDescent="0.2"/>
    <row r="38627" ht="12.75" hidden="1" customHeight="1" x14ac:dyDescent="0.2"/>
    <row r="38628" ht="12.75" hidden="1" customHeight="1" x14ac:dyDescent="0.2"/>
    <row r="38629" ht="12.75" hidden="1" customHeight="1" x14ac:dyDescent="0.2"/>
    <row r="38630" ht="12.75" hidden="1" customHeight="1" x14ac:dyDescent="0.2"/>
    <row r="38631" ht="12.75" hidden="1" customHeight="1" x14ac:dyDescent="0.2"/>
    <row r="38632" ht="12.75" hidden="1" customHeight="1" x14ac:dyDescent="0.2"/>
    <row r="38633" ht="12.75" hidden="1" customHeight="1" x14ac:dyDescent="0.2"/>
    <row r="38634" ht="12.75" hidden="1" customHeight="1" x14ac:dyDescent="0.2"/>
    <row r="38635" ht="12.75" hidden="1" customHeight="1" x14ac:dyDescent="0.2"/>
    <row r="38636" ht="12.75" hidden="1" customHeight="1" x14ac:dyDescent="0.2"/>
    <row r="38637" ht="12.75" hidden="1" customHeight="1" x14ac:dyDescent="0.2"/>
    <row r="38638" ht="12.75" hidden="1" customHeight="1" x14ac:dyDescent="0.2"/>
    <row r="38639" ht="12.75" hidden="1" customHeight="1" x14ac:dyDescent="0.2"/>
    <row r="38640" ht="12.75" hidden="1" customHeight="1" x14ac:dyDescent="0.2"/>
    <row r="38641" ht="12.75" hidden="1" customHeight="1" x14ac:dyDescent="0.2"/>
    <row r="38642" ht="12.75" hidden="1" customHeight="1" x14ac:dyDescent="0.2"/>
    <row r="38643" ht="12.75" hidden="1" customHeight="1" x14ac:dyDescent="0.2"/>
    <row r="38644" ht="12.75" hidden="1" customHeight="1" x14ac:dyDescent="0.2"/>
    <row r="38645" ht="12.75" hidden="1" customHeight="1" x14ac:dyDescent="0.2"/>
    <row r="38646" ht="12.75" hidden="1" customHeight="1" x14ac:dyDescent="0.2"/>
    <row r="38647" ht="12.75" hidden="1" customHeight="1" x14ac:dyDescent="0.2"/>
    <row r="38648" ht="12.75" hidden="1" customHeight="1" x14ac:dyDescent="0.2"/>
    <row r="38649" ht="12.75" hidden="1" customHeight="1" x14ac:dyDescent="0.2"/>
    <row r="38650" ht="12.75" hidden="1" customHeight="1" x14ac:dyDescent="0.2"/>
    <row r="38651" ht="12.75" hidden="1" customHeight="1" x14ac:dyDescent="0.2"/>
    <row r="38652" ht="12.75" hidden="1" customHeight="1" x14ac:dyDescent="0.2"/>
    <row r="38653" ht="12.75" hidden="1" customHeight="1" x14ac:dyDescent="0.2"/>
    <row r="38654" ht="12.75" hidden="1" customHeight="1" x14ac:dyDescent="0.2"/>
    <row r="38655" ht="12.75" hidden="1" customHeight="1" x14ac:dyDescent="0.2"/>
    <row r="38656" ht="12.75" hidden="1" customHeight="1" x14ac:dyDescent="0.2"/>
    <row r="38657" ht="12.75" hidden="1" customHeight="1" x14ac:dyDescent="0.2"/>
    <row r="38658" ht="12.75" hidden="1" customHeight="1" x14ac:dyDescent="0.2"/>
    <row r="38659" ht="12.75" hidden="1" customHeight="1" x14ac:dyDescent="0.2"/>
    <row r="38660" ht="12.75" hidden="1" customHeight="1" x14ac:dyDescent="0.2"/>
    <row r="38661" ht="12.75" hidden="1" customHeight="1" x14ac:dyDescent="0.2"/>
    <row r="38662" ht="12.75" hidden="1" customHeight="1" x14ac:dyDescent="0.2"/>
    <row r="38663" ht="12.75" hidden="1" customHeight="1" x14ac:dyDescent="0.2"/>
    <row r="38664" ht="12.75" hidden="1" customHeight="1" x14ac:dyDescent="0.2"/>
    <row r="38665" ht="12.75" hidden="1" customHeight="1" x14ac:dyDescent="0.2"/>
    <row r="38666" ht="12.75" hidden="1" customHeight="1" x14ac:dyDescent="0.2"/>
    <row r="38667" ht="12.75" hidden="1" customHeight="1" x14ac:dyDescent="0.2"/>
    <row r="38668" ht="12.75" hidden="1" customHeight="1" x14ac:dyDescent="0.2"/>
    <row r="38669" ht="12.75" hidden="1" customHeight="1" x14ac:dyDescent="0.2"/>
    <row r="38670" ht="12.75" hidden="1" customHeight="1" x14ac:dyDescent="0.2"/>
    <row r="38671" ht="12.75" hidden="1" customHeight="1" x14ac:dyDescent="0.2"/>
    <row r="38672" ht="12.75" hidden="1" customHeight="1" x14ac:dyDescent="0.2"/>
    <row r="38673" ht="12.75" hidden="1" customHeight="1" x14ac:dyDescent="0.2"/>
    <row r="38674" ht="12.75" hidden="1" customHeight="1" x14ac:dyDescent="0.2"/>
    <row r="38675" ht="12.75" hidden="1" customHeight="1" x14ac:dyDescent="0.2"/>
    <row r="38676" ht="12.75" hidden="1" customHeight="1" x14ac:dyDescent="0.2"/>
    <row r="38677" ht="12.75" hidden="1" customHeight="1" x14ac:dyDescent="0.2"/>
    <row r="38678" ht="12.75" hidden="1" customHeight="1" x14ac:dyDescent="0.2"/>
    <row r="38679" ht="12.75" hidden="1" customHeight="1" x14ac:dyDescent="0.2"/>
    <row r="38680" ht="12.75" hidden="1" customHeight="1" x14ac:dyDescent="0.2"/>
    <row r="38681" ht="12.75" hidden="1" customHeight="1" x14ac:dyDescent="0.2"/>
    <row r="38682" ht="12.75" hidden="1" customHeight="1" x14ac:dyDescent="0.2"/>
    <row r="38683" ht="12.75" hidden="1" customHeight="1" x14ac:dyDescent="0.2"/>
    <row r="38684" ht="12.75" hidden="1" customHeight="1" x14ac:dyDescent="0.2"/>
    <row r="38685" ht="12.75" hidden="1" customHeight="1" x14ac:dyDescent="0.2"/>
    <row r="38686" ht="12.75" hidden="1" customHeight="1" x14ac:dyDescent="0.2"/>
    <row r="38687" ht="12.75" hidden="1" customHeight="1" x14ac:dyDescent="0.2"/>
    <row r="38688" ht="12.75" hidden="1" customHeight="1" x14ac:dyDescent="0.2"/>
    <row r="38689" ht="12.75" hidden="1" customHeight="1" x14ac:dyDescent="0.2"/>
    <row r="38690" ht="12.75" hidden="1" customHeight="1" x14ac:dyDescent="0.2"/>
    <row r="38691" ht="12.75" hidden="1" customHeight="1" x14ac:dyDescent="0.2"/>
    <row r="38692" ht="12.75" hidden="1" customHeight="1" x14ac:dyDescent="0.2"/>
    <row r="38693" ht="12.75" hidden="1" customHeight="1" x14ac:dyDescent="0.2"/>
    <row r="38694" ht="12.75" hidden="1" customHeight="1" x14ac:dyDescent="0.2"/>
    <row r="38695" ht="12.75" hidden="1" customHeight="1" x14ac:dyDescent="0.2"/>
    <row r="38696" ht="12.75" hidden="1" customHeight="1" x14ac:dyDescent="0.2"/>
    <row r="38697" ht="12.75" hidden="1" customHeight="1" x14ac:dyDescent="0.2"/>
    <row r="38698" ht="12.75" hidden="1" customHeight="1" x14ac:dyDescent="0.2"/>
    <row r="38699" ht="12.75" hidden="1" customHeight="1" x14ac:dyDescent="0.2"/>
    <row r="38700" ht="12.75" hidden="1" customHeight="1" x14ac:dyDescent="0.2"/>
    <row r="38701" ht="12.75" hidden="1" customHeight="1" x14ac:dyDescent="0.2"/>
    <row r="38702" ht="12.75" hidden="1" customHeight="1" x14ac:dyDescent="0.2"/>
    <row r="38703" ht="12.75" hidden="1" customHeight="1" x14ac:dyDescent="0.2"/>
    <row r="38704" ht="12.75" hidden="1" customHeight="1" x14ac:dyDescent="0.2"/>
    <row r="38705" ht="12.75" hidden="1" customHeight="1" x14ac:dyDescent="0.2"/>
    <row r="38706" ht="12.75" hidden="1" customHeight="1" x14ac:dyDescent="0.2"/>
    <row r="38707" ht="12.75" hidden="1" customHeight="1" x14ac:dyDescent="0.2"/>
    <row r="38708" ht="12.75" hidden="1" customHeight="1" x14ac:dyDescent="0.2"/>
    <row r="38709" ht="12.75" hidden="1" customHeight="1" x14ac:dyDescent="0.2"/>
    <row r="38710" ht="12.75" hidden="1" customHeight="1" x14ac:dyDescent="0.2"/>
    <row r="38711" ht="12.75" hidden="1" customHeight="1" x14ac:dyDescent="0.2"/>
    <row r="38712" ht="12.75" hidden="1" customHeight="1" x14ac:dyDescent="0.2"/>
    <row r="38713" ht="12.75" hidden="1" customHeight="1" x14ac:dyDescent="0.2"/>
    <row r="38714" ht="12.75" hidden="1" customHeight="1" x14ac:dyDescent="0.2"/>
    <row r="38715" ht="12.75" hidden="1" customHeight="1" x14ac:dyDescent="0.2"/>
    <row r="38716" ht="12.75" hidden="1" customHeight="1" x14ac:dyDescent="0.2"/>
    <row r="38717" ht="12.75" hidden="1" customHeight="1" x14ac:dyDescent="0.2"/>
    <row r="38718" ht="12.75" hidden="1" customHeight="1" x14ac:dyDescent="0.2"/>
    <row r="38719" ht="12.75" hidden="1" customHeight="1" x14ac:dyDescent="0.2"/>
    <row r="38720" ht="12.75" hidden="1" customHeight="1" x14ac:dyDescent="0.2"/>
    <row r="38721" ht="12.75" hidden="1" customHeight="1" x14ac:dyDescent="0.2"/>
    <row r="38722" ht="12.75" hidden="1" customHeight="1" x14ac:dyDescent="0.2"/>
    <row r="38723" ht="12.75" hidden="1" customHeight="1" x14ac:dyDescent="0.2"/>
    <row r="38724" ht="12.75" hidden="1" customHeight="1" x14ac:dyDescent="0.2"/>
    <row r="38725" ht="12.75" hidden="1" customHeight="1" x14ac:dyDescent="0.2"/>
    <row r="38726" ht="12.75" hidden="1" customHeight="1" x14ac:dyDescent="0.2"/>
    <row r="38727" ht="12.75" hidden="1" customHeight="1" x14ac:dyDescent="0.2"/>
    <row r="38728" ht="12.75" hidden="1" customHeight="1" x14ac:dyDescent="0.2"/>
    <row r="38729" ht="12.75" hidden="1" customHeight="1" x14ac:dyDescent="0.2"/>
    <row r="38730" ht="12.75" hidden="1" customHeight="1" x14ac:dyDescent="0.2"/>
    <row r="38731" ht="12.75" hidden="1" customHeight="1" x14ac:dyDescent="0.2"/>
    <row r="38732" ht="12.75" hidden="1" customHeight="1" x14ac:dyDescent="0.2"/>
    <row r="38733" ht="12.75" hidden="1" customHeight="1" x14ac:dyDescent="0.2"/>
    <row r="38734" ht="12.75" hidden="1" customHeight="1" x14ac:dyDescent="0.2"/>
    <row r="38735" ht="12.75" hidden="1" customHeight="1" x14ac:dyDescent="0.2"/>
    <row r="38736" ht="12.75" hidden="1" customHeight="1" x14ac:dyDescent="0.2"/>
    <row r="38737" ht="12.75" hidden="1" customHeight="1" x14ac:dyDescent="0.2"/>
    <row r="38738" ht="12.75" hidden="1" customHeight="1" x14ac:dyDescent="0.2"/>
    <row r="38739" ht="12.75" hidden="1" customHeight="1" x14ac:dyDescent="0.2"/>
    <row r="38740" ht="12.75" hidden="1" customHeight="1" x14ac:dyDescent="0.2"/>
    <row r="38741" ht="12.75" hidden="1" customHeight="1" x14ac:dyDescent="0.2"/>
    <row r="38742" ht="12.75" hidden="1" customHeight="1" x14ac:dyDescent="0.2"/>
    <row r="38743" ht="12.75" hidden="1" customHeight="1" x14ac:dyDescent="0.2"/>
    <row r="38744" ht="12.75" hidden="1" customHeight="1" x14ac:dyDescent="0.2"/>
    <row r="38745" ht="12.75" hidden="1" customHeight="1" x14ac:dyDescent="0.2"/>
    <row r="38746" ht="12.75" hidden="1" customHeight="1" x14ac:dyDescent="0.2"/>
    <row r="38747" ht="12.75" hidden="1" customHeight="1" x14ac:dyDescent="0.2"/>
    <row r="38748" ht="12.75" hidden="1" customHeight="1" x14ac:dyDescent="0.2"/>
    <row r="38749" ht="12.75" hidden="1" customHeight="1" x14ac:dyDescent="0.2"/>
    <row r="38750" ht="12.75" hidden="1" customHeight="1" x14ac:dyDescent="0.2"/>
    <row r="38751" ht="12.75" hidden="1" customHeight="1" x14ac:dyDescent="0.2"/>
    <row r="38752" ht="12.75" hidden="1" customHeight="1" x14ac:dyDescent="0.2"/>
    <row r="38753" ht="12.75" hidden="1" customHeight="1" x14ac:dyDescent="0.2"/>
    <row r="38754" ht="12.75" hidden="1" customHeight="1" x14ac:dyDescent="0.2"/>
    <row r="38755" ht="12.75" hidden="1" customHeight="1" x14ac:dyDescent="0.2"/>
    <row r="38756" ht="12.75" hidden="1" customHeight="1" x14ac:dyDescent="0.2"/>
    <row r="38757" ht="12.75" hidden="1" customHeight="1" x14ac:dyDescent="0.2"/>
    <row r="38758" ht="12.75" hidden="1" customHeight="1" x14ac:dyDescent="0.2"/>
    <row r="38759" ht="12.75" hidden="1" customHeight="1" x14ac:dyDescent="0.2"/>
    <row r="38760" ht="12.75" hidden="1" customHeight="1" x14ac:dyDescent="0.2"/>
    <row r="38761" ht="12.75" hidden="1" customHeight="1" x14ac:dyDescent="0.2"/>
    <row r="38762" ht="12.75" hidden="1" customHeight="1" x14ac:dyDescent="0.2"/>
    <row r="38763" ht="12.75" hidden="1" customHeight="1" x14ac:dyDescent="0.2"/>
    <row r="38764" ht="12.75" hidden="1" customHeight="1" x14ac:dyDescent="0.2"/>
    <row r="38765" ht="12.75" hidden="1" customHeight="1" x14ac:dyDescent="0.2"/>
    <row r="38766" ht="12.75" hidden="1" customHeight="1" x14ac:dyDescent="0.2"/>
    <row r="38767" ht="12.75" hidden="1" customHeight="1" x14ac:dyDescent="0.2"/>
    <row r="38768" ht="12.75" hidden="1" customHeight="1" x14ac:dyDescent="0.2"/>
    <row r="38769" ht="12.75" hidden="1" customHeight="1" x14ac:dyDescent="0.2"/>
    <row r="38770" ht="12.75" hidden="1" customHeight="1" x14ac:dyDescent="0.2"/>
    <row r="38771" ht="12.75" hidden="1" customHeight="1" x14ac:dyDescent="0.2"/>
    <row r="38772" ht="12.75" hidden="1" customHeight="1" x14ac:dyDescent="0.2"/>
    <row r="38773" ht="12.75" hidden="1" customHeight="1" x14ac:dyDescent="0.2"/>
    <row r="38774" ht="12.75" hidden="1" customHeight="1" x14ac:dyDescent="0.2"/>
    <row r="38775" ht="12.75" hidden="1" customHeight="1" x14ac:dyDescent="0.2"/>
    <row r="38776" ht="12.75" hidden="1" customHeight="1" x14ac:dyDescent="0.2"/>
    <row r="38777" ht="12.75" hidden="1" customHeight="1" x14ac:dyDescent="0.2"/>
    <row r="38778" ht="12.75" hidden="1" customHeight="1" x14ac:dyDescent="0.2"/>
    <row r="38779" ht="12.75" hidden="1" customHeight="1" x14ac:dyDescent="0.2"/>
    <row r="38780" ht="12.75" hidden="1" customHeight="1" x14ac:dyDescent="0.2"/>
    <row r="38781" ht="12.75" hidden="1" customHeight="1" x14ac:dyDescent="0.2"/>
    <row r="38782" ht="12.75" hidden="1" customHeight="1" x14ac:dyDescent="0.2"/>
    <row r="38783" ht="12.75" hidden="1" customHeight="1" x14ac:dyDescent="0.2"/>
    <row r="38784" ht="12.75" hidden="1" customHeight="1" x14ac:dyDescent="0.2"/>
    <row r="38785" ht="12.75" hidden="1" customHeight="1" x14ac:dyDescent="0.2"/>
    <row r="38786" ht="12.75" hidden="1" customHeight="1" x14ac:dyDescent="0.2"/>
    <row r="38787" ht="12.75" hidden="1" customHeight="1" x14ac:dyDescent="0.2"/>
    <row r="38788" ht="12.75" hidden="1" customHeight="1" x14ac:dyDescent="0.2"/>
    <row r="38789" ht="12.75" hidden="1" customHeight="1" x14ac:dyDescent="0.2"/>
    <row r="38790" ht="12.75" hidden="1" customHeight="1" x14ac:dyDescent="0.2"/>
    <row r="38791" ht="12.75" hidden="1" customHeight="1" x14ac:dyDescent="0.2"/>
    <row r="38792" ht="12.75" hidden="1" customHeight="1" x14ac:dyDescent="0.2"/>
    <row r="38793" ht="12.75" hidden="1" customHeight="1" x14ac:dyDescent="0.2"/>
    <row r="38794" ht="12.75" hidden="1" customHeight="1" x14ac:dyDescent="0.2"/>
    <row r="38795" ht="12.75" hidden="1" customHeight="1" x14ac:dyDescent="0.2"/>
    <row r="38796" ht="12.75" hidden="1" customHeight="1" x14ac:dyDescent="0.2"/>
    <row r="38797" ht="12.75" hidden="1" customHeight="1" x14ac:dyDescent="0.2"/>
    <row r="38798" ht="12.75" hidden="1" customHeight="1" x14ac:dyDescent="0.2"/>
    <row r="38799" ht="12.75" hidden="1" customHeight="1" x14ac:dyDescent="0.2"/>
    <row r="38800" ht="12.75" hidden="1" customHeight="1" x14ac:dyDescent="0.2"/>
    <row r="38801" ht="12.75" hidden="1" customHeight="1" x14ac:dyDescent="0.2"/>
    <row r="38802" ht="12.75" hidden="1" customHeight="1" x14ac:dyDescent="0.2"/>
    <row r="38803" ht="12.75" hidden="1" customHeight="1" x14ac:dyDescent="0.2"/>
    <row r="38804" ht="12.75" hidden="1" customHeight="1" x14ac:dyDescent="0.2"/>
    <row r="38805" ht="12.75" hidden="1" customHeight="1" x14ac:dyDescent="0.2"/>
    <row r="38806" ht="12.75" hidden="1" customHeight="1" x14ac:dyDescent="0.2"/>
    <row r="38807" ht="12.75" hidden="1" customHeight="1" x14ac:dyDescent="0.2"/>
    <row r="38808" ht="12.75" hidden="1" customHeight="1" x14ac:dyDescent="0.2"/>
    <row r="38809" ht="12.75" hidden="1" customHeight="1" x14ac:dyDescent="0.2"/>
    <row r="38810" ht="12.75" hidden="1" customHeight="1" x14ac:dyDescent="0.2"/>
    <row r="38811" ht="12.75" hidden="1" customHeight="1" x14ac:dyDescent="0.2"/>
    <row r="38812" ht="12.75" hidden="1" customHeight="1" x14ac:dyDescent="0.2"/>
    <row r="38813" ht="12.75" hidden="1" customHeight="1" x14ac:dyDescent="0.2"/>
    <row r="38814" ht="12.75" hidden="1" customHeight="1" x14ac:dyDescent="0.2"/>
    <row r="38815" ht="12.75" hidden="1" customHeight="1" x14ac:dyDescent="0.2"/>
    <row r="38816" ht="12.75" hidden="1" customHeight="1" x14ac:dyDescent="0.2"/>
    <row r="38817" ht="12.75" hidden="1" customHeight="1" x14ac:dyDescent="0.2"/>
    <row r="38818" ht="12.75" hidden="1" customHeight="1" x14ac:dyDescent="0.2"/>
    <row r="38819" ht="12.75" hidden="1" customHeight="1" x14ac:dyDescent="0.2"/>
    <row r="38820" ht="12.75" hidden="1" customHeight="1" x14ac:dyDescent="0.2"/>
    <row r="38821" ht="12.75" hidden="1" customHeight="1" x14ac:dyDescent="0.2"/>
    <row r="38822" ht="12.75" hidden="1" customHeight="1" x14ac:dyDescent="0.2"/>
    <row r="38823" ht="12.75" hidden="1" customHeight="1" x14ac:dyDescent="0.2"/>
    <row r="38824" ht="12.75" hidden="1" customHeight="1" x14ac:dyDescent="0.2"/>
    <row r="38825" ht="12.75" hidden="1" customHeight="1" x14ac:dyDescent="0.2"/>
    <row r="38826" ht="12.75" hidden="1" customHeight="1" x14ac:dyDescent="0.2"/>
    <row r="38827" ht="12.75" hidden="1" customHeight="1" x14ac:dyDescent="0.2"/>
    <row r="38828" ht="12.75" hidden="1" customHeight="1" x14ac:dyDescent="0.2"/>
    <row r="38829" ht="12.75" hidden="1" customHeight="1" x14ac:dyDescent="0.2"/>
    <row r="38830" ht="12.75" hidden="1" customHeight="1" x14ac:dyDescent="0.2"/>
    <row r="38831" ht="12.75" hidden="1" customHeight="1" x14ac:dyDescent="0.2"/>
    <row r="38832" ht="12.75" hidden="1" customHeight="1" x14ac:dyDescent="0.2"/>
    <row r="38833" ht="12.75" hidden="1" customHeight="1" x14ac:dyDescent="0.2"/>
    <row r="38834" ht="12.75" hidden="1" customHeight="1" x14ac:dyDescent="0.2"/>
    <row r="38835" ht="12.75" hidden="1" customHeight="1" x14ac:dyDescent="0.2"/>
    <row r="38836" ht="12.75" hidden="1" customHeight="1" x14ac:dyDescent="0.2"/>
    <row r="38837" ht="12.75" hidden="1" customHeight="1" x14ac:dyDescent="0.2"/>
    <row r="38838" ht="12.75" hidden="1" customHeight="1" x14ac:dyDescent="0.2"/>
    <row r="38839" ht="12.75" hidden="1" customHeight="1" x14ac:dyDescent="0.2"/>
    <row r="38840" ht="12.75" hidden="1" customHeight="1" x14ac:dyDescent="0.2"/>
    <row r="38841" ht="12.75" hidden="1" customHeight="1" x14ac:dyDescent="0.2"/>
    <row r="38842" ht="12.75" hidden="1" customHeight="1" x14ac:dyDescent="0.2"/>
    <row r="38843" ht="12.75" hidden="1" customHeight="1" x14ac:dyDescent="0.2"/>
    <row r="38844" ht="12.75" hidden="1" customHeight="1" x14ac:dyDescent="0.2"/>
    <row r="38845" ht="12.75" hidden="1" customHeight="1" x14ac:dyDescent="0.2"/>
    <row r="38846" ht="12.75" hidden="1" customHeight="1" x14ac:dyDescent="0.2"/>
    <row r="38847" ht="12.75" hidden="1" customHeight="1" x14ac:dyDescent="0.2"/>
    <row r="38848" ht="12.75" hidden="1" customHeight="1" x14ac:dyDescent="0.2"/>
    <row r="38849" ht="12.75" hidden="1" customHeight="1" x14ac:dyDescent="0.2"/>
    <row r="38850" ht="12.75" hidden="1" customHeight="1" x14ac:dyDescent="0.2"/>
    <row r="38851" ht="12.75" hidden="1" customHeight="1" x14ac:dyDescent="0.2"/>
    <row r="38852" ht="12.75" hidden="1" customHeight="1" x14ac:dyDescent="0.2"/>
    <row r="38853" ht="12.75" hidden="1" customHeight="1" x14ac:dyDescent="0.2"/>
    <row r="38854" ht="12.75" hidden="1" customHeight="1" x14ac:dyDescent="0.2"/>
    <row r="38855" ht="12.75" hidden="1" customHeight="1" x14ac:dyDescent="0.2"/>
    <row r="38856" ht="12.75" hidden="1" customHeight="1" x14ac:dyDescent="0.2"/>
    <row r="38857" ht="12.75" hidden="1" customHeight="1" x14ac:dyDescent="0.2"/>
    <row r="38858" ht="12.75" hidden="1" customHeight="1" x14ac:dyDescent="0.2"/>
    <row r="38859" ht="12.75" hidden="1" customHeight="1" x14ac:dyDescent="0.2"/>
    <row r="38860" ht="12.75" hidden="1" customHeight="1" x14ac:dyDescent="0.2"/>
    <row r="38861" ht="12.75" hidden="1" customHeight="1" x14ac:dyDescent="0.2"/>
    <row r="38862" ht="12.75" hidden="1" customHeight="1" x14ac:dyDescent="0.2"/>
    <row r="38863" ht="12.75" hidden="1" customHeight="1" x14ac:dyDescent="0.2"/>
    <row r="38864" ht="12.75" hidden="1" customHeight="1" x14ac:dyDescent="0.2"/>
    <row r="38865" ht="12.75" hidden="1" customHeight="1" x14ac:dyDescent="0.2"/>
    <row r="38866" ht="12.75" hidden="1" customHeight="1" x14ac:dyDescent="0.2"/>
    <row r="38867" ht="12.75" hidden="1" customHeight="1" x14ac:dyDescent="0.2"/>
    <row r="38868" ht="12.75" hidden="1" customHeight="1" x14ac:dyDescent="0.2"/>
    <row r="38869" ht="12.75" hidden="1" customHeight="1" x14ac:dyDescent="0.2"/>
    <row r="38870" ht="12.75" hidden="1" customHeight="1" x14ac:dyDescent="0.2"/>
    <row r="38871" ht="12.75" hidden="1" customHeight="1" x14ac:dyDescent="0.2"/>
    <row r="38872" ht="12.75" hidden="1" customHeight="1" x14ac:dyDescent="0.2"/>
    <row r="38873" ht="12.75" hidden="1" customHeight="1" x14ac:dyDescent="0.2"/>
    <row r="38874" ht="12.75" hidden="1" customHeight="1" x14ac:dyDescent="0.2"/>
    <row r="38875" ht="12.75" hidden="1" customHeight="1" x14ac:dyDescent="0.2"/>
    <row r="38876" ht="12.75" hidden="1" customHeight="1" x14ac:dyDescent="0.2"/>
    <row r="38877" ht="12.75" hidden="1" customHeight="1" x14ac:dyDescent="0.2"/>
    <row r="38878" ht="12.75" hidden="1" customHeight="1" x14ac:dyDescent="0.2"/>
    <row r="38879" ht="12.75" hidden="1" customHeight="1" x14ac:dyDescent="0.2"/>
    <row r="38880" ht="12.75" hidden="1" customHeight="1" x14ac:dyDescent="0.2"/>
    <row r="38881" ht="12.75" hidden="1" customHeight="1" x14ac:dyDescent="0.2"/>
    <row r="38882" ht="12.75" hidden="1" customHeight="1" x14ac:dyDescent="0.2"/>
    <row r="38883" ht="12.75" hidden="1" customHeight="1" x14ac:dyDescent="0.2"/>
    <row r="38884" ht="12.75" hidden="1" customHeight="1" x14ac:dyDescent="0.2"/>
    <row r="38885" ht="12.75" hidden="1" customHeight="1" x14ac:dyDescent="0.2"/>
    <row r="38886" ht="12.75" hidden="1" customHeight="1" x14ac:dyDescent="0.2"/>
    <row r="38887" ht="12.75" hidden="1" customHeight="1" x14ac:dyDescent="0.2"/>
    <row r="38888" ht="12.75" hidden="1" customHeight="1" x14ac:dyDescent="0.2"/>
    <row r="38889" ht="12.75" hidden="1" customHeight="1" x14ac:dyDescent="0.2"/>
    <row r="38890" ht="12.75" hidden="1" customHeight="1" x14ac:dyDescent="0.2"/>
    <row r="38891" ht="12.75" hidden="1" customHeight="1" x14ac:dyDescent="0.2"/>
    <row r="38892" ht="12.75" hidden="1" customHeight="1" x14ac:dyDescent="0.2"/>
    <row r="38893" ht="12.75" hidden="1" customHeight="1" x14ac:dyDescent="0.2"/>
    <row r="38894" ht="12.75" hidden="1" customHeight="1" x14ac:dyDescent="0.2"/>
    <row r="38895" ht="12.75" hidden="1" customHeight="1" x14ac:dyDescent="0.2"/>
    <row r="38896" ht="12.75" hidden="1" customHeight="1" x14ac:dyDescent="0.2"/>
    <row r="38897" ht="12.75" hidden="1" customHeight="1" x14ac:dyDescent="0.2"/>
    <row r="38898" ht="12.75" hidden="1" customHeight="1" x14ac:dyDescent="0.2"/>
    <row r="38899" ht="12.75" hidden="1" customHeight="1" x14ac:dyDescent="0.2"/>
    <row r="38900" ht="12.75" hidden="1" customHeight="1" x14ac:dyDescent="0.2"/>
    <row r="38901" ht="12.75" hidden="1" customHeight="1" x14ac:dyDescent="0.2"/>
    <row r="38902" ht="12.75" hidden="1" customHeight="1" x14ac:dyDescent="0.2"/>
    <row r="38903" ht="12.75" hidden="1" customHeight="1" x14ac:dyDescent="0.2"/>
    <row r="38904" ht="12.75" hidden="1" customHeight="1" x14ac:dyDescent="0.2"/>
    <row r="38905" ht="12.75" hidden="1" customHeight="1" x14ac:dyDescent="0.2"/>
    <row r="38906" ht="12.75" hidden="1" customHeight="1" x14ac:dyDescent="0.2"/>
    <row r="38907" ht="12.75" hidden="1" customHeight="1" x14ac:dyDescent="0.2"/>
    <row r="38908" ht="12.75" hidden="1" customHeight="1" x14ac:dyDescent="0.2"/>
    <row r="38909" ht="12.75" hidden="1" customHeight="1" x14ac:dyDescent="0.2"/>
    <row r="38910" ht="12.75" hidden="1" customHeight="1" x14ac:dyDescent="0.2"/>
    <row r="38911" ht="12.75" hidden="1" customHeight="1" x14ac:dyDescent="0.2"/>
    <row r="38912" ht="12.75" hidden="1" customHeight="1" x14ac:dyDescent="0.2"/>
    <row r="38913" ht="12.75" hidden="1" customHeight="1" x14ac:dyDescent="0.2"/>
    <row r="38914" ht="12.75" hidden="1" customHeight="1" x14ac:dyDescent="0.2"/>
    <row r="38915" ht="12.75" hidden="1" customHeight="1" x14ac:dyDescent="0.2"/>
    <row r="38916" ht="12.75" hidden="1" customHeight="1" x14ac:dyDescent="0.2"/>
    <row r="38917" ht="12.75" hidden="1" customHeight="1" x14ac:dyDescent="0.2"/>
    <row r="38918" ht="12.75" hidden="1" customHeight="1" x14ac:dyDescent="0.2"/>
    <row r="38919" ht="12.75" hidden="1" customHeight="1" x14ac:dyDescent="0.2"/>
    <row r="38920" ht="12.75" hidden="1" customHeight="1" x14ac:dyDescent="0.2"/>
    <row r="38921" ht="12.75" hidden="1" customHeight="1" x14ac:dyDescent="0.2"/>
    <row r="38922" ht="12.75" hidden="1" customHeight="1" x14ac:dyDescent="0.2"/>
    <row r="38923" ht="12.75" hidden="1" customHeight="1" x14ac:dyDescent="0.2"/>
    <row r="38924" ht="12.75" hidden="1" customHeight="1" x14ac:dyDescent="0.2"/>
    <row r="38925" ht="12.75" hidden="1" customHeight="1" x14ac:dyDescent="0.2"/>
    <row r="38926" ht="12.75" hidden="1" customHeight="1" x14ac:dyDescent="0.2"/>
    <row r="38927" ht="12.75" hidden="1" customHeight="1" x14ac:dyDescent="0.2"/>
    <row r="38928" ht="12.75" hidden="1" customHeight="1" x14ac:dyDescent="0.2"/>
    <row r="38929" ht="12.75" hidden="1" customHeight="1" x14ac:dyDescent="0.2"/>
    <row r="38930" ht="12.75" hidden="1" customHeight="1" x14ac:dyDescent="0.2"/>
    <row r="38931" ht="12.75" hidden="1" customHeight="1" x14ac:dyDescent="0.2"/>
    <row r="38932" ht="12.75" hidden="1" customHeight="1" x14ac:dyDescent="0.2"/>
    <row r="38933" ht="12.75" hidden="1" customHeight="1" x14ac:dyDescent="0.2"/>
    <row r="38934" ht="12.75" hidden="1" customHeight="1" x14ac:dyDescent="0.2"/>
    <row r="38935" ht="12.75" hidden="1" customHeight="1" x14ac:dyDescent="0.2"/>
    <row r="38936" ht="12.75" hidden="1" customHeight="1" x14ac:dyDescent="0.2"/>
    <row r="38937" ht="12.75" hidden="1" customHeight="1" x14ac:dyDescent="0.2"/>
    <row r="38938" ht="12.75" hidden="1" customHeight="1" x14ac:dyDescent="0.2"/>
    <row r="38939" ht="12.75" hidden="1" customHeight="1" x14ac:dyDescent="0.2"/>
    <row r="38940" ht="12.75" hidden="1" customHeight="1" x14ac:dyDescent="0.2"/>
    <row r="38941" ht="12.75" hidden="1" customHeight="1" x14ac:dyDescent="0.2"/>
    <row r="38942" ht="12.75" hidden="1" customHeight="1" x14ac:dyDescent="0.2"/>
    <row r="38943" ht="12.75" hidden="1" customHeight="1" x14ac:dyDescent="0.2"/>
    <row r="38944" ht="12.75" hidden="1" customHeight="1" x14ac:dyDescent="0.2"/>
    <row r="38945" ht="12.75" hidden="1" customHeight="1" x14ac:dyDescent="0.2"/>
    <row r="38946" ht="12.75" hidden="1" customHeight="1" x14ac:dyDescent="0.2"/>
    <row r="38947" ht="12.75" hidden="1" customHeight="1" x14ac:dyDescent="0.2"/>
    <row r="38948" ht="12.75" hidden="1" customHeight="1" x14ac:dyDescent="0.2"/>
    <row r="38949" ht="12.75" hidden="1" customHeight="1" x14ac:dyDescent="0.2"/>
    <row r="38950" ht="12.75" hidden="1" customHeight="1" x14ac:dyDescent="0.2"/>
    <row r="38951" ht="12.75" hidden="1" customHeight="1" x14ac:dyDescent="0.2"/>
    <row r="38952" ht="12.75" hidden="1" customHeight="1" x14ac:dyDescent="0.2"/>
    <row r="38953" ht="12.75" hidden="1" customHeight="1" x14ac:dyDescent="0.2"/>
    <row r="38954" ht="12.75" hidden="1" customHeight="1" x14ac:dyDescent="0.2"/>
    <row r="38955" ht="12.75" hidden="1" customHeight="1" x14ac:dyDescent="0.2"/>
    <row r="38956" ht="12.75" hidden="1" customHeight="1" x14ac:dyDescent="0.2"/>
    <row r="38957" ht="12.75" hidden="1" customHeight="1" x14ac:dyDescent="0.2"/>
    <row r="38958" ht="12.75" hidden="1" customHeight="1" x14ac:dyDescent="0.2"/>
    <row r="38959" ht="12.75" hidden="1" customHeight="1" x14ac:dyDescent="0.2"/>
    <row r="38960" ht="12.75" hidden="1" customHeight="1" x14ac:dyDescent="0.2"/>
    <row r="38961" ht="12.75" hidden="1" customHeight="1" x14ac:dyDescent="0.2"/>
    <row r="38962" ht="12.75" hidden="1" customHeight="1" x14ac:dyDescent="0.2"/>
    <row r="38963" ht="12.75" hidden="1" customHeight="1" x14ac:dyDescent="0.2"/>
    <row r="38964" ht="12.75" hidden="1" customHeight="1" x14ac:dyDescent="0.2"/>
    <row r="38965" ht="12.75" hidden="1" customHeight="1" x14ac:dyDescent="0.2"/>
    <row r="38966" ht="12.75" hidden="1" customHeight="1" x14ac:dyDescent="0.2"/>
    <row r="38967" ht="12.75" hidden="1" customHeight="1" x14ac:dyDescent="0.2"/>
    <row r="38968" ht="12.75" hidden="1" customHeight="1" x14ac:dyDescent="0.2"/>
    <row r="38969" ht="12.75" hidden="1" customHeight="1" x14ac:dyDescent="0.2"/>
    <row r="38970" ht="12.75" hidden="1" customHeight="1" x14ac:dyDescent="0.2"/>
    <row r="38971" ht="12.75" hidden="1" customHeight="1" x14ac:dyDescent="0.2"/>
    <row r="38972" ht="12.75" hidden="1" customHeight="1" x14ac:dyDescent="0.2"/>
    <row r="38973" ht="12.75" hidden="1" customHeight="1" x14ac:dyDescent="0.2"/>
    <row r="38974" ht="12.75" hidden="1" customHeight="1" x14ac:dyDescent="0.2"/>
    <row r="38975" ht="12.75" hidden="1" customHeight="1" x14ac:dyDescent="0.2"/>
    <row r="38976" ht="12.75" hidden="1" customHeight="1" x14ac:dyDescent="0.2"/>
    <row r="38977" ht="12.75" hidden="1" customHeight="1" x14ac:dyDescent="0.2"/>
    <row r="38978" ht="12.75" hidden="1" customHeight="1" x14ac:dyDescent="0.2"/>
    <row r="38979" ht="12.75" hidden="1" customHeight="1" x14ac:dyDescent="0.2"/>
    <row r="38980" ht="12.75" hidden="1" customHeight="1" x14ac:dyDescent="0.2"/>
    <row r="38981" ht="12.75" hidden="1" customHeight="1" x14ac:dyDescent="0.2"/>
    <row r="38982" ht="12.75" hidden="1" customHeight="1" x14ac:dyDescent="0.2"/>
    <row r="38983" ht="12.75" hidden="1" customHeight="1" x14ac:dyDescent="0.2"/>
    <row r="38984" ht="12.75" hidden="1" customHeight="1" x14ac:dyDescent="0.2"/>
    <row r="38985" ht="12.75" hidden="1" customHeight="1" x14ac:dyDescent="0.2"/>
    <row r="38986" ht="12.75" hidden="1" customHeight="1" x14ac:dyDescent="0.2"/>
    <row r="38987" ht="12.75" hidden="1" customHeight="1" x14ac:dyDescent="0.2"/>
    <row r="38988" ht="12.75" hidden="1" customHeight="1" x14ac:dyDescent="0.2"/>
    <row r="38989" ht="12.75" hidden="1" customHeight="1" x14ac:dyDescent="0.2"/>
    <row r="38990" ht="12.75" hidden="1" customHeight="1" x14ac:dyDescent="0.2"/>
    <row r="38991" ht="12.75" hidden="1" customHeight="1" x14ac:dyDescent="0.2"/>
    <row r="38992" ht="12.75" hidden="1" customHeight="1" x14ac:dyDescent="0.2"/>
    <row r="38993" ht="12.75" hidden="1" customHeight="1" x14ac:dyDescent="0.2"/>
    <row r="38994" ht="12.75" hidden="1" customHeight="1" x14ac:dyDescent="0.2"/>
    <row r="38995" ht="12.75" hidden="1" customHeight="1" x14ac:dyDescent="0.2"/>
    <row r="38996" ht="12.75" hidden="1" customHeight="1" x14ac:dyDescent="0.2"/>
    <row r="38997" ht="12.75" hidden="1" customHeight="1" x14ac:dyDescent="0.2"/>
    <row r="38998" ht="12.75" hidden="1" customHeight="1" x14ac:dyDescent="0.2"/>
    <row r="38999" ht="12.75" hidden="1" customHeight="1" x14ac:dyDescent="0.2"/>
    <row r="39000" ht="12.75" hidden="1" customHeight="1" x14ac:dyDescent="0.2"/>
    <row r="39001" ht="12.75" hidden="1" customHeight="1" x14ac:dyDescent="0.2"/>
    <row r="39002" ht="12.75" hidden="1" customHeight="1" x14ac:dyDescent="0.2"/>
    <row r="39003" ht="12.75" hidden="1" customHeight="1" x14ac:dyDescent="0.2"/>
    <row r="39004" ht="12.75" hidden="1" customHeight="1" x14ac:dyDescent="0.2"/>
    <row r="39005" ht="12.75" hidden="1" customHeight="1" x14ac:dyDescent="0.2"/>
    <row r="39006" ht="12.75" hidden="1" customHeight="1" x14ac:dyDescent="0.2"/>
    <row r="39007" ht="12.75" hidden="1" customHeight="1" x14ac:dyDescent="0.2"/>
    <row r="39008" ht="12.75" hidden="1" customHeight="1" x14ac:dyDescent="0.2"/>
    <row r="39009" ht="12.75" hidden="1" customHeight="1" x14ac:dyDescent="0.2"/>
    <row r="39010" ht="12.75" hidden="1" customHeight="1" x14ac:dyDescent="0.2"/>
    <row r="39011" ht="12.75" hidden="1" customHeight="1" x14ac:dyDescent="0.2"/>
    <row r="39012" ht="12.75" hidden="1" customHeight="1" x14ac:dyDescent="0.2"/>
    <row r="39013" ht="12.75" hidden="1" customHeight="1" x14ac:dyDescent="0.2"/>
    <row r="39014" ht="12.75" hidden="1" customHeight="1" x14ac:dyDescent="0.2"/>
    <row r="39015" ht="12.75" hidden="1" customHeight="1" x14ac:dyDescent="0.2"/>
    <row r="39016" ht="12.75" hidden="1" customHeight="1" x14ac:dyDescent="0.2"/>
    <row r="39017" ht="12.75" hidden="1" customHeight="1" x14ac:dyDescent="0.2"/>
    <row r="39018" ht="12.75" hidden="1" customHeight="1" x14ac:dyDescent="0.2"/>
    <row r="39019" ht="12.75" hidden="1" customHeight="1" x14ac:dyDescent="0.2"/>
    <row r="39020" ht="12.75" hidden="1" customHeight="1" x14ac:dyDescent="0.2"/>
    <row r="39021" ht="12.75" hidden="1" customHeight="1" x14ac:dyDescent="0.2"/>
    <row r="39022" ht="12.75" hidden="1" customHeight="1" x14ac:dyDescent="0.2"/>
    <row r="39023" ht="12.75" hidden="1" customHeight="1" x14ac:dyDescent="0.2"/>
    <row r="39024" ht="12.75" hidden="1" customHeight="1" x14ac:dyDescent="0.2"/>
    <row r="39025" ht="12.75" hidden="1" customHeight="1" x14ac:dyDescent="0.2"/>
    <row r="39026" ht="12.75" hidden="1" customHeight="1" x14ac:dyDescent="0.2"/>
    <row r="39027" ht="12.75" hidden="1" customHeight="1" x14ac:dyDescent="0.2"/>
    <row r="39028" ht="12.75" hidden="1" customHeight="1" x14ac:dyDescent="0.2"/>
    <row r="39029" ht="12.75" hidden="1" customHeight="1" x14ac:dyDescent="0.2"/>
    <row r="39030" ht="12.75" hidden="1" customHeight="1" x14ac:dyDescent="0.2"/>
    <row r="39031" ht="12.75" hidden="1" customHeight="1" x14ac:dyDescent="0.2"/>
    <row r="39032" ht="12.75" hidden="1" customHeight="1" x14ac:dyDescent="0.2"/>
    <row r="39033" ht="12.75" hidden="1" customHeight="1" x14ac:dyDescent="0.2"/>
    <row r="39034" ht="12.75" hidden="1" customHeight="1" x14ac:dyDescent="0.2"/>
    <row r="39035" ht="12.75" hidden="1" customHeight="1" x14ac:dyDescent="0.2"/>
    <row r="39036" ht="12.75" hidden="1" customHeight="1" x14ac:dyDescent="0.2"/>
    <row r="39037" ht="12.75" hidden="1" customHeight="1" x14ac:dyDescent="0.2"/>
    <row r="39038" ht="12.75" hidden="1" customHeight="1" x14ac:dyDescent="0.2"/>
    <row r="39039" ht="12.75" hidden="1" customHeight="1" x14ac:dyDescent="0.2"/>
    <row r="39040" ht="12.75" hidden="1" customHeight="1" x14ac:dyDescent="0.2"/>
    <row r="39041" ht="12.75" hidden="1" customHeight="1" x14ac:dyDescent="0.2"/>
    <row r="39042" ht="12.75" hidden="1" customHeight="1" x14ac:dyDescent="0.2"/>
    <row r="39043" ht="12.75" hidden="1" customHeight="1" x14ac:dyDescent="0.2"/>
    <row r="39044" ht="12.75" hidden="1" customHeight="1" x14ac:dyDescent="0.2"/>
    <row r="39045" ht="12.75" hidden="1" customHeight="1" x14ac:dyDescent="0.2"/>
    <row r="39046" ht="12.75" hidden="1" customHeight="1" x14ac:dyDescent="0.2"/>
    <row r="39047" ht="12.75" hidden="1" customHeight="1" x14ac:dyDescent="0.2"/>
    <row r="39048" ht="12.75" hidden="1" customHeight="1" x14ac:dyDescent="0.2"/>
    <row r="39049" ht="12.75" hidden="1" customHeight="1" x14ac:dyDescent="0.2"/>
    <row r="39050" ht="12.75" hidden="1" customHeight="1" x14ac:dyDescent="0.2"/>
    <row r="39051" ht="12.75" hidden="1" customHeight="1" x14ac:dyDescent="0.2"/>
    <row r="39052" ht="12.75" hidden="1" customHeight="1" x14ac:dyDescent="0.2"/>
    <row r="39053" ht="12.75" hidden="1" customHeight="1" x14ac:dyDescent="0.2"/>
    <row r="39054" ht="12.75" hidden="1" customHeight="1" x14ac:dyDescent="0.2"/>
    <row r="39055" ht="12.75" hidden="1" customHeight="1" x14ac:dyDescent="0.2"/>
    <row r="39056" ht="12.75" hidden="1" customHeight="1" x14ac:dyDescent="0.2"/>
    <row r="39057" ht="12.75" hidden="1" customHeight="1" x14ac:dyDescent="0.2"/>
    <row r="39058" ht="12.75" hidden="1" customHeight="1" x14ac:dyDescent="0.2"/>
    <row r="39059" ht="12.75" hidden="1" customHeight="1" x14ac:dyDescent="0.2"/>
    <row r="39060" ht="12.75" hidden="1" customHeight="1" x14ac:dyDescent="0.2"/>
    <row r="39061" ht="12.75" hidden="1" customHeight="1" x14ac:dyDescent="0.2"/>
    <row r="39062" ht="12.75" hidden="1" customHeight="1" x14ac:dyDescent="0.2"/>
    <row r="39063" ht="12.75" hidden="1" customHeight="1" x14ac:dyDescent="0.2"/>
    <row r="39064" ht="12.75" hidden="1" customHeight="1" x14ac:dyDescent="0.2"/>
    <row r="39065" ht="12.75" hidden="1" customHeight="1" x14ac:dyDescent="0.2"/>
    <row r="39066" ht="12.75" hidden="1" customHeight="1" x14ac:dyDescent="0.2"/>
    <row r="39067" ht="12.75" hidden="1" customHeight="1" x14ac:dyDescent="0.2"/>
    <row r="39068" ht="12.75" hidden="1" customHeight="1" x14ac:dyDescent="0.2"/>
    <row r="39069" ht="12.75" hidden="1" customHeight="1" x14ac:dyDescent="0.2"/>
    <row r="39070" ht="12.75" hidden="1" customHeight="1" x14ac:dyDescent="0.2"/>
    <row r="39071" ht="12.75" hidden="1" customHeight="1" x14ac:dyDescent="0.2"/>
    <row r="39072" ht="12.75" hidden="1" customHeight="1" x14ac:dyDescent="0.2"/>
    <row r="39073" ht="12.75" hidden="1" customHeight="1" x14ac:dyDescent="0.2"/>
    <row r="39074" ht="12.75" hidden="1" customHeight="1" x14ac:dyDescent="0.2"/>
    <row r="39075" ht="12.75" hidden="1" customHeight="1" x14ac:dyDescent="0.2"/>
    <row r="39076" ht="12.75" hidden="1" customHeight="1" x14ac:dyDescent="0.2"/>
    <row r="39077" ht="12.75" hidden="1" customHeight="1" x14ac:dyDescent="0.2"/>
    <row r="39078" ht="12.75" hidden="1" customHeight="1" x14ac:dyDescent="0.2"/>
    <row r="39079" ht="12.75" hidden="1" customHeight="1" x14ac:dyDescent="0.2"/>
    <row r="39080" ht="12.75" hidden="1" customHeight="1" x14ac:dyDescent="0.2"/>
    <row r="39081" ht="12.75" hidden="1" customHeight="1" x14ac:dyDescent="0.2"/>
    <row r="39082" ht="12.75" hidden="1" customHeight="1" x14ac:dyDescent="0.2"/>
    <row r="39083" ht="12.75" hidden="1" customHeight="1" x14ac:dyDescent="0.2"/>
    <row r="39084" ht="12.75" hidden="1" customHeight="1" x14ac:dyDescent="0.2"/>
    <row r="39085" ht="12.75" hidden="1" customHeight="1" x14ac:dyDescent="0.2"/>
    <row r="39086" ht="12.75" hidden="1" customHeight="1" x14ac:dyDescent="0.2"/>
    <row r="39087" ht="12.75" hidden="1" customHeight="1" x14ac:dyDescent="0.2"/>
    <row r="39088" ht="12.75" hidden="1" customHeight="1" x14ac:dyDescent="0.2"/>
    <row r="39089" ht="12.75" hidden="1" customHeight="1" x14ac:dyDescent="0.2"/>
    <row r="39090" ht="12.75" hidden="1" customHeight="1" x14ac:dyDescent="0.2"/>
    <row r="39091" ht="12.75" hidden="1" customHeight="1" x14ac:dyDescent="0.2"/>
    <row r="39092" ht="12.75" hidden="1" customHeight="1" x14ac:dyDescent="0.2"/>
    <row r="39093" ht="12.75" hidden="1" customHeight="1" x14ac:dyDescent="0.2"/>
    <row r="39094" ht="12.75" hidden="1" customHeight="1" x14ac:dyDescent="0.2"/>
    <row r="39095" ht="12.75" hidden="1" customHeight="1" x14ac:dyDescent="0.2"/>
    <row r="39096" ht="12.75" hidden="1" customHeight="1" x14ac:dyDescent="0.2"/>
    <row r="39097" ht="12.75" hidden="1" customHeight="1" x14ac:dyDescent="0.2"/>
    <row r="39098" ht="12.75" hidden="1" customHeight="1" x14ac:dyDescent="0.2"/>
    <row r="39099" ht="12.75" hidden="1" customHeight="1" x14ac:dyDescent="0.2"/>
    <row r="39100" ht="12.75" hidden="1" customHeight="1" x14ac:dyDescent="0.2"/>
    <row r="39101" ht="12.75" hidden="1" customHeight="1" x14ac:dyDescent="0.2"/>
    <row r="39102" ht="12.75" hidden="1" customHeight="1" x14ac:dyDescent="0.2"/>
    <row r="39103" ht="12.75" hidden="1" customHeight="1" x14ac:dyDescent="0.2"/>
    <row r="39104" ht="12.75" hidden="1" customHeight="1" x14ac:dyDescent="0.2"/>
    <row r="39105" ht="12.75" hidden="1" customHeight="1" x14ac:dyDescent="0.2"/>
    <row r="39106" ht="12.75" hidden="1" customHeight="1" x14ac:dyDescent="0.2"/>
    <row r="39107" ht="12.75" hidden="1" customHeight="1" x14ac:dyDescent="0.2"/>
    <row r="39108" ht="12.75" hidden="1" customHeight="1" x14ac:dyDescent="0.2"/>
    <row r="39109" ht="12.75" hidden="1" customHeight="1" x14ac:dyDescent="0.2"/>
    <row r="39110" ht="12.75" hidden="1" customHeight="1" x14ac:dyDescent="0.2"/>
    <row r="39111" ht="12.75" hidden="1" customHeight="1" x14ac:dyDescent="0.2"/>
    <row r="39112" ht="12.75" hidden="1" customHeight="1" x14ac:dyDescent="0.2"/>
    <row r="39113" ht="12.75" hidden="1" customHeight="1" x14ac:dyDescent="0.2"/>
    <row r="39114" ht="12.75" hidden="1" customHeight="1" x14ac:dyDescent="0.2"/>
    <row r="39115" ht="12.75" hidden="1" customHeight="1" x14ac:dyDescent="0.2"/>
    <row r="39116" ht="12.75" hidden="1" customHeight="1" x14ac:dyDescent="0.2"/>
    <row r="39117" ht="12.75" hidden="1" customHeight="1" x14ac:dyDescent="0.2"/>
    <row r="39118" ht="12.75" hidden="1" customHeight="1" x14ac:dyDescent="0.2"/>
    <row r="39119" ht="12.75" hidden="1" customHeight="1" x14ac:dyDescent="0.2"/>
    <row r="39120" ht="12.75" hidden="1" customHeight="1" x14ac:dyDescent="0.2"/>
    <row r="39121" ht="12.75" hidden="1" customHeight="1" x14ac:dyDescent="0.2"/>
    <row r="39122" ht="12.75" hidden="1" customHeight="1" x14ac:dyDescent="0.2"/>
    <row r="39123" ht="12.75" hidden="1" customHeight="1" x14ac:dyDescent="0.2"/>
    <row r="39124" ht="12.75" hidden="1" customHeight="1" x14ac:dyDescent="0.2"/>
    <row r="39125" ht="12.75" hidden="1" customHeight="1" x14ac:dyDescent="0.2"/>
    <row r="39126" ht="12.75" hidden="1" customHeight="1" x14ac:dyDescent="0.2"/>
    <row r="39127" ht="12.75" hidden="1" customHeight="1" x14ac:dyDescent="0.2"/>
    <row r="39128" ht="12.75" hidden="1" customHeight="1" x14ac:dyDescent="0.2"/>
    <row r="39129" ht="12.75" hidden="1" customHeight="1" x14ac:dyDescent="0.2"/>
    <row r="39130" ht="12.75" hidden="1" customHeight="1" x14ac:dyDescent="0.2"/>
    <row r="39131" ht="12.75" hidden="1" customHeight="1" x14ac:dyDescent="0.2"/>
    <row r="39132" ht="12.75" hidden="1" customHeight="1" x14ac:dyDescent="0.2"/>
    <row r="39133" ht="12.75" hidden="1" customHeight="1" x14ac:dyDescent="0.2"/>
    <row r="39134" ht="12.75" hidden="1" customHeight="1" x14ac:dyDescent="0.2"/>
    <row r="39135" ht="12.75" hidden="1" customHeight="1" x14ac:dyDescent="0.2"/>
    <row r="39136" ht="12.75" hidden="1" customHeight="1" x14ac:dyDescent="0.2"/>
    <row r="39137" ht="12.75" hidden="1" customHeight="1" x14ac:dyDescent="0.2"/>
    <row r="39138" ht="12.75" hidden="1" customHeight="1" x14ac:dyDescent="0.2"/>
    <row r="39139" ht="12.75" hidden="1" customHeight="1" x14ac:dyDescent="0.2"/>
    <row r="39140" ht="12.75" hidden="1" customHeight="1" x14ac:dyDescent="0.2"/>
    <row r="39141" ht="12.75" hidden="1" customHeight="1" x14ac:dyDescent="0.2"/>
    <row r="39142" ht="12.75" hidden="1" customHeight="1" x14ac:dyDescent="0.2"/>
    <row r="39143" ht="12.75" hidden="1" customHeight="1" x14ac:dyDescent="0.2"/>
    <row r="39144" ht="12.75" hidden="1" customHeight="1" x14ac:dyDescent="0.2"/>
    <row r="39145" ht="12.75" hidden="1" customHeight="1" x14ac:dyDescent="0.2"/>
    <row r="39146" ht="12.75" hidden="1" customHeight="1" x14ac:dyDescent="0.2"/>
    <row r="39147" ht="12.75" hidden="1" customHeight="1" x14ac:dyDescent="0.2"/>
    <row r="39148" ht="12.75" hidden="1" customHeight="1" x14ac:dyDescent="0.2"/>
    <row r="39149" ht="12.75" hidden="1" customHeight="1" x14ac:dyDescent="0.2"/>
    <row r="39150" ht="12.75" hidden="1" customHeight="1" x14ac:dyDescent="0.2"/>
    <row r="39151" ht="12.75" hidden="1" customHeight="1" x14ac:dyDescent="0.2"/>
    <row r="39152" ht="12.75" hidden="1" customHeight="1" x14ac:dyDescent="0.2"/>
    <row r="39153" ht="12.75" hidden="1" customHeight="1" x14ac:dyDescent="0.2"/>
    <row r="39154" ht="12.75" hidden="1" customHeight="1" x14ac:dyDescent="0.2"/>
    <row r="39155" ht="12.75" hidden="1" customHeight="1" x14ac:dyDescent="0.2"/>
    <row r="39156" ht="12.75" hidden="1" customHeight="1" x14ac:dyDescent="0.2"/>
    <row r="39157" ht="12.75" hidden="1" customHeight="1" x14ac:dyDescent="0.2"/>
    <row r="39158" ht="12.75" hidden="1" customHeight="1" x14ac:dyDescent="0.2"/>
    <row r="39159" ht="12.75" hidden="1" customHeight="1" x14ac:dyDescent="0.2"/>
    <row r="39160" ht="12.75" hidden="1" customHeight="1" x14ac:dyDescent="0.2"/>
    <row r="39161" ht="12.75" hidden="1" customHeight="1" x14ac:dyDescent="0.2"/>
    <row r="39162" ht="12.75" hidden="1" customHeight="1" x14ac:dyDescent="0.2"/>
    <row r="39163" ht="12.75" hidden="1" customHeight="1" x14ac:dyDescent="0.2"/>
    <row r="39164" ht="12.75" hidden="1" customHeight="1" x14ac:dyDescent="0.2"/>
    <row r="39165" ht="12.75" hidden="1" customHeight="1" x14ac:dyDescent="0.2"/>
    <row r="39166" ht="12.75" hidden="1" customHeight="1" x14ac:dyDescent="0.2"/>
    <row r="39167" ht="12.75" hidden="1" customHeight="1" x14ac:dyDescent="0.2"/>
    <row r="39168" ht="12.75" hidden="1" customHeight="1" x14ac:dyDescent="0.2"/>
    <row r="39169" ht="12.75" hidden="1" customHeight="1" x14ac:dyDescent="0.2"/>
    <row r="39170" ht="12.75" hidden="1" customHeight="1" x14ac:dyDescent="0.2"/>
    <row r="39171" ht="12.75" hidden="1" customHeight="1" x14ac:dyDescent="0.2"/>
    <row r="39172" ht="12.75" hidden="1" customHeight="1" x14ac:dyDescent="0.2"/>
    <row r="39173" ht="12.75" hidden="1" customHeight="1" x14ac:dyDescent="0.2"/>
    <row r="39174" ht="12.75" hidden="1" customHeight="1" x14ac:dyDescent="0.2"/>
    <row r="39175" ht="12.75" hidden="1" customHeight="1" x14ac:dyDescent="0.2"/>
    <row r="39176" ht="12.75" hidden="1" customHeight="1" x14ac:dyDescent="0.2"/>
    <row r="39177" ht="12.75" hidden="1" customHeight="1" x14ac:dyDescent="0.2"/>
    <row r="39178" ht="12.75" hidden="1" customHeight="1" x14ac:dyDescent="0.2"/>
    <row r="39179" ht="12.75" hidden="1" customHeight="1" x14ac:dyDescent="0.2"/>
    <row r="39180" ht="12.75" hidden="1" customHeight="1" x14ac:dyDescent="0.2"/>
    <row r="39181" ht="12.75" hidden="1" customHeight="1" x14ac:dyDescent="0.2"/>
    <row r="39182" ht="12.75" hidden="1" customHeight="1" x14ac:dyDescent="0.2"/>
    <row r="39183" ht="12.75" hidden="1" customHeight="1" x14ac:dyDescent="0.2"/>
    <row r="39184" ht="12.75" hidden="1" customHeight="1" x14ac:dyDescent="0.2"/>
    <row r="39185" ht="12.75" hidden="1" customHeight="1" x14ac:dyDescent="0.2"/>
    <row r="39186" ht="12.75" hidden="1" customHeight="1" x14ac:dyDescent="0.2"/>
    <row r="39187" ht="12.75" hidden="1" customHeight="1" x14ac:dyDescent="0.2"/>
    <row r="39188" ht="12.75" hidden="1" customHeight="1" x14ac:dyDescent="0.2"/>
    <row r="39189" ht="12.75" hidden="1" customHeight="1" x14ac:dyDescent="0.2"/>
    <row r="39190" ht="12.75" hidden="1" customHeight="1" x14ac:dyDescent="0.2"/>
    <row r="39191" ht="12.75" hidden="1" customHeight="1" x14ac:dyDescent="0.2"/>
    <row r="39192" ht="12.75" hidden="1" customHeight="1" x14ac:dyDescent="0.2"/>
    <row r="39193" ht="12.75" hidden="1" customHeight="1" x14ac:dyDescent="0.2"/>
    <row r="39194" ht="12.75" hidden="1" customHeight="1" x14ac:dyDescent="0.2"/>
    <row r="39195" ht="12.75" hidden="1" customHeight="1" x14ac:dyDescent="0.2"/>
    <row r="39196" ht="12.75" hidden="1" customHeight="1" x14ac:dyDescent="0.2"/>
    <row r="39197" ht="12.75" hidden="1" customHeight="1" x14ac:dyDescent="0.2"/>
    <row r="39198" ht="12.75" hidden="1" customHeight="1" x14ac:dyDescent="0.2"/>
    <row r="39199" ht="12.75" hidden="1" customHeight="1" x14ac:dyDescent="0.2"/>
    <row r="39200" ht="12.75" hidden="1" customHeight="1" x14ac:dyDescent="0.2"/>
    <row r="39201" ht="12.75" hidden="1" customHeight="1" x14ac:dyDescent="0.2"/>
    <row r="39202" ht="12.75" hidden="1" customHeight="1" x14ac:dyDescent="0.2"/>
    <row r="39203" ht="12.75" hidden="1" customHeight="1" x14ac:dyDescent="0.2"/>
    <row r="39204" ht="12.75" hidden="1" customHeight="1" x14ac:dyDescent="0.2"/>
    <row r="39205" ht="12.75" hidden="1" customHeight="1" x14ac:dyDescent="0.2"/>
    <row r="39206" ht="12.75" hidden="1" customHeight="1" x14ac:dyDescent="0.2"/>
    <row r="39207" ht="12.75" hidden="1" customHeight="1" x14ac:dyDescent="0.2"/>
    <row r="39208" ht="12.75" hidden="1" customHeight="1" x14ac:dyDescent="0.2"/>
    <row r="39209" ht="12.75" hidden="1" customHeight="1" x14ac:dyDescent="0.2"/>
    <row r="39210" ht="12.75" hidden="1" customHeight="1" x14ac:dyDescent="0.2"/>
    <row r="39211" ht="12.75" hidden="1" customHeight="1" x14ac:dyDescent="0.2"/>
    <row r="39212" ht="12.75" hidden="1" customHeight="1" x14ac:dyDescent="0.2"/>
    <row r="39213" ht="12.75" hidden="1" customHeight="1" x14ac:dyDescent="0.2"/>
    <row r="39214" ht="12.75" hidden="1" customHeight="1" x14ac:dyDescent="0.2"/>
    <row r="39215" ht="12.75" hidden="1" customHeight="1" x14ac:dyDescent="0.2"/>
    <row r="39216" ht="12.75" hidden="1" customHeight="1" x14ac:dyDescent="0.2"/>
    <row r="39217" ht="12.75" hidden="1" customHeight="1" x14ac:dyDescent="0.2"/>
    <row r="39218" ht="12.75" hidden="1" customHeight="1" x14ac:dyDescent="0.2"/>
    <row r="39219" ht="12.75" hidden="1" customHeight="1" x14ac:dyDescent="0.2"/>
    <row r="39220" ht="12.75" hidden="1" customHeight="1" x14ac:dyDescent="0.2"/>
    <row r="39221" ht="12.75" hidden="1" customHeight="1" x14ac:dyDescent="0.2"/>
    <row r="39222" ht="12.75" hidden="1" customHeight="1" x14ac:dyDescent="0.2"/>
    <row r="39223" ht="12.75" hidden="1" customHeight="1" x14ac:dyDescent="0.2"/>
    <row r="39224" ht="12.75" hidden="1" customHeight="1" x14ac:dyDescent="0.2"/>
    <row r="39225" ht="12.75" hidden="1" customHeight="1" x14ac:dyDescent="0.2"/>
    <row r="39226" ht="12.75" hidden="1" customHeight="1" x14ac:dyDescent="0.2"/>
    <row r="39227" ht="12.75" hidden="1" customHeight="1" x14ac:dyDescent="0.2"/>
    <row r="39228" ht="12.75" hidden="1" customHeight="1" x14ac:dyDescent="0.2"/>
    <row r="39229" ht="12.75" hidden="1" customHeight="1" x14ac:dyDescent="0.2"/>
    <row r="39230" ht="12.75" hidden="1" customHeight="1" x14ac:dyDescent="0.2"/>
    <row r="39231" ht="12.75" hidden="1" customHeight="1" x14ac:dyDescent="0.2"/>
    <row r="39232" ht="12.75" hidden="1" customHeight="1" x14ac:dyDescent="0.2"/>
    <row r="39233" ht="12.75" hidden="1" customHeight="1" x14ac:dyDescent="0.2"/>
    <row r="39234" ht="12.75" hidden="1" customHeight="1" x14ac:dyDescent="0.2"/>
    <row r="39235" ht="12.75" hidden="1" customHeight="1" x14ac:dyDescent="0.2"/>
    <row r="39236" ht="12.75" hidden="1" customHeight="1" x14ac:dyDescent="0.2"/>
    <row r="39237" ht="12.75" hidden="1" customHeight="1" x14ac:dyDescent="0.2"/>
    <row r="39238" ht="12.75" hidden="1" customHeight="1" x14ac:dyDescent="0.2"/>
    <row r="39239" ht="12.75" hidden="1" customHeight="1" x14ac:dyDescent="0.2"/>
    <row r="39240" ht="12.75" hidden="1" customHeight="1" x14ac:dyDescent="0.2"/>
    <row r="39241" ht="12.75" hidden="1" customHeight="1" x14ac:dyDescent="0.2"/>
    <row r="39242" ht="12.75" hidden="1" customHeight="1" x14ac:dyDescent="0.2"/>
    <row r="39243" ht="12.75" hidden="1" customHeight="1" x14ac:dyDescent="0.2"/>
    <row r="39244" ht="12.75" hidden="1" customHeight="1" x14ac:dyDescent="0.2"/>
    <row r="39245" ht="12.75" hidden="1" customHeight="1" x14ac:dyDescent="0.2"/>
    <row r="39246" ht="12.75" hidden="1" customHeight="1" x14ac:dyDescent="0.2"/>
    <row r="39247" ht="12.75" hidden="1" customHeight="1" x14ac:dyDescent="0.2"/>
    <row r="39248" ht="12.75" hidden="1" customHeight="1" x14ac:dyDescent="0.2"/>
    <row r="39249" ht="12.75" hidden="1" customHeight="1" x14ac:dyDescent="0.2"/>
    <row r="39250" ht="12.75" hidden="1" customHeight="1" x14ac:dyDescent="0.2"/>
    <row r="39251" ht="12.75" hidden="1" customHeight="1" x14ac:dyDescent="0.2"/>
    <row r="39252" ht="12.75" hidden="1" customHeight="1" x14ac:dyDescent="0.2"/>
    <row r="39253" ht="12.75" hidden="1" customHeight="1" x14ac:dyDescent="0.2"/>
    <row r="39254" ht="12.75" hidden="1" customHeight="1" x14ac:dyDescent="0.2"/>
    <row r="39255" ht="12.75" hidden="1" customHeight="1" x14ac:dyDescent="0.2"/>
    <row r="39256" ht="12.75" hidden="1" customHeight="1" x14ac:dyDescent="0.2"/>
    <row r="39257" ht="12.75" hidden="1" customHeight="1" x14ac:dyDescent="0.2"/>
    <row r="39258" ht="12.75" hidden="1" customHeight="1" x14ac:dyDescent="0.2"/>
    <row r="39259" ht="12.75" hidden="1" customHeight="1" x14ac:dyDescent="0.2"/>
    <row r="39260" ht="12.75" hidden="1" customHeight="1" x14ac:dyDescent="0.2"/>
    <row r="39261" ht="12.75" hidden="1" customHeight="1" x14ac:dyDescent="0.2"/>
    <row r="39262" ht="12.75" hidden="1" customHeight="1" x14ac:dyDescent="0.2"/>
    <row r="39263" ht="12.75" hidden="1" customHeight="1" x14ac:dyDescent="0.2"/>
    <row r="39264" ht="12.75" hidden="1" customHeight="1" x14ac:dyDescent="0.2"/>
    <row r="39265" ht="12.75" hidden="1" customHeight="1" x14ac:dyDescent="0.2"/>
    <row r="39266" ht="12.75" hidden="1" customHeight="1" x14ac:dyDescent="0.2"/>
    <row r="39267" ht="12.75" hidden="1" customHeight="1" x14ac:dyDescent="0.2"/>
    <row r="39268" ht="12.75" hidden="1" customHeight="1" x14ac:dyDescent="0.2"/>
    <row r="39269" ht="12.75" hidden="1" customHeight="1" x14ac:dyDescent="0.2"/>
    <row r="39270" ht="12.75" hidden="1" customHeight="1" x14ac:dyDescent="0.2"/>
    <row r="39271" ht="12.75" hidden="1" customHeight="1" x14ac:dyDescent="0.2"/>
    <row r="39272" ht="12.75" hidden="1" customHeight="1" x14ac:dyDescent="0.2"/>
    <row r="39273" ht="12.75" hidden="1" customHeight="1" x14ac:dyDescent="0.2"/>
    <row r="39274" ht="12.75" hidden="1" customHeight="1" x14ac:dyDescent="0.2"/>
    <row r="39275" ht="12.75" hidden="1" customHeight="1" x14ac:dyDescent="0.2"/>
    <row r="39276" ht="12.75" hidden="1" customHeight="1" x14ac:dyDescent="0.2"/>
    <row r="39277" ht="12.75" hidden="1" customHeight="1" x14ac:dyDescent="0.2"/>
    <row r="39278" ht="12.75" hidden="1" customHeight="1" x14ac:dyDescent="0.2"/>
    <row r="39279" ht="12.75" hidden="1" customHeight="1" x14ac:dyDescent="0.2"/>
    <row r="39280" ht="12.75" hidden="1" customHeight="1" x14ac:dyDescent="0.2"/>
    <row r="39281" ht="12.75" hidden="1" customHeight="1" x14ac:dyDescent="0.2"/>
    <row r="39282" ht="12.75" hidden="1" customHeight="1" x14ac:dyDescent="0.2"/>
    <row r="39283" ht="12.75" hidden="1" customHeight="1" x14ac:dyDescent="0.2"/>
    <row r="39284" ht="12.75" hidden="1" customHeight="1" x14ac:dyDescent="0.2"/>
    <row r="39285" ht="12.75" hidden="1" customHeight="1" x14ac:dyDescent="0.2"/>
    <row r="39286" ht="12.75" hidden="1" customHeight="1" x14ac:dyDescent="0.2"/>
    <row r="39287" ht="12.75" hidden="1" customHeight="1" x14ac:dyDescent="0.2"/>
    <row r="39288" ht="12.75" hidden="1" customHeight="1" x14ac:dyDescent="0.2"/>
    <row r="39289" ht="12.75" hidden="1" customHeight="1" x14ac:dyDescent="0.2"/>
    <row r="39290" ht="12.75" hidden="1" customHeight="1" x14ac:dyDescent="0.2"/>
    <row r="39291" ht="12.75" hidden="1" customHeight="1" x14ac:dyDescent="0.2"/>
    <row r="39292" ht="12.75" hidden="1" customHeight="1" x14ac:dyDescent="0.2"/>
    <row r="39293" ht="12.75" hidden="1" customHeight="1" x14ac:dyDescent="0.2"/>
    <row r="39294" ht="12.75" hidden="1" customHeight="1" x14ac:dyDescent="0.2"/>
    <row r="39295" ht="12.75" hidden="1" customHeight="1" x14ac:dyDescent="0.2"/>
    <row r="39296" ht="12.75" hidden="1" customHeight="1" x14ac:dyDescent="0.2"/>
    <row r="39297" ht="12.75" hidden="1" customHeight="1" x14ac:dyDescent="0.2"/>
    <row r="39298" ht="12.75" hidden="1" customHeight="1" x14ac:dyDescent="0.2"/>
    <row r="39299" ht="12.75" hidden="1" customHeight="1" x14ac:dyDescent="0.2"/>
    <row r="39300" ht="12.75" hidden="1" customHeight="1" x14ac:dyDescent="0.2"/>
    <row r="39301" ht="12.75" hidden="1" customHeight="1" x14ac:dyDescent="0.2"/>
    <row r="39302" ht="12.75" hidden="1" customHeight="1" x14ac:dyDescent="0.2"/>
    <row r="39303" ht="12.75" hidden="1" customHeight="1" x14ac:dyDescent="0.2"/>
    <row r="39304" ht="12.75" hidden="1" customHeight="1" x14ac:dyDescent="0.2"/>
    <row r="39305" ht="12.75" hidden="1" customHeight="1" x14ac:dyDescent="0.2"/>
    <row r="39306" ht="12.75" hidden="1" customHeight="1" x14ac:dyDescent="0.2"/>
    <row r="39307" ht="12.75" hidden="1" customHeight="1" x14ac:dyDescent="0.2"/>
    <row r="39308" ht="12.75" hidden="1" customHeight="1" x14ac:dyDescent="0.2"/>
    <row r="39309" ht="12.75" hidden="1" customHeight="1" x14ac:dyDescent="0.2"/>
    <row r="39310" ht="12.75" hidden="1" customHeight="1" x14ac:dyDescent="0.2"/>
    <row r="39311" ht="12.75" hidden="1" customHeight="1" x14ac:dyDescent="0.2"/>
    <row r="39312" ht="12.75" hidden="1" customHeight="1" x14ac:dyDescent="0.2"/>
    <row r="39313" ht="12.75" hidden="1" customHeight="1" x14ac:dyDescent="0.2"/>
    <row r="39314" ht="12.75" hidden="1" customHeight="1" x14ac:dyDescent="0.2"/>
    <row r="39315" ht="12.75" hidden="1" customHeight="1" x14ac:dyDescent="0.2"/>
    <row r="39316" ht="12.75" hidden="1" customHeight="1" x14ac:dyDescent="0.2"/>
    <row r="39317" ht="12.75" hidden="1" customHeight="1" x14ac:dyDescent="0.2"/>
    <row r="39318" ht="12.75" hidden="1" customHeight="1" x14ac:dyDescent="0.2"/>
    <row r="39319" ht="12.75" hidden="1" customHeight="1" x14ac:dyDescent="0.2"/>
    <row r="39320" ht="12.75" hidden="1" customHeight="1" x14ac:dyDescent="0.2"/>
    <row r="39321" ht="12.75" hidden="1" customHeight="1" x14ac:dyDescent="0.2"/>
    <row r="39322" ht="12.75" hidden="1" customHeight="1" x14ac:dyDescent="0.2"/>
    <row r="39323" ht="12.75" hidden="1" customHeight="1" x14ac:dyDescent="0.2"/>
    <row r="39324" ht="12.75" hidden="1" customHeight="1" x14ac:dyDescent="0.2"/>
    <row r="39325" ht="12.75" hidden="1" customHeight="1" x14ac:dyDescent="0.2"/>
    <row r="39326" ht="12.75" hidden="1" customHeight="1" x14ac:dyDescent="0.2"/>
    <row r="39327" ht="12.75" hidden="1" customHeight="1" x14ac:dyDescent="0.2"/>
    <row r="39328" ht="12.75" hidden="1" customHeight="1" x14ac:dyDescent="0.2"/>
    <row r="39329" ht="12.75" hidden="1" customHeight="1" x14ac:dyDescent="0.2"/>
    <row r="39330" ht="12.75" hidden="1" customHeight="1" x14ac:dyDescent="0.2"/>
    <row r="39331" ht="12.75" hidden="1" customHeight="1" x14ac:dyDescent="0.2"/>
    <row r="39332" ht="12.75" hidden="1" customHeight="1" x14ac:dyDescent="0.2"/>
    <row r="39333" ht="12.75" hidden="1" customHeight="1" x14ac:dyDescent="0.2"/>
    <row r="39334" ht="12.75" hidden="1" customHeight="1" x14ac:dyDescent="0.2"/>
    <row r="39335" ht="12.75" hidden="1" customHeight="1" x14ac:dyDescent="0.2"/>
    <row r="39336" ht="12.75" hidden="1" customHeight="1" x14ac:dyDescent="0.2"/>
    <row r="39337" ht="12.75" hidden="1" customHeight="1" x14ac:dyDescent="0.2"/>
    <row r="39338" ht="12.75" hidden="1" customHeight="1" x14ac:dyDescent="0.2"/>
    <row r="39339" ht="12.75" hidden="1" customHeight="1" x14ac:dyDescent="0.2"/>
    <row r="39340" ht="12.75" hidden="1" customHeight="1" x14ac:dyDescent="0.2"/>
    <row r="39341" ht="12.75" hidden="1" customHeight="1" x14ac:dyDescent="0.2"/>
    <row r="39342" ht="12.75" hidden="1" customHeight="1" x14ac:dyDescent="0.2"/>
    <row r="39343" ht="12.75" hidden="1" customHeight="1" x14ac:dyDescent="0.2"/>
    <row r="39344" ht="12.75" hidden="1" customHeight="1" x14ac:dyDescent="0.2"/>
    <row r="39345" ht="12.75" hidden="1" customHeight="1" x14ac:dyDescent="0.2"/>
    <row r="39346" ht="12.75" hidden="1" customHeight="1" x14ac:dyDescent="0.2"/>
    <row r="39347" ht="12.75" hidden="1" customHeight="1" x14ac:dyDescent="0.2"/>
    <row r="39348" ht="12.75" hidden="1" customHeight="1" x14ac:dyDescent="0.2"/>
    <row r="39349" ht="12.75" hidden="1" customHeight="1" x14ac:dyDescent="0.2"/>
    <row r="39350" ht="12.75" hidden="1" customHeight="1" x14ac:dyDescent="0.2"/>
    <row r="39351" ht="12.75" hidden="1" customHeight="1" x14ac:dyDescent="0.2"/>
    <row r="39352" ht="12.75" hidden="1" customHeight="1" x14ac:dyDescent="0.2"/>
    <row r="39353" ht="12.75" hidden="1" customHeight="1" x14ac:dyDescent="0.2"/>
    <row r="39354" ht="12.75" hidden="1" customHeight="1" x14ac:dyDescent="0.2"/>
    <row r="39355" ht="12.75" hidden="1" customHeight="1" x14ac:dyDescent="0.2"/>
    <row r="39356" ht="12.75" hidden="1" customHeight="1" x14ac:dyDescent="0.2"/>
    <row r="39357" ht="12.75" hidden="1" customHeight="1" x14ac:dyDescent="0.2"/>
    <row r="39358" ht="12.75" hidden="1" customHeight="1" x14ac:dyDescent="0.2"/>
    <row r="39359" ht="12.75" hidden="1" customHeight="1" x14ac:dyDescent="0.2"/>
    <row r="39360" ht="12.75" hidden="1" customHeight="1" x14ac:dyDescent="0.2"/>
    <row r="39361" ht="12.75" hidden="1" customHeight="1" x14ac:dyDescent="0.2"/>
    <row r="39362" ht="12.75" hidden="1" customHeight="1" x14ac:dyDescent="0.2"/>
    <row r="39363" ht="12.75" hidden="1" customHeight="1" x14ac:dyDescent="0.2"/>
    <row r="39364" ht="12.75" hidden="1" customHeight="1" x14ac:dyDescent="0.2"/>
    <row r="39365" ht="12.75" hidden="1" customHeight="1" x14ac:dyDescent="0.2"/>
    <row r="39366" ht="12.75" hidden="1" customHeight="1" x14ac:dyDescent="0.2"/>
    <row r="39367" ht="12.75" hidden="1" customHeight="1" x14ac:dyDescent="0.2"/>
    <row r="39368" ht="12.75" hidden="1" customHeight="1" x14ac:dyDescent="0.2"/>
    <row r="39369" ht="12.75" hidden="1" customHeight="1" x14ac:dyDescent="0.2"/>
    <row r="39370" ht="12.75" hidden="1" customHeight="1" x14ac:dyDescent="0.2"/>
    <row r="39371" ht="12.75" hidden="1" customHeight="1" x14ac:dyDescent="0.2"/>
    <row r="39372" ht="12.75" hidden="1" customHeight="1" x14ac:dyDescent="0.2"/>
    <row r="39373" ht="12.75" hidden="1" customHeight="1" x14ac:dyDescent="0.2"/>
    <row r="39374" ht="12.75" hidden="1" customHeight="1" x14ac:dyDescent="0.2"/>
    <row r="39375" ht="12.75" hidden="1" customHeight="1" x14ac:dyDescent="0.2"/>
    <row r="39376" ht="12.75" hidden="1" customHeight="1" x14ac:dyDescent="0.2"/>
    <row r="39377" ht="12.75" hidden="1" customHeight="1" x14ac:dyDescent="0.2"/>
    <row r="39378" ht="12.75" hidden="1" customHeight="1" x14ac:dyDescent="0.2"/>
    <row r="39379" ht="12.75" hidden="1" customHeight="1" x14ac:dyDescent="0.2"/>
    <row r="39380" ht="12.75" hidden="1" customHeight="1" x14ac:dyDescent="0.2"/>
    <row r="39381" ht="12.75" hidden="1" customHeight="1" x14ac:dyDescent="0.2"/>
    <row r="39382" ht="12.75" hidden="1" customHeight="1" x14ac:dyDescent="0.2"/>
    <row r="39383" ht="12.75" hidden="1" customHeight="1" x14ac:dyDescent="0.2"/>
    <row r="39384" ht="12.75" hidden="1" customHeight="1" x14ac:dyDescent="0.2"/>
    <row r="39385" ht="12.75" hidden="1" customHeight="1" x14ac:dyDescent="0.2"/>
    <row r="39386" ht="12.75" hidden="1" customHeight="1" x14ac:dyDescent="0.2"/>
    <row r="39387" ht="12.75" hidden="1" customHeight="1" x14ac:dyDescent="0.2"/>
    <row r="39388" ht="12.75" hidden="1" customHeight="1" x14ac:dyDescent="0.2"/>
    <row r="39389" ht="12.75" hidden="1" customHeight="1" x14ac:dyDescent="0.2"/>
    <row r="39390" ht="12.75" hidden="1" customHeight="1" x14ac:dyDescent="0.2"/>
    <row r="39391" ht="12.75" hidden="1" customHeight="1" x14ac:dyDescent="0.2"/>
    <row r="39392" ht="12.75" hidden="1" customHeight="1" x14ac:dyDescent="0.2"/>
    <row r="39393" ht="12.75" hidden="1" customHeight="1" x14ac:dyDescent="0.2"/>
    <row r="39394" ht="12.75" hidden="1" customHeight="1" x14ac:dyDescent="0.2"/>
    <row r="39395" ht="12.75" hidden="1" customHeight="1" x14ac:dyDescent="0.2"/>
    <row r="39396" ht="12.75" hidden="1" customHeight="1" x14ac:dyDescent="0.2"/>
    <row r="39397" ht="12.75" hidden="1" customHeight="1" x14ac:dyDescent="0.2"/>
    <row r="39398" ht="12.75" hidden="1" customHeight="1" x14ac:dyDescent="0.2"/>
    <row r="39399" ht="12.75" hidden="1" customHeight="1" x14ac:dyDescent="0.2"/>
    <row r="39400" ht="12.75" hidden="1" customHeight="1" x14ac:dyDescent="0.2"/>
    <row r="39401" ht="12.75" hidden="1" customHeight="1" x14ac:dyDescent="0.2"/>
    <row r="39402" ht="12.75" hidden="1" customHeight="1" x14ac:dyDescent="0.2"/>
    <row r="39403" ht="12.75" hidden="1" customHeight="1" x14ac:dyDescent="0.2"/>
    <row r="39404" ht="12.75" hidden="1" customHeight="1" x14ac:dyDescent="0.2"/>
    <row r="39405" ht="12.75" hidden="1" customHeight="1" x14ac:dyDescent="0.2"/>
    <row r="39406" ht="12.75" hidden="1" customHeight="1" x14ac:dyDescent="0.2"/>
    <row r="39407" ht="12.75" hidden="1" customHeight="1" x14ac:dyDescent="0.2"/>
    <row r="39408" ht="12.75" hidden="1" customHeight="1" x14ac:dyDescent="0.2"/>
    <row r="39409" ht="12.75" hidden="1" customHeight="1" x14ac:dyDescent="0.2"/>
    <row r="39410" ht="12.75" hidden="1" customHeight="1" x14ac:dyDescent="0.2"/>
    <row r="39411" ht="12.75" hidden="1" customHeight="1" x14ac:dyDescent="0.2"/>
    <row r="39412" ht="12.75" hidden="1" customHeight="1" x14ac:dyDescent="0.2"/>
    <row r="39413" ht="12.75" hidden="1" customHeight="1" x14ac:dyDescent="0.2"/>
    <row r="39414" ht="12.75" hidden="1" customHeight="1" x14ac:dyDescent="0.2"/>
    <row r="39415" ht="12.75" hidden="1" customHeight="1" x14ac:dyDescent="0.2"/>
    <row r="39416" ht="12.75" hidden="1" customHeight="1" x14ac:dyDescent="0.2"/>
    <row r="39417" ht="12.75" hidden="1" customHeight="1" x14ac:dyDescent="0.2"/>
    <row r="39418" ht="12.75" hidden="1" customHeight="1" x14ac:dyDescent="0.2"/>
    <row r="39419" ht="12.75" hidden="1" customHeight="1" x14ac:dyDescent="0.2"/>
    <row r="39420" ht="12.75" hidden="1" customHeight="1" x14ac:dyDescent="0.2"/>
    <row r="39421" ht="12.75" hidden="1" customHeight="1" x14ac:dyDescent="0.2"/>
    <row r="39422" ht="12.75" hidden="1" customHeight="1" x14ac:dyDescent="0.2"/>
    <row r="39423" ht="12.75" hidden="1" customHeight="1" x14ac:dyDescent="0.2"/>
    <row r="39424" ht="12.75" hidden="1" customHeight="1" x14ac:dyDescent="0.2"/>
    <row r="39425" ht="12.75" hidden="1" customHeight="1" x14ac:dyDescent="0.2"/>
    <row r="39426" ht="12.75" hidden="1" customHeight="1" x14ac:dyDescent="0.2"/>
    <row r="39427" ht="12.75" hidden="1" customHeight="1" x14ac:dyDescent="0.2"/>
    <row r="39428" ht="12.75" hidden="1" customHeight="1" x14ac:dyDescent="0.2"/>
    <row r="39429" ht="12.75" hidden="1" customHeight="1" x14ac:dyDescent="0.2"/>
    <row r="39430" ht="12.75" hidden="1" customHeight="1" x14ac:dyDescent="0.2"/>
    <row r="39431" ht="12.75" hidden="1" customHeight="1" x14ac:dyDescent="0.2"/>
    <row r="39432" ht="12.75" hidden="1" customHeight="1" x14ac:dyDescent="0.2"/>
    <row r="39433" ht="12.75" hidden="1" customHeight="1" x14ac:dyDescent="0.2"/>
    <row r="39434" ht="12.75" hidden="1" customHeight="1" x14ac:dyDescent="0.2"/>
    <row r="39435" ht="12.75" hidden="1" customHeight="1" x14ac:dyDescent="0.2"/>
    <row r="39436" ht="12.75" hidden="1" customHeight="1" x14ac:dyDescent="0.2"/>
    <row r="39437" ht="12.75" hidden="1" customHeight="1" x14ac:dyDescent="0.2"/>
    <row r="39438" ht="12.75" hidden="1" customHeight="1" x14ac:dyDescent="0.2"/>
    <row r="39439" ht="12.75" hidden="1" customHeight="1" x14ac:dyDescent="0.2"/>
    <row r="39440" ht="12.75" hidden="1" customHeight="1" x14ac:dyDescent="0.2"/>
    <row r="39441" ht="12.75" hidden="1" customHeight="1" x14ac:dyDescent="0.2"/>
    <row r="39442" ht="12.75" hidden="1" customHeight="1" x14ac:dyDescent="0.2"/>
    <row r="39443" ht="12.75" hidden="1" customHeight="1" x14ac:dyDescent="0.2"/>
    <row r="39444" ht="12.75" hidden="1" customHeight="1" x14ac:dyDescent="0.2"/>
    <row r="39445" ht="12.75" hidden="1" customHeight="1" x14ac:dyDescent="0.2"/>
    <row r="39446" ht="12.75" hidden="1" customHeight="1" x14ac:dyDescent="0.2"/>
    <row r="39447" ht="12.75" hidden="1" customHeight="1" x14ac:dyDescent="0.2"/>
    <row r="39448" ht="12.75" hidden="1" customHeight="1" x14ac:dyDescent="0.2"/>
    <row r="39449" ht="12.75" hidden="1" customHeight="1" x14ac:dyDescent="0.2"/>
    <row r="39450" ht="12.75" hidden="1" customHeight="1" x14ac:dyDescent="0.2"/>
    <row r="39451" ht="12.75" hidden="1" customHeight="1" x14ac:dyDescent="0.2"/>
    <row r="39452" ht="12.75" hidden="1" customHeight="1" x14ac:dyDescent="0.2"/>
    <row r="39453" ht="12.75" hidden="1" customHeight="1" x14ac:dyDescent="0.2"/>
    <row r="39454" ht="12.75" hidden="1" customHeight="1" x14ac:dyDescent="0.2"/>
    <row r="39455" ht="12.75" hidden="1" customHeight="1" x14ac:dyDescent="0.2"/>
    <row r="39456" ht="12.75" hidden="1" customHeight="1" x14ac:dyDescent="0.2"/>
    <row r="39457" ht="12.75" hidden="1" customHeight="1" x14ac:dyDescent="0.2"/>
    <row r="39458" ht="12.75" hidden="1" customHeight="1" x14ac:dyDescent="0.2"/>
    <row r="39459" ht="12.75" hidden="1" customHeight="1" x14ac:dyDescent="0.2"/>
    <row r="39460" ht="12.75" hidden="1" customHeight="1" x14ac:dyDescent="0.2"/>
    <row r="39461" ht="12.75" hidden="1" customHeight="1" x14ac:dyDescent="0.2"/>
    <row r="39462" ht="12.75" hidden="1" customHeight="1" x14ac:dyDescent="0.2"/>
    <row r="39463" ht="12.75" hidden="1" customHeight="1" x14ac:dyDescent="0.2"/>
    <row r="39464" ht="12.75" hidden="1" customHeight="1" x14ac:dyDescent="0.2"/>
    <row r="39465" ht="12.75" hidden="1" customHeight="1" x14ac:dyDescent="0.2"/>
    <row r="39466" ht="12.75" hidden="1" customHeight="1" x14ac:dyDescent="0.2"/>
    <row r="39467" ht="12.75" hidden="1" customHeight="1" x14ac:dyDescent="0.2"/>
    <row r="39468" ht="12.75" hidden="1" customHeight="1" x14ac:dyDescent="0.2"/>
    <row r="39469" ht="12.75" hidden="1" customHeight="1" x14ac:dyDescent="0.2"/>
    <row r="39470" ht="12.75" hidden="1" customHeight="1" x14ac:dyDescent="0.2"/>
    <row r="39471" ht="12.75" hidden="1" customHeight="1" x14ac:dyDescent="0.2"/>
    <row r="39472" ht="12.75" hidden="1" customHeight="1" x14ac:dyDescent="0.2"/>
    <row r="39473" ht="12.75" hidden="1" customHeight="1" x14ac:dyDescent="0.2"/>
    <row r="39474" ht="12.75" hidden="1" customHeight="1" x14ac:dyDescent="0.2"/>
    <row r="39475" ht="12.75" hidden="1" customHeight="1" x14ac:dyDescent="0.2"/>
    <row r="39476" ht="12.75" hidden="1" customHeight="1" x14ac:dyDescent="0.2"/>
    <row r="39477" ht="12.75" hidden="1" customHeight="1" x14ac:dyDescent="0.2"/>
    <row r="39478" ht="12.75" hidden="1" customHeight="1" x14ac:dyDescent="0.2"/>
    <row r="39479" ht="12.75" hidden="1" customHeight="1" x14ac:dyDescent="0.2"/>
    <row r="39480" ht="12.75" hidden="1" customHeight="1" x14ac:dyDescent="0.2"/>
    <row r="39481" ht="12.75" hidden="1" customHeight="1" x14ac:dyDescent="0.2"/>
    <row r="39482" ht="12.75" hidden="1" customHeight="1" x14ac:dyDescent="0.2"/>
    <row r="39483" ht="12.75" hidden="1" customHeight="1" x14ac:dyDescent="0.2"/>
    <row r="39484" ht="12.75" hidden="1" customHeight="1" x14ac:dyDescent="0.2"/>
    <row r="39485" ht="12.75" hidden="1" customHeight="1" x14ac:dyDescent="0.2"/>
    <row r="39486" ht="12.75" hidden="1" customHeight="1" x14ac:dyDescent="0.2"/>
    <row r="39487" ht="12.75" hidden="1" customHeight="1" x14ac:dyDescent="0.2"/>
    <row r="39488" ht="12.75" hidden="1" customHeight="1" x14ac:dyDescent="0.2"/>
    <row r="39489" ht="12.75" hidden="1" customHeight="1" x14ac:dyDescent="0.2"/>
    <row r="39490" ht="12.75" hidden="1" customHeight="1" x14ac:dyDescent="0.2"/>
    <row r="39491" ht="12.75" hidden="1" customHeight="1" x14ac:dyDescent="0.2"/>
    <row r="39492" ht="12.75" hidden="1" customHeight="1" x14ac:dyDescent="0.2"/>
    <row r="39493" ht="12.75" hidden="1" customHeight="1" x14ac:dyDescent="0.2"/>
    <row r="39494" ht="12.75" hidden="1" customHeight="1" x14ac:dyDescent="0.2"/>
    <row r="39495" ht="12.75" hidden="1" customHeight="1" x14ac:dyDescent="0.2"/>
    <row r="39496" ht="12.75" hidden="1" customHeight="1" x14ac:dyDescent="0.2"/>
    <row r="39497" ht="12.75" hidden="1" customHeight="1" x14ac:dyDescent="0.2"/>
    <row r="39498" ht="12.75" hidden="1" customHeight="1" x14ac:dyDescent="0.2"/>
    <row r="39499" ht="12.75" hidden="1" customHeight="1" x14ac:dyDescent="0.2"/>
    <row r="39500" ht="12.75" hidden="1" customHeight="1" x14ac:dyDescent="0.2"/>
    <row r="39501" ht="12.75" hidden="1" customHeight="1" x14ac:dyDescent="0.2"/>
    <row r="39502" ht="12.75" hidden="1" customHeight="1" x14ac:dyDescent="0.2"/>
    <row r="39503" ht="12.75" hidden="1" customHeight="1" x14ac:dyDescent="0.2"/>
    <row r="39504" ht="12.75" hidden="1" customHeight="1" x14ac:dyDescent="0.2"/>
    <row r="39505" ht="12.75" hidden="1" customHeight="1" x14ac:dyDescent="0.2"/>
    <row r="39506" ht="12.75" hidden="1" customHeight="1" x14ac:dyDescent="0.2"/>
    <row r="39507" ht="12.75" hidden="1" customHeight="1" x14ac:dyDescent="0.2"/>
    <row r="39508" ht="12.75" hidden="1" customHeight="1" x14ac:dyDescent="0.2"/>
    <row r="39509" ht="12.75" hidden="1" customHeight="1" x14ac:dyDescent="0.2"/>
    <row r="39510" ht="12.75" hidden="1" customHeight="1" x14ac:dyDescent="0.2"/>
    <row r="39511" ht="12.75" hidden="1" customHeight="1" x14ac:dyDescent="0.2"/>
    <row r="39512" ht="12.75" hidden="1" customHeight="1" x14ac:dyDescent="0.2"/>
    <row r="39513" ht="12.75" hidden="1" customHeight="1" x14ac:dyDescent="0.2"/>
    <row r="39514" ht="12.75" hidden="1" customHeight="1" x14ac:dyDescent="0.2"/>
    <row r="39515" ht="12.75" hidden="1" customHeight="1" x14ac:dyDescent="0.2"/>
    <row r="39516" ht="12.75" hidden="1" customHeight="1" x14ac:dyDescent="0.2"/>
    <row r="39517" ht="12.75" hidden="1" customHeight="1" x14ac:dyDescent="0.2"/>
    <row r="39518" ht="12.75" hidden="1" customHeight="1" x14ac:dyDescent="0.2"/>
    <row r="39519" ht="12.75" hidden="1" customHeight="1" x14ac:dyDescent="0.2"/>
    <row r="39520" ht="12.75" hidden="1" customHeight="1" x14ac:dyDescent="0.2"/>
    <row r="39521" ht="12.75" hidden="1" customHeight="1" x14ac:dyDescent="0.2"/>
    <row r="39522" ht="12.75" hidden="1" customHeight="1" x14ac:dyDescent="0.2"/>
    <row r="39523" ht="12.75" hidden="1" customHeight="1" x14ac:dyDescent="0.2"/>
    <row r="39524" ht="12.75" hidden="1" customHeight="1" x14ac:dyDescent="0.2"/>
    <row r="39525" ht="12.75" hidden="1" customHeight="1" x14ac:dyDescent="0.2"/>
    <row r="39526" ht="12.75" hidden="1" customHeight="1" x14ac:dyDescent="0.2"/>
    <row r="39527" ht="12.75" hidden="1" customHeight="1" x14ac:dyDescent="0.2"/>
    <row r="39528" ht="12.75" hidden="1" customHeight="1" x14ac:dyDescent="0.2"/>
    <row r="39529" ht="12.75" hidden="1" customHeight="1" x14ac:dyDescent="0.2"/>
    <row r="39530" ht="12.75" hidden="1" customHeight="1" x14ac:dyDescent="0.2"/>
    <row r="39531" ht="12.75" hidden="1" customHeight="1" x14ac:dyDescent="0.2"/>
    <row r="39532" ht="12.75" hidden="1" customHeight="1" x14ac:dyDescent="0.2"/>
    <row r="39533" ht="12.75" hidden="1" customHeight="1" x14ac:dyDescent="0.2"/>
    <row r="39534" ht="12.75" hidden="1" customHeight="1" x14ac:dyDescent="0.2"/>
    <row r="39535" ht="12.75" hidden="1" customHeight="1" x14ac:dyDescent="0.2"/>
    <row r="39536" ht="12.75" hidden="1" customHeight="1" x14ac:dyDescent="0.2"/>
    <row r="39537" ht="12.75" hidden="1" customHeight="1" x14ac:dyDescent="0.2"/>
    <row r="39538" ht="12.75" hidden="1" customHeight="1" x14ac:dyDescent="0.2"/>
    <row r="39539" ht="12.75" hidden="1" customHeight="1" x14ac:dyDescent="0.2"/>
    <row r="39540" ht="12.75" hidden="1" customHeight="1" x14ac:dyDescent="0.2"/>
    <row r="39541" ht="12.75" hidden="1" customHeight="1" x14ac:dyDescent="0.2"/>
    <row r="39542" ht="12.75" hidden="1" customHeight="1" x14ac:dyDescent="0.2"/>
    <row r="39543" ht="12.75" hidden="1" customHeight="1" x14ac:dyDescent="0.2"/>
    <row r="39544" ht="12.75" hidden="1" customHeight="1" x14ac:dyDescent="0.2"/>
    <row r="39545" ht="12.75" hidden="1" customHeight="1" x14ac:dyDescent="0.2"/>
    <row r="39546" ht="12.75" hidden="1" customHeight="1" x14ac:dyDescent="0.2"/>
    <row r="39547" ht="12.75" hidden="1" customHeight="1" x14ac:dyDescent="0.2"/>
    <row r="39548" ht="12.75" hidden="1" customHeight="1" x14ac:dyDescent="0.2"/>
    <row r="39549" ht="12.75" hidden="1" customHeight="1" x14ac:dyDescent="0.2"/>
    <row r="39550" ht="12.75" hidden="1" customHeight="1" x14ac:dyDescent="0.2"/>
    <row r="39551" ht="12.75" hidden="1" customHeight="1" x14ac:dyDescent="0.2"/>
    <row r="39552" ht="12.75" hidden="1" customHeight="1" x14ac:dyDescent="0.2"/>
    <row r="39553" ht="12.75" hidden="1" customHeight="1" x14ac:dyDescent="0.2"/>
    <row r="39554" ht="12.75" hidden="1" customHeight="1" x14ac:dyDescent="0.2"/>
    <row r="39555" ht="12.75" hidden="1" customHeight="1" x14ac:dyDescent="0.2"/>
    <row r="39556" ht="12.75" hidden="1" customHeight="1" x14ac:dyDescent="0.2"/>
    <row r="39557" ht="12.75" hidden="1" customHeight="1" x14ac:dyDescent="0.2"/>
    <row r="39558" ht="12.75" hidden="1" customHeight="1" x14ac:dyDescent="0.2"/>
    <row r="39559" ht="12.75" hidden="1" customHeight="1" x14ac:dyDescent="0.2"/>
    <row r="39560" ht="12.75" hidden="1" customHeight="1" x14ac:dyDescent="0.2"/>
    <row r="39561" ht="12.75" hidden="1" customHeight="1" x14ac:dyDescent="0.2"/>
    <row r="39562" ht="12.75" hidden="1" customHeight="1" x14ac:dyDescent="0.2"/>
    <row r="39563" ht="12.75" hidden="1" customHeight="1" x14ac:dyDescent="0.2"/>
    <row r="39564" ht="12.75" hidden="1" customHeight="1" x14ac:dyDescent="0.2"/>
    <row r="39565" ht="12.75" hidden="1" customHeight="1" x14ac:dyDescent="0.2"/>
    <row r="39566" ht="12.75" hidden="1" customHeight="1" x14ac:dyDescent="0.2"/>
    <row r="39567" ht="12.75" hidden="1" customHeight="1" x14ac:dyDescent="0.2"/>
    <row r="39568" ht="12.75" hidden="1" customHeight="1" x14ac:dyDescent="0.2"/>
    <row r="39569" ht="12.75" hidden="1" customHeight="1" x14ac:dyDescent="0.2"/>
    <row r="39570" ht="12.75" hidden="1" customHeight="1" x14ac:dyDescent="0.2"/>
    <row r="39571" ht="12.75" hidden="1" customHeight="1" x14ac:dyDescent="0.2"/>
    <row r="39572" ht="12.75" hidden="1" customHeight="1" x14ac:dyDescent="0.2"/>
    <row r="39573" ht="12.75" hidden="1" customHeight="1" x14ac:dyDescent="0.2"/>
    <row r="39574" ht="12.75" hidden="1" customHeight="1" x14ac:dyDescent="0.2"/>
    <row r="39575" ht="12.75" hidden="1" customHeight="1" x14ac:dyDescent="0.2"/>
    <row r="39576" ht="12.75" hidden="1" customHeight="1" x14ac:dyDescent="0.2"/>
    <row r="39577" ht="12.75" hidden="1" customHeight="1" x14ac:dyDescent="0.2"/>
    <row r="39578" ht="12.75" hidden="1" customHeight="1" x14ac:dyDescent="0.2"/>
    <row r="39579" ht="12.75" hidden="1" customHeight="1" x14ac:dyDescent="0.2"/>
    <row r="39580" ht="12.75" hidden="1" customHeight="1" x14ac:dyDescent="0.2"/>
    <row r="39581" ht="12.75" hidden="1" customHeight="1" x14ac:dyDescent="0.2"/>
    <row r="39582" ht="12.75" hidden="1" customHeight="1" x14ac:dyDescent="0.2"/>
    <row r="39583" ht="12.75" hidden="1" customHeight="1" x14ac:dyDescent="0.2"/>
    <row r="39584" ht="12.75" hidden="1" customHeight="1" x14ac:dyDescent="0.2"/>
    <row r="39585" ht="12.75" hidden="1" customHeight="1" x14ac:dyDescent="0.2"/>
    <row r="39586" ht="12.75" hidden="1" customHeight="1" x14ac:dyDescent="0.2"/>
    <row r="39587" ht="12.75" hidden="1" customHeight="1" x14ac:dyDescent="0.2"/>
    <row r="39588" ht="12.75" hidden="1" customHeight="1" x14ac:dyDescent="0.2"/>
    <row r="39589" ht="12.75" hidden="1" customHeight="1" x14ac:dyDescent="0.2"/>
    <row r="39590" ht="12.75" hidden="1" customHeight="1" x14ac:dyDescent="0.2"/>
    <row r="39591" ht="12.75" hidden="1" customHeight="1" x14ac:dyDescent="0.2"/>
    <row r="39592" ht="12.75" hidden="1" customHeight="1" x14ac:dyDescent="0.2"/>
    <row r="39593" ht="12.75" hidden="1" customHeight="1" x14ac:dyDescent="0.2"/>
    <row r="39594" ht="12.75" hidden="1" customHeight="1" x14ac:dyDescent="0.2"/>
    <row r="39595" ht="12.75" hidden="1" customHeight="1" x14ac:dyDescent="0.2"/>
    <row r="39596" ht="12.75" hidden="1" customHeight="1" x14ac:dyDescent="0.2"/>
    <row r="39597" ht="12.75" hidden="1" customHeight="1" x14ac:dyDescent="0.2"/>
    <row r="39598" ht="12.75" hidden="1" customHeight="1" x14ac:dyDescent="0.2"/>
    <row r="39599" ht="12.75" hidden="1" customHeight="1" x14ac:dyDescent="0.2"/>
    <row r="39600" ht="12.75" hidden="1" customHeight="1" x14ac:dyDescent="0.2"/>
    <row r="39601" ht="12.75" hidden="1" customHeight="1" x14ac:dyDescent="0.2"/>
    <row r="39602" ht="12.75" hidden="1" customHeight="1" x14ac:dyDescent="0.2"/>
    <row r="39603" ht="12.75" hidden="1" customHeight="1" x14ac:dyDescent="0.2"/>
    <row r="39604" ht="12.75" hidden="1" customHeight="1" x14ac:dyDescent="0.2"/>
    <row r="39605" ht="12.75" hidden="1" customHeight="1" x14ac:dyDescent="0.2"/>
    <row r="39606" ht="12.75" hidden="1" customHeight="1" x14ac:dyDescent="0.2"/>
    <row r="39607" ht="12.75" hidden="1" customHeight="1" x14ac:dyDescent="0.2"/>
    <row r="39608" ht="12.75" hidden="1" customHeight="1" x14ac:dyDescent="0.2"/>
    <row r="39609" ht="12.75" hidden="1" customHeight="1" x14ac:dyDescent="0.2"/>
    <row r="39610" ht="12.75" hidden="1" customHeight="1" x14ac:dyDescent="0.2"/>
    <row r="39611" ht="12.75" hidden="1" customHeight="1" x14ac:dyDescent="0.2"/>
    <row r="39612" ht="12.75" hidden="1" customHeight="1" x14ac:dyDescent="0.2"/>
    <row r="39613" ht="12.75" hidden="1" customHeight="1" x14ac:dyDescent="0.2"/>
    <row r="39614" ht="12.75" hidden="1" customHeight="1" x14ac:dyDescent="0.2"/>
    <row r="39615" ht="12.75" hidden="1" customHeight="1" x14ac:dyDescent="0.2"/>
    <row r="39616" ht="12.75" hidden="1" customHeight="1" x14ac:dyDescent="0.2"/>
    <row r="39617" ht="12.75" hidden="1" customHeight="1" x14ac:dyDescent="0.2"/>
    <row r="39618" ht="12.75" hidden="1" customHeight="1" x14ac:dyDescent="0.2"/>
    <row r="39619" ht="12.75" hidden="1" customHeight="1" x14ac:dyDescent="0.2"/>
    <row r="39620" ht="12.75" hidden="1" customHeight="1" x14ac:dyDescent="0.2"/>
    <row r="39621" ht="12.75" hidden="1" customHeight="1" x14ac:dyDescent="0.2"/>
    <row r="39622" ht="12.75" hidden="1" customHeight="1" x14ac:dyDescent="0.2"/>
    <row r="39623" ht="12.75" hidden="1" customHeight="1" x14ac:dyDescent="0.2"/>
    <row r="39624" ht="12.75" hidden="1" customHeight="1" x14ac:dyDescent="0.2"/>
    <row r="39625" ht="12.75" hidden="1" customHeight="1" x14ac:dyDescent="0.2"/>
    <row r="39626" ht="12.75" hidden="1" customHeight="1" x14ac:dyDescent="0.2"/>
    <row r="39627" ht="12.75" hidden="1" customHeight="1" x14ac:dyDescent="0.2"/>
    <row r="39628" ht="12.75" hidden="1" customHeight="1" x14ac:dyDescent="0.2"/>
    <row r="39629" ht="12.75" hidden="1" customHeight="1" x14ac:dyDescent="0.2"/>
    <row r="39630" ht="12.75" hidden="1" customHeight="1" x14ac:dyDescent="0.2"/>
    <row r="39631" ht="12.75" hidden="1" customHeight="1" x14ac:dyDescent="0.2"/>
    <row r="39632" ht="12.75" hidden="1" customHeight="1" x14ac:dyDescent="0.2"/>
    <row r="39633" ht="12.75" hidden="1" customHeight="1" x14ac:dyDescent="0.2"/>
    <row r="39634" ht="12.75" hidden="1" customHeight="1" x14ac:dyDescent="0.2"/>
    <row r="39635" ht="12.75" hidden="1" customHeight="1" x14ac:dyDescent="0.2"/>
    <row r="39636" ht="12.75" hidden="1" customHeight="1" x14ac:dyDescent="0.2"/>
    <row r="39637" ht="12.75" hidden="1" customHeight="1" x14ac:dyDescent="0.2"/>
    <row r="39638" ht="12.75" hidden="1" customHeight="1" x14ac:dyDescent="0.2"/>
    <row r="39639" ht="12.75" hidden="1" customHeight="1" x14ac:dyDescent="0.2"/>
    <row r="39640" ht="12.75" hidden="1" customHeight="1" x14ac:dyDescent="0.2"/>
    <row r="39641" ht="12.75" hidden="1" customHeight="1" x14ac:dyDescent="0.2"/>
    <row r="39642" ht="12.75" hidden="1" customHeight="1" x14ac:dyDescent="0.2"/>
    <row r="39643" ht="12.75" hidden="1" customHeight="1" x14ac:dyDescent="0.2"/>
    <row r="39644" ht="12.75" hidden="1" customHeight="1" x14ac:dyDescent="0.2"/>
    <row r="39645" ht="12.75" hidden="1" customHeight="1" x14ac:dyDescent="0.2"/>
    <row r="39646" ht="12.75" hidden="1" customHeight="1" x14ac:dyDescent="0.2"/>
    <row r="39647" ht="12.75" hidden="1" customHeight="1" x14ac:dyDescent="0.2"/>
    <row r="39648" ht="12.75" hidden="1" customHeight="1" x14ac:dyDescent="0.2"/>
    <row r="39649" ht="12.75" hidden="1" customHeight="1" x14ac:dyDescent="0.2"/>
    <row r="39650" ht="12.75" hidden="1" customHeight="1" x14ac:dyDescent="0.2"/>
    <row r="39651" ht="12.75" hidden="1" customHeight="1" x14ac:dyDescent="0.2"/>
    <row r="39652" ht="12.75" hidden="1" customHeight="1" x14ac:dyDescent="0.2"/>
    <row r="39653" ht="12.75" hidden="1" customHeight="1" x14ac:dyDescent="0.2"/>
    <row r="39654" ht="12.75" hidden="1" customHeight="1" x14ac:dyDescent="0.2"/>
    <row r="39655" ht="12.75" hidden="1" customHeight="1" x14ac:dyDescent="0.2"/>
    <row r="39656" ht="12.75" hidden="1" customHeight="1" x14ac:dyDescent="0.2"/>
    <row r="39657" ht="12.75" hidden="1" customHeight="1" x14ac:dyDescent="0.2"/>
    <row r="39658" ht="12.75" hidden="1" customHeight="1" x14ac:dyDescent="0.2"/>
    <row r="39659" ht="12.75" hidden="1" customHeight="1" x14ac:dyDescent="0.2"/>
    <row r="39660" ht="12.75" hidden="1" customHeight="1" x14ac:dyDescent="0.2"/>
    <row r="39661" ht="12.75" hidden="1" customHeight="1" x14ac:dyDescent="0.2"/>
    <row r="39662" ht="12.75" hidden="1" customHeight="1" x14ac:dyDescent="0.2"/>
    <row r="39663" ht="12.75" hidden="1" customHeight="1" x14ac:dyDescent="0.2"/>
    <row r="39664" ht="12.75" hidden="1" customHeight="1" x14ac:dyDescent="0.2"/>
    <row r="39665" ht="12.75" hidden="1" customHeight="1" x14ac:dyDescent="0.2"/>
    <row r="39666" ht="12.75" hidden="1" customHeight="1" x14ac:dyDescent="0.2"/>
    <row r="39667" ht="12.75" hidden="1" customHeight="1" x14ac:dyDescent="0.2"/>
    <row r="39668" ht="12.75" hidden="1" customHeight="1" x14ac:dyDescent="0.2"/>
    <row r="39669" ht="12.75" hidden="1" customHeight="1" x14ac:dyDescent="0.2"/>
    <row r="39670" ht="12.75" hidden="1" customHeight="1" x14ac:dyDescent="0.2"/>
    <row r="39671" ht="12.75" hidden="1" customHeight="1" x14ac:dyDescent="0.2"/>
    <row r="39672" ht="12.75" hidden="1" customHeight="1" x14ac:dyDescent="0.2"/>
    <row r="39673" ht="12.75" hidden="1" customHeight="1" x14ac:dyDescent="0.2"/>
    <row r="39674" ht="12.75" hidden="1" customHeight="1" x14ac:dyDescent="0.2"/>
    <row r="39675" ht="12.75" hidden="1" customHeight="1" x14ac:dyDescent="0.2"/>
    <row r="39676" ht="12.75" hidden="1" customHeight="1" x14ac:dyDescent="0.2"/>
    <row r="39677" ht="12.75" hidden="1" customHeight="1" x14ac:dyDescent="0.2"/>
    <row r="39678" ht="12.75" hidden="1" customHeight="1" x14ac:dyDescent="0.2"/>
    <row r="39679" ht="12.75" hidden="1" customHeight="1" x14ac:dyDescent="0.2"/>
    <row r="39680" ht="12.75" hidden="1" customHeight="1" x14ac:dyDescent="0.2"/>
    <row r="39681" ht="12.75" hidden="1" customHeight="1" x14ac:dyDescent="0.2"/>
    <row r="39682" ht="12.75" hidden="1" customHeight="1" x14ac:dyDescent="0.2"/>
    <row r="39683" ht="12.75" hidden="1" customHeight="1" x14ac:dyDescent="0.2"/>
    <row r="39684" ht="12.75" hidden="1" customHeight="1" x14ac:dyDescent="0.2"/>
    <row r="39685" ht="12.75" hidden="1" customHeight="1" x14ac:dyDescent="0.2"/>
    <row r="39686" ht="12.75" hidden="1" customHeight="1" x14ac:dyDescent="0.2"/>
    <row r="39687" ht="12.75" hidden="1" customHeight="1" x14ac:dyDescent="0.2"/>
    <row r="39688" ht="12.75" hidden="1" customHeight="1" x14ac:dyDescent="0.2"/>
    <row r="39689" ht="12.75" hidden="1" customHeight="1" x14ac:dyDescent="0.2"/>
    <row r="39690" ht="12.75" hidden="1" customHeight="1" x14ac:dyDescent="0.2"/>
    <row r="39691" ht="12.75" hidden="1" customHeight="1" x14ac:dyDescent="0.2"/>
    <row r="39692" ht="12.75" hidden="1" customHeight="1" x14ac:dyDescent="0.2"/>
    <row r="39693" ht="12.75" hidden="1" customHeight="1" x14ac:dyDescent="0.2"/>
    <row r="39694" ht="12.75" hidden="1" customHeight="1" x14ac:dyDescent="0.2"/>
    <row r="39695" ht="12.75" hidden="1" customHeight="1" x14ac:dyDescent="0.2"/>
    <row r="39696" ht="12.75" hidden="1" customHeight="1" x14ac:dyDescent="0.2"/>
    <row r="39697" ht="12.75" hidden="1" customHeight="1" x14ac:dyDescent="0.2"/>
    <row r="39698" ht="12.75" hidden="1" customHeight="1" x14ac:dyDescent="0.2"/>
    <row r="39699" ht="12.75" hidden="1" customHeight="1" x14ac:dyDescent="0.2"/>
    <row r="39700" ht="12.75" hidden="1" customHeight="1" x14ac:dyDescent="0.2"/>
    <row r="39701" ht="12.75" hidden="1" customHeight="1" x14ac:dyDescent="0.2"/>
    <row r="39702" ht="12.75" hidden="1" customHeight="1" x14ac:dyDescent="0.2"/>
    <row r="39703" ht="12.75" hidden="1" customHeight="1" x14ac:dyDescent="0.2"/>
    <row r="39704" ht="12.75" hidden="1" customHeight="1" x14ac:dyDescent="0.2"/>
    <row r="39705" ht="12.75" hidden="1" customHeight="1" x14ac:dyDescent="0.2"/>
    <row r="39706" ht="12.75" hidden="1" customHeight="1" x14ac:dyDescent="0.2"/>
    <row r="39707" ht="12.75" hidden="1" customHeight="1" x14ac:dyDescent="0.2"/>
    <row r="39708" ht="12.75" hidden="1" customHeight="1" x14ac:dyDescent="0.2"/>
    <row r="39709" ht="12.75" hidden="1" customHeight="1" x14ac:dyDescent="0.2"/>
    <row r="39710" ht="12.75" hidden="1" customHeight="1" x14ac:dyDescent="0.2"/>
    <row r="39711" ht="12.75" hidden="1" customHeight="1" x14ac:dyDescent="0.2"/>
    <row r="39712" ht="12.75" hidden="1" customHeight="1" x14ac:dyDescent="0.2"/>
    <row r="39713" ht="12.75" hidden="1" customHeight="1" x14ac:dyDescent="0.2"/>
    <row r="39714" ht="12.75" hidden="1" customHeight="1" x14ac:dyDescent="0.2"/>
    <row r="39715" ht="12.75" hidden="1" customHeight="1" x14ac:dyDescent="0.2"/>
    <row r="39716" ht="12.75" hidden="1" customHeight="1" x14ac:dyDescent="0.2"/>
    <row r="39717" ht="12.75" hidden="1" customHeight="1" x14ac:dyDescent="0.2"/>
    <row r="39718" ht="12.75" hidden="1" customHeight="1" x14ac:dyDescent="0.2"/>
    <row r="39719" ht="12.75" hidden="1" customHeight="1" x14ac:dyDescent="0.2"/>
    <row r="39720" ht="12.75" hidden="1" customHeight="1" x14ac:dyDescent="0.2"/>
    <row r="39721" ht="12.75" hidden="1" customHeight="1" x14ac:dyDescent="0.2"/>
    <row r="39722" ht="12.75" hidden="1" customHeight="1" x14ac:dyDescent="0.2"/>
    <row r="39723" ht="12.75" hidden="1" customHeight="1" x14ac:dyDescent="0.2"/>
    <row r="39724" ht="12.75" hidden="1" customHeight="1" x14ac:dyDescent="0.2"/>
    <row r="39725" ht="12.75" hidden="1" customHeight="1" x14ac:dyDescent="0.2"/>
    <row r="39726" ht="12.75" hidden="1" customHeight="1" x14ac:dyDescent="0.2"/>
    <row r="39727" ht="12.75" hidden="1" customHeight="1" x14ac:dyDescent="0.2"/>
    <row r="39728" ht="12.75" hidden="1" customHeight="1" x14ac:dyDescent="0.2"/>
    <row r="39729" ht="12.75" hidden="1" customHeight="1" x14ac:dyDescent="0.2"/>
    <row r="39730" ht="12.75" hidden="1" customHeight="1" x14ac:dyDescent="0.2"/>
    <row r="39731" ht="12.75" hidden="1" customHeight="1" x14ac:dyDescent="0.2"/>
    <row r="39732" ht="12.75" hidden="1" customHeight="1" x14ac:dyDescent="0.2"/>
    <row r="39733" ht="12.75" hidden="1" customHeight="1" x14ac:dyDescent="0.2"/>
    <row r="39734" ht="12.75" hidden="1" customHeight="1" x14ac:dyDescent="0.2"/>
    <row r="39735" ht="12.75" hidden="1" customHeight="1" x14ac:dyDescent="0.2"/>
    <row r="39736" ht="12.75" hidden="1" customHeight="1" x14ac:dyDescent="0.2"/>
    <row r="39737" ht="12.75" hidden="1" customHeight="1" x14ac:dyDescent="0.2"/>
    <row r="39738" ht="12.75" hidden="1" customHeight="1" x14ac:dyDescent="0.2"/>
    <row r="39739" ht="12.75" hidden="1" customHeight="1" x14ac:dyDescent="0.2"/>
    <row r="39740" ht="12.75" hidden="1" customHeight="1" x14ac:dyDescent="0.2"/>
    <row r="39741" ht="12.75" hidden="1" customHeight="1" x14ac:dyDescent="0.2"/>
    <row r="39742" ht="12.75" hidden="1" customHeight="1" x14ac:dyDescent="0.2"/>
    <row r="39743" ht="12.75" hidden="1" customHeight="1" x14ac:dyDescent="0.2"/>
    <row r="39744" ht="12.75" hidden="1" customHeight="1" x14ac:dyDescent="0.2"/>
    <row r="39745" ht="12.75" hidden="1" customHeight="1" x14ac:dyDescent="0.2"/>
    <row r="39746" ht="12.75" hidden="1" customHeight="1" x14ac:dyDescent="0.2"/>
    <row r="39747" ht="12.75" hidden="1" customHeight="1" x14ac:dyDescent="0.2"/>
    <row r="39748" ht="12.75" hidden="1" customHeight="1" x14ac:dyDescent="0.2"/>
    <row r="39749" ht="12.75" hidden="1" customHeight="1" x14ac:dyDescent="0.2"/>
    <row r="39750" ht="12.75" hidden="1" customHeight="1" x14ac:dyDescent="0.2"/>
    <row r="39751" ht="12.75" hidden="1" customHeight="1" x14ac:dyDescent="0.2"/>
    <row r="39752" ht="12.75" hidden="1" customHeight="1" x14ac:dyDescent="0.2"/>
    <row r="39753" ht="12.75" hidden="1" customHeight="1" x14ac:dyDescent="0.2"/>
    <row r="39754" ht="12.75" hidden="1" customHeight="1" x14ac:dyDescent="0.2"/>
    <row r="39755" ht="12.75" hidden="1" customHeight="1" x14ac:dyDescent="0.2"/>
    <row r="39756" ht="12.75" hidden="1" customHeight="1" x14ac:dyDescent="0.2"/>
    <row r="39757" ht="12.75" hidden="1" customHeight="1" x14ac:dyDescent="0.2"/>
    <row r="39758" ht="12.75" hidden="1" customHeight="1" x14ac:dyDescent="0.2"/>
    <row r="39759" ht="12.75" hidden="1" customHeight="1" x14ac:dyDescent="0.2"/>
    <row r="39760" ht="12.75" hidden="1" customHeight="1" x14ac:dyDescent="0.2"/>
    <row r="39761" ht="12.75" hidden="1" customHeight="1" x14ac:dyDescent="0.2"/>
    <row r="39762" ht="12.75" hidden="1" customHeight="1" x14ac:dyDescent="0.2"/>
    <row r="39763" ht="12.75" hidden="1" customHeight="1" x14ac:dyDescent="0.2"/>
    <row r="39764" ht="12.75" hidden="1" customHeight="1" x14ac:dyDescent="0.2"/>
    <row r="39765" ht="12.75" hidden="1" customHeight="1" x14ac:dyDescent="0.2"/>
    <row r="39766" ht="12.75" hidden="1" customHeight="1" x14ac:dyDescent="0.2"/>
    <row r="39767" ht="12.75" hidden="1" customHeight="1" x14ac:dyDescent="0.2"/>
    <row r="39768" ht="12.75" hidden="1" customHeight="1" x14ac:dyDescent="0.2"/>
    <row r="39769" ht="12.75" hidden="1" customHeight="1" x14ac:dyDescent="0.2"/>
    <row r="39770" ht="12.75" hidden="1" customHeight="1" x14ac:dyDescent="0.2"/>
    <row r="39771" ht="12.75" hidden="1" customHeight="1" x14ac:dyDescent="0.2"/>
    <row r="39772" ht="12.75" hidden="1" customHeight="1" x14ac:dyDescent="0.2"/>
    <row r="39773" ht="12.75" hidden="1" customHeight="1" x14ac:dyDescent="0.2"/>
    <row r="39774" ht="12.75" hidden="1" customHeight="1" x14ac:dyDescent="0.2"/>
    <row r="39775" ht="12.75" hidden="1" customHeight="1" x14ac:dyDescent="0.2"/>
    <row r="39776" ht="12.75" hidden="1" customHeight="1" x14ac:dyDescent="0.2"/>
    <row r="39777" ht="12.75" hidden="1" customHeight="1" x14ac:dyDescent="0.2"/>
    <row r="39778" ht="12.75" hidden="1" customHeight="1" x14ac:dyDescent="0.2"/>
    <row r="39779" ht="12.75" hidden="1" customHeight="1" x14ac:dyDescent="0.2"/>
    <row r="39780" ht="12.75" hidden="1" customHeight="1" x14ac:dyDescent="0.2"/>
    <row r="39781" ht="12.75" hidden="1" customHeight="1" x14ac:dyDescent="0.2"/>
    <row r="39782" ht="12.75" hidden="1" customHeight="1" x14ac:dyDescent="0.2"/>
    <row r="39783" ht="12.75" hidden="1" customHeight="1" x14ac:dyDescent="0.2"/>
    <row r="39784" ht="12.75" hidden="1" customHeight="1" x14ac:dyDescent="0.2"/>
    <row r="39785" ht="12.75" hidden="1" customHeight="1" x14ac:dyDescent="0.2"/>
    <row r="39786" ht="12.75" hidden="1" customHeight="1" x14ac:dyDescent="0.2"/>
    <row r="39787" ht="12.75" hidden="1" customHeight="1" x14ac:dyDescent="0.2"/>
    <row r="39788" ht="12.75" hidden="1" customHeight="1" x14ac:dyDescent="0.2"/>
    <row r="39789" ht="12.75" hidden="1" customHeight="1" x14ac:dyDescent="0.2"/>
    <row r="39790" ht="12.75" hidden="1" customHeight="1" x14ac:dyDescent="0.2"/>
    <row r="39791" ht="12.75" hidden="1" customHeight="1" x14ac:dyDescent="0.2"/>
    <row r="39792" ht="12.75" hidden="1" customHeight="1" x14ac:dyDescent="0.2"/>
    <row r="39793" ht="12.75" hidden="1" customHeight="1" x14ac:dyDescent="0.2"/>
    <row r="39794" ht="12.75" hidden="1" customHeight="1" x14ac:dyDescent="0.2"/>
    <row r="39795" ht="12.75" hidden="1" customHeight="1" x14ac:dyDescent="0.2"/>
    <row r="39796" ht="12.75" hidden="1" customHeight="1" x14ac:dyDescent="0.2"/>
    <row r="39797" ht="12.75" hidden="1" customHeight="1" x14ac:dyDescent="0.2"/>
    <row r="39798" ht="12.75" hidden="1" customHeight="1" x14ac:dyDescent="0.2"/>
    <row r="39799" ht="12.75" hidden="1" customHeight="1" x14ac:dyDescent="0.2"/>
    <row r="39800" ht="12.75" hidden="1" customHeight="1" x14ac:dyDescent="0.2"/>
    <row r="39801" ht="12.75" hidden="1" customHeight="1" x14ac:dyDescent="0.2"/>
    <row r="39802" ht="12.75" hidden="1" customHeight="1" x14ac:dyDescent="0.2"/>
    <row r="39803" ht="12.75" hidden="1" customHeight="1" x14ac:dyDescent="0.2"/>
    <row r="39804" ht="12.75" hidden="1" customHeight="1" x14ac:dyDescent="0.2"/>
    <row r="39805" ht="12.75" hidden="1" customHeight="1" x14ac:dyDescent="0.2"/>
    <row r="39806" ht="12.75" hidden="1" customHeight="1" x14ac:dyDescent="0.2"/>
    <row r="39807" ht="12.75" hidden="1" customHeight="1" x14ac:dyDescent="0.2"/>
    <row r="39808" ht="12.75" hidden="1" customHeight="1" x14ac:dyDescent="0.2"/>
    <row r="39809" ht="12.75" hidden="1" customHeight="1" x14ac:dyDescent="0.2"/>
    <row r="39810" ht="12.75" hidden="1" customHeight="1" x14ac:dyDescent="0.2"/>
    <row r="39811" ht="12.75" hidden="1" customHeight="1" x14ac:dyDescent="0.2"/>
    <row r="39812" ht="12.75" hidden="1" customHeight="1" x14ac:dyDescent="0.2"/>
    <row r="39813" ht="12.75" hidden="1" customHeight="1" x14ac:dyDescent="0.2"/>
    <row r="39814" ht="12.75" hidden="1" customHeight="1" x14ac:dyDescent="0.2"/>
    <row r="39815" ht="12.75" hidden="1" customHeight="1" x14ac:dyDescent="0.2"/>
    <row r="39816" ht="12.75" hidden="1" customHeight="1" x14ac:dyDescent="0.2"/>
    <row r="39817" ht="12.75" hidden="1" customHeight="1" x14ac:dyDescent="0.2"/>
    <row r="39818" ht="12.75" hidden="1" customHeight="1" x14ac:dyDescent="0.2"/>
    <row r="39819" ht="12.75" hidden="1" customHeight="1" x14ac:dyDescent="0.2"/>
    <row r="39820" ht="12.75" hidden="1" customHeight="1" x14ac:dyDescent="0.2"/>
    <row r="39821" ht="12.75" hidden="1" customHeight="1" x14ac:dyDescent="0.2"/>
    <row r="39822" ht="12.75" hidden="1" customHeight="1" x14ac:dyDescent="0.2"/>
    <row r="39823" ht="12.75" hidden="1" customHeight="1" x14ac:dyDescent="0.2"/>
    <row r="39824" ht="12.75" hidden="1" customHeight="1" x14ac:dyDescent="0.2"/>
    <row r="39825" ht="12.75" hidden="1" customHeight="1" x14ac:dyDescent="0.2"/>
    <row r="39826" ht="12.75" hidden="1" customHeight="1" x14ac:dyDescent="0.2"/>
    <row r="39827" ht="12.75" hidden="1" customHeight="1" x14ac:dyDescent="0.2"/>
    <row r="39828" ht="12.75" hidden="1" customHeight="1" x14ac:dyDescent="0.2"/>
    <row r="39829" ht="12.75" hidden="1" customHeight="1" x14ac:dyDescent="0.2"/>
    <row r="39830" ht="12.75" hidden="1" customHeight="1" x14ac:dyDescent="0.2"/>
    <row r="39831" ht="12.75" hidden="1" customHeight="1" x14ac:dyDescent="0.2"/>
    <row r="39832" ht="12.75" hidden="1" customHeight="1" x14ac:dyDescent="0.2"/>
    <row r="39833" ht="12.75" hidden="1" customHeight="1" x14ac:dyDescent="0.2"/>
    <row r="39834" ht="12.75" hidden="1" customHeight="1" x14ac:dyDescent="0.2"/>
    <row r="39835" ht="12.75" hidden="1" customHeight="1" x14ac:dyDescent="0.2"/>
    <row r="39836" ht="12.75" hidden="1" customHeight="1" x14ac:dyDescent="0.2"/>
    <row r="39837" ht="12.75" hidden="1" customHeight="1" x14ac:dyDescent="0.2"/>
    <row r="39838" ht="12.75" hidden="1" customHeight="1" x14ac:dyDescent="0.2"/>
    <row r="39839" ht="12.75" hidden="1" customHeight="1" x14ac:dyDescent="0.2"/>
    <row r="39840" ht="12.75" hidden="1" customHeight="1" x14ac:dyDescent="0.2"/>
    <row r="39841" ht="12.75" hidden="1" customHeight="1" x14ac:dyDescent="0.2"/>
    <row r="39842" ht="12.75" hidden="1" customHeight="1" x14ac:dyDescent="0.2"/>
    <row r="39843" ht="12.75" hidden="1" customHeight="1" x14ac:dyDescent="0.2"/>
    <row r="39844" ht="12.75" hidden="1" customHeight="1" x14ac:dyDescent="0.2"/>
    <row r="39845" ht="12.75" hidden="1" customHeight="1" x14ac:dyDescent="0.2"/>
    <row r="39846" ht="12.75" hidden="1" customHeight="1" x14ac:dyDescent="0.2"/>
    <row r="39847" ht="12.75" hidden="1" customHeight="1" x14ac:dyDescent="0.2"/>
    <row r="39848" ht="12.75" hidden="1" customHeight="1" x14ac:dyDescent="0.2"/>
    <row r="39849" ht="12.75" hidden="1" customHeight="1" x14ac:dyDescent="0.2"/>
    <row r="39850" ht="12.75" hidden="1" customHeight="1" x14ac:dyDescent="0.2"/>
    <row r="39851" ht="12.75" hidden="1" customHeight="1" x14ac:dyDescent="0.2"/>
    <row r="39852" ht="12.75" hidden="1" customHeight="1" x14ac:dyDescent="0.2"/>
    <row r="39853" ht="12.75" hidden="1" customHeight="1" x14ac:dyDescent="0.2"/>
    <row r="39854" ht="12.75" hidden="1" customHeight="1" x14ac:dyDescent="0.2"/>
    <row r="39855" ht="12.75" hidden="1" customHeight="1" x14ac:dyDescent="0.2"/>
    <row r="39856" ht="12.75" hidden="1" customHeight="1" x14ac:dyDescent="0.2"/>
    <row r="39857" ht="12.75" hidden="1" customHeight="1" x14ac:dyDescent="0.2"/>
    <row r="39858" ht="12.75" hidden="1" customHeight="1" x14ac:dyDescent="0.2"/>
    <row r="39859" ht="12.75" hidden="1" customHeight="1" x14ac:dyDescent="0.2"/>
    <row r="39860" ht="12.75" hidden="1" customHeight="1" x14ac:dyDescent="0.2"/>
    <row r="39861" ht="12.75" hidden="1" customHeight="1" x14ac:dyDescent="0.2"/>
    <row r="39862" ht="12.75" hidden="1" customHeight="1" x14ac:dyDescent="0.2"/>
    <row r="39863" ht="12.75" hidden="1" customHeight="1" x14ac:dyDescent="0.2"/>
    <row r="39864" ht="12.75" hidden="1" customHeight="1" x14ac:dyDescent="0.2"/>
    <row r="39865" ht="12.75" hidden="1" customHeight="1" x14ac:dyDescent="0.2"/>
    <row r="39866" ht="12.75" hidden="1" customHeight="1" x14ac:dyDescent="0.2"/>
    <row r="39867" ht="12.75" hidden="1" customHeight="1" x14ac:dyDescent="0.2"/>
    <row r="39868" ht="12.75" hidden="1" customHeight="1" x14ac:dyDescent="0.2"/>
    <row r="39869" ht="12.75" hidden="1" customHeight="1" x14ac:dyDescent="0.2"/>
    <row r="39870" ht="12.75" hidden="1" customHeight="1" x14ac:dyDescent="0.2"/>
    <row r="39871" ht="12.75" hidden="1" customHeight="1" x14ac:dyDescent="0.2"/>
    <row r="39872" ht="12.75" hidden="1" customHeight="1" x14ac:dyDescent="0.2"/>
    <row r="39873" ht="12.75" hidden="1" customHeight="1" x14ac:dyDescent="0.2"/>
    <row r="39874" ht="12.75" hidden="1" customHeight="1" x14ac:dyDescent="0.2"/>
    <row r="39875" ht="12.75" hidden="1" customHeight="1" x14ac:dyDescent="0.2"/>
    <row r="39876" ht="12.75" hidden="1" customHeight="1" x14ac:dyDescent="0.2"/>
    <row r="39877" ht="12.75" hidden="1" customHeight="1" x14ac:dyDescent="0.2"/>
    <row r="39878" ht="12.75" hidden="1" customHeight="1" x14ac:dyDescent="0.2"/>
    <row r="39879" ht="12.75" hidden="1" customHeight="1" x14ac:dyDescent="0.2"/>
    <row r="39880" ht="12.75" hidden="1" customHeight="1" x14ac:dyDescent="0.2"/>
    <row r="39881" ht="12.75" hidden="1" customHeight="1" x14ac:dyDescent="0.2"/>
    <row r="39882" ht="12.75" hidden="1" customHeight="1" x14ac:dyDescent="0.2"/>
    <row r="39883" ht="12.75" hidden="1" customHeight="1" x14ac:dyDescent="0.2"/>
    <row r="39884" ht="12.75" hidden="1" customHeight="1" x14ac:dyDescent="0.2"/>
    <row r="39885" ht="12.75" hidden="1" customHeight="1" x14ac:dyDescent="0.2"/>
    <row r="39886" ht="12.75" hidden="1" customHeight="1" x14ac:dyDescent="0.2"/>
    <row r="39887" ht="12.75" hidden="1" customHeight="1" x14ac:dyDescent="0.2"/>
    <row r="39888" ht="12.75" hidden="1" customHeight="1" x14ac:dyDescent="0.2"/>
    <row r="39889" ht="12.75" hidden="1" customHeight="1" x14ac:dyDescent="0.2"/>
    <row r="39890" ht="12.75" hidden="1" customHeight="1" x14ac:dyDescent="0.2"/>
    <row r="39891" ht="12.75" hidden="1" customHeight="1" x14ac:dyDescent="0.2"/>
    <row r="39892" ht="12.75" hidden="1" customHeight="1" x14ac:dyDescent="0.2"/>
    <row r="39893" ht="12.75" hidden="1" customHeight="1" x14ac:dyDescent="0.2"/>
    <row r="39894" ht="12.75" hidden="1" customHeight="1" x14ac:dyDescent="0.2"/>
    <row r="39895" ht="12.75" hidden="1" customHeight="1" x14ac:dyDescent="0.2"/>
    <row r="39896" ht="12.75" hidden="1" customHeight="1" x14ac:dyDescent="0.2"/>
    <row r="39897" ht="12.75" hidden="1" customHeight="1" x14ac:dyDescent="0.2"/>
    <row r="39898" ht="12.75" hidden="1" customHeight="1" x14ac:dyDescent="0.2"/>
    <row r="39899" ht="12.75" hidden="1" customHeight="1" x14ac:dyDescent="0.2"/>
    <row r="39900" ht="12.75" hidden="1" customHeight="1" x14ac:dyDescent="0.2"/>
    <row r="39901" ht="12.75" hidden="1" customHeight="1" x14ac:dyDescent="0.2"/>
    <row r="39902" ht="12.75" hidden="1" customHeight="1" x14ac:dyDescent="0.2"/>
    <row r="39903" ht="12.75" hidden="1" customHeight="1" x14ac:dyDescent="0.2"/>
    <row r="39904" ht="12.75" hidden="1" customHeight="1" x14ac:dyDescent="0.2"/>
    <row r="39905" ht="12.75" hidden="1" customHeight="1" x14ac:dyDescent="0.2"/>
    <row r="39906" ht="12.75" hidden="1" customHeight="1" x14ac:dyDescent="0.2"/>
    <row r="39907" ht="12.75" hidden="1" customHeight="1" x14ac:dyDescent="0.2"/>
    <row r="39908" ht="12.75" hidden="1" customHeight="1" x14ac:dyDescent="0.2"/>
    <row r="39909" ht="12.75" hidden="1" customHeight="1" x14ac:dyDescent="0.2"/>
    <row r="39910" ht="12.75" hidden="1" customHeight="1" x14ac:dyDescent="0.2"/>
    <row r="39911" ht="12.75" hidden="1" customHeight="1" x14ac:dyDescent="0.2"/>
    <row r="39912" ht="12.75" hidden="1" customHeight="1" x14ac:dyDescent="0.2"/>
    <row r="39913" ht="12.75" hidden="1" customHeight="1" x14ac:dyDescent="0.2"/>
    <row r="39914" ht="12.75" hidden="1" customHeight="1" x14ac:dyDescent="0.2"/>
    <row r="39915" ht="12.75" hidden="1" customHeight="1" x14ac:dyDescent="0.2"/>
    <row r="39916" ht="12.75" hidden="1" customHeight="1" x14ac:dyDescent="0.2"/>
    <row r="39917" ht="12.75" hidden="1" customHeight="1" x14ac:dyDescent="0.2"/>
    <row r="39918" ht="12.75" hidden="1" customHeight="1" x14ac:dyDescent="0.2"/>
    <row r="39919" ht="12.75" hidden="1" customHeight="1" x14ac:dyDescent="0.2"/>
    <row r="39920" ht="12.75" hidden="1" customHeight="1" x14ac:dyDescent="0.2"/>
    <row r="39921" ht="12.75" hidden="1" customHeight="1" x14ac:dyDescent="0.2"/>
    <row r="39922" ht="12.75" hidden="1" customHeight="1" x14ac:dyDescent="0.2"/>
    <row r="39923" ht="12.75" hidden="1" customHeight="1" x14ac:dyDescent="0.2"/>
    <row r="39924" ht="12.75" hidden="1" customHeight="1" x14ac:dyDescent="0.2"/>
    <row r="39925" ht="12.75" hidden="1" customHeight="1" x14ac:dyDescent="0.2"/>
    <row r="39926" ht="12.75" hidden="1" customHeight="1" x14ac:dyDescent="0.2"/>
    <row r="39927" ht="12.75" hidden="1" customHeight="1" x14ac:dyDescent="0.2"/>
    <row r="39928" ht="12.75" hidden="1" customHeight="1" x14ac:dyDescent="0.2"/>
    <row r="39929" ht="12.75" hidden="1" customHeight="1" x14ac:dyDescent="0.2"/>
    <row r="39930" ht="12.75" hidden="1" customHeight="1" x14ac:dyDescent="0.2"/>
    <row r="39931" ht="12.75" hidden="1" customHeight="1" x14ac:dyDescent="0.2"/>
    <row r="39932" ht="12.75" hidden="1" customHeight="1" x14ac:dyDescent="0.2"/>
    <row r="39933" ht="12.75" hidden="1" customHeight="1" x14ac:dyDescent="0.2"/>
    <row r="39934" ht="12.75" hidden="1" customHeight="1" x14ac:dyDescent="0.2"/>
    <row r="39935" ht="12.75" hidden="1" customHeight="1" x14ac:dyDescent="0.2"/>
    <row r="39936" ht="12.75" hidden="1" customHeight="1" x14ac:dyDescent="0.2"/>
    <row r="39937" ht="12.75" hidden="1" customHeight="1" x14ac:dyDescent="0.2"/>
    <row r="39938" ht="12.75" hidden="1" customHeight="1" x14ac:dyDescent="0.2"/>
    <row r="39939" ht="12.75" hidden="1" customHeight="1" x14ac:dyDescent="0.2"/>
    <row r="39940" ht="12.75" hidden="1" customHeight="1" x14ac:dyDescent="0.2"/>
    <row r="39941" ht="12.75" hidden="1" customHeight="1" x14ac:dyDescent="0.2"/>
    <row r="39942" ht="12.75" hidden="1" customHeight="1" x14ac:dyDescent="0.2"/>
    <row r="39943" ht="12.75" hidden="1" customHeight="1" x14ac:dyDescent="0.2"/>
    <row r="39944" ht="12.75" hidden="1" customHeight="1" x14ac:dyDescent="0.2"/>
    <row r="39945" ht="12.75" hidden="1" customHeight="1" x14ac:dyDescent="0.2"/>
    <row r="39946" ht="12.75" hidden="1" customHeight="1" x14ac:dyDescent="0.2"/>
    <row r="39947" ht="12.75" hidden="1" customHeight="1" x14ac:dyDescent="0.2"/>
    <row r="39948" ht="12.75" hidden="1" customHeight="1" x14ac:dyDescent="0.2"/>
    <row r="39949" ht="12.75" hidden="1" customHeight="1" x14ac:dyDescent="0.2"/>
    <row r="39950" ht="12.75" hidden="1" customHeight="1" x14ac:dyDescent="0.2"/>
    <row r="39951" ht="12.75" hidden="1" customHeight="1" x14ac:dyDescent="0.2"/>
    <row r="39952" ht="12.75" hidden="1" customHeight="1" x14ac:dyDescent="0.2"/>
    <row r="39953" ht="12.75" hidden="1" customHeight="1" x14ac:dyDescent="0.2"/>
    <row r="39954" ht="12.75" hidden="1" customHeight="1" x14ac:dyDescent="0.2"/>
    <row r="39955" ht="12.75" hidden="1" customHeight="1" x14ac:dyDescent="0.2"/>
    <row r="39956" ht="12.75" hidden="1" customHeight="1" x14ac:dyDescent="0.2"/>
    <row r="39957" ht="12.75" hidden="1" customHeight="1" x14ac:dyDescent="0.2"/>
    <row r="39958" ht="12.75" hidden="1" customHeight="1" x14ac:dyDescent="0.2"/>
    <row r="39959" ht="12.75" hidden="1" customHeight="1" x14ac:dyDescent="0.2"/>
    <row r="39960" ht="12.75" hidden="1" customHeight="1" x14ac:dyDescent="0.2"/>
    <row r="39961" ht="12.75" hidden="1" customHeight="1" x14ac:dyDescent="0.2"/>
    <row r="39962" ht="12.75" hidden="1" customHeight="1" x14ac:dyDescent="0.2"/>
    <row r="39963" ht="12.75" hidden="1" customHeight="1" x14ac:dyDescent="0.2"/>
    <row r="39964" ht="12.75" hidden="1" customHeight="1" x14ac:dyDescent="0.2"/>
    <row r="39965" ht="12.75" hidden="1" customHeight="1" x14ac:dyDescent="0.2"/>
    <row r="39966" ht="12.75" hidden="1" customHeight="1" x14ac:dyDescent="0.2"/>
    <row r="39967" ht="12.75" hidden="1" customHeight="1" x14ac:dyDescent="0.2"/>
    <row r="39968" ht="12.75" hidden="1" customHeight="1" x14ac:dyDescent="0.2"/>
    <row r="39969" ht="12.75" hidden="1" customHeight="1" x14ac:dyDescent="0.2"/>
    <row r="39970" ht="12.75" hidden="1" customHeight="1" x14ac:dyDescent="0.2"/>
    <row r="39971" ht="12.75" hidden="1" customHeight="1" x14ac:dyDescent="0.2"/>
    <row r="39972" ht="12.75" hidden="1" customHeight="1" x14ac:dyDescent="0.2"/>
    <row r="39973" ht="12.75" hidden="1" customHeight="1" x14ac:dyDescent="0.2"/>
    <row r="39974" ht="12.75" hidden="1" customHeight="1" x14ac:dyDescent="0.2"/>
    <row r="39975" ht="12.75" hidden="1" customHeight="1" x14ac:dyDescent="0.2"/>
    <row r="39976" ht="12.75" hidden="1" customHeight="1" x14ac:dyDescent="0.2"/>
    <row r="39977" ht="12.75" hidden="1" customHeight="1" x14ac:dyDescent="0.2"/>
    <row r="39978" ht="12.75" hidden="1" customHeight="1" x14ac:dyDescent="0.2"/>
    <row r="39979" ht="12.75" hidden="1" customHeight="1" x14ac:dyDescent="0.2"/>
    <row r="39980" ht="12.75" hidden="1" customHeight="1" x14ac:dyDescent="0.2"/>
    <row r="39981" ht="12.75" hidden="1" customHeight="1" x14ac:dyDescent="0.2"/>
    <row r="39982" ht="12.75" hidden="1" customHeight="1" x14ac:dyDescent="0.2"/>
    <row r="39983" ht="12.75" hidden="1" customHeight="1" x14ac:dyDescent="0.2"/>
    <row r="39984" ht="12.75" hidden="1" customHeight="1" x14ac:dyDescent="0.2"/>
    <row r="39985" ht="12.75" hidden="1" customHeight="1" x14ac:dyDescent="0.2"/>
    <row r="39986" ht="12.75" hidden="1" customHeight="1" x14ac:dyDescent="0.2"/>
    <row r="39987" ht="12.75" hidden="1" customHeight="1" x14ac:dyDescent="0.2"/>
    <row r="39988" ht="12.75" hidden="1" customHeight="1" x14ac:dyDescent="0.2"/>
    <row r="39989" ht="12.75" hidden="1" customHeight="1" x14ac:dyDescent="0.2"/>
    <row r="39990" ht="12.75" hidden="1" customHeight="1" x14ac:dyDescent="0.2"/>
    <row r="39991" ht="12.75" hidden="1" customHeight="1" x14ac:dyDescent="0.2"/>
    <row r="39992" ht="12.75" hidden="1" customHeight="1" x14ac:dyDescent="0.2"/>
    <row r="39993" ht="12.75" hidden="1" customHeight="1" x14ac:dyDescent="0.2"/>
    <row r="39994" ht="12.75" hidden="1" customHeight="1" x14ac:dyDescent="0.2"/>
    <row r="39995" ht="12.75" hidden="1" customHeight="1" x14ac:dyDescent="0.2"/>
    <row r="39996" ht="12.75" hidden="1" customHeight="1" x14ac:dyDescent="0.2"/>
    <row r="39997" ht="12.75" hidden="1" customHeight="1" x14ac:dyDescent="0.2"/>
    <row r="39998" ht="12.75" hidden="1" customHeight="1" x14ac:dyDescent="0.2"/>
    <row r="39999" ht="12.75" hidden="1" customHeight="1" x14ac:dyDescent="0.2"/>
    <row r="40000" ht="12.75" hidden="1" customHeight="1" x14ac:dyDescent="0.2"/>
    <row r="40001" ht="12.75" hidden="1" customHeight="1" x14ac:dyDescent="0.2"/>
    <row r="40002" ht="12.75" hidden="1" customHeight="1" x14ac:dyDescent="0.2"/>
    <row r="40003" ht="12.75" hidden="1" customHeight="1" x14ac:dyDescent="0.2"/>
    <row r="40004" ht="12.75" hidden="1" customHeight="1" x14ac:dyDescent="0.2"/>
    <row r="40005" ht="12.75" hidden="1" customHeight="1" x14ac:dyDescent="0.2"/>
    <row r="40006" ht="12.75" hidden="1" customHeight="1" x14ac:dyDescent="0.2"/>
    <row r="40007" ht="12.75" hidden="1" customHeight="1" x14ac:dyDescent="0.2"/>
    <row r="40008" ht="12.75" hidden="1" customHeight="1" x14ac:dyDescent="0.2"/>
    <row r="40009" ht="12.75" hidden="1" customHeight="1" x14ac:dyDescent="0.2"/>
    <row r="40010" ht="12.75" hidden="1" customHeight="1" x14ac:dyDescent="0.2"/>
    <row r="40011" ht="12.75" hidden="1" customHeight="1" x14ac:dyDescent="0.2"/>
    <row r="40012" ht="12.75" hidden="1" customHeight="1" x14ac:dyDescent="0.2"/>
    <row r="40013" ht="12.75" hidden="1" customHeight="1" x14ac:dyDescent="0.2"/>
    <row r="40014" ht="12.75" hidden="1" customHeight="1" x14ac:dyDescent="0.2"/>
    <row r="40015" ht="12.75" hidden="1" customHeight="1" x14ac:dyDescent="0.2"/>
    <row r="40016" ht="12.75" hidden="1" customHeight="1" x14ac:dyDescent="0.2"/>
    <row r="40017" ht="12.75" hidden="1" customHeight="1" x14ac:dyDescent="0.2"/>
    <row r="40018" ht="12.75" hidden="1" customHeight="1" x14ac:dyDescent="0.2"/>
    <row r="40019" ht="12.75" hidden="1" customHeight="1" x14ac:dyDescent="0.2"/>
    <row r="40020" ht="12.75" hidden="1" customHeight="1" x14ac:dyDescent="0.2"/>
    <row r="40021" ht="12.75" hidden="1" customHeight="1" x14ac:dyDescent="0.2"/>
    <row r="40022" ht="12.75" hidden="1" customHeight="1" x14ac:dyDescent="0.2"/>
    <row r="40023" ht="12.75" hidden="1" customHeight="1" x14ac:dyDescent="0.2"/>
    <row r="40024" ht="12.75" hidden="1" customHeight="1" x14ac:dyDescent="0.2"/>
    <row r="40025" ht="12.75" hidden="1" customHeight="1" x14ac:dyDescent="0.2"/>
    <row r="40026" ht="12.75" hidden="1" customHeight="1" x14ac:dyDescent="0.2"/>
    <row r="40027" ht="12.75" hidden="1" customHeight="1" x14ac:dyDescent="0.2"/>
    <row r="40028" ht="12.75" hidden="1" customHeight="1" x14ac:dyDescent="0.2"/>
    <row r="40029" ht="12.75" hidden="1" customHeight="1" x14ac:dyDescent="0.2"/>
    <row r="40030" ht="12.75" hidden="1" customHeight="1" x14ac:dyDescent="0.2"/>
    <row r="40031" ht="12.75" hidden="1" customHeight="1" x14ac:dyDescent="0.2"/>
    <row r="40032" ht="12.75" hidden="1" customHeight="1" x14ac:dyDescent="0.2"/>
    <row r="40033" ht="12.75" hidden="1" customHeight="1" x14ac:dyDescent="0.2"/>
    <row r="40034" ht="12.75" hidden="1" customHeight="1" x14ac:dyDescent="0.2"/>
    <row r="40035" ht="12.75" hidden="1" customHeight="1" x14ac:dyDescent="0.2"/>
    <row r="40036" ht="12.75" hidden="1" customHeight="1" x14ac:dyDescent="0.2"/>
    <row r="40037" ht="12.75" hidden="1" customHeight="1" x14ac:dyDescent="0.2"/>
    <row r="40038" ht="12.75" hidden="1" customHeight="1" x14ac:dyDescent="0.2"/>
    <row r="40039" ht="12.75" hidden="1" customHeight="1" x14ac:dyDescent="0.2"/>
    <row r="40040" ht="12.75" hidden="1" customHeight="1" x14ac:dyDescent="0.2"/>
    <row r="40041" ht="12.75" hidden="1" customHeight="1" x14ac:dyDescent="0.2"/>
    <row r="40042" ht="12.75" hidden="1" customHeight="1" x14ac:dyDescent="0.2"/>
    <row r="40043" ht="12.75" hidden="1" customHeight="1" x14ac:dyDescent="0.2"/>
    <row r="40044" ht="12.75" hidden="1" customHeight="1" x14ac:dyDescent="0.2"/>
    <row r="40045" ht="12.75" hidden="1" customHeight="1" x14ac:dyDescent="0.2"/>
    <row r="40046" ht="12.75" hidden="1" customHeight="1" x14ac:dyDescent="0.2"/>
    <row r="40047" ht="12.75" hidden="1" customHeight="1" x14ac:dyDescent="0.2"/>
    <row r="40048" ht="12.75" hidden="1" customHeight="1" x14ac:dyDescent="0.2"/>
    <row r="40049" ht="12.75" hidden="1" customHeight="1" x14ac:dyDescent="0.2"/>
    <row r="40050" ht="12.75" hidden="1" customHeight="1" x14ac:dyDescent="0.2"/>
    <row r="40051" ht="12.75" hidden="1" customHeight="1" x14ac:dyDescent="0.2"/>
    <row r="40052" ht="12.75" hidden="1" customHeight="1" x14ac:dyDescent="0.2"/>
    <row r="40053" ht="12.75" hidden="1" customHeight="1" x14ac:dyDescent="0.2"/>
    <row r="40054" ht="12.75" hidden="1" customHeight="1" x14ac:dyDescent="0.2"/>
    <row r="40055" ht="12.75" hidden="1" customHeight="1" x14ac:dyDescent="0.2"/>
    <row r="40056" ht="12.75" hidden="1" customHeight="1" x14ac:dyDescent="0.2"/>
    <row r="40057" ht="12.75" hidden="1" customHeight="1" x14ac:dyDescent="0.2"/>
    <row r="40058" ht="12.75" hidden="1" customHeight="1" x14ac:dyDescent="0.2"/>
    <row r="40059" ht="12.75" hidden="1" customHeight="1" x14ac:dyDescent="0.2"/>
    <row r="40060" ht="12.75" hidden="1" customHeight="1" x14ac:dyDescent="0.2"/>
    <row r="40061" ht="12.75" hidden="1" customHeight="1" x14ac:dyDescent="0.2"/>
    <row r="40062" ht="12.75" hidden="1" customHeight="1" x14ac:dyDescent="0.2"/>
    <row r="40063" ht="12.75" hidden="1" customHeight="1" x14ac:dyDescent="0.2"/>
    <row r="40064" ht="12.75" hidden="1" customHeight="1" x14ac:dyDescent="0.2"/>
    <row r="40065" ht="12.75" hidden="1" customHeight="1" x14ac:dyDescent="0.2"/>
    <row r="40066" ht="12.75" hidden="1" customHeight="1" x14ac:dyDescent="0.2"/>
    <row r="40067" ht="12.75" hidden="1" customHeight="1" x14ac:dyDescent="0.2"/>
    <row r="40068" ht="12.75" hidden="1" customHeight="1" x14ac:dyDescent="0.2"/>
    <row r="40069" ht="12.75" hidden="1" customHeight="1" x14ac:dyDescent="0.2"/>
    <row r="40070" ht="12.75" hidden="1" customHeight="1" x14ac:dyDescent="0.2"/>
    <row r="40071" ht="12.75" hidden="1" customHeight="1" x14ac:dyDescent="0.2"/>
    <row r="40072" ht="12.75" hidden="1" customHeight="1" x14ac:dyDescent="0.2"/>
    <row r="40073" ht="12.75" hidden="1" customHeight="1" x14ac:dyDescent="0.2"/>
    <row r="40074" ht="12.75" hidden="1" customHeight="1" x14ac:dyDescent="0.2"/>
    <row r="40075" ht="12.75" hidden="1" customHeight="1" x14ac:dyDescent="0.2"/>
    <row r="40076" ht="12.75" hidden="1" customHeight="1" x14ac:dyDescent="0.2"/>
    <row r="40077" ht="12.75" hidden="1" customHeight="1" x14ac:dyDescent="0.2"/>
    <row r="40078" ht="12.75" hidden="1" customHeight="1" x14ac:dyDescent="0.2"/>
    <row r="40079" ht="12.75" hidden="1" customHeight="1" x14ac:dyDescent="0.2"/>
    <row r="40080" ht="12.75" hidden="1" customHeight="1" x14ac:dyDescent="0.2"/>
    <row r="40081" ht="12.75" hidden="1" customHeight="1" x14ac:dyDescent="0.2"/>
    <row r="40082" ht="12.75" hidden="1" customHeight="1" x14ac:dyDescent="0.2"/>
    <row r="40083" ht="12.75" hidden="1" customHeight="1" x14ac:dyDescent="0.2"/>
    <row r="40084" ht="12.75" hidden="1" customHeight="1" x14ac:dyDescent="0.2"/>
    <row r="40085" ht="12.75" hidden="1" customHeight="1" x14ac:dyDescent="0.2"/>
    <row r="40086" ht="12.75" hidden="1" customHeight="1" x14ac:dyDescent="0.2"/>
    <row r="40087" ht="12.75" hidden="1" customHeight="1" x14ac:dyDescent="0.2"/>
    <row r="40088" ht="12.75" hidden="1" customHeight="1" x14ac:dyDescent="0.2"/>
    <row r="40089" ht="12.75" hidden="1" customHeight="1" x14ac:dyDescent="0.2"/>
    <row r="40090" ht="12.75" hidden="1" customHeight="1" x14ac:dyDescent="0.2"/>
    <row r="40091" ht="12.75" hidden="1" customHeight="1" x14ac:dyDescent="0.2"/>
    <row r="40092" ht="12.75" hidden="1" customHeight="1" x14ac:dyDescent="0.2"/>
    <row r="40093" ht="12.75" hidden="1" customHeight="1" x14ac:dyDescent="0.2"/>
    <row r="40094" ht="12.75" hidden="1" customHeight="1" x14ac:dyDescent="0.2"/>
    <row r="40095" ht="12.75" hidden="1" customHeight="1" x14ac:dyDescent="0.2"/>
    <row r="40096" ht="12.75" hidden="1" customHeight="1" x14ac:dyDescent="0.2"/>
    <row r="40097" ht="12.75" hidden="1" customHeight="1" x14ac:dyDescent="0.2"/>
    <row r="40098" ht="12.75" hidden="1" customHeight="1" x14ac:dyDescent="0.2"/>
    <row r="40099" ht="12.75" hidden="1" customHeight="1" x14ac:dyDescent="0.2"/>
    <row r="40100" ht="12.75" hidden="1" customHeight="1" x14ac:dyDescent="0.2"/>
    <row r="40101" ht="12.75" hidden="1" customHeight="1" x14ac:dyDescent="0.2"/>
    <row r="40102" ht="12.75" hidden="1" customHeight="1" x14ac:dyDescent="0.2"/>
    <row r="40103" ht="12.75" hidden="1" customHeight="1" x14ac:dyDescent="0.2"/>
    <row r="40104" ht="12.75" hidden="1" customHeight="1" x14ac:dyDescent="0.2"/>
    <row r="40105" ht="12.75" hidden="1" customHeight="1" x14ac:dyDescent="0.2"/>
    <row r="40106" ht="12.75" hidden="1" customHeight="1" x14ac:dyDescent="0.2"/>
    <row r="40107" ht="12.75" hidden="1" customHeight="1" x14ac:dyDescent="0.2"/>
    <row r="40108" ht="12.75" hidden="1" customHeight="1" x14ac:dyDescent="0.2"/>
    <row r="40109" ht="12.75" hidden="1" customHeight="1" x14ac:dyDescent="0.2"/>
    <row r="40110" ht="12.75" hidden="1" customHeight="1" x14ac:dyDescent="0.2"/>
    <row r="40111" ht="12.75" hidden="1" customHeight="1" x14ac:dyDescent="0.2"/>
    <row r="40112" ht="12.75" hidden="1" customHeight="1" x14ac:dyDescent="0.2"/>
    <row r="40113" ht="12.75" hidden="1" customHeight="1" x14ac:dyDescent="0.2"/>
    <row r="40114" ht="12.75" hidden="1" customHeight="1" x14ac:dyDescent="0.2"/>
    <row r="40115" ht="12.75" hidden="1" customHeight="1" x14ac:dyDescent="0.2"/>
    <row r="40116" ht="12.75" hidden="1" customHeight="1" x14ac:dyDescent="0.2"/>
    <row r="40117" ht="12.75" hidden="1" customHeight="1" x14ac:dyDescent="0.2"/>
    <row r="40118" ht="12.75" hidden="1" customHeight="1" x14ac:dyDescent="0.2"/>
    <row r="40119" ht="12.75" hidden="1" customHeight="1" x14ac:dyDescent="0.2"/>
    <row r="40120" ht="12.75" hidden="1" customHeight="1" x14ac:dyDescent="0.2"/>
    <row r="40121" ht="12.75" hidden="1" customHeight="1" x14ac:dyDescent="0.2"/>
    <row r="40122" ht="12.75" hidden="1" customHeight="1" x14ac:dyDescent="0.2"/>
    <row r="40123" ht="12.75" hidden="1" customHeight="1" x14ac:dyDescent="0.2"/>
    <row r="40124" ht="12.75" hidden="1" customHeight="1" x14ac:dyDescent="0.2"/>
    <row r="40125" ht="12.75" hidden="1" customHeight="1" x14ac:dyDescent="0.2"/>
    <row r="40126" ht="12.75" hidden="1" customHeight="1" x14ac:dyDescent="0.2"/>
    <row r="40127" ht="12.75" hidden="1" customHeight="1" x14ac:dyDescent="0.2"/>
    <row r="40128" ht="12.75" hidden="1" customHeight="1" x14ac:dyDescent="0.2"/>
    <row r="40129" ht="12.75" hidden="1" customHeight="1" x14ac:dyDescent="0.2"/>
    <row r="40130" ht="12.75" hidden="1" customHeight="1" x14ac:dyDescent="0.2"/>
    <row r="40131" ht="12.75" hidden="1" customHeight="1" x14ac:dyDescent="0.2"/>
    <row r="40132" ht="12.75" hidden="1" customHeight="1" x14ac:dyDescent="0.2"/>
    <row r="40133" ht="12.75" hidden="1" customHeight="1" x14ac:dyDescent="0.2"/>
    <row r="40134" ht="12.75" hidden="1" customHeight="1" x14ac:dyDescent="0.2"/>
    <row r="40135" ht="12.75" hidden="1" customHeight="1" x14ac:dyDescent="0.2"/>
    <row r="40136" ht="12.75" hidden="1" customHeight="1" x14ac:dyDescent="0.2"/>
    <row r="40137" ht="12.75" hidden="1" customHeight="1" x14ac:dyDescent="0.2"/>
    <row r="40138" ht="12.75" hidden="1" customHeight="1" x14ac:dyDescent="0.2"/>
    <row r="40139" ht="12.75" hidden="1" customHeight="1" x14ac:dyDescent="0.2"/>
    <row r="40140" ht="12.75" hidden="1" customHeight="1" x14ac:dyDescent="0.2"/>
    <row r="40141" ht="12.75" hidden="1" customHeight="1" x14ac:dyDescent="0.2"/>
    <row r="40142" ht="12.75" hidden="1" customHeight="1" x14ac:dyDescent="0.2"/>
    <row r="40143" ht="12.75" hidden="1" customHeight="1" x14ac:dyDescent="0.2"/>
    <row r="40144" ht="12.75" hidden="1" customHeight="1" x14ac:dyDescent="0.2"/>
    <row r="40145" ht="12.75" hidden="1" customHeight="1" x14ac:dyDescent="0.2"/>
    <row r="40146" ht="12.75" hidden="1" customHeight="1" x14ac:dyDescent="0.2"/>
    <row r="40147" ht="12.75" hidden="1" customHeight="1" x14ac:dyDescent="0.2"/>
    <row r="40148" ht="12.75" hidden="1" customHeight="1" x14ac:dyDescent="0.2"/>
    <row r="40149" ht="12.75" hidden="1" customHeight="1" x14ac:dyDescent="0.2"/>
    <row r="40150" ht="12.75" hidden="1" customHeight="1" x14ac:dyDescent="0.2"/>
    <row r="40151" ht="12.75" hidden="1" customHeight="1" x14ac:dyDescent="0.2"/>
    <row r="40152" ht="12.75" hidden="1" customHeight="1" x14ac:dyDescent="0.2"/>
    <row r="40153" ht="12.75" hidden="1" customHeight="1" x14ac:dyDescent="0.2"/>
    <row r="40154" ht="12.75" hidden="1" customHeight="1" x14ac:dyDescent="0.2"/>
    <row r="40155" ht="12.75" hidden="1" customHeight="1" x14ac:dyDescent="0.2"/>
    <row r="40156" ht="12.75" hidden="1" customHeight="1" x14ac:dyDescent="0.2"/>
    <row r="40157" ht="12.75" hidden="1" customHeight="1" x14ac:dyDescent="0.2"/>
    <row r="40158" ht="12.75" hidden="1" customHeight="1" x14ac:dyDescent="0.2"/>
    <row r="40159" ht="12.75" hidden="1" customHeight="1" x14ac:dyDescent="0.2"/>
    <row r="40160" ht="12.75" hidden="1" customHeight="1" x14ac:dyDescent="0.2"/>
    <row r="40161" ht="12.75" hidden="1" customHeight="1" x14ac:dyDescent="0.2"/>
    <row r="40162" ht="12.75" hidden="1" customHeight="1" x14ac:dyDescent="0.2"/>
    <row r="40163" ht="12.75" hidden="1" customHeight="1" x14ac:dyDescent="0.2"/>
    <row r="40164" ht="12.75" hidden="1" customHeight="1" x14ac:dyDescent="0.2"/>
    <row r="40165" ht="12.75" hidden="1" customHeight="1" x14ac:dyDescent="0.2"/>
    <row r="40166" ht="12.75" hidden="1" customHeight="1" x14ac:dyDescent="0.2"/>
    <row r="40167" ht="12.75" hidden="1" customHeight="1" x14ac:dyDescent="0.2"/>
    <row r="40168" ht="12.75" hidden="1" customHeight="1" x14ac:dyDescent="0.2"/>
    <row r="40169" ht="12.75" hidden="1" customHeight="1" x14ac:dyDescent="0.2"/>
    <row r="40170" ht="12.75" hidden="1" customHeight="1" x14ac:dyDescent="0.2"/>
    <row r="40171" ht="12.75" hidden="1" customHeight="1" x14ac:dyDescent="0.2"/>
    <row r="40172" ht="12.75" hidden="1" customHeight="1" x14ac:dyDescent="0.2"/>
    <row r="40173" ht="12.75" hidden="1" customHeight="1" x14ac:dyDescent="0.2"/>
    <row r="40174" ht="12.75" hidden="1" customHeight="1" x14ac:dyDescent="0.2"/>
    <row r="40175" ht="12.75" hidden="1" customHeight="1" x14ac:dyDescent="0.2"/>
    <row r="40176" ht="12.75" hidden="1" customHeight="1" x14ac:dyDescent="0.2"/>
    <row r="40177" ht="12.75" hidden="1" customHeight="1" x14ac:dyDescent="0.2"/>
    <row r="40178" ht="12.75" hidden="1" customHeight="1" x14ac:dyDescent="0.2"/>
    <row r="40179" ht="12.75" hidden="1" customHeight="1" x14ac:dyDescent="0.2"/>
    <row r="40180" ht="12.75" hidden="1" customHeight="1" x14ac:dyDescent="0.2"/>
    <row r="40181" ht="12.75" hidden="1" customHeight="1" x14ac:dyDescent="0.2"/>
    <row r="40182" ht="12.75" hidden="1" customHeight="1" x14ac:dyDescent="0.2"/>
    <row r="40183" ht="12.75" hidden="1" customHeight="1" x14ac:dyDescent="0.2"/>
    <row r="40184" ht="12.75" hidden="1" customHeight="1" x14ac:dyDescent="0.2"/>
    <row r="40185" ht="12.75" hidden="1" customHeight="1" x14ac:dyDescent="0.2"/>
    <row r="40186" ht="12.75" hidden="1" customHeight="1" x14ac:dyDescent="0.2"/>
    <row r="40187" ht="12.75" hidden="1" customHeight="1" x14ac:dyDescent="0.2"/>
    <row r="40188" ht="12.75" hidden="1" customHeight="1" x14ac:dyDescent="0.2"/>
    <row r="40189" ht="12.75" hidden="1" customHeight="1" x14ac:dyDescent="0.2"/>
    <row r="40190" ht="12.75" hidden="1" customHeight="1" x14ac:dyDescent="0.2"/>
    <row r="40191" ht="12.75" hidden="1" customHeight="1" x14ac:dyDescent="0.2"/>
    <row r="40192" ht="12.75" hidden="1" customHeight="1" x14ac:dyDescent="0.2"/>
    <row r="40193" ht="12.75" hidden="1" customHeight="1" x14ac:dyDescent="0.2"/>
    <row r="40194" ht="12.75" hidden="1" customHeight="1" x14ac:dyDescent="0.2"/>
    <row r="40195" ht="12.75" hidden="1" customHeight="1" x14ac:dyDescent="0.2"/>
    <row r="40196" ht="12.75" hidden="1" customHeight="1" x14ac:dyDescent="0.2"/>
    <row r="40197" ht="12.75" hidden="1" customHeight="1" x14ac:dyDescent="0.2"/>
    <row r="40198" ht="12.75" hidden="1" customHeight="1" x14ac:dyDescent="0.2"/>
    <row r="40199" ht="12.75" hidden="1" customHeight="1" x14ac:dyDescent="0.2"/>
    <row r="40200" ht="12.75" hidden="1" customHeight="1" x14ac:dyDescent="0.2"/>
    <row r="40201" ht="12.75" hidden="1" customHeight="1" x14ac:dyDescent="0.2"/>
    <row r="40202" ht="12.75" hidden="1" customHeight="1" x14ac:dyDescent="0.2"/>
    <row r="40203" ht="12.75" hidden="1" customHeight="1" x14ac:dyDescent="0.2"/>
    <row r="40204" ht="12.75" hidden="1" customHeight="1" x14ac:dyDescent="0.2"/>
    <row r="40205" ht="12.75" hidden="1" customHeight="1" x14ac:dyDescent="0.2"/>
    <row r="40206" ht="12.75" hidden="1" customHeight="1" x14ac:dyDescent="0.2"/>
    <row r="40207" ht="12.75" hidden="1" customHeight="1" x14ac:dyDescent="0.2"/>
    <row r="40208" ht="12.75" hidden="1" customHeight="1" x14ac:dyDescent="0.2"/>
    <row r="40209" ht="12.75" hidden="1" customHeight="1" x14ac:dyDescent="0.2"/>
    <row r="40210" ht="12.75" hidden="1" customHeight="1" x14ac:dyDescent="0.2"/>
    <row r="40211" ht="12.75" hidden="1" customHeight="1" x14ac:dyDescent="0.2"/>
    <row r="40212" ht="12.75" hidden="1" customHeight="1" x14ac:dyDescent="0.2"/>
    <row r="40213" ht="12.75" hidden="1" customHeight="1" x14ac:dyDescent="0.2"/>
    <row r="40214" ht="12.75" hidden="1" customHeight="1" x14ac:dyDescent="0.2"/>
    <row r="40215" ht="12.75" hidden="1" customHeight="1" x14ac:dyDescent="0.2"/>
    <row r="40216" ht="12.75" hidden="1" customHeight="1" x14ac:dyDescent="0.2"/>
    <row r="40217" ht="12.75" hidden="1" customHeight="1" x14ac:dyDescent="0.2"/>
    <row r="40218" ht="12.75" hidden="1" customHeight="1" x14ac:dyDescent="0.2"/>
    <row r="40219" ht="12.75" hidden="1" customHeight="1" x14ac:dyDescent="0.2"/>
    <row r="40220" ht="12.75" hidden="1" customHeight="1" x14ac:dyDescent="0.2"/>
    <row r="40221" ht="12.75" hidden="1" customHeight="1" x14ac:dyDescent="0.2"/>
    <row r="40222" ht="12.75" hidden="1" customHeight="1" x14ac:dyDescent="0.2"/>
    <row r="40223" ht="12.75" hidden="1" customHeight="1" x14ac:dyDescent="0.2"/>
    <row r="40224" ht="12.75" hidden="1" customHeight="1" x14ac:dyDescent="0.2"/>
    <row r="40225" ht="12.75" hidden="1" customHeight="1" x14ac:dyDescent="0.2"/>
    <row r="40226" ht="12.75" hidden="1" customHeight="1" x14ac:dyDescent="0.2"/>
    <row r="40227" ht="12.75" hidden="1" customHeight="1" x14ac:dyDescent="0.2"/>
    <row r="40228" ht="12.75" hidden="1" customHeight="1" x14ac:dyDescent="0.2"/>
    <row r="40229" ht="12.75" hidden="1" customHeight="1" x14ac:dyDescent="0.2"/>
    <row r="40230" ht="12.75" hidden="1" customHeight="1" x14ac:dyDescent="0.2"/>
    <row r="40231" ht="12.75" hidden="1" customHeight="1" x14ac:dyDescent="0.2"/>
    <row r="40232" ht="12.75" hidden="1" customHeight="1" x14ac:dyDescent="0.2"/>
    <row r="40233" ht="12.75" hidden="1" customHeight="1" x14ac:dyDescent="0.2"/>
    <row r="40234" ht="12.75" hidden="1" customHeight="1" x14ac:dyDescent="0.2"/>
    <row r="40235" ht="12.75" hidden="1" customHeight="1" x14ac:dyDescent="0.2"/>
    <row r="40236" ht="12.75" hidden="1" customHeight="1" x14ac:dyDescent="0.2"/>
    <row r="40237" ht="12.75" hidden="1" customHeight="1" x14ac:dyDescent="0.2"/>
    <row r="40238" ht="12.75" hidden="1" customHeight="1" x14ac:dyDescent="0.2"/>
    <row r="40239" ht="12.75" hidden="1" customHeight="1" x14ac:dyDescent="0.2"/>
    <row r="40240" ht="12.75" hidden="1" customHeight="1" x14ac:dyDescent="0.2"/>
    <row r="40241" ht="12.75" hidden="1" customHeight="1" x14ac:dyDescent="0.2"/>
    <row r="40242" ht="12.75" hidden="1" customHeight="1" x14ac:dyDescent="0.2"/>
    <row r="40243" ht="12.75" hidden="1" customHeight="1" x14ac:dyDescent="0.2"/>
    <row r="40244" ht="12.75" hidden="1" customHeight="1" x14ac:dyDescent="0.2"/>
    <row r="40245" ht="12.75" hidden="1" customHeight="1" x14ac:dyDescent="0.2"/>
    <row r="40246" ht="12.75" hidden="1" customHeight="1" x14ac:dyDescent="0.2"/>
    <row r="40247" ht="12.75" hidden="1" customHeight="1" x14ac:dyDescent="0.2"/>
    <row r="40248" ht="12.75" hidden="1" customHeight="1" x14ac:dyDescent="0.2"/>
    <row r="40249" ht="12.75" hidden="1" customHeight="1" x14ac:dyDescent="0.2"/>
    <row r="40250" ht="12.75" hidden="1" customHeight="1" x14ac:dyDescent="0.2"/>
    <row r="40251" ht="12.75" hidden="1" customHeight="1" x14ac:dyDescent="0.2"/>
    <row r="40252" ht="12.75" hidden="1" customHeight="1" x14ac:dyDescent="0.2"/>
    <row r="40253" ht="12.75" hidden="1" customHeight="1" x14ac:dyDescent="0.2"/>
    <row r="40254" ht="12.75" hidden="1" customHeight="1" x14ac:dyDescent="0.2"/>
    <row r="40255" ht="12.75" hidden="1" customHeight="1" x14ac:dyDescent="0.2"/>
    <row r="40256" ht="12.75" hidden="1" customHeight="1" x14ac:dyDescent="0.2"/>
    <row r="40257" ht="12.75" hidden="1" customHeight="1" x14ac:dyDescent="0.2"/>
    <row r="40258" ht="12.75" hidden="1" customHeight="1" x14ac:dyDescent="0.2"/>
    <row r="40259" ht="12.75" hidden="1" customHeight="1" x14ac:dyDescent="0.2"/>
    <row r="40260" ht="12.75" hidden="1" customHeight="1" x14ac:dyDescent="0.2"/>
    <row r="40261" ht="12.75" hidden="1" customHeight="1" x14ac:dyDescent="0.2"/>
    <row r="40262" ht="12.75" hidden="1" customHeight="1" x14ac:dyDescent="0.2"/>
    <row r="40263" ht="12.75" hidden="1" customHeight="1" x14ac:dyDescent="0.2"/>
    <row r="40264" ht="12.75" hidden="1" customHeight="1" x14ac:dyDescent="0.2"/>
    <row r="40265" ht="12.75" hidden="1" customHeight="1" x14ac:dyDescent="0.2"/>
    <row r="40266" ht="12.75" hidden="1" customHeight="1" x14ac:dyDescent="0.2"/>
    <row r="40267" ht="12.75" hidden="1" customHeight="1" x14ac:dyDescent="0.2"/>
    <row r="40268" ht="12.75" hidden="1" customHeight="1" x14ac:dyDescent="0.2"/>
    <row r="40269" ht="12.75" hidden="1" customHeight="1" x14ac:dyDescent="0.2"/>
    <row r="40270" ht="12.75" hidden="1" customHeight="1" x14ac:dyDescent="0.2"/>
    <row r="40271" ht="12.75" hidden="1" customHeight="1" x14ac:dyDescent="0.2"/>
    <row r="40272" ht="12.75" hidden="1" customHeight="1" x14ac:dyDescent="0.2"/>
    <row r="40273" ht="12.75" hidden="1" customHeight="1" x14ac:dyDescent="0.2"/>
    <row r="40274" ht="12.75" hidden="1" customHeight="1" x14ac:dyDescent="0.2"/>
    <row r="40275" ht="12.75" hidden="1" customHeight="1" x14ac:dyDescent="0.2"/>
    <row r="40276" ht="12.75" hidden="1" customHeight="1" x14ac:dyDescent="0.2"/>
    <row r="40277" ht="12.75" hidden="1" customHeight="1" x14ac:dyDescent="0.2"/>
    <row r="40278" ht="12.75" hidden="1" customHeight="1" x14ac:dyDescent="0.2"/>
    <row r="40279" ht="12.75" hidden="1" customHeight="1" x14ac:dyDescent="0.2"/>
    <row r="40280" ht="12.75" hidden="1" customHeight="1" x14ac:dyDescent="0.2"/>
    <row r="40281" ht="12.75" hidden="1" customHeight="1" x14ac:dyDescent="0.2"/>
    <row r="40282" ht="12.75" hidden="1" customHeight="1" x14ac:dyDescent="0.2"/>
    <row r="40283" ht="12.75" hidden="1" customHeight="1" x14ac:dyDescent="0.2"/>
    <row r="40284" ht="12.75" hidden="1" customHeight="1" x14ac:dyDescent="0.2"/>
    <row r="40285" ht="12.75" hidden="1" customHeight="1" x14ac:dyDescent="0.2"/>
    <row r="40286" ht="12.75" hidden="1" customHeight="1" x14ac:dyDescent="0.2"/>
    <row r="40287" ht="12.75" hidden="1" customHeight="1" x14ac:dyDescent="0.2"/>
    <row r="40288" ht="12.75" hidden="1" customHeight="1" x14ac:dyDescent="0.2"/>
    <row r="40289" ht="12.75" hidden="1" customHeight="1" x14ac:dyDescent="0.2"/>
    <row r="40290" ht="12.75" hidden="1" customHeight="1" x14ac:dyDescent="0.2"/>
    <row r="40291" ht="12.75" hidden="1" customHeight="1" x14ac:dyDescent="0.2"/>
    <row r="40292" ht="12.75" hidden="1" customHeight="1" x14ac:dyDescent="0.2"/>
    <row r="40293" ht="12.75" hidden="1" customHeight="1" x14ac:dyDescent="0.2"/>
    <row r="40294" ht="12.75" hidden="1" customHeight="1" x14ac:dyDescent="0.2"/>
    <row r="40295" ht="12.75" hidden="1" customHeight="1" x14ac:dyDescent="0.2"/>
    <row r="40296" ht="12.75" hidden="1" customHeight="1" x14ac:dyDescent="0.2"/>
    <row r="40297" ht="12.75" hidden="1" customHeight="1" x14ac:dyDescent="0.2"/>
    <row r="40298" ht="12.75" hidden="1" customHeight="1" x14ac:dyDescent="0.2"/>
    <row r="40299" ht="12.75" hidden="1" customHeight="1" x14ac:dyDescent="0.2"/>
    <row r="40300" ht="12.75" hidden="1" customHeight="1" x14ac:dyDescent="0.2"/>
    <row r="40301" ht="12.75" hidden="1" customHeight="1" x14ac:dyDescent="0.2"/>
    <row r="40302" ht="12.75" hidden="1" customHeight="1" x14ac:dyDescent="0.2"/>
    <row r="40303" ht="12.75" hidden="1" customHeight="1" x14ac:dyDescent="0.2"/>
    <row r="40304" ht="12.75" hidden="1" customHeight="1" x14ac:dyDescent="0.2"/>
    <row r="40305" ht="12.75" hidden="1" customHeight="1" x14ac:dyDescent="0.2"/>
    <row r="40306" ht="12.75" hidden="1" customHeight="1" x14ac:dyDescent="0.2"/>
    <row r="40307" ht="12.75" hidden="1" customHeight="1" x14ac:dyDescent="0.2"/>
    <row r="40308" ht="12.75" hidden="1" customHeight="1" x14ac:dyDescent="0.2"/>
    <row r="40309" ht="12.75" hidden="1" customHeight="1" x14ac:dyDescent="0.2"/>
    <row r="40310" ht="12.75" hidden="1" customHeight="1" x14ac:dyDescent="0.2"/>
    <row r="40311" ht="12.75" hidden="1" customHeight="1" x14ac:dyDescent="0.2"/>
    <row r="40312" ht="12.75" hidden="1" customHeight="1" x14ac:dyDescent="0.2"/>
    <row r="40313" ht="12.75" hidden="1" customHeight="1" x14ac:dyDescent="0.2"/>
    <row r="40314" ht="12.75" hidden="1" customHeight="1" x14ac:dyDescent="0.2"/>
    <row r="40315" ht="12.75" hidden="1" customHeight="1" x14ac:dyDescent="0.2"/>
    <row r="40316" ht="12.75" hidden="1" customHeight="1" x14ac:dyDescent="0.2"/>
    <row r="40317" ht="12.75" hidden="1" customHeight="1" x14ac:dyDescent="0.2"/>
    <row r="40318" ht="12.75" hidden="1" customHeight="1" x14ac:dyDescent="0.2"/>
    <row r="40319" ht="12.75" hidden="1" customHeight="1" x14ac:dyDescent="0.2"/>
    <row r="40320" ht="12.75" hidden="1" customHeight="1" x14ac:dyDescent="0.2"/>
    <row r="40321" ht="12.75" hidden="1" customHeight="1" x14ac:dyDescent="0.2"/>
    <row r="40322" ht="12.75" hidden="1" customHeight="1" x14ac:dyDescent="0.2"/>
    <row r="40323" ht="12.75" hidden="1" customHeight="1" x14ac:dyDescent="0.2"/>
    <row r="40324" ht="12.75" hidden="1" customHeight="1" x14ac:dyDescent="0.2"/>
    <row r="40325" ht="12.75" hidden="1" customHeight="1" x14ac:dyDescent="0.2"/>
    <row r="40326" ht="12.75" hidden="1" customHeight="1" x14ac:dyDescent="0.2"/>
    <row r="40327" ht="12.75" hidden="1" customHeight="1" x14ac:dyDescent="0.2"/>
    <row r="40328" ht="12.75" hidden="1" customHeight="1" x14ac:dyDescent="0.2"/>
    <row r="40329" ht="12.75" hidden="1" customHeight="1" x14ac:dyDescent="0.2"/>
    <row r="40330" ht="12.75" hidden="1" customHeight="1" x14ac:dyDescent="0.2"/>
    <row r="40331" ht="12.75" hidden="1" customHeight="1" x14ac:dyDescent="0.2"/>
    <row r="40332" ht="12.75" hidden="1" customHeight="1" x14ac:dyDescent="0.2"/>
    <row r="40333" ht="12.75" hidden="1" customHeight="1" x14ac:dyDescent="0.2"/>
    <row r="40334" ht="12.75" hidden="1" customHeight="1" x14ac:dyDescent="0.2"/>
    <row r="40335" ht="12.75" hidden="1" customHeight="1" x14ac:dyDescent="0.2"/>
    <row r="40336" ht="12.75" hidden="1" customHeight="1" x14ac:dyDescent="0.2"/>
    <row r="40337" ht="12.75" hidden="1" customHeight="1" x14ac:dyDescent="0.2"/>
    <row r="40338" ht="12.75" hidden="1" customHeight="1" x14ac:dyDescent="0.2"/>
    <row r="40339" ht="12.75" hidden="1" customHeight="1" x14ac:dyDescent="0.2"/>
    <row r="40340" ht="12.75" hidden="1" customHeight="1" x14ac:dyDescent="0.2"/>
    <row r="40341" ht="12.75" hidden="1" customHeight="1" x14ac:dyDescent="0.2"/>
    <row r="40342" ht="12.75" hidden="1" customHeight="1" x14ac:dyDescent="0.2"/>
    <row r="40343" ht="12.75" hidden="1" customHeight="1" x14ac:dyDescent="0.2"/>
    <row r="40344" ht="12.75" hidden="1" customHeight="1" x14ac:dyDescent="0.2"/>
    <row r="40345" ht="12.75" hidden="1" customHeight="1" x14ac:dyDescent="0.2"/>
    <row r="40346" ht="12.75" hidden="1" customHeight="1" x14ac:dyDescent="0.2"/>
    <row r="40347" ht="12.75" hidden="1" customHeight="1" x14ac:dyDescent="0.2"/>
    <row r="40348" ht="12.75" hidden="1" customHeight="1" x14ac:dyDescent="0.2"/>
    <row r="40349" ht="12.75" hidden="1" customHeight="1" x14ac:dyDescent="0.2"/>
    <row r="40350" ht="12.75" hidden="1" customHeight="1" x14ac:dyDescent="0.2"/>
    <row r="40351" ht="12.75" hidden="1" customHeight="1" x14ac:dyDescent="0.2"/>
    <row r="40352" ht="12.75" hidden="1" customHeight="1" x14ac:dyDescent="0.2"/>
    <row r="40353" ht="12.75" hidden="1" customHeight="1" x14ac:dyDescent="0.2"/>
    <row r="40354" ht="12.75" hidden="1" customHeight="1" x14ac:dyDescent="0.2"/>
    <row r="40355" ht="12.75" hidden="1" customHeight="1" x14ac:dyDescent="0.2"/>
    <row r="40356" ht="12.75" hidden="1" customHeight="1" x14ac:dyDescent="0.2"/>
    <row r="40357" ht="12.75" hidden="1" customHeight="1" x14ac:dyDescent="0.2"/>
    <row r="40358" ht="12.75" hidden="1" customHeight="1" x14ac:dyDescent="0.2"/>
    <row r="40359" ht="12.75" hidden="1" customHeight="1" x14ac:dyDescent="0.2"/>
    <row r="40360" ht="12.75" hidden="1" customHeight="1" x14ac:dyDescent="0.2"/>
    <row r="40361" ht="12.75" hidden="1" customHeight="1" x14ac:dyDescent="0.2"/>
    <row r="40362" ht="12.75" hidden="1" customHeight="1" x14ac:dyDescent="0.2"/>
    <row r="40363" ht="12.75" hidden="1" customHeight="1" x14ac:dyDescent="0.2"/>
    <row r="40364" ht="12.75" hidden="1" customHeight="1" x14ac:dyDescent="0.2"/>
    <row r="40365" ht="12.75" hidden="1" customHeight="1" x14ac:dyDescent="0.2"/>
    <row r="40366" ht="12.75" hidden="1" customHeight="1" x14ac:dyDescent="0.2"/>
    <row r="40367" ht="12.75" hidden="1" customHeight="1" x14ac:dyDescent="0.2"/>
    <row r="40368" ht="12.75" hidden="1" customHeight="1" x14ac:dyDescent="0.2"/>
    <row r="40369" ht="12.75" hidden="1" customHeight="1" x14ac:dyDescent="0.2"/>
    <row r="40370" ht="12.75" hidden="1" customHeight="1" x14ac:dyDescent="0.2"/>
    <row r="40371" ht="12.75" hidden="1" customHeight="1" x14ac:dyDescent="0.2"/>
    <row r="40372" ht="12.75" hidden="1" customHeight="1" x14ac:dyDescent="0.2"/>
    <row r="40373" ht="12.75" hidden="1" customHeight="1" x14ac:dyDescent="0.2"/>
    <row r="40374" ht="12.75" hidden="1" customHeight="1" x14ac:dyDescent="0.2"/>
    <row r="40375" ht="12.75" hidden="1" customHeight="1" x14ac:dyDescent="0.2"/>
    <row r="40376" ht="12.75" hidden="1" customHeight="1" x14ac:dyDescent="0.2"/>
    <row r="40377" ht="12.75" hidden="1" customHeight="1" x14ac:dyDescent="0.2"/>
    <row r="40378" ht="12.75" hidden="1" customHeight="1" x14ac:dyDescent="0.2"/>
    <row r="40379" ht="12.75" hidden="1" customHeight="1" x14ac:dyDescent="0.2"/>
    <row r="40380" ht="12.75" hidden="1" customHeight="1" x14ac:dyDescent="0.2"/>
    <row r="40381" ht="12.75" hidden="1" customHeight="1" x14ac:dyDescent="0.2"/>
    <row r="40382" ht="12.75" hidden="1" customHeight="1" x14ac:dyDescent="0.2"/>
    <row r="40383" ht="12.75" hidden="1" customHeight="1" x14ac:dyDescent="0.2"/>
    <row r="40384" ht="12.75" hidden="1" customHeight="1" x14ac:dyDescent="0.2"/>
    <row r="40385" ht="12.75" hidden="1" customHeight="1" x14ac:dyDescent="0.2"/>
    <row r="40386" ht="12.75" hidden="1" customHeight="1" x14ac:dyDescent="0.2"/>
    <row r="40387" ht="12.75" hidden="1" customHeight="1" x14ac:dyDescent="0.2"/>
    <row r="40388" ht="12.75" hidden="1" customHeight="1" x14ac:dyDescent="0.2"/>
    <row r="40389" ht="12.75" hidden="1" customHeight="1" x14ac:dyDescent="0.2"/>
    <row r="40390" ht="12.75" hidden="1" customHeight="1" x14ac:dyDescent="0.2"/>
    <row r="40391" ht="12.75" hidden="1" customHeight="1" x14ac:dyDescent="0.2"/>
    <row r="40392" ht="12.75" hidden="1" customHeight="1" x14ac:dyDescent="0.2"/>
    <row r="40393" ht="12.75" hidden="1" customHeight="1" x14ac:dyDescent="0.2"/>
    <row r="40394" ht="12.75" hidden="1" customHeight="1" x14ac:dyDescent="0.2"/>
    <row r="40395" ht="12.75" hidden="1" customHeight="1" x14ac:dyDescent="0.2"/>
    <row r="40396" ht="12.75" hidden="1" customHeight="1" x14ac:dyDescent="0.2"/>
    <row r="40397" ht="12.75" hidden="1" customHeight="1" x14ac:dyDescent="0.2"/>
    <row r="40398" ht="12.75" hidden="1" customHeight="1" x14ac:dyDescent="0.2"/>
    <row r="40399" ht="12.75" hidden="1" customHeight="1" x14ac:dyDescent="0.2"/>
    <row r="40400" ht="12.75" hidden="1" customHeight="1" x14ac:dyDescent="0.2"/>
    <row r="40401" ht="12.75" hidden="1" customHeight="1" x14ac:dyDescent="0.2"/>
    <row r="40402" ht="12.75" hidden="1" customHeight="1" x14ac:dyDescent="0.2"/>
    <row r="40403" ht="12.75" hidden="1" customHeight="1" x14ac:dyDescent="0.2"/>
    <row r="40404" ht="12.75" hidden="1" customHeight="1" x14ac:dyDescent="0.2"/>
    <row r="40405" ht="12.75" hidden="1" customHeight="1" x14ac:dyDescent="0.2"/>
    <row r="40406" ht="12.75" hidden="1" customHeight="1" x14ac:dyDescent="0.2"/>
    <row r="40407" ht="12.75" hidden="1" customHeight="1" x14ac:dyDescent="0.2"/>
    <row r="40408" ht="12.75" hidden="1" customHeight="1" x14ac:dyDescent="0.2"/>
    <row r="40409" ht="12.75" hidden="1" customHeight="1" x14ac:dyDescent="0.2"/>
    <row r="40410" ht="12.75" hidden="1" customHeight="1" x14ac:dyDescent="0.2"/>
    <row r="40411" ht="12.75" hidden="1" customHeight="1" x14ac:dyDescent="0.2"/>
    <row r="40412" ht="12.75" hidden="1" customHeight="1" x14ac:dyDescent="0.2"/>
    <row r="40413" ht="12.75" hidden="1" customHeight="1" x14ac:dyDescent="0.2"/>
    <row r="40414" ht="12.75" hidden="1" customHeight="1" x14ac:dyDescent="0.2"/>
    <row r="40415" ht="12.75" hidden="1" customHeight="1" x14ac:dyDescent="0.2"/>
    <row r="40416" ht="12.75" hidden="1" customHeight="1" x14ac:dyDescent="0.2"/>
    <row r="40417" ht="12.75" hidden="1" customHeight="1" x14ac:dyDescent="0.2"/>
    <row r="40418" ht="12.75" hidden="1" customHeight="1" x14ac:dyDescent="0.2"/>
    <row r="40419" ht="12.75" hidden="1" customHeight="1" x14ac:dyDescent="0.2"/>
    <row r="40420" ht="12.75" hidden="1" customHeight="1" x14ac:dyDescent="0.2"/>
    <row r="40421" ht="12.75" hidden="1" customHeight="1" x14ac:dyDescent="0.2"/>
    <row r="40422" ht="12.75" hidden="1" customHeight="1" x14ac:dyDescent="0.2"/>
    <row r="40423" ht="12.75" hidden="1" customHeight="1" x14ac:dyDescent="0.2"/>
    <row r="40424" ht="12.75" hidden="1" customHeight="1" x14ac:dyDescent="0.2"/>
    <row r="40425" ht="12.75" hidden="1" customHeight="1" x14ac:dyDescent="0.2"/>
    <row r="40426" ht="12.75" hidden="1" customHeight="1" x14ac:dyDescent="0.2"/>
    <row r="40427" ht="12.75" hidden="1" customHeight="1" x14ac:dyDescent="0.2"/>
    <row r="40428" ht="12.75" hidden="1" customHeight="1" x14ac:dyDescent="0.2"/>
    <row r="40429" ht="12.75" hidden="1" customHeight="1" x14ac:dyDescent="0.2"/>
    <row r="40430" ht="12.75" hidden="1" customHeight="1" x14ac:dyDescent="0.2"/>
    <row r="40431" ht="12.75" hidden="1" customHeight="1" x14ac:dyDescent="0.2"/>
    <row r="40432" ht="12.75" hidden="1" customHeight="1" x14ac:dyDescent="0.2"/>
    <row r="40433" ht="12.75" hidden="1" customHeight="1" x14ac:dyDescent="0.2"/>
    <row r="40434" ht="12.75" hidden="1" customHeight="1" x14ac:dyDescent="0.2"/>
    <row r="40435" ht="12.75" hidden="1" customHeight="1" x14ac:dyDescent="0.2"/>
    <row r="40436" ht="12.75" hidden="1" customHeight="1" x14ac:dyDescent="0.2"/>
    <row r="40437" ht="12.75" hidden="1" customHeight="1" x14ac:dyDescent="0.2"/>
    <row r="40438" ht="12.75" hidden="1" customHeight="1" x14ac:dyDescent="0.2"/>
    <row r="40439" ht="12.75" hidden="1" customHeight="1" x14ac:dyDescent="0.2"/>
    <row r="40440" ht="12.75" hidden="1" customHeight="1" x14ac:dyDescent="0.2"/>
    <row r="40441" ht="12.75" hidden="1" customHeight="1" x14ac:dyDescent="0.2"/>
    <row r="40442" ht="12.75" hidden="1" customHeight="1" x14ac:dyDescent="0.2"/>
    <row r="40443" ht="12.75" hidden="1" customHeight="1" x14ac:dyDescent="0.2"/>
    <row r="40444" ht="12.75" hidden="1" customHeight="1" x14ac:dyDescent="0.2"/>
    <row r="40445" ht="12.75" hidden="1" customHeight="1" x14ac:dyDescent="0.2"/>
    <row r="40446" ht="12.75" hidden="1" customHeight="1" x14ac:dyDescent="0.2"/>
    <row r="40447" ht="12.75" hidden="1" customHeight="1" x14ac:dyDescent="0.2"/>
    <row r="40448" ht="12.75" hidden="1" customHeight="1" x14ac:dyDescent="0.2"/>
    <row r="40449" ht="12.75" hidden="1" customHeight="1" x14ac:dyDescent="0.2"/>
    <row r="40450" ht="12.75" hidden="1" customHeight="1" x14ac:dyDescent="0.2"/>
    <row r="40451" ht="12.75" hidden="1" customHeight="1" x14ac:dyDescent="0.2"/>
    <row r="40452" ht="12.75" hidden="1" customHeight="1" x14ac:dyDescent="0.2"/>
    <row r="40453" ht="12.75" hidden="1" customHeight="1" x14ac:dyDescent="0.2"/>
    <row r="40454" ht="12.75" hidden="1" customHeight="1" x14ac:dyDescent="0.2"/>
    <row r="40455" ht="12.75" hidden="1" customHeight="1" x14ac:dyDescent="0.2"/>
    <row r="40456" ht="12.75" hidden="1" customHeight="1" x14ac:dyDescent="0.2"/>
    <row r="40457" ht="12.75" hidden="1" customHeight="1" x14ac:dyDescent="0.2"/>
    <row r="40458" ht="12.75" hidden="1" customHeight="1" x14ac:dyDescent="0.2"/>
    <row r="40459" ht="12.75" hidden="1" customHeight="1" x14ac:dyDescent="0.2"/>
    <row r="40460" ht="12.75" hidden="1" customHeight="1" x14ac:dyDescent="0.2"/>
    <row r="40461" ht="12.75" hidden="1" customHeight="1" x14ac:dyDescent="0.2"/>
    <row r="40462" ht="12.75" hidden="1" customHeight="1" x14ac:dyDescent="0.2"/>
    <row r="40463" ht="12.75" hidden="1" customHeight="1" x14ac:dyDescent="0.2"/>
    <row r="40464" ht="12.75" hidden="1" customHeight="1" x14ac:dyDescent="0.2"/>
    <row r="40465" ht="12.75" hidden="1" customHeight="1" x14ac:dyDescent="0.2"/>
    <row r="40466" ht="12.75" hidden="1" customHeight="1" x14ac:dyDescent="0.2"/>
    <row r="40467" ht="12.75" hidden="1" customHeight="1" x14ac:dyDescent="0.2"/>
    <row r="40468" ht="12.75" hidden="1" customHeight="1" x14ac:dyDescent="0.2"/>
    <row r="40469" ht="12.75" hidden="1" customHeight="1" x14ac:dyDescent="0.2"/>
    <row r="40470" ht="12.75" hidden="1" customHeight="1" x14ac:dyDescent="0.2"/>
    <row r="40471" ht="12.75" hidden="1" customHeight="1" x14ac:dyDescent="0.2"/>
    <row r="40472" ht="12.75" hidden="1" customHeight="1" x14ac:dyDescent="0.2"/>
    <row r="40473" ht="12.75" hidden="1" customHeight="1" x14ac:dyDescent="0.2"/>
    <row r="40474" ht="12.75" hidden="1" customHeight="1" x14ac:dyDescent="0.2"/>
    <row r="40475" ht="12.75" hidden="1" customHeight="1" x14ac:dyDescent="0.2"/>
    <row r="40476" ht="12.75" hidden="1" customHeight="1" x14ac:dyDescent="0.2"/>
    <row r="40477" ht="12.75" hidden="1" customHeight="1" x14ac:dyDescent="0.2"/>
    <row r="40478" ht="12.75" hidden="1" customHeight="1" x14ac:dyDescent="0.2"/>
    <row r="40479" ht="12.75" hidden="1" customHeight="1" x14ac:dyDescent="0.2"/>
    <row r="40480" ht="12.75" hidden="1" customHeight="1" x14ac:dyDescent="0.2"/>
    <row r="40481" ht="12.75" hidden="1" customHeight="1" x14ac:dyDescent="0.2"/>
    <row r="40482" ht="12.75" hidden="1" customHeight="1" x14ac:dyDescent="0.2"/>
    <row r="40483" ht="12.75" hidden="1" customHeight="1" x14ac:dyDescent="0.2"/>
    <row r="40484" ht="12.75" hidden="1" customHeight="1" x14ac:dyDescent="0.2"/>
    <row r="40485" ht="12.75" hidden="1" customHeight="1" x14ac:dyDescent="0.2"/>
    <row r="40486" ht="12.75" hidden="1" customHeight="1" x14ac:dyDescent="0.2"/>
    <row r="40487" ht="12.75" hidden="1" customHeight="1" x14ac:dyDescent="0.2"/>
    <row r="40488" ht="12.75" hidden="1" customHeight="1" x14ac:dyDescent="0.2"/>
    <row r="40489" ht="12.75" hidden="1" customHeight="1" x14ac:dyDescent="0.2"/>
    <row r="40490" ht="12.75" hidden="1" customHeight="1" x14ac:dyDescent="0.2"/>
    <row r="40491" ht="12.75" hidden="1" customHeight="1" x14ac:dyDescent="0.2"/>
    <row r="40492" ht="12.75" hidden="1" customHeight="1" x14ac:dyDescent="0.2"/>
    <row r="40493" ht="12.75" hidden="1" customHeight="1" x14ac:dyDescent="0.2"/>
    <row r="40494" ht="12.75" hidden="1" customHeight="1" x14ac:dyDescent="0.2"/>
    <row r="40495" ht="12.75" hidden="1" customHeight="1" x14ac:dyDescent="0.2"/>
    <row r="40496" ht="12.75" hidden="1" customHeight="1" x14ac:dyDescent="0.2"/>
    <row r="40497" ht="12.75" hidden="1" customHeight="1" x14ac:dyDescent="0.2"/>
    <row r="40498" ht="12.75" hidden="1" customHeight="1" x14ac:dyDescent="0.2"/>
    <row r="40499" ht="12.75" hidden="1" customHeight="1" x14ac:dyDescent="0.2"/>
    <row r="40500" ht="12.75" hidden="1" customHeight="1" x14ac:dyDescent="0.2"/>
    <row r="40501" ht="12.75" hidden="1" customHeight="1" x14ac:dyDescent="0.2"/>
    <row r="40502" ht="12.75" hidden="1" customHeight="1" x14ac:dyDescent="0.2"/>
    <row r="40503" ht="12.75" hidden="1" customHeight="1" x14ac:dyDescent="0.2"/>
    <row r="40504" ht="12.75" hidden="1" customHeight="1" x14ac:dyDescent="0.2"/>
    <row r="40505" ht="12.75" hidden="1" customHeight="1" x14ac:dyDescent="0.2"/>
    <row r="40506" ht="12.75" hidden="1" customHeight="1" x14ac:dyDescent="0.2"/>
    <row r="40507" ht="12.75" hidden="1" customHeight="1" x14ac:dyDescent="0.2"/>
    <row r="40508" ht="12.75" hidden="1" customHeight="1" x14ac:dyDescent="0.2"/>
    <row r="40509" ht="12.75" hidden="1" customHeight="1" x14ac:dyDescent="0.2"/>
    <row r="40510" ht="12.75" hidden="1" customHeight="1" x14ac:dyDescent="0.2"/>
    <row r="40511" ht="12.75" hidden="1" customHeight="1" x14ac:dyDescent="0.2"/>
    <row r="40512" ht="12.75" hidden="1" customHeight="1" x14ac:dyDescent="0.2"/>
    <row r="40513" ht="12.75" hidden="1" customHeight="1" x14ac:dyDescent="0.2"/>
    <row r="40514" ht="12.75" hidden="1" customHeight="1" x14ac:dyDescent="0.2"/>
    <row r="40515" ht="12.75" hidden="1" customHeight="1" x14ac:dyDescent="0.2"/>
    <row r="40516" ht="12.75" hidden="1" customHeight="1" x14ac:dyDescent="0.2"/>
    <row r="40517" ht="12.75" hidden="1" customHeight="1" x14ac:dyDescent="0.2"/>
    <row r="40518" ht="12.75" hidden="1" customHeight="1" x14ac:dyDescent="0.2"/>
    <row r="40519" ht="12.75" hidden="1" customHeight="1" x14ac:dyDescent="0.2"/>
    <row r="40520" ht="12.75" hidden="1" customHeight="1" x14ac:dyDescent="0.2"/>
    <row r="40521" ht="12.75" hidden="1" customHeight="1" x14ac:dyDescent="0.2"/>
    <row r="40522" ht="12.75" hidden="1" customHeight="1" x14ac:dyDescent="0.2"/>
    <row r="40523" ht="12.75" hidden="1" customHeight="1" x14ac:dyDescent="0.2"/>
    <row r="40524" ht="12.75" hidden="1" customHeight="1" x14ac:dyDescent="0.2"/>
    <row r="40525" ht="12.75" hidden="1" customHeight="1" x14ac:dyDescent="0.2"/>
    <row r="40526" ht="12.75" hidden="1" customHeight="1" x14ac:dyDescent="0.2"/>
    <row r="40527" ht="12.75" hidden="1" customHeight="1" x14ac:dyDescent="0.2"/>
    <row r="40528" ht="12.75" hidden="1" customHeight="1" x14ac:dyDescent="0.2"/>
    <row r="40529" ht="12.75" hidden="1" customHeight="1" x14ac:dyDescent="0.2"/>
    <row r="40530" ht="12.75" hidden="1" customHeight="1" x14ac:dyDescent="0.2"/>
    <row r="40531" ht="12.75" hidden="1" customHeight="1" x14ac:dyDescent="0.2"/>
    <row r="40532" ht="12.75" hidden="1" customHeight="1" x14ac:dyDescent="0.2"/>
    <row r="40533" ht="12.75" hidden="1" customHeight="1" x14ac:dyDescent="0.2"/>
    <row r="40534" ht="12.75" hidden="1" customHeight="1" x14ac:dyDescent="0.2"/>
    <row r="40535" ht="12.75" hidden="1" customHeight="1" x14ac:dyDescent="0.2"/>
    <row r="40536" ht="12.75" hidden="1" customHeight="1" x14ac:dyDescent="0.2"/>
    <row r="40537" ht="12.75" hidden="1" customHeight="1" x14ac:dyDescent="0.2"/>
    <row r="40538" ht="12.75" hidden="1" customHeight="1" x14ac:dyDescent="0.2"/>
    <row r="40539" ht="12.75" hidden="1" customHeight="1" x14ac:dyDescent="0.2"/>
    <row r="40540" ht="12.75" hidden="1" customHeight="1" x14ac:dyDescent="0.2"/>
    <row r="40541" ht="12.75" hidden="1" customHeight="1" x14ac:dyDescent="0.2"/>
    <row r="40542" ht="12.75" hidden="1" customHeight="1" x14ac:dyDescent="0.2"/>
    <row r="40543" ht="12.75" hidden="1" customHeight="1" x14ac:dyDescent="0.2"/>
    <row r="40544" ht="12.75" hidden="1" customHeight="1" x14ac:dyDescent="0.2"/>
    <row r="40545" ht="12.75" hidden="1" customHeight="1" x14ac:dyDescent="0.2"/>
    <row r="40546" ht="12.75" hidden="1" customHeight="1" x14ac:dyDescent="0.2"/>
    <row r="40547" ht="12.75" hidden="1" customHeight="1" x14ac:dyDescent="0.2"/>
    <row r="40548" ht="12.75" hidden="1" customHeight="1" x14ac:dyDescent="0.2"/>
    <row r="40549" ht="12.75" hidden="1" customHeight="1" x14ac:dyDescent="0.2"/>
    <row r="40550" ht="12.75" hidden="1" customHeight="1" x14ac:dyDescent="0.2"/>
    <row r="40551" ht="12.75" hidden="1" customHeight="1" x14ac:dyDescent="0.2"/>
    <row r="40552" ht="12.75" hidden="1" customHeight="1" x14ac:dyDescent="0.2"/>
    <row r="40553" ht="12.75" hidden="1" customHeight="1" x14ac:dyDescent="0.2"/>
    <row r="40554" ht="12.75" hidden="1" customHeight="1" x14ac:dyDescent="0.2"/>
    <row r="40555" ht="12.75" hidden="1" customHeight="1" x14ac:dyDescent="0.2"/>
    <row r="40556" ht="12.75" hidden="1" customHeight="1" x14ac:dyDescent="0.2"/>
    <row r="40557" ht="12.75" hidden="1" customHeight="1" x14ac:dyDescent="0.2"/>
    <row r="40558" ht="12.75" hidden="1" customHeight="1" x14ac:dyDescent="0.2"/>
    <row r="40559" ht="12.75" hidden="1" customHeight="1" x14ac:dyDescent="0.2"/>
    <row r="40560" ht="12.75" hidden="1" customHeight="1" x14ac:dyDescent="0.2"/>
    <row r="40561" ht="12.75" hidden="1" customHeight="1" x14ac:dyDescent="0.2"/>
    <row r="40562" ht="12.75" hidden="1" customHeight="1" x14ac:dyDescent="0.2"/>
    <row r="40563" ht="12.75" hidden="1" customHeight="1" x14ac:dyDescent="0.2"/>
    <row r="40564" ht="12.75" hidden="1" customHeight="1" x14ac:dyDescent="0.2"/>
    <row r="40565" ht="12.75" hidden="1" customHeight="1" x14ac:dyDescent="0.2"/>
    <row r="40566" ht="12.75" hidden="1" customHeight="1" x14ac:dyDescent="0.2"/>
    <row r="40567" ht="12.75" hidden="1" customHeight="1" x14ac:dyDescent="0.2"/>
    <row r="40568" ht="12.75" hidden="1" customHeight="1" x14ac:dyDescent="0.2"/>
    <row r="40569" ht="12.75" hidden="1" customHeight="1" x14ac:dyDescent="0.2"/>
    <row r="40570" ht="12.75" hidden="1" customHeight="1" x14ac:dyDescent="0.2"/>
    <row r="40571" ht="12.75" hidden="1" customHeight="1" x14ac:dyDescent="0.2"/>
    <row r="40572" ht="12.75" hidden="1" customHeight="1" x14ac:dyDescent="0.2"/>
    <row r="40573" ht="12.75" hidden="1" customHeight="1" x14ac:dyDescent="0.2"/>
    <row r="40574" ht="12.75" hidden="1" customHeight="1" x14ac:dyDescent="0.2"/>
    <row r="40575" ht="12.75" hidden="1" customHeight="1" x14ac:dyDescent="0.2"/>
    <row r="40576" ht="12.75" hidden="1" customHeight="1" x14ac:dyDescent="0.2"/>
    <row r="40577" ht="12.75" hidden="1" customHeight="1" x14ac:dyDescent="0.2"/>
    <row r="40578" ht="12.75" hidden="1" customHeight="1" x14ac:dyDescent="0.2"/>
    <row r="40579" ht="12.75" hidden="1" customHeight="1" x14ac:dyDescent="0.2"/>
    <row r="40580" ht="12.75" hidden="1" customHeight="1" x14ac:dyDescent="0.2"/>
    <row r="40581" ht="12.75" hidden="1" customHeight="1" x14ac:dyDescent="0.2"/>
    <row r="40582" ht="12.75" hidden="1" customHeight="1" x14ac:dyDescent="0.2"/>
    <row r="40583" ht="12.75" hidden="1" customHeight="1" x14ac:dyDescent="0.2"/>
    <row r="40584" ht="12.75" hidden="1" customHeight="1" x14ac:dyDescent="0.2"/>
    <row r="40585" ht="12.75" hidden="1" customHeight="1" x14ac:dyDescent="0.2"/>
    <row r="40586" ht="12.75" hidden="1" customHeight="1" x14ac:dyDescent="0.2"/>
    <row r="40587" ht="12.75" hidden="1" customHeight="1" x14ac:dyDescent="0.2"/>
    <row r="40588" ht="12.75" hidden="1" customHeight="1" x14ac:dyDescent="0.2"/>
    <row r="40589" ht="12.75" hidden="1" customHeight="1" x14ac:dyDescent="0.2"/>
    <row r="40590" ht="12.75" hidden="1" customHeight="1" x14ac:dyDescent="0.2"/>
    <row r="40591" ht="12.75" hidden="1" customHeight="1" x14ac:dyDescent="0.2"/>
    <row r="40592" ht="12.75" hidden="1" customHeight="1" x14ac:dyDescent="0.2"/>
    <row r="40593" ht="12.75" hidden="1" customHeight="1" x14ac:dyDescent="0.2"/>
    <row r="40594" ht="12.75" hidden="1" customHeight="1" x14ac:dyDescent="0.2"/>
    <row r="40595" ht="12.75" hidden="1" customHeight="1" x14ac:dyDescent="0.2"/>
    <row r="40596" ht="12.75" hidden="1" customHeight="1" x14ac:dyDescent="0.2"/>
    <row r="40597" ht="12.75" hidden="1" customHeight="1" x14ac:dyDescent="0.2"/>
    <row r="40598" ht="12.75" hidden="1" customHeight="1" x14ac:dyDescent="0.2"/>
    <row r="40599" ht="12.75" hidden="1" customHeight="1" x14ac:dyDescent="0.2"/>
    <row r="40600" ht="12.75" hidden="1" customHeight="1" x14ac:dyDescent="0.2"/>
    <row r="40601" ht="12.75" hidden="1" customHeight="1" x14ac:dyDescent="0.2"/>
    <row r="40602" ht="12.75" hidden="1" customHeight="1" x14ac:dyDescent="0.2"/>
    <row r="40603" ht="12.75" hidden="1" customHeight="1" x14ac:dyDescent="0.2"/>
    <row r="40604" ht="12.75" hidden="1" customHeight="1" x14ac:dyDescent="0.2"/>
    <row r="40605" ht="12.75" hidden="1" customHeight="1" x14ac:dyDescent="0.2"/>
    <row r="40606" ht="12.75" hidden="1" customHeight="1" x14ac:dyDescent="0.2"/>
    <row r="40607" ht="12.75" hidden="1" customHeight="1" x14ac:dyDescent="0.2"/>
    <row r="40608" ht="12.75" hidden="1" customHeight="1" x14ac:dyDescent="0.2"/>
    <row r="40609" ht="12.75" hidden="1" customHeight="1" x14ac:dyDescent="0.2"/>
    <row r="40610" ht="12.75" hidden="1" customHeight="1" x14ac:dyDescent="0.2"/>
    <row r="40611" ht="12.75" hidden="1" customHeight="1" x14ac:dyDescent="0.2"/>
    <row r="40612" ht="12.75" hidden="1" customHeight="1" x14ac:dyDescent="0.2"/>
    <row r="40613" ht="12.75" hidden="1" customHeight="1" x14ac:dyDescent="0.2"/>
    <row r="40614" ht="12.75" hidden="1" customHeight="1" x14ac:dyDescent="0.2"/>
    <row r="40615" ht="12.75" hidden="1" customHeight="1" x14ac:dyDescent="0.2"/>
    <row r="40616" ht="12.75" hidden="1" customHeight="1" x14ac:dyDescent="0.2"/>
    <row r="40617" ht="12.75" hidden="1" customHeight="1" x14ac:dyDescent="0.2"/>
    <row r="40618" ht="12.75" hidden="1" customHeight="1" x14ac:dyDescent="0.2"/>
    <row r="40619" ht="12.75" hidden="1" customHeight="1" x14ac:dyDescent="0.2"/>
    <row r="40620" ht="12.75" hidden="1" customHeight="1" x14ac:dyDescent="0.2"/>
    <row r="40621" ht="12.75" hidden="1" customHeight="1" x14ac:dyDescent="0.2"/>
    <row r="40622" ht="12.75" hidden="1" customHeight="1" x14ac:dyDescent="0.2"/>
    <row r="40623" ht="12.75" hidden="1" customHeight="1" x14ac:dyDescent="0.2"/>
    <row r="40624" ht="12.75" hidden="1" customHeight="1" x14ac:dyDescent="0.2"/>
    <row r="40625" ht="12.75" hidden="1" customHeight="1" x14ac:dyDescent="0.2"/>
    <row r="40626" ht="12.75" hidden="1" customHeight="1" x14ac:dyDescent="0.2"/>
    <row r="40627" ht="12.75" hidden="1" customHeight="1" x14ac:dyDescent="0.2"/>
    <row r="40628" ht="12.75" hidden="1" customHeight="1" x14ac:dyDescent="0.2"/>
    <row r="40629" ht="12.75" hidden="1" customHeight="1" x14ac:dyDescent="0.2"/>
    <row r="40630" ht="12.75" hidden="1" customHeight="1" x14ac:dyDescent="0.2"/>
    <row r="40631" ht="12.75" hidden="1" customHeight="1" x14ac:dyDescent="0.2"/>
    <row r="40632" ht="12.75" hidden="1" customHeight="1" x14ac:dyDescent="0.2"/>
    <row r="40633" ht="12.75" hidden="1" customHeight="1" x14ac:dyDescent="0.2"/>
    <row r="40634" ht="12.75" hidden="1" customHeight="1" x14ac:dyDescent="0.2"/>
    <row r="40635" ht="12.75" hidden="1" customHeight="1" x14ac:dyDescent="0.2"/>
    <row r="40636" ht="12.75" hidden="1" customHeight="1" x14ac:dyDescent="0.2"/>
    <row r="40637" ht="12.75" hidden="1" customHeight="1" x14ac:dyDescent="0.2"/>
    <row r="40638" ht="12.75" hidden="1" customHeight="1" x14ac:dyDescent="0.2"/>
    <row r="40639" ht="12.75" hidden="1" customHeight="1" x14ac:dyDescent="0.2"/>
    <row r="40640" ht="12.75" hidden="1" customHeight="1" x14ac:dyDescent="0.2"/>
    <row r="40641" ht="12.75" hidden="1" customHeight="1" x14ac:dyDescent="0.2"/>
    <row r="40642" ht="12.75" hidden="1" customHeight="1" x14ac:dyDescent="0.2"/>
    <row r="40643" ht="12.75" hidden="1" customHeight="1" x14ac:dyDescent="0.2"/>
    <row r="40644" ht="12.75" hidden="1" customHeight="1" x14ac:dyDescent="0.2"/>
    <row r="40645" ht="12.75" hidden="1" customHeight="1" x14ac:dyDescent="0.2"/>
    <row r="40646" ht="12.75" hidden="1" customHeight="1" x14ac:dyDescent="0.2"/>
    <row r="40647" ht="12.75" hidden="1" customHeight="1" x14ac:dyDescent="0.2"/>
    <row r="40648" ht="12.75" hidden="1" customHeight="1" x14ac:dyDescent="0.2"/>
    <row r="40649" ht="12.75" hidden="1" customHeight="1" x14ac:dyDescent="0.2"/>
    <row r="40650" ht="12.75" hidden="1" customHeight="1" x14ac:dyDescent="0.2"/>
    <row r="40651" ht="12.75" hidden="1" customHeight="1" x14ac:dyDescent="0.2"/>
    <row r="40652" ht="12.75" hidden="1" customHeight="1" x14ac:dyDescent="0.2"/>
    <row r="40653" ht="12.75" hidden="1" customHeight="1" x14ac:dyDescent="0.2"/>
    <row r="40654" ht="12.75" hidden="1" customHeight="1" x14ac:dyDescent="0.2"/>
    <row r="40655" ht="12.75" hidden="1" customHeight="1" x14ac:dyDescent="0.2"/>
    <row r="40656" ht="12.75" hidden="1" customHeight="1" x14ac:dyDescent="0.2"/>
    <row r="40657" ht="12.75" hidden="1" customHeight="1" x14ac:dyDescent="0.2"/>
    <row r="40658" ht="12.75" hidden="1" customHeight="1" x14ac:dyDescent="0.2"/>
    <row r="40659" ht="12.75" hidden="1" customHeight="1" x14ac:dyDescent="0.2"/>
    <row r="40660" ht="12.75" hidden="1" customHeight="1" x14ac:dyDescent="0.2"/>
    <row r="40661" ht="12.75" hidden="1" customHeight="1" x14ac:dyDescent="0.2"/>
    <row r="40662" ht="12.75" hidden="1" customHeight="1" x14ac:dyDescent="0.2"/>
    <row r="40663" ht="12.75" hidden="1" customHeight="1" x14ac:dyDescent="0.2"/>
    <row r="40664" ht="12.75" hidden="1" customHeight="1" x14ac:dyDescent="0.2"/>
    <row r="40665" ht="12.75" hidden="1" customHeight="1" x14ac:dyDescent="0.2"/>
    <row r="40666" ht="12.75" hidden="1" customHeight="1" x14ac:dyDescent="0.2"/>
    <row r="40667" ht="12.75" hidden="1" customHeight="1" x14ac:dyDescent="0.2"/>
    <row r="40668" ht="12.75" hidden="1" customHeight="1" x14ac:dyDescent="0.2"/>
    <row r="40669" ht="12.75" hidden="1" customHeight="1" x14ac:dyDescent="0.2"/>
    <row r="40670" ht="12.75" hidden="1" customHeight="1" x14ac:dyDescent="0.2"/>
    <row r="40671" ht="12.75" hidden="1" customHeight="1" x14ac:dyDescent="0.2"/>
    <row r="40672" ht="12.75" hidden="1" customHeight="1" x14ac:dyDescent="0.2"/>
    <row r="40673" ht="12.75" hidden="1" customHeight="1" x14ac:dyDescent="0.2"/>
    <row r="40674" ht="12.75" hidden="1" customHeight="1" x14ac:dyDescent="0.2"/>
    <row r="40675" ht="12.75" hidden="1" customHeight="1" x14ac:dyDescent="0.2"/>
    <row r="40676" ht="12.75" hidden="1" customHeight="1" x14ac:dyDescent="0.2"/>
    <row r="40677" ht="12.75" hidden="1" customHeight="1" x14ac:dyDescent="0.2"/>
    <row r="40678" ht="12.75" hidden="1" customHeight="1" x14ac:dyDescent="0.2"/>
    <row r="40679" ht="12.75" hidden="1" customHeight="1" x14ac:dyDescent="0.2"/>
    <row r="40680" ht="12.75" hidden="1" customHeight="1" x14ac:dyDescent="0.2"/>
    <row r="40681" ht="12.75" hidden="1" customHeight="1" x14ac:dyDescent="0.2"/>
    <row r="40682" ht="12.75" hidden="1" customHeight="1" x14ac:dyDescent="0.2"/>
    <row r="40683" ht="12.75" hidden="1" customHeight="1" x14ac:dyDescent="0.2"/>
    <row r="40684" ht="12.75" hidden="1" customHeight="1" x14ac:dyDescent="0.2"/>
    <row r="40685" ht="12.75" hidden="1" customHeight="1" x14ac:dyDescent="0.2"/>
    <row r="40686" ht="12.75" hidden="1" customHeight="1" x14ac:dyDescent="0.2"/>
    <row r="40687" ht="12.75" hidden="1" customHeight="1" x14ac:dyDescent="0.2"/>
    <row r="40688" ht="12.75" hidden="1" customHeight="1" x14ac:dyDescent="0.2"/>
    <row r="40689" ht="12.75" hidden="1" customHeight="1" x14ac:dyDescent="0.2"/>
    <row r="40690" ht="12.75" hidden="1" customHeight="1" x14ac:dyDescent="0.2"/>
    <row r="40691" ht="12.75" hidden="1" customHeight="1" x14ac:dyDescent="0.2"/>
    <row r="40692" ht="12.75" hidden="1" customHeight="1" x14ac:dyDescent="0.2"/>
    <row r="40693" ht="12.75" hidden="1" customHeight="1" x14ac:dyDescent="0.2"/>
    <row r="40694" ht="12.75" hidden="1" customHeight="1" x14ac:dyDescent="0.2"/>
    <row r="40695" ht="12.75" hidden="1" customHeight="1" x14ac:dyDescent="0.2"/>
    <row r="40696" ht="12.75" hidden="1" customHeight="1" x14ac:dyDescent="0.2"/>
    <row r="40697" ht="12.75" hidden="1" customHeight="1" x14ac:dyDescent="0.2"/>
    <row r="40698" ht="12.75" hidden="1" customHeight="1" x14ac:dyDescent="0.2"/>
    <row r="40699" ht="12.75" hidden="1" customHeight="1" x14ac:dyDescent="0.2"/>
    <row r="40700" ht="12.75" hidden="1" customHeight="1" x14ac:dyDescent="0.2"/>
    <row r="40701" ht="12.75" hidden="1" customHeight="1" x14ac:dyDescent="0.2"/>
    <row r="40702" ht="12.75" hidden="1" customHeight="1" x14ac:dyDescent="0.2"/>
    <row r="40703" ht="12.75" hidden="1" customHeight="1" x14ac:dyDescent="0.2"/>
    <row r="40704" ht="12.75" hidden="1" customHeight="1" x14ac:dyDescent="0.2"/>
    <row r="40705" ht="12.75" hidden="1" customHeight="1" x14ac:dyDescent="0.2"/>
    <row r="40706" ht="12.75" hidden="1" customHeight="1" x14ac:dyDescent="0.2"/>
    <row r="40707" ht="12.75" hidden="1" customHeight="1" x14ac:dyDescent="0.2"/>
    <row r="40708" ht="12.75" hidden="1" customHeight="1" x14ac:dyDescent="0.2"/>
    <row r="40709" ht="12.75" hidden="1" customHeight="1" x14ac:dyDescent="0.2"/>
    <row r="40710" ht="12.75" hidden="1" customHeight="1" x14ac:dyDescent="0.2"/>
    <row r="40711" ht="12.75" hidden="1" customHeight="1" x14ac:dyDescent="0.2"/>
    <row r="40712" ht="12.75" hidden="1" customHeight="1" x14ac:dyDescent="0.2"/>
    <row r="40713" ht="12.75" hidden="1" customHeight="1" x14ac:dyDescent="0.2"/>
    <row r="40714" ht="12.75" hidden="1" customHeight="1" x14ac:dyDescent="0.2"/>
    <row r="40715" ht="12.75" hidden="1" customHeight="1" x14ac:dyDescent="0.2"/>
    <row r="40716" ht="12.75" hidden="1" customHeight="1" x14ac:dyDescent="0.2"/>
    <row r="40717" ht="12.75" hidden="1" customHeight="1" x14ac:dyDescent="0.2"/>
    <row r="40718" ht="12.75" hidden="1" customHeight="1" x14ac:dyDescent="0.2"/>
    <row r="40719" ht="12.75" hidden="1" customHeight="1" x14ac:dyDescent="0.2"/>
    <row r="40720" ht="12.75" hidden="1" customHeight="1" x14ac:dyDescent="0.2"/>
    <row r="40721" ht="12.75" hidden="1" customHeight="1" x14ac:dyDescent="0.2"/>
    <row r="40722" ht="12.75" hidden="1" customHeight="1" x14ac:dyDescent="0.2"/>
    <row r="40723" ht="12.75" hidden="1" customHeight="1" x14ac:dyDescent="0.2"/>
    <row r="40724" ht="12.75" hidden="1" customHeight="1" x14ac:dyDescent="0.2"/>
    <row r="40725" ht="12.75" hidden="1" customHeight="1" x14ac:dyDescent="0.2"/>
    <row r="40726" ht="12.75" hidden="1" customHeight="1" x14ac:dyDescent="0.2"/>
    <row r="40727" ht="12.75" hidden="1" customHeight="1" x14ac:dyDescent="0.2"/>
    <row r="40728" ht="12.75" hidden="1" customHeight="1" x14ac:dyDescent="0.2"/>
    <row r="40729" ht="12.75" hidden="1" customHeight="1" x14ac:dyDescent="0.2"/>
    <row r="40730" ht="12.75" hidden="1" customHeight="1" x14ac:dyDescent="0.2"/>
    <row r="40731" ht="12.75" hidden="1" customHeight="1" x14ac:dyDescent="0.2"/>
    <row r="40732" ht="12.75" hidden="1" customHeight="1" x14ac:dyDescent="0.2"/>
    <row r="40733" ht="12.75" hidden="1" customHeight="1" x14ac:dyDescent="0.2"/>
    <row r="40734" ht="12.75" hidden="1" customHeight="1" x14ac:dyDescent="0.2"/>
    <row r="40735" ht="12.75" hidden="1" customHeight="1" x14ac:dyDescent="0.2"/>
    <row r="40736" ht="12.75" hidden="1" customHeight="1" x14ac:dyDescent="0.2"/>
    <row r="40737" ht="12.75" hidden="1" customHeight="1" x14ac:dyDescent="0.2"/>
    <row r="40738" ht="12.75" hidden="1" customHeight="1" x14ac:dyDescent="0.2"/>
    <row r="40739" ht="12.75" hidden="1" customHeight="1" x14ac:dyDescent="0.2"/>
    <row r="40740" ht="12.75" hidden="1" customHeight="1" x14ac:dyDescent="0.2"/>
    <row r="40741" ht="12.75" hidden="1" customHeight="1" x14ac:dyDescent="0.2"/>
    <row r="40742" ht="12.75" hidden="1" customHeight="1" x14ac:dyDescent="0.2"/>
    <row r="40743" ht="12.75" hidden="1" customHeight="1" x14ac:dyDescent="0.2"/>
    <row r="40744" ht="12.75" hidden="1" customHeight="1" x14ac:dyDescent="0.2"/>
    <row r="40745" ht="12.75" hidden="1" customHeight="1" x14ac:dyDescent="0.2"/>
    <row r="40746" ht="12.75" hidden="1" customHeight="1" x14ac:dyDescent="0.2"/>
    <row r="40747" ht="12.75" hidden="1" customHeight="1" x14ac:dyDescent="0.2"/>
    <row r="40748" ht="12.75" hidden="1" customHeight="1" x14ac:dyDescent="0.2"/>
    <row r="40749" ht="12.75" hidden="1" customHeight="1" x14ac:dyDescent="0.2"/>
    <row r="40750" ht="12.75" hidden="1" customHeight="1" x14ac:dyDescent="0.2"/>
    <row r="40751" ht="12.75" hidden="1" customHeight="1" x14ac:dyDescent="0.2"/>
    <row r="40752" ht="12.75" hidden="1" customHeight="1" x14ac:dyDescent="0.2"/>
    <row r="40753" ht="12.75" hidden="1" customHeight="1" x14ac:dyDescent="0.2"/>
    <row r="40754" ht="12.75" hidden="1" customHeight="1" x14ac:dyDescent="0.2"/>
    <row r="40755" ht="12.75" hidden="1" customHeight="1" x14ac:dyDescent="0.2"/>
    <row r="40756" ht="12.75" hidden="1" customHeight="1" x14ac:dyDescent="0.2"/>
    <row r="40757" ht="12.75" hidden="1" customHeight="1" x14ac:dyDescent="0.2"/>
    <row r="40758" ht="12.75" hidden="1" customHeight="1" x14ac:dyDescent="0.2"/>
    <row r="40759" ht="12.75" hidden="1" customHeight="1" x14ac:dyDescent="0.2"/>
    <row r="40760" ht="12.75" hidden="1" customHeight="1" x14ac:dyDescent="0.2"/>
    <row r="40761" ht="12.75" hidden="1" customHeight="1" x14ac:dyDescent="0.2"/>
    <row r="40762" ht="12.75" hidden="1" customHeight="1" x14ac:dyDescent="0.2"/>
    <row r="40763" ht="12.75" hidden="1" customHeight="1" x14ac:dyDescent="0.2"/>
    <row r="40764" ht="12.75" hidden="1" customHeight="1" x14ac:dyDescent="0.2"/>
    <row r="40765" ht="12.75" hidden="1" customHeight="1" x14ac:dyDescent="0.2"/>
    <row r="40766" ht="12.75" hidden="1" customHeight="1" x14ac:dyDescent="0.2"/>
    <row r="40767" ht="12.75" hidden="1" customHeight="1" x14ac:dyDescent="0.2"/>
    <row r="40768" ht="12.75" hidden="1" customHeight="1" x14ac:dyDescent="0.2"/>
    <row r="40769" ht="12.75" hidden="1" customHeight="1" x14ac:dyDescent="0.2"/>
    <row r="40770" ht="12.75" hidden="1" customHeight="1" x14ac:dyDescent="0.2"/>
    <row r="40771" ht="12.75" hidden="1" customHeight="1" x14ac:dyDescent="0.2"/>
    <row r="40772" ht="12.75" hidden="1" customHeight="1" x14ac:dyDescent="0.2"/>
    <row r="40773" ht="12.75" hidden="1" customHeight="1" x14ac:dyDescent="0.2"/>
    <row r="40774" ht="12.75" hidden="1" customHeight="1" x14ac:dyDescent="0.2"/>
    <row r="40775" ht="12.75" hidden="1" customHeight="1" x14ac:dyDescent="0.2"/>
    <row r="40776" ht="12.75" hidden="1" customHeight="1" x14ac:dyDescent="0.2"/>
    <row r="40777" ht="12.75" hidden="1" customHeight="1" x14ac:dyDescent="0.2"/>
    <row r="40778" ht="12.75" hidden="1" customHeight="1" x14ac:dyDescent="0.2"/>
    <row r="40779" ht="12.75" hidden="1" customHeight="1" x14ac:dyDescent="0.2"/>
    <row r="40780" ht="12.75" hidden="1" customHeight="1" x14ac:dyDescent="0.2"/>
    <row r="40781" ht="12.75" hidden="1" customHeight="1" x14ac:dyDescent="0.2"/>
    <row r="40782" ht="12.75" hidden="1" customHeight="1" x14ac:dyDescent="0.2"/>
    <row r="40783" ht="12.75" hidden="1" customHeight="1" x14ac:dyDescent="0.2"/>
    <row r="40784" ht="12.75" hidden="1" customHeight="1" x14ac:dyDescent="0.2"/>
    <row r="40785" ht="12.75" hidden="1" customHeight="1" x14ac:dyDescent="0.2"/>
    <row r="40786" ht="12.75" hidden="1" customHeight="1" x14ac:dyDescent="0.2"/>
    <row r="40787" ht="12.75" hidden="1" customHeight="1" x14ac:dyDescent="0.2"/>
    <row r="40788" ht="12.75" hidden="1" customHeight="1" x14ac:dyDescent="0.2"/>
    <row r="40789" ht="12.75" hidden="1" customHeight="1" x14ac:dyDescent="0.2"/>
    <row r="40790" ht="12.75" hidden="1" customHeight="1" x14ac:dyDescent="0.2"/>
    <row r="40791" ht="12.75" hidden="1" customHeight="1" x14ac:dyDescent="0.2"/>
    <row r="40792" ht="12.75" hidden="1" customHeight="1" x14ac:dyDescent="0.2"/>
    <row r="40793" ht="12.75" hidden="1" customHeight="1" x14ac:dyDescent="0.2"/>
    <row r="40794" ht="12.75" hidden="1" customHeight="1" x14ac:dyDescent="0.2"/>
    <row r="40795" ht="12.75" hidden="1" customHeight="1" x14ac:dyDescent="0.2"/>
    <row r="40796" ht="12.75" hidden="1" customHeight="1" x14ac:dyDescent="0.2"/>
    <row r="40797" ht="12.75" hidden="1" customHeight="1" x14ac:dyDescent="0.2"/>
    <row r="40798" ht="12.75" hidden="1" customHeight="1" x14ac:dyDescent="0.2"/>
    <row r="40799" ht="12.75" hidden="1" customHeight="1" x14ac:dyDescent="0.2"/>
    <row r="40800" ht="12.75" hidden="1" customHeight="1" x14ac:dyDescent="0.2"/>
    <row r="40801" ht="12.75" hidden="1" customHeight="1" x14ac:dyDescent="0.2"/>
    <row r="40802" ht="12.75" hidden="1" customHeight="1" x14ac:dyDescent="0.2"/>
    <row r="40803" ht="12.75" hidden="1" customHeight="1" x14ac:dyDescent="0.2"/>
    <row r="40804" ht="12.75" hidden="1" customHeight="1" x14ac:dyDescent="0.2"/>
    <row r="40805" ht="12.75" hidden="1" customHeight="1" x14ac:dyDescent="0.2"/>
    <row r="40806" ht="12.75" hidden="1" customHeight="1" x14ac:dyDescent="0.2"/>
    <row r="40807" ht="12.75" hidden="1" customHeight="1" x14ac:dyDescent="0.2"/>
    <row r="40808" ht="12.75" hidden="1" customHeight="1" x14ac:dyDescent="0.2"/>
    <row r="40809" ht="12.75" hidden="1" customHeight="1" x14ac:dyDescent="0.2"/>
    <row r="40810" ht="12.75" hidden="1" customHeight="1" x14ac:dyDescent="0.2"/>
    <row r="40811" ht="12.75" hidden="1" customHeight="1" x14ac:dyDescent="0.2"/>
    <row r="40812" ht="12.75" hidden="1" customHeight="1" x14ac:dyDescent="0.2"/>
    <row r="40813" ht="12.75" hidden="1" customHeight="1" x14ac:dyDescent="0.2"/>
    <row r="40814" ht="12.75" hidden="1" customHeight="1" x14ac:dyDescent="0.2"/>
    <row r="40815" ht="12.75" hidden="1" customHeight="1" x14ac:dyDescent="0.2"/>
    <row r="40816" ht="12.75" hidden="1" customHeight="1" x14ac:dyDescent="0.2"/>
    <row r="40817" ht="12.75" hidden="1" customHeight="1" x14ac:dyDescent="0.2"/>
    <row r="40818" ht="12.75" hidden="1" customHeight="1" x14ac:dyDescent="0.2"/>
    <row r="40819" ht="12.75" hidden="1" customHeight="1" x14ac:dyDescent="0.2"/>
    <row r="40820" ht="12.75" hidden="1" customHeight="1" x14ac:dyDescent="0.2"/>
    <row r="40821" ht="12.75" hidden="1" customHeight="1" x14ac:dyDescent="0.2"/>
    <row r="40822" ht="12.75" hidden="1" customHeight="1" x14ac:dyDescent="0.2"/>
    <row r="40823" ht="12.75" hidden="1" customHeight="1" x14ac:dyDescent="0.2"/>
    <row r="40824" ht="12.75" hidden="1" customHeight="1" x14ac:dyDescent="0.2"/>
    <row r="40825" ht="12.75" hidden="1" customHeight="1" x14ac:dyDescent="0.2"/>
    <row r="40826" ht="12.75" hidden="1" customHeight="1" x14ac:dyDescent="0.2"/>
    <row r="40827" ht="12.75" hidden="1" customHeight="1" x14ac:dyDescent="0.2"/>
    <row r="40828" ht="12.75" hidden="1" customHeight="1" x14ac:dyDescent="0.2"/>
    <row r="40829" ht="12.75" hidden="1" customHeight="1" x14ac:dyDescent="0.2"/>
    <row r="40830" ht="12.75" hidden="1" customHeight="1" x14ac:dyDescent="0.2"/>
    <row r="40831" ht="12.75" hidden="1" customHeight="1" x14ac:dyDescent="0.2"/>
    <row r="40832" ht="12.75" hidden="1" customHeight="1" x14ac:dyDescent="0.2"/>
    <row r="40833" ht="12.75" hidden="1" customHeight="1" x14ac:dyDescent="0.2"/>
    <row r="40834" ht="12.75" hidden="1" customHeight="1" x14ac:dyDescent="0.2"/>
    <row r="40835" ht="12.75" hidden="1" customHeight="1" x14ac:dyDescent="0.2"/>
    <row r="40836" ht="12.75" hidden="1" customHeight="1" x14ac:dyDescent="0.2"/>
    <row r="40837" ht="12.75" hidden="1" customHeight="1" x14ac:dyDescent="0.2"/>
    <row r="40838" ht="12.75" hidden="1" customHeight="1" x14ac:dyDescent="0.2"/>
    <row r="40839" ht="12.75" hidden="1" customHeight="1" x14ac:dyDescent="0.2"/>
    <row r="40840" ht="12.75" hidden="1" customHeight="1" x14ac:dyDescent="0.2"/>
    <row r="40841" ht="12.75" hidden="1" customHeight="1" x14ac:dyDescent="0.2"/>
    <row r="40842" ht="12.75" hidden="1" customHeight="1" x14ac:dyDescent="0.2"/>
    <row r="40843" ht="12.75" hidden="1" customHeight="1" x14ac:dyDescent="0.2"/>
    <row r="40844" ht="12.75" hidden="1" customHeight="1" x14ac:dyDescent="0.2"/>
    <row r="40845" ht="12.75" hidden="1" customHeight="1" x14ac:dyDescent="0.2"/>
    <row r="40846" ht="12.75" hidden="1" customHeight="1" x14ac:dyDescent="0.2"/>
    <row r="40847" ht="12.75" hidden="1" customHeight="1" x14ac:dyDescent="0.2"/>
    <row r="40848" ht="12.75" hidden="1" customHeight="1" x14ac:dyDescent="0.2"/>
    <row r="40849" ht="12.75" hidden="1" customHeight="1" x14ac:dyDescent="0.2"/>
    <row r="40850" ht="12.75" hidden="1" customHeight="1" x14ac:dyDescent="0.2"/>
    <row r="40851" ht="12.75" hidden="1" customHeight="1" x14ac:dyDescent="0.2"/>
    <row r="40852" ht="12.75" hidden="1" customHeight="1" x14ac:dyDescent="0.2"/>
    <row r="40853" ht="12.75" hidden="1" customHeight="1" x14ac:dyDescent="0.2"/>
    <row r="40854" ht="12.75" hidden="1" customHeight="1" x14ac:dyDescent="0.2"/>
    <row r="40855" ht="12.75" hidden="1" customHeight="1" x14ac:dyDescent="0.2"/>
    <row r="40856" ht="12.75" hidden="1" customHeight="1" x14ac:dyDescent="0.2"/>
    <row r="40857" ht="12.75" hidden="1" customHeight="1" x14ac:dyDescent="0.2"/>
    <row r="40858" ht="12.75" hidden="1" customHeight="1" x14ac:dyDescent="0.2"/>
    <row r="40859" ht="12.75" hidden="1" customHeight="1" x14ac:dyDescent="0.2"/>
    <row r="40860" ht="12.75" hidden="1" customHeight="1" x14ac:dyDescent="0.2"/>
    <row r="40861" ht="12.75" hidden="1" customHeight="1" x14ac:dyDescent="0.2"/>
    <row r="40862" ht="12.75" hidden="1" customHeight="1" x14ac:dyDescent="0.2"/>
    <row r="40863" ht="12.75" hidden="1" customHeight="1" x14ac:dyDescent="0.2"/>
    <row r="40864" ht="12.75" hidden="1" customHeight="1" x14ac:dyDescent="0.2"/>
    <row r="40865" ht="12.75" hidden="1" customHeight="1" x14ac:dyDescent="0.2"/>
    <row r="40866" ht="12.75" hidden="1" customHeight="1" x14ac:dyDescent="0.2"/>
    <row r="40867" ht="12.75" hidden="1" customHeight="1" x14ac:dyDescent="0.2"/>
    <row r="40868" ht="12.75" hidden="1" customHeight="1" x14ac:dyDescent="0.2"/>
    <row r="40869" ht="12.75" hidden="1" customHeight="1" x14ac:dyDescent="0.2"/>
    <row r="40870" ht="12.75" hidden="1" customHeight="1" x14ac:dyDescent="0.2"/>
    <row r="40871" ht="12.75" hidden="1" customHeight="1" x14ac:dyDescent="0.2"/>
    <row r="40872" ht="12.75" hidden="1" customHeight="1" x14ac:dyDescent="0.2"/>
    <row r="40873" ht="12.75" hidden="1" customHeight="1" x14ac:dyDescent="0.2"/>
    <row r="40874" ht="12.75" hidden="1" customHeight="1" x14ac:dyDescent="0.2"/>
    <row r="40875" ht="12.75" hidden="1" customHeight="1" x14ac:dyDescent="0.2"/>
    <row r="40876" ht="12.75" hidden="1" customHeight="1" x14ac:dyDescent="0.2"/>
    <row r="40877" ht="12.75" hidden="1" customHeight="1" x14ac:dyDescent="0.2"/>
    <row r="40878" ht="12.75" hidden="1" customHeight="1" x14ac:dyDescent="0.2"/>
    <row r="40879" ht="12.75" hidden="1" customHeight="1" x14ac:dyDescent="0.2"/>
    <row r="40880" ht="12.75" hidden="1" customHeight="1" x14ac:dyDescent="0.2"/>
    <row r="40881" ht="12.75" hidden="1" customHeight="1" x14ac:dyDescent="0.2"/>
    <row r="40882" ht="12.75" hidden="1" customHeight="1" x14ac:dyDescent="0.2"/>
    <row r="40883" ht="12.75" hidden="1" customHeight="1" x14ac:dyDescent="0.2"/>
    <row r="40884" ht="12.75" hidden="1" customHeight="1" x14ac:dyDescent="0.2"/>
    <row r="40885" ht="12.75" hidden="1" customHeight="1" x14ac:dyDescent="0.2"/>
    <row r="40886" ht="12.75" hidden="1" customHeight="1" x14ac:dyDescent="0.2"/>
    <row r="40887" ht="12.75" hidden="1" customHeight="1" x14ac:dyDescent="0.2"/>
    <row r="40888" ht="12.75" hidden="1" customHeight="1" x14ac:dyDescent="0.2"/>
    <row r="40889" ht="12.75" hidden="1" customHeight="1" x14ac:dyDescent="0.2"/>
    <row r="40890" ht="12.75" hidden="1" customHeight="1" x14ac:dyDescent="0.2"/>
    <row r="40891" ht="12.75" hidden="1" customHeight="1" x14ac:dyDescent="0.2"/>
    <row r="40892" ht="12.75" hidden="1" customHeight="1" x14ac:dyDescent="0.2"/>
    <row r="40893" ht="12.75" hidden="1" customHeight="1" x14ac:dyDescent="0.2"/>
    <row r="40894" ht="12.75" hidden="1" customHeight="1" x14ac:dyDescent="0.2"/>
    <row r="40895" ht="12.75" hidden="1" customHeight="1" x14ac:dyDescent="0.2"/>
    <row r="40896" ht="12.75" hidden="1" customHeight="1" x14ac:dyDescent="0.2"/>
    <row r="40897" ht="12.75" hidden="1" customHeight="1" x14ac:dyDescent="0.2"/>
    <row r="40898" ht="12.75" hidden="1" customHeight="1" x14ac:dyDescent="0.2"/>
    <row r="40899" ht="12.75" hidden="1" customHeight="1" x14ac:dyDescent="0.2"/>
    <row r="40900" ht="12.75" hidden="1" customHeight="1" x14ac:dyDescent="0.2"/>
    <row r="40901" ht="12.75" hidden="1" customHeight="1" x14ac:dyDescent="0.2"/>
    <row r="40902" ht="12.75" hidden="1" customHeight="1" x14ac:dyDescent="0.2"/>
    <row r="40903" ht="12.75" hidden="1" customHeight="1" x14ac:dyDescent="0.2"/>
    <row r="40904" ht="12.75" hidden="1" customHeight="1" x14ac:dyDescent="0.2"/>
    <row r="40905" ht="12.75" hidden="1" customHeight="1" x14ac:dyDescent="0.2"/>
    <row r="40906" ht="12.75" hidden="1" customHeight="1" x14ac:dyDescent="0.2"/>
    <row r="40907" ht="12.75" hidden="1" customHeight="1" x14ac:dyDescent="0.2"/>
    <row r="40908" ht="12.75" hidden="1" customHeight="1" x14ac:dyDescent="0.2"/>
    <row r="40909" ht="12.75" hidden="1" customHeight="1" x14ac:dyDescent="0.2"/>
    <row r="40910" ht="12.75" hidden="1" customHeight="1" x14ac:dyDescent="0.2"/>
    <row r="40911" ht="12.75" hidden="1" customHeight="1" x14ac:dyDescent="0.2"/>
    <row r="40912" ht="12.75" hidden="1" customHeight="1" x14ac:dyDescent="0.2"/>
    <row r="40913" ht="12.75" hidden="1" customHeight="1" x14ac:dyDescent="0.2"/>
    <row r="40914" ht="12.75" hidden="1" customHeight="1" x14ac:dyDescent="0.2"/>
    <row r="40915" ht="12.75" hidden="1" customHeight="1" x14ac:dyDescent="0.2"/>
    <row r="40916" ht="12.75" hidden="1" customHeight="1" x14ac:dyDescent="0.2"/>
    <row r="40917" ht="12.75" hidden="1" customHeight="1" x14ac:dyDescent="0.2"/>
    <row r="40918" ht="12.75" hidden="1" customHeight="1" x14ac:dyDescent="0.2"/>
    <row r="40919" ht="12.75" hidden="1" customHeight="1" x14ac:dyDescent="0.2"/>
    <row r="40920" ht="12.75" hidden="1" customHeight="1" x14ac:dyDescent="0.2"/>
    <row r="40921" ht="12.75" hidden="1" customHeight="1" x14ac:dyDescent="0.2"/>
    <row r="40922" ht="12.75" hidden="1" customHeight="1" x14ac:dyDescent="0.2"/>
    <row r="40923" ht="12.75" hidden="1" customHeight="1" x14ac:dyDescent="0.2"/>
    <row r="40924" ht="12.75" hidden="1" customHeight="1" x14ac:dyDescent="0.2"/>
    <row r="40925" ht="12.75" hidden="1" customHeight="1" x14ac:dyDescent="0.2"/>
    <row r="40926" ht="12.75" hidden="1" customHeight="1" x14ac:dyDescent="0.2"/>
    <row r="40927" ht="12.75" hidden="1" customHeight="1" x14ac:dyDescent="0.2"/>
    <row r="40928" ht="12.75" hidden="1" customHeight="1" x14ac:dyDescent="0.2"/>
    <row r="40929" ht="12.75" hidden="1" customHeight="1" x14ac:dyDescent="0.2"/>
    <row r="40930" ht="12.75" hidden="1" customHeight="1" x14ac:dyDescent="0.2"/>
    <row r="40931" ht="12.75" hidden="1" customHeight="1" x14ac:dyDescent="0.2"/>
    <row r="40932" ht="12.75" hidden="1" customHeight="1" x14ac:dyDescent="0.2"/>
    <row r="40933" ht="12.75" hidden="1" customHeight="1" x14ac:dyDescent="0.2"/>
    <row r="40934" ht="12.75" hidden="1" customHeight="1" x14ac:dyDescent="0.2"/>
    <row r="40935" ht="12.75" hidden="1" customHeight="1" x14ac:dyDescent="0.2"/>
    <row r="40936" ht="12.75" hidden="1" customHeight="1" x14ac:dyDescent="0.2"/>
    <row r="40937" ht="12.75" hidden="1" customHeight="1" x14ac:dyDescent="0.2"/>
    <row r="40938" ht="12.75" hidden="1" customHeight="1" x14ac:dyDescent="0.2"/>
    <row r="40939" ht="12.75" hidden="1" customHeight="1" x14ac:dyDescent="0.2"/>
    <row r="40940" ht="12.75" hidden="1" customHeight="1" x14ac:dyDescent="0.2"/>
    <row r="40941" ht="12.75" hidden="1" customHeight="1" x14ac:dyDescent="0.2"/>
    <row r="40942" ht="12.75" hidden="1" customHeight="1" x14ac:dyDescent="0.2"/>
    <row r="40943" ht="12.75" hidden="1" customHeight="1" x14ac:dyDescent="0.2"/>
    <row r="40944" ht="12.75" hidden="1" customHeight="1" x14ac:dyDescent="0.2"/>
    <row r="40945" ht="12.75" hidden="1" customHeight="1" x14ac:dyDescent="0.2"/>
    <row r="40946" ht="12.75" hidden="1" customHeight="1" x14ac:dyDescent="0.2"/>
    <row r="40947" ht="12.75" hidden="1" customHeight="1" x14ac:dyDescent="0.2"/>
    <row r="40948" ht="12.75" hidden="1" customHeight="1" x14ac:dyDescent="0.2"/>
    <row r="40949" ht="12.75" hidden="1" customHeight="1" x14ac:dyDescent="0.2"/>
    <row r="40950" ht="12.75" hidden="1" customHeight="1" x14ac:dyDescent="0.2"/>
    <row r="40951" ht="12.75" hidden="1" customHeight="1" x14ac:dyDescent="0.2"/>
    <row r="40952" ht="12.75" hidden="1" customHeight="1" x14ac:dyDescent="0.2"/>
    <row r="40953" ht="12.75" hidden="1" customHeight="1" x14ac:dyDescent="0.2"/>
    <row r="40954" ht="12.75" hidden="1" customHeight="1" x14ac:dyDescent="0.2"/>
    <row r="40955" ht="12.75" hidden="1" customHeight="1" x14ac:dyDescent="0.2"/>
    <row r="40956" ht="12.75" hidden="1" customHeight="1" x14ac:dyDescent="0.2"/>
    <row r="40957" ht="12.75" hidden="1" customHeight="1" x14ac:dyDescent="0.2"/>
    <row r="40958" ht="12.75" hidden="1" customHeight="1" x14ac:dyDescent="0.2"/>
    <row r="40959" ht="12.75" hidden="1" customHeight="1" x14ac:dyDescent="0.2"/>
    <row r="40960" ht="12.75" hidden="1" customHeight="1" x14ac:dyDescent="0.2"/>
    <row r="40961" ht="12.75" hidden="1" customHeight="1" x14ac:dyDescent="0.2"/>
    <row r="40962" ht="12.75" hidden="1" customHeight="1" x14ac:dyDescent="0.2"/>
    <row r="40963" ht="12.75" hidden="1" customHeight="1" x14ac:dyDescent="0.2"/>
    <row r="40964" ht="12.75" hidden="1" customHeight="1" x14ac:dyDescent="0.2"/>
    <row r="40965" ht="12.75" hidden="1" customHeight="1" x14ac:dyDescent="0.2"/>
    <row r="40966" ht="12.75" hidden="1" customHeight="1" x14ac:dyDescent="0.2"/>
    <row r="40967" ht="12.75" hidden="1" customHeight="1" x14ac:dyDescent="0.2"/>
    <row r="40968" ht="12.75" hidden="1" customHeight="1" x14ac:dyDescent="0.2"/>
    <row r="40969" ht="12.75" hidden="1" customHeight="1" x14ac:dyDescent="0.2"/>
    <row r="40970" ht="12.75" hidden="1" customHeight="1" x14ac:dyDescent="0.2"/>
    <row r="40971" ht="12.75" hidden="1" customHeight="1" x14ac:dyDescent="0.2"/>
    <row r="40972" ht="12.75" hidden="1" customHeight="1" x14ac:dyDescent="0.2"/>
    <row r="40973" ht="12.75" hidden="1" customHeight="1" x14ac:dyDescent="0.2"/>
    <row r="40974" ht="12.75" hidden="1" customHeight="1" x14ac:dyDescent="0.2"/>
    <row r="40975" ht="12.75" hidden="1" customHeight="1" x14ac:dyDescent="0.2"/>
    <row r="40976" ht="12.75" hidden="1" customHeight="1" x14ac:dyDescent="0.2"/>
    <row r="40977" ht="12.75" hidden="1" customHeight="1" x14ac:dyDescent="0.2"/>
    <row r="40978" ht="12.75" hidden="1" customHeight="1" x14ac:dyDescent="0.2"/>
    <row r="40979" ht="12.75" hidden="1" customHeight="1" x14ac:dyDescent="0.2"/>
    <row r="40980" ht="12.75" hidden="1" customHeight="1" x14ac:dyDescent="0.2"/>
    <row r="40981" ht="12.75" hidden="1" customHeight="1" x14ac:dyDescent="0.2"/>
    <row r="40982" ht="12.75" hidden="1" customHeight="1" x14ac:dyDescent="0.2"/>
    <row r="40983" ht="12.75" hidden="1" customHeight="1" x14ac:dyDescent="0.2"/>
    <row r="40984" ht="12.75" hidden="1" customHeight="1" x14ac:dyDescent="0.2"/>
    <row r="40985" ht="12.75" hidden="1" customHeight="1" x14ac:dyDescent="0.2"/>
    <row r="40986" ht="12.75" hidden="1" customHeight="1" x14ac:dyDescent="0.2"/>
    <row r="40987" ht="12.75" hidden="1" customHeight="1" x14ac:dyDescent="0.2"/>
    <row r="40988" ht="12.75" hidden="1" customHeight="1" x14ac:dyDescent="0.2"/>
    <row r="40989" ht="12.75" hidden="1" customHeight="1" x14ac:dyDescent="0.2"/>
    <row r="40990" ht="12.75" hidden="1" customHeight="1" x14ac:dyDescent="0.2"/>
    <row r="40991" ht="12.75" hidden="1" customHeight="1" x14ac:dyDescent="0.2"/>
    <row r="40992" ht="12.75" hidden="1" customHeight="1" x14ac:dyDescent="0.2"/>
    <row r="40993" ht="12.75" hidden="1" customHeight="1" x14ac:dyDescent="0.2"/>
    <row r="40994" ht="12.75" hidden="1" customHeight="1" x14ac:dyDescent="0.2"/>
    <row r="40995" ht="12.75" hidden="1" customHeight="1" x14ac:dyDescent="0.2"/>
    <row r="40996" ht="12.75" hidden="1" customHeight="1" x14ac:dyDescent="0.2"/>
    <row r="40997" ht="12.75" hidden="1" customHeight="1" x14ac:dyDescent="0.2"/>
    <row r="40998" ht="12.75" hidden="1" customHeight="1" x14ac:dyDescent="0.2"/>
    <row r="40999" ht="12.75" hidden="1" customHeight="1" x14ac:dyDescent="0.2"/>
    <row r="41000" ht="12.75" hidden="1" customHeight="1" x14ac:dyDescent="0.2"/>
    <row r="41001" ht="12.75" hidden="1" customHeight="1" x14ac:dyDescent="0.2"/>
    <row r="41002" ht="12.75" hidden="1" customHeight="1" x14ac:dyDescent="0.2"/>
    <row r="41003" ht="12.75" hidden="1" customHeight="1" x14ac:dyDescent="0.2"/>
    <row r="41004" ht="12.75" hidden="1" customHeight="1" x14ac:dyDescent="0.2"/>
    <row r="41005" ht="12.75" hidden="1" customHeight="1" x14ac:dyDescent="0.2"/>
    <row r="41006" ht="12.75" hidden="1" customHeight="1" x14ac:dyDescent="0.2"/>
    <row r="41007" ht="12.75" hidden="1" customHeight="1" x14ac:dyDescent="0.2"/>
    <row r="41008" ht="12.75" hidden="1" customHeight="1" x14ac:dyDescent="0.2"/>
    <row r="41009" ht="12.75" hidden="1" customHeight="1" x14ac:dyDescent="0.2"/>
    <row r="41010" ht="12.75" hidden="1" customHeight="1" x14ac:dyDescent="0.2"/>
    <row r="41011" ht="12.75" hidden="1" customHeight="1" x14ac:dyDescent="0.2"/>
    <row r="41012" ht="12.75" hidden="1" customHeight="1" x14ac:dyDescent="0.2"/>
    <row r="41013" ht="12.75" hidden="1" customHeight="1" x14ac:dyDescent="0.2"/>
    <row r="41014" ht="12.75" hidden="1" customHeight="1" x14ac:dyDescent="0.2"/>
    <row r="41015" ht="12.75" hidden="1" customHeight="1" x14ac:dyDescent="0.2"/>
    <row r="41016" ht="12.75" hidden="1" customHeight="1" x14ac:dyDescent="0.2"/>
    <row r="41017" ht="12.75" hidden="1" customHeight="1" x14ac:dyDescent="0.2"/>
    <row r="41018" ht="12.75" hidden="1" customHeight="1" x14ac:dyDescent="0.2"/>
    <row r="41019" ht="12.75" hidden="1" customHeight="1" x14ac:dyDescent="0.2"/>
    <row r="41020" ht="12.75" hidden="1" customHeight="1" x14ac:dyDescent="0.2"/>
    <row r="41021" ht="12.75" hidden="1" customHeight="1" x14ac:dyDescent="0.2"/>
    <row r="41022" ht="12.75" hidden="1" customHeight="1" x14ac:dyDescent="0.2"/>
    <row r="41023" ht="12.75" hidden="1" customHeight="1" x14ac:dyDescent="0.2"/>
    <row r="41024" ht="12.75" hidden="1" customHeight="1" x14ac:dyDescent="0.2"/>
    <row r="41025" ht="12.75" hidden="1" customHeight="1" x14ac:dyDescent="0.2"/>
    <row r="41026" ht="12.75" hidden="1" customHeight="1" x14ac:dyDescent="0.2"/>
    <row r="41027" ht="12.75" hidden="1" customHeight="1" x14ac:dyDescent="0.2"/>
    <row r="41028" ht="12.75" hidden="1" customHeight="1" x14ac:dyDescent="0.2"/>
    <row r="41029" ht="12.75" hidden="1" customHeight="1" x14ac:dyDescent="0.2"/>
    <row r="41030" ht="12.75" hidden="1" customHeight="1" x14ac:dyDescent="0.2"/>
    <row r="41031" ht="12.75" hidden="1" customHeight="1" x14ac:dyDescent="0.2"/>
    <row r="41032" ht="12.75" hidden="1" customHeight="1" x14ac:dyDescent="0.2"/>
    <row r="41033" ht="12.75" hidden="1" customHeight="1" x14ac:dyDescent="0.2"/>
    <row r="41034" ht="12.75" hidden="1" customHeight="1" x14ac:dyDescent="0.2"/>
    <row r="41035" ht="12.75" hidden="1" customHeight="1" x14ac:dyDescent="0.2"/>
    <row r="41036" ht="12.75" hidden="1" customHeight="1" x14ac:dyDescent="0.2"/>
    <row r="41037" ht="12.75" hidden="1" customHeight="1" x14ac:dyDescent="0.2"/>
    <row r="41038" ht="12.75" hidden="1" customHeight="1" x14ac:dyDescent="0.2"/>
    <row r="41039" ht="12.75" hidden="1" customHeight="1" x14ac:dyDescent="0.2"/>
    <row r="41040" ht="12.75" hidden="1" customHeight="1" x14ac:dyDescent="0.2"/>
    <row r="41041" ht="12.75" hidden="1" customHeight="1" x14ac:dyDescent="0.2"/>
    <row r="41042" ht="12.75" hidden="1" customHeight="1" x14ac:dyDescent="0.2"/>
    <row r="41043" ht="12.75" hidden="1" customHeight="1" x14ac:dyDescent="0.2"/>
    <row r="41044" ht="12.75" hidden="1" customHeight="1" x14ac:dyDescent="0.2"/>
    <row r="41045" ht="12.75" hidden="1" customHeight="1" x14ac:dyDescent="0.2"/>
    <row r="41046" ht="12.75" hidden="1" customHeight="1" x14ac:dyDescent="0.2"/>
    <row r="41047" ht="12.75" hidden="1" customHeight="1" x14ac:dyDescent="0.2"/>
    <row r="41048" ht="12.75" hidden="1" customHeight="1" x14ac:dyDescent="0.2"/>
    <row r="41049" ht="12.75" hidden="1" customHeight="1" x14ac:dyDescent="0.2"/>
    <row r="41050" ht="12.75" hidden="1" customHeight="1" x14ac:dyDescent="0.2"/>
    <row r="41051" ht="12.75" hidden="1" customHeight="1" x14ac:dyDescent="0.2"/>
    <row r="41052" ht="12.75" hidden="1" customHeight="1" x14ac:dyDescent="0.2"/>
    <row r="41053" ht="12.75" hidden="1" customHeight="1" x14ac:dyDescent="0.2"/>
    <row r="41054" ht="12.75" hidden="1" customHeight="1" x14ac:dyDescent="0.2"/>
    <row r="41055" ht="12.75" hidden="1" customHeight="1" x14ac:dyDescent="0.2"/>
    <row r="41056" ht="12.75" hidden="1" customHeight="1" x14ac:dyDescent="0.2"/>
    <row r="41057" ht="12.75" hidden="1" customHeight="1" x14ac:dyDescent="0.2"/>
    <row r="41058" ht="12.75" hidden="1" customHeight="1" x14ac:dyDescent="0.2"/>
    <row r="41059" ht="12.75" hidden="1" customHeight="1" x14ac:dyDescent="0.2"/>
    <row r="41060" ht="12.75" hidden="1" customHeight="1" x14ac:dyDescent="0.2"/>
    <row r="41061" ht="12.75" hidden="1" customHeight="1" x14ac:dyDescent="0.2"/>
    <row r="41062" ht="12.75" hidden="1" customHeight="1" x14ac:dyDescent="0.2"/>
    <row r="41063" ht="12.75" hidden="1" customHeight="1" x14ac:dyDescent="0.2"/>
    <row r="41064" ht="12.75" hidden="1" customHeight="1" x14ac:dyDescent="0.2"/>
    <row r="41065" ht="12.75" hidden="1" customHeight="1" x14ac:dyDescent="0.2"/>
    <row r="41066" ht="12.75" hidden="1" customHeight="1" x14ac:dyDescent="0.2"/>
    <row r="41067" ht="12.75" hidden="1" customHeight="1" x14ac:dyDescent="0.2"/>
    <row r="41068" ht="12.75" hidden="1" customHeight="1" x14ac:dyDescent="0.2"/>
    <row r="41069" ht="12.75" hidden="1" customHeight="1" x14ac:dyDescent="0.2"/>
    <row r="41070" ht="12.75" hidden="1" customHeight="1" x14ac:dyDescent="0.2"/>
    <row r="41071" ht="12.75" hidden="1" customHeight="1" x14ac:dyDescent="0.2"/>
    <row r="41072" ht="12.75" hidden="1" customHeight="1" x14ac:dyDescent="0.2"/>
    <row r="41073" ht="12.75" hidden="1" customHeight="1" x14ac:dyDescent="0.2"/>
    <row r="41074" ht="12.75" hidden="1" customHeight="1" x14ac:dyDescent="0.2"/>
    <row r="41075" ht="12.75" hidden="1" customHeight="1" x14ac:dyDescent="0.2"/>
    <row r="41076" ht="12.75" hidden="1" customHeight="1" x14ac:dyDescent="0.2"/>
    <row r="41077" ht="12.75" hidden="1" customHeight="1" x14ac:dyDescent="0.2"/>
    <row r="41078" ht="12.75" hidden="1" customHeight="1" x14ac:dyDescent="0.2"/>
    <row r="41079" ht="12.75" hidden="1" customHeight="1" x14ac:dyDescent="0.2"/>
    <row r="41080" ht="12.75" hidden="1" customHeight="1" x14ac:dyDescent="0.2"/>
    <row r="41081" ht="12.75" hidden="1" customHeight="1" x14ac:dyDescent="0.2"/>
    <row r="41082" ht="12.75" hidden="1" customHeight="1" x14ac:dyDescent="0.2"/>
    <row r="41083" ht="12.75" hidden="1" customHeight="1" x14ac:dyDescent="0.2"/>
    <row r="41084" ht="12.75" hidden="1" customHeight="1" x14ac:dyDescent="0.2"/>
    <row r="41085" ht="12.75" hidden="1" customHeight="1" x14ac:dyDescent="0.2"/>
    <row r="41086" ht="12.75" hidden="1" customHeight="1" x14ac:dyDescent="0.2"/>
    <row r="41087" ht="12.75" hidden="1" customHeight="1" x14ac:dyDescent="0.2"/>
    <row r="41088" ht="12.75" hidden="1" customHeight="1" x14ac:dyDescent="0.2"/>
    <row r="41089" ht="12.75" hidden="1" customHeight="1" x14ac:dyDescent="0.2"/>
    <row r="41090" ht="12.75" hidden="1" customHeight="1" x14ac:dyDescent="0.2"/>
    <row r="41091" ht="12.75" hidden="1" customHeight="1" x14ac:dyDescent="0.2"/>
    <row r="41092" ht="12.75" hidden="1" customHeight="1" x14ac:dyDescent="0.2"/>
    <row r="41093" ht="12.75" hidden="1" customHeight="1" x14ac:dyDescent="0.2"/>
    <row r="41094" ht="12.75" hidden="1" customHeight="1" x14ac:dyDescent="0.2"/>
    <row r="41095" ht="12.75" hidden="1" customHeight="1" x14ac:dyDescent="0.2"/>
    <row r="41096" ht="12.75" hidden="1" customHeight="1" x14ac:dyDescent="0.2"/>
    <row r="41097" ht="12.75" hidden="1" customHeight="1" x14ac:dyDescent="0.2"/>
    <row r="41098" ht="12.75" hidden="1" customHeight="1" x14ac:dyDescent="0.2"/>
    <row r="41099" ht="12.75" hidden="1" customHeight="1" x14ac:dyDescent="0.2"/>
    <row r="41100" ht="12.75" hidden="1" customHeight="1" x14ac:dyDescent="0.2"/>
    <row r="41101" ht="12.75" hidden="1" customHeight="1" x14ac:dyDescent="0.2"/>
    <row r="41102" ht="12.75" hidden="1" customHeight="1" x14ac:dyDescent="0.2"/>
    <row r="41103" ht="12.75" hidden="1" customHeight="1" x14ac:dyDescent="0.2"/>
    <row r="41104" ht="12.75" hidden="1" customHeight="1" x14ac:dyDescent="0.2"/>
    <row r="41105" ht="12.75" hidden="1" customHeight="1" x14ac:dyDescent="0.2"/>
    <row r="41106" ht="12.75" hidden="1" customHeight="1" x14ac:dyDescent="0.2"/>
    <row r="41107" ht="12.75" hidden="1" customHeight="1" x14ac:dyDescent="0.2"/>
    <row r="41108" ht="12.75" hidden="1" customHeight="1" x14ac:dyDescent="0.2"/>
    <row r="41109" ht="12.75" hidden="1" customHeight="1" x14ac:dyDescent="0.2"/>
    <row r="41110" ht="12.75" hidden="1" customHeight="1" x14ac:dyDescent="0.2"/>
    <row r="41111" ht="12.75" hidden="1" customHeight="1" x14ac:dyDescent="0.2"/>
    <row r="41112" ht="12.75" hidden="1" customHeight="1" x14ac:dyDescent="0.2"/>
    <row r="41113" ht="12.75" hidden="1" customHeight="1" x14ac:dyDescent="0.2"/>
    <row r="41114" ht="12.75" hidden="1" customHeight="1" x14ac:dyDescent="0.2"/>
    <row r="41115" ht="12.75" hidden="1" customHeight="1" x14ac:dyDescent="0.2"/>
    <row r="41116" ht="12.75" hidden="1" customHeight="1" x14ac:dyDescent="0.2"/>
    <row r="41117" ht="12.75" hidden="1" customHeight="1" x14ac:dyDescent="0.2"/>
    <row r="41118" ht="12.75" hidden="1" customHeight="1" x14ac:dyDescent="0.2"/>
    <row r="41119" ht="12.75" hidden="1" customHeight="1" x14ac:dyDescent="0.2"/>
    <row r="41120" ht="12.75" hidden="1" customHeight="1" x14ac:dyDescent="0.2"/>
    <row r="41121" ht="12.75" hidden="1" customHeight="1" x14ac:dyDescent="0.2"/>
    <row r="41122" ht="12.75" hidden="1" customHeight="1" x14ac:dyDescent="0.2"/>
    <row r="41123" ht="12.75" hidden="1" customHeight="1" x14ac:dyDescent="0.2"/>
    <row r="41124" ht="12.75" hidden="1" customHeight="1" x14ac:dyDescent="0.2"/>
    <row r="41125" ht="12.75" hidden="1" customHeight="1" x14ac:dyDescent="0.2"/>
    <row r="41126" ht="12.75" hidden="1" customHeight="1" x14ac:dyDescent="0.2"/>
    <row r="41127" ht="12.75" hidden="1" customHeight="1" x14ac:dyDescent="0.2"/>
    <row r="41128" ht="12.75" hidden="1" customHeight="1" x14ac:dyDescent="0.2"/>
    <row r="41129" ht="12.75" hidden="1" customHeight="1" x14ac:dyDescent="0.2"/>
    <row r="41130" ht="12.75" hidden="1" customHeight="1" x14ac:dyDescent="0.2"/>
    <row r="41131" ht="12.75" hidden="1" customHeight="1" x14ac:dyDescent="0.2"/>
    <row r="41132" ht="12.75" hidden="1" customHeight="1" x14ac:dyDescent="0.2"/>
    <row r="41133" ht="12.75" hidden="1" customHeight="1" x14ac:dyDescent="0.2"/>
    <row r="41134" ht="12.75" hidden="1" customHeight="1" x14ac:dyDescent="0.2"/>
    <row r="41135" ht="12.75" hidden="1" customHeight="1" x14ac:dyDescent="0.2"/>
    <row r="41136" ht="12.75" hidden="1" customHeight="1" x14ac:dyDescent="0.2"/>
    <row r="41137" ht="12.75" hidden="1" customHeight="1" x14ac:dyDescent="0.2"/>
    <row r="41138" ht="12.75" hidden="1" customHeight="1" x14ac:dyDescent="0.2"/>
    <row r="41139" ht="12.75" hidden="1" customHeight="1" x14ac:dyDescent="0.2"/>
    <row r="41140" ht="12.75" hidden="1" customHeight="1" x14ac:dyDescent="0.2"/>
    <row r="41141" ht="12.75" hidden="1" customHeight="1" x14ac:dyDescent="0.2"/>
    <row r="41142" ht="12.75" hidden="1" customHeight="1" x14ac:dyDescent="0.2"/>
    <row r="41143" ht="12.75" hidden="1" customHeight="1" x14ac:dyDescent="0.2"/>
    <row r="41144" ht="12.75" hidden="1" customHeight="1" x14ac:dyDescent="0.2"/>
    <row r="41145" ht="12.75" hidden="1" customHeight="1" x14ac:dyDescent="0.2"/>
    <row r="41146" ht="12.75" hidden="1" customHeight="1" x14ac:dyDescent="0.2"/>
    <row r="41147" ht="12.75" hidden="1" customHeight="1" x14ac:dyDescent="0.2"/>
    <row r="41148" ht="12.75" hidden="1" customHeight="1" x14ac:dyDescent="0.2"/>
    <row r="41149" ht="12.75" hidden="1" customHeight="1" x14ac:dyDescent="0.2"/>
    <row r="41150" ht="12.75" hidden="1" customHeight="1" x14ac:dyDescent="0.2"/>
    <row r="41151" ht="12.75" hidden="1" customHeight="1" x14ac:dyDescent="0.2"/>
    <row r="41152" ht="12.75" hidden="1" customHeight="1" x14ac:dyDescent="0.2"/>
    <row r="41153" ht="12.75" hidden="1" customHeight="1" x14ac:dyDescent="0.2"/>
    <row r="41154" ht="12.75" hidden="1" customHeight="1" x14ac:dyDescent="0.2"/>
    <row r="41155" ht="12.75" hidden="1" customHeight="1" x14ac:dyDescent="0.2"/>
    <row r="41156" ht="12.75" hidden="1" customHeight="1" x14ac:dyDescent="0.2"/>
    <row r="41157" ht="12.75" hidden="1" customHeight="1" x14ac:dyDescent="0.2"/>
    <row r="41158" ht="12.75" hidden="1" customHeight="1" x14ac:dyDescent="0.2"/>
    <row r="41159" ht="12.75" hidden="1" customHeight="1" x14ac:dyDescent="0.2"/>
    <row r="41160" ht="12.75" hidden="1" customHeight="1" x14ac:dyDescent="0.2"/>
    <row r="41161" ht="12.75" hidden="1" customHeight="1" x14ac:dyDescent="0.2"/>
    <row r="41162" ht="12.75" hidden="1" customHeight="1" x14ac:dyDescent="0.2"/>
    <row r="41163" ht="12.75" hidden="1" customHeight="1" x14ac:dyDescent="0.2"/>
    <row r="41164" ht="12.75" hidden="1" customHeight="1" x14ac:dyDescent="0.2"/>
    <row r="41165" ht="12.75" hidden="1" customHeight="1" x14ac:dyDescent="0.2"/>
    <row r="41166" ht="12.75" hidden="1" customHeight="1" x14ac:dyDescent="0.2"/>
    <row r="41167" ht="12.75" hidden="1" customHeight="1" x14ac:dyDescent="0.2"/>
    <row r="41168" ht="12.75" hidden="1" customHeight="1" x14ac:dyDescent="0.2"/>
    <row r="41169" ht="12.75" hidden="1" customHeight="1" x14ac:dyDescent="0.2"/>
    <row r="41170" ht="12.75" hidden="1" customHeight="1" x14ac:dyDescent="0.2"/>
    <row r="41171" ht="12.75" hidden="1" customHeight="1" x14ac:dyDescent="0.2"/>
    <row r="41172" ht="12.75" hidden="1" customHeight="1" x14ac:dyDescent="0.2"/>
    <row r="41173" ht="12.75" hidden="1" customHeight="1" x14ac:dyDescent="0.2"/>
    <row r="41174" ht="12.75" hidden="1" customHeight="1" x14ac:dyDescent="0.2"/>
    <row r="41175" ht="12.75" hidden="1" customHeight="1" x14ac:dyDescent="0.2"/>
    <row r="41176" ht="12.75" hidden="1" customHeight="1" x14ac:dyDescent="0.2"/>
    <row r="41177" ht="12.75" hidden="1" customHeight="1" x14ac:dyDescent="0.2"/>
    <row r="41178" ht="12.75" hidden="1" customHeight="1" x14ac:dyDescent="0.2"/>
    <row r="41179" ht="12.75" hidden="1" customHeight="1" x14ac:dyDescent="0.2"/>
    <row r="41180" ht="12.75" hidden="1" customHeight="1" x14ac:dyDescent="0.2"/>
    <row r="41181" ht="12.75" hidden="1" customHeight="1" x14ac:dyDescent="0.2"/>
    <row r="41182" ht="12.75" hidden="1" customHeight="1" x14ac:dyDescent="0.2"/>
    <row r="41183" ht="12.75" hidden="1" customHeight="1" x14ac:dyDescent="0.2"/>
    <row r="41184" ht="12.75" hidden="1" customHeight="1" x14ac:dyDescent="0.2"/>
    <row r="41185" ht="12.75" hidden="1" customHeight="1" x14ac:dyDescent="0.2"/>
    <row r="41186" ht="12.75" hidden="1" customHeight="1" x14ac:dyDescent="0.2"/>
    <row r="41187" ht="12.75" hidden="1" customHeight="1" x14ac:dyDescent="0.2"/>
    <row r="41188" ht="12.75" hidden="1" customHeight="1" x14ac:dyDescent="0.2"/>
    <row r="41189" ht="12.75" hidden="1" customHeight="1" x14ac:dyDescent="0.2"/>
    <row r="41190" ht="12.75" hidden="1" customHeight="1" x14ac:dyDescent="0.2"/>
    <row r="41191" ht="12.75" hidden="1" customHeight="1" x14ac:dyDescent="0.2"/>
    <row r="41192" ht="12.75" hidden="1" customHeight="1" x14ac:dyDescent="0.2"/>
    <row r="41193" ht="12.75" hidden="1" customHeight="1" x14ac:dyDescent="0.2"/>
    <row r="41194" ht="12.75" hidden="1" customHeight="1" x14ac:dyDescent="0.2"/>
    <row r="41195" ht="12.75" hidden="1" customHeight="1" x14ac:dyDescent="0.2"/>
    <row r="41196" ht="12.75" hidden="1" customHeight="1" x14ac:dyDescent="0.2"/>
    <row r="41197" ht="12.75" hidden="1" customHeight="1" x14ac:dyDescent="0.2"/>
    <row r="41198" ht="12.75" hidden="1" customHeight="1" x14ac:dyDescent="0.2"/>
    <row r="41199" ht="12.75" hidden="1" customHeight="1" x14ac:dyDescent="0.2"/>
    <row r="41200" ht="12.75" hidden="1" customHeight="1" x14ac:dyDescent="0.2"/>
    <row r="41201" ht="12.75" hidden="1" customHeight="1" x14ac:dyDescent="0.2"/>
    <row r="41202" ht="12.75" hidden="1" customHeight="1" x14ac:dyDescent="0.2"/>
    <row r="41203" ht="12.75" hidden="1" customHeight="1" x14ac:dyDescent="0.2"/>
    <row r="41204" ht="12.75" hidden="1" customHeight="1" x14ac:dyDescent="0.2"/>
    <row r="41205" ht="12.75" hidden="1" customHeight="1" x14ac:dyDescent="0.2"/>
    <row r="41206" ht="12.75" hidden="1" customHeight="1" x14ac:dyDescent="0.2"/>
    <row r="41207" ht="12.75" hidden="1" customHeight="1" x14ac:dyDescent="0.2"/>
    <row r="41208" ht="12.75" hidden="1" customHeight="1" x14ac:dyDescent="0.2"/>
    <row r="41209" ht="12.75" hidden="1" customHeight="1" x14ac:dyDescent="0.2"/>
    <row r="41210" ht="12.75" hidden="1" customHeight="1" x14ac:dyDescent="0.2"/>
    <row r="41211" ht="12.75" hidden="1" customHeight="1" x14ac:dyDescent="0.2"/>
    <row r="41212" ht="12.75" hidden="1" customHeight="1" x14ac:dyDescent="0.2"/>
    <row r="41213" ht="12.75" hidden="1" customHeight="1" x14ac:dyDescent="0.2"/>
    <row r="41214" ht="12.75" hidden="1" customHeight="1" x14ac:dyDescent="0.2"/>
    <row r="41215" ht="12.75" hidden="1" customHeight="1" x14ac:dyDescent="0.2"/>
    <row r="41216" ht="12.75" hidden="1" customHeight="1" x14ac:dyDescent="0.2"/>
    <row r="41217" ht="12.75" hidden="1" customHeight="1" x14ac:dyDescent="0.2"/>
    <row r="41218" ht="12.75" hidden="1" customHeight="1" x14ac:dyDescent="0.2"/>
    <row r="41219" ht="12.75" hidden="1" customHeight="1" x14ac:dyDescent="0.2"/>
    <row r="41220" ht="12.75" hidden="1" customHeight="1" x14ac:dyDescent="0.2"/>
    <row r="41221" ht="12.75" hidden="1" customHeight="1" x14ac:dyDescent="0.2"/>
    <row r="41222" ht="12.75" hidden="1" customHeight="1" x14ac:dyDescent="0.2"/>
    <row r="41223" ht="12.75" hidden="1" customHeight="1" x14ac:dyDescent="0.2"/>
    <row r="41224" ht="12.75" hidden="1" customHeight="1" x14ac:dyDescent="0.2"/>
    <row r="41225" ht="12.75" hidden="1" customHeight="1" x14ac:dyDescent="0.2"/>
    <row r="41226" ht="12.75" hidden="1" customHeight="1" x14ac:dyDescent="0.2"/>
    <row r="41227" ht="12.75" hidden="1" customHeight="1" x14ac:dyDescent="0.2"/>
    <row r="41228" ht="12.75" hidden="1" customHeight="1" x14ac:dyDescent="0.2"/>
    <row r="41229" ht="12.75" hidden="1" customHeight="1" x14ac:dyDescent="0.2"/>
    <row r="41230" ht="12.75" hidden="1" customHeight="1" x14ac:dyDescent="0.2"/>
    <row r="41231" ht="12.75" hidden="1" customHeight="1" x14ac:dyDescent="0.2"/>
    <row r="41232" ht="12.75" hidden="1" customHeight="1" x14ac:dyDescent="0.2"/>
    <row r="41233" ht="12.75" hidden="1" customHeight="1" x14ac:dyDescent="0.2"/>
    <row r="41234" ht="12.75" hidden="1" customHeight="1" x14ac:dyDescent="0.2"/>
    <row r="41235" ht="12.75" hidden="1" customHeight="1" x14ac:dyDescent="0.2"/>
    <row r="41236" ht="12.75" hidden="1" customHeight="1" x14ac:dyDescent="0.2"/>
    <row r="41237" ht="12.75" hidden="1" customHeight="1" x14ac:dyDescent="0.2"/>
    <row r="41238" ht="12.75" hidden="1" customHeight="1" x14ac:dyDescent="0.2"/>
    <row r="41239" ht="12.75" hidden="1" customHeight="1" x14ac:dyDescent="0.2"/>
    <row r="41240" ht="12.75" hidden="1" customHeight="1" x14ac:dyDescent="0.2"/>
    <row r="41241" ht="12.75" hidden="1" customHeight="1" x14ac:dyDescent="0.2"/>
    <row r="41242" ht="12.75" hidden="1" customHeight="1" x14ac:dyDescent="0.2"/>
    <row r="41243" ht="12.75" hidden="1" customHeight="1" x14ac:dyDescent="0.2"/>
    <row r="41244" ht="12.75" hidden="1" customHeight="1" x14ac:dyDescent="0.2"/>
    <row r="41245" ht="12.75" hidden="1" customHeight="1" x14ac:dyDescent="0.2"/>
    <row r="41246" ht="12.75" hidden="1" customHeight="1" x14ac:dyDescent="0.2"/>
    <row r="41247" ht="12.75" hidden="1" customHeight="1" x14ac:dyDescent="0.2"/>
    <row r="41248" ht="12.75" hidden="1" customHeight="1" x14ac:dyDescent="0.2"/>
    <row r="41249" ht="12.75" hidden="1" customHeight="1" x14ac:dyDescent="0.2"/>
    <row r="41250" ht="12.75" hidden="1" customHeight="1" x14ac:dyDescent="0.2"/>
    <row r="41251" ht="12.75" hidden="1" customHeight="1" x14ac:dyDescent="0.2"/>
    <row r="41252" ht="12.75" hidden="1" customHeight="1" x14ac:dyDescent="0.2"/>
    <row r="41253" ht="12.75" hidden="1" customHeight="1" x14ac:dyDescent="0.2"/>
    <row r="41254" ht="12.75" hidden="1" customHeight="1" x14ac:dyDescent="0.2"/>
    <row r="41255" ht="12.75" hidden="1" customHeight="1" x14ac:dyDescent="0.2"/>
    <row r="41256" ht="12.75" hidden="1" customHeight="1" x14ac:dyDescent="0.2"/>
    <row r="41257" ht="12.75" hidden="1" customHeight="1" x14ac:dyDescent="0.2"/>
    <row r="41258" ht="12.75" hidden="1" customHeight="1" x14ac:dyDescent="0.2"/>
    <row r="41259" ht="12.75" hidden="1" customHeight="1" x14ac:dyDescent="0.2"/>
    <row r="41260" ht="12.75" hidden="1" customHeight="1" x14ac:dyDescent="0.2"/>
    <row r="41261" ht="12.75" hidden="1" customHeight="1" x14ac:dyDescent="0.2"/>
    <row r="41262" ht="12.75" hidden="1" customHeight="1" x14ac:dyDescent="0.2"/>
    <row r="41263" ht="12.75" hidden="1" customHeight="1" x14ac:dyDescent="0.2"/>
    <row r="41264" ht="12.75" hidden="1" customHeight="1" x14ac:dyDescent="0.2"/>
    <row r="41265" ht="12.75" hidden="1" customHeight="1" x14ac:dyDescent="0.2"/>
    <row r="41266" ht="12.75" hidden="1" customHeight="1" x14ac:dyDescent="0.2"/>
    <row r="41267" ht="12.75" hidden="1" customHeight="1" x14ac:dyDescent="0.2"/>
    <row r="41268" ht="12.75" hidden="1" customHeight="1" x14ac:dyDescent="0.2"/>
    <row r="41269" ht="12.75" hidden="1" customHeight="1" x14ac:dyDescent="0.2"/>
    <row r="41270" ht="12.75" hidden="1" customHeight="1" x14ac:dyDescent="0.2"/>
    <row r="41271" ht="12.75" hidden="1" customHeight="1" x14ac:dyDescent="0.2"/>
    <row r="41272" ht="12.75" hidden="1" customHeight="1" x14ac:dyDescent="0.2"/>
    <row r="41273" ht="12.75" hidden="1" customHeight="1" x14ac:dyDescent="0.2"/>
    <row r="41274" ht="12.75" hidden="1" customHeight="1" x14ac:dyDescent="0.2"/>
    <row r="41275" ht="12.75" hidden="1" customHeight="1" x14ac:dyDescent="0.2"/>
    <row r="41276" ht="12.75" hidden="1" customHeight="1" x14ac:dyDescent="0.2"/>
    <row r="41277" ht="12.75" hidden="1" customHeight="1" x14ac:dyDescent="0.2"/>
    <row r="41278" ht="12.75" hidden="1" customHeight="1" x14ac:dyDescent="0.2"/>
    <row r="41279" ht="12.75" hidden="1" customHeight="1" x14ac:dyDescent="0.2"/>
    <row r="41280" ht="12.75" hidden="1" customHeight="1" x14ac:dyDescent="0.2"/>
    <row r="41281" ht="12.75" hidden="1" customHeight="1" x14ac:dyDescent="0.2"/>
    <row r="41282" ht="12.75" hidden="1" customHeight="1" x14ac:dyDescent="0.2"/>
    <row r="41283" ht="12.75" hidden="1" customHeight="1" x14ac:dyDescent="0.2"/>
    <row r="41284" ht="12.75" hidden="1" customHeight="1" x14ac:dyDescent="0.2"/>
    <row r="41285" ht="12.75" hidden="1" customHeight="1" x14ac:dyDescent="0.2"/>
    <row r="41286" ht="12.75" hidden="1" customHeight="1" x14ac:dyDescent="0.2"/>
    <row r="41287" ht="12.75" hidden="1" customHeight="1" x14ac:dyDescent="0.2"/>
    <row r="41288" ht="12.75" hidden="1" customHeight="1" x14ac:dyDescent="0.2"/>
    <row r="41289" ht="12.75" hidden="1" customHeight="1" x14ac:dyDescent="0.2"/>
    <row r="41290" ht="12.75" hidden="1" customHeight="1" x14ac:dyDescent="0.2"/>
    <row r="41291" ht="12.75" hidden="1" customHeight="1" x14ac:dyDescent="0.2"/>
    <row r="41292" ht="12.75" hidden="1" customHeight="1" x14ac:dyDescent="0.2"/>
    <row r="41293" ht="12.75" hidden="1" customHeight="1" x14ac:dyDescent="0.2"/>
    <row r="41294" ht="12.75" hidden="1" customHeight="1" x14ac:dyDescent="0.2"/>
    <row r="41295" ht="12.75" hidden="1" customHeight="1" x14ac:dyDescent="0.2"/>
    <row r="41296" ht="12.75" hidden="1" customHeight="1" x14ac:dyDescent="0.2"/>
    <row r="41297" ht="12.75" hidden="1" customHeight="1" x14ac:dyDescent="0.2"/>
    <row r="41298" ht="12.75" hidden="1" customHeight="1" x14ac:dyDescent="0.2"/>
    <row r="41299" ht="12.75" hidden="1" customHeight="1" x14ac:dyDescent="0.2"/>
    <row r="41300" ht="12.75" hidden="1" customHeight="1" x14ac:dyDescent="0.2"/>
    <row r="41301" ht="12.75" hidden="1" customHeight="1" x14ac:dyDescent="0.2"/>
    <row r="41302" ht="12.75" hidden="1" customHeight="1" x14ac:dyDescent="0.2"/>
    <row r="41303" ht="12.75" hidden="1" customHeight="1" x14ac:dyDescent="0.2"/>
    <row r="41304" ht="12.75" hidden="1" customHeight="1" x14ac:dyDescent="0.2"/>
    <row r="41305" ht="12.75" hidden="1" customHeight="1" x14ac:dyDescent="0.2"/>
    <row r="41306" ht="12.75" hidden="1" customHeight="1" x14ac:dyDescent="0.2"/>
    <row r="41307" ht="12.75" hidden="1" customHeight="1" x14ac:dyDescent="0.2"/>
    <row r="41308" ht="12.75" hidden="1" customHeight="1" x14ac:dyDescent="0.2"/>
    <row r="41309" ht="12.75" hidden="1" customHeight="1" x14ac:dyDescent="0.2"/>
    <row r="41310" ht="12.75" hidden="1" customHeight="1" x14ac:dyDescent="0.2"/>
    <row r="41311" ht="12.75" hidden="1" customHeight="1" x14ac:dyDescent="0.2"/>
    <row r="41312" ht="12.75" hidden="1" customHeight="1" x14ac:dyDescent="0.2"/>
    <row r="41313" ht="12.75" hidden="1" customHeight="1" x14ac:dyDescent="0.2"/>
    <row r="41314" ht="12.75" hidden="1" customHeight="1" x14ac:dyDescent="0.2"/>
    <row r="41315" ht="12.75" hidden="1" customHeight="1" x14ac:dyDescent="0.2"/>
    <row r="41316" ht="12.75" hidden="1" customHeight="1" x14ac:dyDescent="0.2"/>
    <row r="41317" ht="12.75" hidden="1" customHeight="1" x14ac:dyDescent="0.2"/>
    <row r="41318" ht="12.75" hidden="1" customHeight="1" x14ac:dyDescent="0.2"/>
    <row r="41319" ht="12.75" hidden="1" customHeight="1" x14ac:dyDescent="0.2"/>
    <row r="41320" ht="12.75" hidden="1" customHeight="1" x14ac:dyDescent="0.2"/>
    <row r="41321" ht="12.75" hidden="1" customHeight="1" x14ac:dyDescent="0.2"/>
    <row r="41322" ht="12.75" hidden="1" customHeight="1" x14ac:dyDescent="0.2"/>
    <row r="41323" ht="12.75" hidden="1" customHeight="1" x14ac:dyDescent="0.2"/>
    <row r="41324" ht="12.75" hidden="1" customHeight="1" x14ac:dyDescent="0.2"/>
    <row r="41325" ht="12.75" hidden="1" customHeight="1" x14ac:dyDescent="0.2"/>
    <row r="41326" ht="12.75" hidden="1" customHeight="1" x14ac:dyDescent="0.2"/>
    <row r="41327" ht="12.75" hidden="1" customHeight="1" x14ac:dyDescent="0.2"/>
    <row r="41328" ht="12.75" hidden="1" customHeight="1" x14ac:dyDescent="0.2"/>
    <row r="41329" ht="12.75" hidden="1" customHeight="1" x14ac:dyDescent="0.2"/>
    <row r="41330" ht="12.75" hidden="1" customHeight="1" x14ac:dyDescent="0.2"/>
    <row r="41331" ht="12.75" hidden="1" customHeight="1" x14ac:dyDescent="0.2"/>
    <row r="41332" ht="12.75" hidden="1" customHeight="1" x14ac:dyDescent="0.2"/>
    <row r="41333" ht="12.75" hidden="1" customHeight="1" x14ac:dyDescent="0.2"/>
    <row r="41334" ht="12.75" hidden="1" customHeight="1" x14ac:dyDescent="0.2"/>
    <row r="41335" ht="12.75" hidden="1" customHeight="1" x14ac:dyDescent="0.2"/>
    <row r="41336" ht="12.75" hidden="1" customHeight="1" x14ac:dyDescent="0.2"/>
    <row r="41337" ht="12.75" hidden="1" customHeight="1" x14ac:dyDescent="0.2"/>
    <row r="41338" ht="12.75" hidden="1" customHeight="1" x14ac:dyDescent="0.2"/>
    <row r="41339" ht="12.75" hidden="1" customHeight="1" x14ac:dyDescent="0.2"/>
    <row r="41340" ht="12.75" hidden="1" customHeight="1" x14ac:dyDescent="0.2"/>
    <row r="41341" ht="12.75" hidden="1" customHeight="1" x14ac:dyDescent="0.2"/>
    <row r="41342" ht="12.75" hidden="1" customHeight="1" x14ac:dyDescent="0.2"/>
    <row r="41343" ht="12.75" hidden="1" customHeight="1" x14ac:dyDescent="0.2"/>
    <row r="41344" ht="12.75" hidden="1" customHeight="1" x14ac:dyDescent="0.2"/>
    <row r="41345" ht="12.75" hidden="1" customHeight="1" x14ac:dyDescent="0.2"/>
    <row r="41346" ht="12.75" hidden="1" customHeight="1" x14ac:dyDescent="0.2"/>
    <row r="41347" ht="12.75" hidden="1" customHeight="1" x14ac:dyDescent="0.2"/>
    <row r="41348" ht="12.75" hidden="1" customHeight="1" x14ac:dyDescent="0.2"/>
    <row r="41349" ht="12.75" hidden="1" customHeight="1" x14ac:dyDescent="0.2"/>
    <row r="41350" ht="12.75" hidden="1" customHeight="1" x14ac:dyDescent="0.2"/>
    <row r="41351" ht="12.75" hidden="1" customHeight="1" x14ac:dyDescent="0.2"/>
    <row r="41352" ht="12.75" hidden="1" customHeight="1" x14ac:dyDescent="0.2"/>
    <row r="41353" ht="12.75" hidden="1" customHeight="1" x14ac:dyDescent="0.2"/>
    <row r="41354" ht="12.75" hidden="1" customHeight="1" x14ac:dyDescent="0.2"/>
    <row r="41355" ht="12.75" hidden="1" customHeight="1" x14ac:dyDescent="0.2"/>
    <row r="41356" ht="12.75" hidden="1" customHeight="1" x14ac:dyDescent="0.2"/>
    <row r="41357" ht="12.75" hidden="1" customHeight="1" x14ac:dyDescent="0.2"/>
    <row r="41358" ht="12.75" hidden="1" customHeight="1" x14ac:dyDescent="0.2"/>
    <row r="41359" ht="12.75" hidden="1" customHeight="1" x14ac:dyDescent="0.2"/>
    <row r="41360" ht="12.75" hidden="1" customHeight="1" x14ac:dyDescent="0.2"/>
    <row r="41361" ht="12.75" hidden="1" customHeight="1" x14ac:dyDescent="0.2"/>
    <row r="41362" ht="12.75" hidden="1" customHeight="1" x14ac:dyDescent="0.2"/>
    <row r="41363" ht="12.75" hidden="1" customHeight="1" x14ac:dyDescent="0.2"/>
    <row r="41364" ht="12.75" hidden="1" customHeight="1" x14ac:dyDescent="0.2"/>
    <row r="41365" ht="12.75" hidden="1" customHeight="1" x14ac:dyDescent="0.2"/>
    <row r="41366" ht="12.75" hidden="1" customHeight="1" x14ac:dyDescent="0.2"/>
    <row r="41367" ht="12.75" hidden="1" customHeight="1" x14ac:dyDescent="0.2"/>
    <row r="41368" ht="12.75" hidden="1" customHeight="1" x14ac:dyDescent="0.2"/>
    <row r="41369" ht="12.75" hidden="1" customHeight="1" x14ac:dyDescent="0.2"/>
    <row r="41370" ht="12.75" hidden="1" customHeight="1" x14ac:dyDescent="0.2"/>
    <row r="41371" ht="12.75" hidden="1" customHeight="1" x14ac:dyDescent="0.2"/>
    <row r="41372" ht="12.75" hidden="1" customHeight="1" x14ac:dyDescent="0.2"/>
    <row r="41373" ht="12.75" hidden="1" customHeight="1" x14ac:dyDescent="0.2"/>
    <row r="41374" ht="12.75" hidden="1" customHeight="1" x14ac:dyDescent="0.2"/>
    <row r="41375" ht="12.75" hidden="1" customHeight="1" x14ac:dyDescent="0.2"/>
    <row r="41376" ht="12.75" hidden="1" customHeight="1" x14ac:dyDescent="0.2"/>
    <row r="41377" ht="12.75" hidden="1" customHeight="1" x14ac:dyDescent="0.2"/>
    <row r="41378" ht="12.75" hidden="1" customHeight="1" x14ac:dyDescent="0.2"/>
    <row r="41379" ht="12.75" hidden="1" customHeight="1" x14ac:dyDescent="0.2"/>
    <row r="41380" ht="12.75" hidden="1" customHeight="1" x14ac:dyDescent="0.2"/>
    <row r="41381" ht="12.75" hidden="1" customHeight="1" x14ac:dyDescent="0.2"/>
    <row r="41382" ht="12.75" hidden="1" customHeight="1" x14ac:dyDescent="0.2"/>
    <row r="41383" ht="12.75" hidden="1" customHeight="1" x14ac:dyDescent="0.2"/>
    <row r="41384" ht="12.75" hidden="1" customHeight="1" x14ac:dyDescent="0.2"/>
    <row r="41385" ht="12.75" hidden="1" customHeight="1" x14ac:dyDescent="0.2"/>
    <row r="41386" ht="12.75" hidden="1" customHeight="1" x14ac:dyDescent="0.2"/>
    <row r="41387" ht="12.75" hidden="1" customHeight="1" x14ac:dyDescent="0.2"/>
    <row r="41388" ht="12.75" hidden="1" customHeight="1" x14ac:dyDescent="0.2"/>
    <row r="41389" ht="12.75" hidden="1" customHeight="1" x14ac:dyDescent="0.2"/>
    <row r="41390" ht="12.75" hidden="1" customHeight="1" x14ac:dyDescent="0.2"/>
    <row r="41391" ht="12.75" hidden="1" customHeight="1" x14ac:dyDescent="0.2"/>
    <row r="41392" ht="12.75" hidden="1" customHeight="1" x14ac:dyDescent="0.2"/>
    <row r="41393" ht="12.75" hidden="1" customHeight="1" x14ac:dyDescent="0.2"/>
    <row r="41394" ht="12.75" hidden="1" customHeight="1" x14ac:dyDescent="0.2"/>
    <row r="41395" ht="12.75" hidden="1" customHeight="1" x14ac:dyDescent="0.2"/>
    <row r="41396" ht="12.75" hidden="1" customHeight="1" x14ac:dyDescent="0.2"/>
    <row r="41397" ht="12.75" hidden="1" customHeight="1" x14ac:dyDescent="0.2"/>
    <row r="41398" ht="12.75" hidden="1" customHeight="1" x14ac:dyDescent="0.2"/>
    <row r="41399" ht="12.75" hidden="1" customHeight="1" x14ac:dyDescent="0.2"/>
    <row r="41400" ht="12.75" hidden="1" customHeight="1" x14ac:dyDescent="0.2"/>
    <row r="41401" ht="12.75" hidden="1" customHeight="1" x14ac:dyDescent="0.2"/>
    <row r="41402" ht="12.75" hidden="1" customHeight="1" x14ac:dyDescent="0.2"/>
    <row r="41403" ht="12.75" hidden="1" customHeight="1" x14ac:dyDescent="0.2"/>
    <row r="41404" ht="12.75" hidden="1" customHeight="1" x14ac:dyDescent="0.2"/>
    <row r="41405" ht="12.75" hidden="1" customHeight="1" x14ac:dyDescent="0.2"/>
    <row r="41406" ht="12.75" hidden="1" customHeight="1" x14ac:dyDescent="0.2"/>
    <row r="41407" ht="12.75" hidden="1" customHeight="1" x14ac:dyDescent="0.2"/>
    <row r="41408" ht="12.75" hidden="1" customHeight="1" x14ac:dyDescent="0.2"/>
    <row r="41409" ht="12.75" hidden="1" customHeight="1" x14ac:dyDescent="0.2"/>
    <row r="41410" ht="12.75" hidden="1" customHeight="1" x14ac:dyDescent="0.2"/>
    <row r="41411" ht="12.75" hidden="1" customHeight="1" x14ac:dyDescent="0.2"/>
    <row r="41412" ht="12.75" hidden="1" customHeight="1" x14ac:dyDescent="0.2"/>
    <row r="41413" ht="12.75" hidden="1" customHeight="1" x14ac:dyDescent="0.2"/>
    <row r="41414" ht="12.75" hidden="1" customHeight="1" x14ac:dyDescent="0.2"/>
    <row r="41415" ht="12.75" hidden="1" customHeight="1" x14ac:dyDescent="0.2"/>
    <row r="41416" ht="12.75" hidden="1" customHeight="1" x14ac:dyDescent="0.2"/>
    <row r="41417" ht="12.75" hidden="1" customHeight="1" x14ac:dyDescent="0.2"/>
    <row r="41418" ht="12.75" hidden="1" customHeight="1" x14ac:dyDescent="0.2"/>
    <row r="41419" ht="12.75" hidden="1" customHeight="1" x14ac:dyDescent="0.2"/>
    <row r="41420" ht="12.75" hidden="1" customHeight="1" x14ac:dyDescent="0.2"/>
    <row r="41421" ht="12.75" hidden="1" customHeight="1" x14ac:dyDescent="0.2"/>
    <row r="41422" ht="12.75" hidden="1" customHeight="1" x14ac:dyDescent="0.2"/>
    <row r="41423" ht="12.75" hidden="1" customHeight="1" x14ac:dyDescent="0.2"/>
    <row r="41424" ht="12.75" hidden="1" customHeight="1" x14ac:dyDescent="0.2"/>
    <row r="41425" ht="12.75" hidden="1" customHeight="1" x14ac:dyDescent="0.2"/>
    <row r="41426" ht="12.75" hidden="1" customHeight="1" x14ac:dyDescent="0.2"/>
    <row r="41427" ht="12.75" hidden="1" customHeight="1" x14ac:dyDescent="0.2"/>
    <row r="41428" ht="12.75" hidden="1" customHeight="1" x14ac:dyDescent="0.2"/>
    <row r="41429" ht="12.75" hidden="1" customHeight="1" x14ac:dyDescent="0.2"/>
    <row r="41430" ht="12.75" hidden="1" customHeight="1" x14ac:dyDescent="0.2"/>
    <row r="41431" ht="12.75" hidden="1" customHeight="1" x14ac:dyDescent="0.2"/>
    <row r="41432" ht="12.75" hidden="1" customHeight="1" x14ac:dyDescent="0.2"/>
    <row r="41433" ht="12.75" hidden="1" customHeight="1" x14ac:dyDescent="0.2"/>
    <row r="41434" ht="12.75" hidden="1" customHeight="1" x14ac:dyDescent="0.2"/>
    <row r="41435" ht="12.75" hidden="1" customHeight="1" x14ac:dyDescent="0.2"/>
    <row r="41436" ht="12.75" hidden="1" customHeight="1" x14ac:dyDescent="0.2"/>
    <row r="41437" ht="12.75" hidden="1" customHeight="1" x14ac:dyDescent="0.2"/>
    <row r="41438" ht="12.75" hidden="1" customHeight="1" x14ac:dyDescent="0.2"/>
    <row r="41439" ht="12.75" hidden="1" customHeight="1" x14ac:dyDescent="0.2"/>
    <row r="41440" ht="12.75" hidden="1" customHeight="1" x14ac:dyDescent="0.2"/>
    <row r="41441" ht="12.75" hidden="1" customHeight="1" x14ac:dyDescent="0.2"/>
    <row r="41442" ht="12.75" hidden="1" customHeight="1" x14ac:dyDescent="0.2"/>
    <row r="41443" ht="12.75" hidden="1" customHeight="1" x14ac:dyDescent="0.2"/>
    <row r="41444" ht="12.75" hidden="1" customHeight="1" x14ac:dyDescent="0.2"/>
    <row r="41445" ht="12.75" hidden="1" customHeight="1" x14ac:dyDescent="0.2"/>
    <row r="41446" ht="12.75" hidden="1" customHeight="1" x14ac:dyDescent="0.2"/>
    <row r="41447" ht="12.75" hidden="1" customHeight="1" x14ac:dyDescent="0.2"/>
    <row r="41448" ht="12.75" hidden="1" customHeight="1" x14ac:dyDescent="0.2"/>
    <row r="41449" ht="12.75" hidden="1" customHeight="1" x14ac:dyDescent="0.2"/>
    <row r="41450" ht="12.75" hidden="1" customHeight="1" x14ac:dyDescent="0.2"/>
    <row r="41451" ht="12.75" hidden="1" customHeight="1" x14ac:dyDescent="0.2"/>
    <row r="41452" ht="12.75" hidden="1" customHeight="1" x14ac:dyDescent="0.2"/>
    <row r="41453" ht="12.75" hidden="1" customHeight="1" x14ac:dyDescent="0.2"/>
    <row r="41454" ht="12.75" hidden="1" customHeight="1" x14ac:dyDescent="0.2"/>
    <row r="41455" ht="12.75" hidden="1" customHeight="1" x14ac:dyDescent="0.2"/>
    <row r="41456" ht="12.75" hidden="1" customHeight="1" x14ac:dyDescent="0.2"/>
    <row r="41457" ht="12.75" hidden="1" customHeight="1" x14ac:dyDescent="0.2"/>
    <row r="41458" ht="12.75" hidden="1" customHeight="1" x14ac:dyDescent="0.2"/>
    <row r="41459" ht="12.75" hidden="1" customHeight="1" x14ac:dyDescent="0.2"/>
    <row r="41460" ht="12.75" hidden="1" customHeight="1" x14ac:dyDescent="0.2"/>
    <row r="41461" ht="12.75" hidden="1" customHeight="1" x14ac:dyDescent="0.2"/>
    <row r="41462" ht="12.75" hidden="1" customHeight="1" x14ac:dyDescent="0.2"/>
    <row r="41463" ht="12.75" hidden="1" customHeight="1" x14ac:dyDescent="0.2"/>
    <row r="41464" ht="12.75" hidden="1" customHeight="1" x14ac:dyDescent="0.2"/>
    <row r="41465" ht="12.75" hidden="1" customHeight="1" x14ac:dyDescent="0.2"/>
    <row r="41466" ht="12.75" hidden="1" customHeight="1" x14ac:dyDescent="0.2"/>
    <row r="41467" ht="12.75" hidden="1" customHeight="1" x14ac:dyDescent="0.2"/>
    <row r="41468" ht="12.75" hidden="1" customHeight="1" x14ac:dyDescent="0.2"/>
    <row r="41469" ht="12.75" hidden="1" customHeight="1" x14ac:dyDescent="0.2"/>
    <row r="41470" ht="12.75" hidden="1" customHeight="1" x14ac:dyDescent="0.2"/>
    <row r="41471" ht="12.75" hidden="1" customHeight="1" x14ac:dyDescent="0.2"/>
    <row r="41472" ht="12.75" hidden="1" customHeight="1" x14ac:dyDescent="0.2"/>
    <row r="41473" ht="12.75" hidden="1" customHeight="1" x14ac:dyDescent="0.2"/>
    <row r="41474" ht="12.75" hidden="1" customHeight="1" x14ac:dyDescent="0.2"/>
    <row r="41475" ht="12.75" hidden="1" customHeight="1" x14ac:dyDescent="0.2"/>
    <row r="41476" ht="12.75" hidden="1" customHeight="1" x14ac:dyDescent="0.2"/>
    <row r="41477" ht="12.75" hidden="1" customHeight="1" x14ac:dyDescent="0.2"/>
    <row r="41478" ht="12.75" hidden="1" customHeight="1" x14ac:dyDescent="0.2"/>
    <row r="41479" ht="12.75" hidden="1" customHeight="1" x14ac:dyDescent="0.2"/>
    <row r="41480" ht="12.75" hidden="1" customHeight="1" x14ac:dyDescent="0.2"/>
    <row r="41481" ht="12.75" hidden="1" customHeight="1" x14ac:dyDescent="0.2"/>
    <row r="41482" ht="12.75" hidden="1" customHeight="1" x14ac:dyDescent="0.2"/>
    <row r="41483" ht="12.75" hidden="1" customHeight="1" x14ac:dyDescent="0.2"/>
    <row r="41484" ht="12.75" hidden="1" customHeight="1" x14ac:dyDescent="0.2"/>
    <row r="41485" ht="12.75" hidden="1" customHeight="1" x14ac:dyDescent="0.2"/>
    <row r="41486" ht="12.75" hidden="1" customHeight="1" x14ac:dyDescent="0.2"/>
    <row r="41487" ht="12.75" hidden="1" customHeight="1" x14ac:dyDescent="0.2"/>
    <row r="41488" ht="12.75" hidden="1" customHeight="1" x14ac:dyDescent="0.2"/>
    <row r="41489" ht="12.75" hidden="1" customHeight="1" x14ac:dyDescent="0.2"/>
    <row r="41490" ht="12.75" hidden="1" customHeight="1" x14ac:dyDescent="0.2"/>
    <row r="41491" ht="12.75" hidden="1" customHeight="1" x14ac:dyDescent="0.2"/>
    <row r="41492" ht="12.75" hidden="1" customHeight="1" x14ac:dyDescent="0.2"/>
    <row r="41493" ht="12.75" hidden="1" customHeight="1" x14ac:dyDescent="0.2"/>
    <row r="41494" ht="12.75" hidden="1" customHeight="1" x14ac:dyDescent="0.2"/>
    <row r="41495" ht="12.75" hidden="1" customHeight="1" x14ac:dyDescent="0.2"/>
    <row r="41496" ht="12.75" hidden="1" customHeight="1" x14ac:dyDescent="0.2"/>
    <row r="41497" ht="12.75" hidden="1" customHeight="1" x14ac:dyDescent="0.2"/>
    <row r="41498" ht="12.75" hidden="1" customHeight="1" x14ac:dyDescent="0.2"/>
    <row r="41499" ht="12.75" hidden="1" customHeight="1" x14ac:dyDescent="0.2"/>
    <row r="41500" ht="12.75" hidden="1" customHeight="1" x14ac:dyDescent="0.2"/>
    <row r="41501" ht="12.75" hidden="1" customHeight="1" x14ac:dyDescent="0.2"/>
    <row r="41502" ht="12.75" hidden="1" customHeight="1" x14ac:dyDescent="0.2"/>
    <row r="41503" ht="12.75" hidden="1" customHeight="1" x14ac:dyDescent="0.2"/>
    <row r="41504" ht="12.75" hidden="1" customHeight="1" x14ac:dyDescent="0.2"/>
    <row r="41505" ht="12.75" hidden="1" customHeight="1" x14ac:dyDescent="0.2"/>
    <row r="41506" ht="12.75" hidden="1" customHeight="1" x14ac:dyDescent="0.2"/>
    <row r="41507" ht="12.75" hidden="1" customHeight="1" x14ac:dyDescent="0.2"/>
    <row r="41508" ht="12.75" hidden="1" customHeight="1" x14ac:dyDescent="0.2"/>
    <row r="41509" ht="12.75" hidden="1" customHeight="1" x14ac:dyDescent="0.2"/>
    <row r="41510" ht="12.75" hidden="1" customHeight="1" x14ac:dyDescent="0.2"/>
    <row r="41511" ht="12.75" hidden="1" customHeight="1" x14ac:dyDescent="0.2"/>
    <row r="41512" ht="12.75" hidden="1" customHeight="1" x14ac:dyDescent="0.2"/>
    <row r="41513" ht="12.75" hidden="1" customHeight="1" x14ac:dyDescent="0.2"/>
    <row r="41514" ht="12.75" hidden="1" customHeight="1" x14ac:dyDescent="0.2"/>
    <row r="41515" ht="12.75" hidden="1" customHeight="1" x14ac:dyDescent="0.2"/>
    <row r="41516" ht="12.75" hidden="1" customHeight="1" x14ac:dyDescent="0.2"/>
    <row r="41517" ht="12.75" hidden="1" customHeight="1" x14ac:dyDescent="0.2"/>
    <row r="41518" ht="12.75" hidden="1" customHeight="1" x14ac:dyDescent="0.2"/>
    <row r="41519" ht="12.75" hidden="1" customHeight="1" x14ac:dyDescent="0.2"/>
    <row r="41520" ht="12.75" hidden="1" customHeight="1" x14ac:dyDescent="0.2"/>
    <row r="41521" ht="12.75" hidden="1" customHeight="1" x14ac:dyDescent="0.2"/>
    <row r="41522" ht="12.75" hidden="1" customHeight="1" x14ac:dyDescent="0.2"/>
    <row r="41523" ht="12.75" hidden="1" customHeight="1" x14ac:dyDescent="0.2"/>
    <row r="41524" ht="12.75" hidden="1" customHeight="1" x14ac:dyDescent="0.2"/>
    <row r="41525" ht="12.75" hidden="1" customHeight="1" x14ac:dyDescent="0.2"/>
    <row r="41526" ht="12.75" hidden="1" customHeight="1" x14ac:dyDescent="0.2"/>
    <row r="41527" ht="12.75" hidden="1" customHeight="1" x14ac:dyDescent="0.2"/>
    <row r="41528" ht="12.75" hidden="1" customHeight="1" x14ac:dyDescent="0.2"/>
    <row r="41529" ht="12.75" hidden="1" customHeight="1" x14ac:dyDescent="0.2"/>
    <row r="41530" ht="12.75" hidden="1" customHeight="1" x14ac:dyDescent="0.2"/>
    <row r="41531" ht="12.75" hidden="1" customHeight="1" x14ac:dyDescent="0.2"/>
    <row r="41532" ht="12.75" hidden="1" customHeight="1" x14ac:dyDescent="0.2"/>
    <row r="41533" ht="12.75" hidden="1" customHeight="1" x14ac:dyDescent="0.2"/>
    <row r="41534" ht="12.75" hidden="1" customHeight="1" x14ac:dyDescent="0.2"/>
    <row r="41535" ht="12.75" hidden="1" customHeight="1" x14ac:dyDescent="0.2"/>
    <row r="41536" ht="12.75" hidden="1" customHeight="1" x14ac:dyDescent="0.2"/>
    <row r="41537" ht="12.75" hidden="1" customHeight="1" x14ac:dyDescent="0.2"/>
    <row r="41538" ht="12.75" hidden="1" customHeight="1" x14ac:dyDescent="0.2"/>
    <row r="41539" ht="12.75" hidden="1" customHeight="1" x14ac:dyDescent="0.2"/>
    <row r="41540" ht="12.75" hidden="1" customHeight="1" x14ac:dyDescent="0.2"/>
    <row r="41541" ht="12.75" hidden="1" customHeight="1" x14ac:dyDescent="0.2"/>
    <row r="41542" ht="12.75" hidden="1" customHeight="1" x14ac:dyDescent="0.2"/>
    <row r="41543" ht="12.75" hidden="1" customHeight="1" x14ac:dyDescent="0.2"/>
    <row r="41544" ht="12.75" hidden="1" customHeight="1" x14ac:dyDescent="0.2"/>
    <row r="41545" ht="12.75" hidden="1" customHeight="1" x14ac:dyDescent="0.2"/>
    <row r="41546" ht="12.75" hidden="1" customHeight="1" x14ac:dyDescent="0.2"/>
    <row r="41547" ht="12.75" hidden="1" customHeight="1" x14ac:dyDescent="0.2"/>
    <row r="41548" ht="12.75" hidden="1" customHeight="1" x14ac:dyDescent="0.2"/>
    <row r="41549" ht="12.75" hidden="1" customHeight="1" x14ac:dyDescent="0.2"/>
    <row r="41550" ht="12.75" hidden="1" customHeight="1" x14ac:dyDescent="0.2"/>
    <row r="41551" ht="12.75" hidden="1" customHeight="1" x14ac:dyDescent="0.2"/>
    <row r="41552" ht="12.75" hidden="1" customHeight="1" x14ac:dyDescent="0.2"/>
    <row r="41553" ht="12.75" hidden="1" customHeight="1" x14ac:dyDescent="0.2"/>
    <row r="41554" ht="12.75" hidden="1" customHeight="1" x14ac:dyDescent="0.2"/>
    <row r="41555" ht="12.75" hidden="1" customHeight="1" x14ac:dyDescent="0.2"/>
    <row r="41556" ht="12.75" hidden="1" customHeight="1" x14ac:dyDescent="0.2"/>
    <row r="41557" ht="12.75" hidden="1" customHeight="1" x14ac:dyDescent="0.2"/>
    <row r="41558" ht="12.75" hidden="1" customHeight="1" x14ac:dyDescent="0.2"/>
    <row r="41559" ht="12.75" hidden="1" customHeight="1" x14ac:dyDescent="0.2"/>
    <row r="41560" ht="12.75" hidden="1" customHeight="1" x14ac:dyDescent="0.2"/>
    <row r="41561" ht="12.75" hidden="1" customHeight="1" x14ac:dyDescent="0.2"/>
    <row r="41562" ht="12.75" hidden="1" customHeight="1" x14ac:dyDescent="0.2"/>
    <row r="41563" ht="12.75" hidden="1" customHeight="1" x14ac:dyDescent="0.2"/>
    <row r="41564" ht="12.75" hidden="1" customHeight="1" x14ac:dyDescent="0.2"/>
    <row r="41565" ht="12.75" hidden="1" customHeight="1" x14ac:dyDescent="0.2"/>
    <row r="41566" ht="12.75" hidden="1" customHeight="1" x14ac:dyDescent="0.2"/>
    <row r="41567" ht="12.75" hidden="1" customHeight="1" x14ac:dyDescent="0.2"/>
    <row r="41568" ht="12.75" hidden="1" customHeight="1" x14ac:dyDescent="0.2"/>
    <row r="41569" ht="12.75" hidden="1" customHeight="1" x14ac:dyDescent="0.2"/>
    <row r="41570" ht="12.75" hidden="1" customHeight="1" x14ac:dyDescent="0.2"/>
    <row r="41571" ht="12.75" hidden="1" customHeight="1" x14ac:dyDescent="0.2"/>
    <row r="41572" ht="12.75" hidden="1" customHeight="1" x14ac:dyDescent="0.2"/>
    <row r="41573" ht="12.75" hidden="1" customHeight="1" x14ac:dyDescent="0.2"/>
    <row r="41574" ht="12.75" hidden="1" customHeight="1" x14ac:dyDescent="0.2"/>
    <row r="41575" ht="12.75" hidden="1" customHeight="1" x14ac:dyDescent="0.2"/>
    <row r="41576" ht="12.75" hidden="1" customHeight="1" x14ac:dyDescent="0.2"/>
    <row r="41577" ht="12.75" hidden="1" customHeight="1" x14ac:dyDescent="0.2"/>
    <row r="41578" ht="12.75" hidden="1" customHeight="1" x14ac:dyDescent="0.2"/>
    <row r="41579" ht="12.75" hidden="1" customHeight="1" x14ac:dyDescent="0.2"/>
    <row r="41580" ht="12.75" hidden="1" customHeight="1" x14ac:dyDescent="0.2"/>
    <row r="41581" ht="12.75" hidden="1" customHeight="1" x14ac:dyDescent="0.2"/>
    <row r="41582" ht="12.75" hidden="1" customHeight="1" x14ac:dyDescent="0.2"/>
    <row r="41583" ht="12.75" hidden="1" customHeight="1" x14ac:dyDescent="0.2"/>
    <row r="41584" ht="12.75" hidden="1" customHeight="1" x14ac:dyDescent="0.2"/>
    <row r="41585" ht="12.75" hidden="1" customHeight="1" x14ac:dyDescent="0.2"/>
    <row r="41586" ht="12.75" hidden="1" customHeight="1" x14ac:dyDescent="0.2"/>
    <row r="41587" ht="12.75" hidden="1" customHeight="1" x14ac:dyDescent="0.2"/>
    <row r="41588" ht="12.75" hidden="1" customHeight="1" x14ac:dyDescent="0.2"/>
    <row r="41589" ht="12.75" hidden="1" customHeight="1" x14ac:dyDescent="0.2"/>
    <row r="41590" ht="12.75" hidden="1" customHeight="1" x14ac:dyDescent="0.2"/>
    <row r="41591" ht="12.75" hidden="1" customHeight="1" x14ac:dyDescent="0.2"/>
    <row r="41592" ht="12.75" hidden="1" customHeight="1" x14ac:dyDescent="0.2"/>
    <row r="41593" ht="12.75" hidden="1" customHeight="1" x14ac:dyDescent="0.2"/>
    <row r="41594" ht="12.75" hidden="1" customHeight="1" x14ac:dyDescent="0.2"/>
    <row r="41595" ht="12.75" hidden="1" customHeight="1" x14ac:dyDescent="0.2"/>
    <row r="41596" ht="12.75" hidden="1" customHeight="1" x14ac:dyDescent="0.2"/>
    <row r="41597" ht="12.75" hidden="1" customHeight="1" x14ac:dyDescent="0.2"/>
    <row r="41598" ht="12.75" hidden="1" customHeight="1" x14ac:dyDescent="0.2"/>
    <row r="41599" ht="12.75" hidden="1" customHeight="1" x14ac:dyDescent="0.2"/>
    <row r="41600" ht="12.75" hidden="1" customHeight="1" x14ac:dyDescent="0.2"/>
    <row r="41601" ht="12.75" hidden="1" customHeight="1" x14ac:dyDescent="0.2"/>
    <row r="41602" ht="12.75" hidden="1" customHeight="1" x14ac:dyDescent="0.2"/>
    <row r="41603" ht="12.75" hidden="1" customHeight="1" x14ac:dyDescent="0.2"/>
    <row r="41604" ht="12.75" hidden="1" customHeight="1" x14ac:dyDescent="0.2"/>
    <row r="41605" ht="12.75" hidden="1" customHeight="1" x14ac:dyDescent="0.2"/>
    <row r="41606" ht="12.75" hidden="1" customHeight="1" x14ac:dyDescent="0.2"/>
    <row r="41607" ht="12.75" hidden="1" customHeight="1" x14ac:dyDescent="0.2"/>
    <row r="41608" ht="12.75" hidden="1" customHeight="1" x14ac:dyDescent="0.2"/>
    <row r="41609" ht="12.75" hidden="1" customHeight="1" x14ac:dyDescent="0.2"/>
    <row r="41610" ht="12.75" hidden="1" customHeight="1" x14ac:dyDescent="0.2"/>
    <row r="41611" ht="12.75" hidden="1" customHeight="1" x14ac:dyDescent="0.2"/>
    <row r="41612" ht="12.75" hidden="1" customHeight="1" x14ac:dyDescent="0.2"/>
    <row r="41613" ht="12.75" hidden="1" customHeight="1" x14ac:dyDescent="0.2"/>
    <row r="41614" ht="12.75" hidden="1" customHeight="1" x14ac:dyDescent="0.2"/>
    <row r="41615" ht="12.75" hidden="1" customHeight="1" x14ac:dyDescent="0.2"/>
    <row r="41616" ht="12.75" hidden="1" customHeight="1" x14ac:dyDescent="0.2"/>
    <row r="41617" ht="12.75" hidden="1" customHeight="1" x14ac:dyDescent="0.2"/>
    <row r="41618" ht="12.75" hidden="1" customHeight="1" x14ac:dyDescent="0.2"/>
    <row r="41619" ht="12.75" hidden="1" customHeight="1" x14ac:dyDescent="0.2"/>
    <row r="41620" ht="12.75" hidden="1" customHeight="1" x14ac:dyDescent="0.2"/>
    <row r="41621" ht="12.75" hidden="1" customHeight="1" x14ac:dyDescent="0.2"/>
    <row r="41622" ht="12.75" hidden="1" customHeight="1" x14ac:dyDescent="0.2"/>
    <row r="41623" ht="12.75" hidden="1" customHeight="1" x14ac:dyDescent="0.2"/>
    <row r="41624" ht="12.75" hidden="1" customHeight="1" x14ac:dyDescent="0.2"/>
    <row r="41625" ht="12.75" hidden="1" customHeight="1" x14ac:dyDescent="0.2"/>
    <row r="41626" ht="12.75" hidden="1" customHeight="1" x14ac:dyDescent="0.2"/>
    <row r="41627" ht="12.75" hidden="1" customHeight="1" x14ac:dyDescent="0.2"/>
    <row r="41628" ht="12.75" hidden="1" customHeight="1" x14ac:dyDescent="0.2"/>
    <row r="41629" ht="12.75" hidden="1" customHeight="1" x14ac:dyDescent="0.2"/>
    <row r="41630" ht="12.75" hidden="1" customHeight="1" x14ac:dyDescent="0.2"/>
    <row r="41631" ht="12.75" hidden="1" customHeight="1" x14ac:dyDescent="0.2"/>
    <row r="41632" ht="12.75" hidden="1" customHeight="1" x14ac:dyDescent="0.2"/>
    <row r="41633" ht="12.75" hidden="1" customHeight="1" x14ac:dyDescent="0.2"/>
    <row r="41634" ht="12.75" hidden="1" customHeight="1" x14ac:dyDescent="0.2"/>
    <row r="41635" ht="12.75" hidden="1" customHeight="1" x14ac:dyDescent="0.2"/>
    <row r="41636" ht="12.75" hidden="1" customHeight="1" x14ac:dyDescent="0.2"/>
    <row r="41637" ht="12.75" hidden="1" customHeight="1" x14ac:dyDescent="0.2"/>
    <row r="41638" ht="12.75" hidden="1" customHeight="1" x14ac:dyDescent="0.2"/>
    <row r="41639" ht="12.75" hidden="1" customHeight="1" x14ac:dyDescent="0.2"/>
    <row r="41640" ht="12.75" hidden="1" customHeight="1" x14ac:dyDescent="0.2"/>
    <row r="41641" ht="12.75" hidden="1" customHeight="1" x14ac:dyDescent="0.2"/>
    <row r="41642" ht="12.75" hidden="1" customHeight="1" x14ac:dyDescent="0.2"/>
    <row r="41643" ht="12.75" hidden="1" customHeight="1" x14ac:dyDescent="0.2"/>
    <row r="41644" ht="12.75" hidden="1" customHeight="1" x14ac:dyDescent="0.2"/>
    <row r="41645" ht="12.75" hidden="1" customHeight="1" x14ac:dyDescent="0.2"/>
    <row r="41646" ht="12.75" hidden="1" customHeight="1" x14ac:dyDescent="0.2"/>
    <row r="41647" ht="12.75" hidden="1" customHeight="1" x14ac:dyDescent="0.2"/>
    <row r="41648" ht="12.75" hidden="1" customHeight="1" x14ac:dyDescent="0.2"/>
    <row r="41649" ht="12.75" hidden="1" customHeight="1" x14ac:dyDescent="0.2"/>
    <row r="41650" ht="12.75" hidden="1" customHeight="1" x14ac:dyDescent="0.2"/>
    <row r="41651" ht="12.75" hidden="1" customHeight="1" x14ac:dyDescent="0.2"/>
    <row r="41652" ht="12.75" hidden="1" customHeight="1" x14ac:dyDescent="0.2"/>
    <row r="41653" ht="12.75" hidden="1" customHeight="1" x14ac:dyDescent="0.2"/>
    <row r="41654" ht="12.75" hidden="1" customHeight="1" x14ac:dyDescent="0.2"/>
    <row r="41655" ht="12.75" hidden="1" customHeight="1" x14ac:dyDescent="0.2"/>
    <row r="41656" ht="12.75" hidden="1" customHeight="1" x14ac:dyDescent="0.2"/>
    <row r="41657" ht="12.75" hidden="1" customHeight="1" x14ac:dyDescent="0.2"/>
    <row r="41658" ht="12.75" hidden="1" customHeight="1" x14ac:dyDescent="0.2"/>
    <row r="41659" ht="12.75" hidden="1" customHeight="1" x14ac:dyDescent="0.2"/>
    <row r="41660" ht="12.75" hidden="1" customHeight="1" x14ac:dyDescent="0.2"/>
    <row r="41661" ht="12.75" hidden="1" customHeight="1" x14ac:dyDescent="0.2"/>
    <row r="41662" ht="12.75" hidden="1" customHeight="1" x14ac:dyDescent="0.2"/>
    <row r="41663" ht="12.75" hidden="1" customHeight="1" x14ac:dyDescent="0.2"/>
    <row r="41664" ht="12.75" hidden="1" customHeight="1" x14ac:dyDescent="0.2"/>
    <row r="41665" ht="12.75" hidden="1" customHeight="1" x14ac:dyDescent="0.2"/>
    <row r="41666" ht="12.75" hidden="1" customHeight="1" x14ac:dyDescent="0.2"/>
    <row r="41667" ht="12.75" hidden="1" customHeight="1" x14ac:dyDescent="0.2"/>
    <row r="41668" ht="12.75" hidden="1" customHeight="1" x14ac:dyDescent="0.2"/>
    <row r="41669" ht="12.75" hidden="1" customHeight="1" x14ac:dyDescent="0.2"/>
    <row r="41670" ht="12.75" hidden="1" customHeight="1" x14ac:dyDescent="0.2"/>
    <row r="41671" ht="12.75" hidden="1" customHeight="1" x14ac:dyDescent="0.2"/>
    <row r="41672" ht="12.75" hidden="1" customHeight="1" x14ac:dyDescent="0.2"/>
    <row r="41673" ht="12.75" hidden="1" customHeight="1" x14ac:dyDescent="0.2"/>
    <row r="41674" ht="12.75" hidden="1" customHeight="1" x14ac:dyDescent="0.2"/>
    <row r="41675" ht="12.75" hidden="1" customHeight="1" x14ac:dyDescent="0.2"/>
    <row r="41676" ht="12.75" hidden="1" customHeight="1" x14ac:dyDescent="0.2"/>
    <row r="41677" ht="12.75" hidden="1" customHeight="1" x14ac:dyDescent="0.2"/>
    <row r="41678" ht="12.75" hidden="1" customHeight="1" x14ac:dyDescent="0.2"/>
    <row r="41679" ht="12.75" hidden="1" customHeight="1" x14ac:dyDescent="0.2"/>
    <row r="41680" ht="12.75" hidden="1" customHeight="1" x14ac:dyDescent="0.2"/>
    <row r="41681" ht="12.75" hidden="1" customHeight="1" x14ac:dyDescent="0.2"/>
    <row r="41682" ht="12.75" hidden="1" customHeight="1" x14ac:dyDescent="0.2"/>
    <row r="41683" ht="12.75" hidden="1" customHeight="1" x14ac:dyDescent="0.2"/>
    <row r="41684" ht="12.75" hidden="1" customHeight="1" x14ac:dyDescent="0.2"/>
    <row r="41685" ht="12.75" hidden="1" customHeight="1" x14ac:dyDescent="0.2"/>
    <row r="41686" ht="12.75" hidden="1" customHeight="1" x14ac:dyDescent="0.2"/>
    <row r="41687" ht="12.75" hidden="1" customHeight="1" x14ac:dyDescent="0.2"/>
    <row r="41688" ht="12.75" hidden="1" customHeight="1" x14ac:dyDescent="0.2"/>
    <row r="41689" ht="12.75" hidden="1" customHeight="1" x14ac:dyDescent="0.2"/>
    <row r="41690" ht="12.75" hidden="1" customHeight="1" x14ac:dyDescent="0.2"/>
    <row r="41691" ht="12.75" hidden="1" customHeight="1" x14ac:dyDescent="0.2"/>
    <row r="41692" ht="12.75" hidden="1" customHeight="1" x14ac:dyDescent="0.2"/>
    <row r="41693" ht="12.75" hidden="1" customHeight="1" x14ac:dyDescent="0.2"/>
    <row r="41694" ht="12.75" hidden="1" customHeight="1" x14ac:dyDescent="0.2"/>
    <row r="41695" ht="12.75" hidden="1" customHeight="1" x14ac:dyDescent="0.2"/>
    <row r="41696" ht="12.75" hidden="1" customHeight="1" x14ac:dyDescent="0.2"/>
    <row r="41697" ht="12.75" hidden="1" customHeight="1" x14ac:dyDescent="0.2"/>
    <row r="41698" ht="12.75" hidden="1" customHeight="1" x14ac:dyDescent="0.2"/>
    <row r="41699" ht="12.75" hidden="1" customHeight="1" x14ac:dyDescent="0.2"/>
    <row r="41700" ht="12.75" hidden="1" customHeight="1" x14ac:dyDescent="0.2"/>
    <row r="41701" ht="12.75" hidden="1" customHeight="1" x14ac:dyDescent="0.2"/>
    <row r="41702" ht="12.75" hidden="1" customHeight="1" x14ac:dyDescent="0.2"/>
    <row r="41703" ht="12.75" hidden="1" customHeight="1" x14ac:dyDescent="0.2"/>
    <row r="41704" ht="12.75" hidden="1" customHeight="1" x14ac:dyDescent="0.2"/>
    <row r="41705" ht="12.75" hidden="1" customHeight="1" x14ac:dyDescent="0.2"/>
    <row r="41706" ht="12.75" hidden="1" customHeight="1" x14ac:dyDescent="0.2"/>
    <row r="41707" ht="12.75" hidden="1" customHeight="1" x14ac:dyDescent="0.2"/>
    <row r="41708" ht="12.75" hidden="1" customHeight="1" x14ac:dyDescent="0.2"/>
    <row r="41709" ht="12.75" hidden="1" customHeight="1" x14ac:dyDescent="0.2"/>
    <row r="41710" ht="12.75" hidden="1" customHeight="1" x14ac:dyDescent="0.2"/>
    <row r="41711" ht="12.75" hidden="1" customHeight="1" x14ac:dyDescent="0.2"/>
    <row r="41712" ht="12.75" hidden="1" customHeight="1" x14ac:dyDescent="0.2"/>
    <row r="41713" ht="12.75" hidden="1" customHeight="1" x14ac:dyDescent="0.2"/>
    <row r="41714" ht="12.75" hidden="1" customHeight="1" x14ac:dyDescent="0.2"/>
    <row r="41715" ht="12.75" hidden="1" customHeight="1" x14ac:dyDescent="0.2"/>
    <row r="41716" ht="12.75" hidden="1" customHeight="1" x14ac:dyDescent="0.2"/>
    <row r="41717" ht="12.75" hidden="1" customHeight="1" x14ac:dyDescent="0.2"/>
    <row r="41718" ht="12.75" hidden="1" customHeight="1" x14ac:dyDescent="0.2"/>
    <row r="41719" ht="12.75" hidden="1" customHeight="1" x14ac:dyDescent="0.2"/>
    <row r="41720" ht="12.75" hidden="1" customHeight="1" x14ac:dyDescent="0.2"/>
    <row r="41721" ht="12.75" hidden="1" customHeight="1" x14ac:dyDescent="0.2"/>
    <row r="41722" ht="12.75" hidden="1" customHeight="1" x14ac:dyDescent="0.2"/>
    <row r="41723" ht="12.75" hidden="1" customHeight="1" x14ac:dyDescent="0.2"/>
    <row r="41724" ht="12.75" hidden="1" customHeight="1" x14ac:dyDescent="0.2"/>
    <row r="41725" ht="12.75" hidden="1" customHeight="1" x14ac:dyDescent="0.2"/>
    <row r="41726" ht="12.75" hidden="1" customHeight="1" x14ac:dyDescent="0.2"/>
    <row r="41727" ht="12.75" hidden="1" customHeight="1" x14ac:dyDescent="0.2"/>
    <row r="41728" ht="12.75" hidden="1" customHeight="1" x14ac:dyDescent="0.2"/>
    <row r="41729" ht="12.75" hidden="1" customHeight="1" x14ac:dyDescent="0.2"/>
    <row r="41730" ht="12.75" hidden="1" customHeight="1" x14ac:dyDescent="0.2"/>
    <row r="41731" ht="12.75" hidden="1" customHeight="1" x14ac:dyDescent="0.2"/>
    <row r="41732" ht="12.75" hidden="1" customHeight="1" x14ac:dyDescent="0.2"/>
    <row r="41733" ht="12.75" hidden="1" customHeight="1" x14ac:dyDescent="0.2"/>
    <row r="41734" ht="12.75" hidden="1" customHeight="1" x14ac:dyDescent="0.2"/>
    <row r="41735" ht="12.75" hidden="1" customHeight="1" x14ac:dyDescent="0.2"/>
    <row r="41736" ht="12.75" hidden="1" customHeight="1" x14ac:dyDescent="0.2"/>
    <row r="41737" ht="12.75" hidden="1" customHeight="1" x14ac:dyDescent="0.2"/>
    <row r="41738" ht="12.75" hidden="1" customHeight="1" x14ac:dyDescent="0.2"/>
    <row r="41739" ht="12.75" hidden="1" customHeight="1" x14ac:dyDescent="0.2"/>
    <row r="41740" ht="12.75" hidden="1" customHeight="1" x14ac:dyDescent="0.2"/>
    <row r="41741" ht="12.75" hidden="1" customHeight="1" x14ac:dyDescent="0.2"/>
    <row r="41742" ht="12.75" hidden="1" customHeight="1" x14ac:dyDescent="0.2"/>
    <row r="41743" ht="12.75" hidden="1" customHeight="1" x14ac:dyDescent="0.2"/>
    <row r="41744" ht="12.75" hidden="1" customHeight="1" x14ac:dyDescent="0.2"/>
    <row r="41745" ht="12.75" hidden="1" customHeight="1" x14ac:dyDescent="0.2"/>
    <row r="41746" ht="12.75" hidden="1" customHeight="1" x14ac:dyDescent="0.2"/>
    <row r="41747" ht="12.75" hidden="1" customHeight="1" x14ac:dyDescent="0.2"/>
    <row r="41748" ht="12.75" hidden="1" customHeight="1" x14ac:dyDescent="0.2"/>
    <row r="41749" ht="12.75" hidden="1" customHeight="1" x14ac:dyDescent="0.2"/>
    <row r="41750" ht="12.75" hidden="1" customHeight="1" x14ac:dyDescent="0.2"/>
    <row r="41751" ht="12.75" hidden="1" customHeight="1" x14ac:dyDescent="0.2"/>
    <row r="41752" ht="12.75" hidden="1" customHeight="1" x14ac:dyDescent="0.2"/>
    <row r="41753" ht="12.75" hidden="1" customHeight="1" x14ac:dyDescent="0.2"/>
    <row r="41754" ht="12.75" hidden="1" customHeight="1" x14ac:dyDescent="0.2"/>
    <row r="41755" ht="12.75" hidden="1" customHeight="1" x14ac:dyDescent="0.2"/>
    <row r="41756" ht="12.75" hidden="1" customHeight="1" x14ac:dyDescent="0.2"/>
    <row r="41757" ht="12.75" hidden="1" customHeight="1" x14ac:dyDescent="0.2"/>
    <row r="41758" ht="12.75" hidden="1" customHeight="1" x14ac:dyDescent="0.2"/>
    <row r="41759" ht="12.75" hidden="1" customHeight="1" x14ac:dyDescent="0.2"/>
    <row r="41760" ht="12.75" hidden="1" customHeight="1" x14ac:dyDescent="0.2"/>
    <row r="41761" ht="12.75" hidden="1" customHeight="1" x14ac:dyDescent="0.2"/>
    <row r="41762" ht="12.75" hidden="1" customHeight="1" x14ac:dyDescent="0.2"/>
    <row r="41763" ht="12.75" hidden="1" customHeight="1" x14ac:dyDescent="0.2"/>
    <row r="41764" ht="12.75" hidden="1" customHeight="1" x14ac:dyDescent="0.2"/>
    <row r="41765" ht="12.75" hidden="1" customHeight="1" x14ac:dyDescent="0.2"/>
    <row r="41766" ht="12.75" hidden="1" customHeight="1" x14ac:dyDescent="0.2"/>
    <row r="41767" ht="12.75" hidden="1" customHeight="1" x14ac:dyDescent="0.2"/>
    <row r="41768" ht="12.75" hidden="1" customHeight="1" x14ac:dyDescent="0.2"/>
    <row r="41769" ht="12.75" hidden="1" customHeight="1" x14ac:dyDescent="0.2"/>
    <row r="41770" ht="12.75" hidden="1" customHeight="1" x14ac:dyDescent="0.2"/>
    <row r="41771" ht="12.75" hidden="1" customHeight="1" x14ac:dyDescent="0.2"/>
    <row r="41772" ht="12.75" hidden="1" customHeight="1" x14ac:dyDescent="0.2"/>
    <row r="41773" ht="12.75" hidden="1" customHeight="1" x14ac:dyDescent="0.2"/>
    <row r="41774" ht="12.75" hidden="1" customHeight="1" x14ac:dyDescent="0.2"/>
    <row r="41775" ht="12.75" hidden="1" customHeight="1" x14ac:dyDescent="0.2"/>
    <row r="41776" ht="12.75" hidden="1" customHeight="1" x14ac:dyDescent="0.2"/>
    <row r="41777" ht="12.75" hidden="1" customHeight="1" x14ac:dyDescent="0.2"/>
    <row r="41778" ht="12.75" hidden="1" customHeight="1" x14ac:dyDescent="0.2"/>
    <row r="41779" ht="12.75" hidden="1" customHeight="1" x14ac:dyDescent="0.2"/>
    <row r="41780" ht="12.75" hidden="1" customHeight="1" x14ac:dyDescent="0.2"/>
    <row r="41781" ht="12.75" hidden="1" customHeight="1" x14ac:dyDescent="0.2"/>
    <row r="41782" ht="12.75" hidden="1" customHeight="1" x14ac:dyDescent="0.2"/>
    <row r="41783" ht="12.75" hidden="1" customHeight="1" x14ac:dyDescent="0.2"/>
    <row r="41784" ht="12.75" hidden="1" customHeight="1" x14ac:dyDescent="0.2"/>
    <row r="41785" ht="12.75" hidden="1" customHeight="1" x14ac:dyDescent="0.2"/>
    <row r="41786" ht="12.75" hidden="1" customHeight="1" x14ac:dyDescent="0.2"/>
    <row r="41787" ht="12.75" hidden="1" customHeight="1" x14ac:dyDescent="0.2"/>
    <row r="41788" ht="12.75" hidden="1" customHeight="1" x14ac:dyDescent="0.2"/>
    <row r="41789" ht="12.75" hidden="1" customHeight="1" x14ac:dyDescent="0.2"/>
    <row r="41790" ht="12.75" hidden="1" customHeight="1" x14ac:dyDescent="0.2"/>
    <row r="41791" ht="12.75" hidden="1" customHeight="1" x14ac:dyDescent="0.2"/>
    <row r="41792" ht="12.75" hidden="1" customHeight="1" x14ac:dyDescent="0.2"/>
    <row r="41793" ht="12.75" hidden="1" customHeight="1" x14ac:dyDescent="0.2"/>
    <row r="41794" ht="12.75" hidden="1" customHeight="1" x14ac:dyDescent="0.2"/>
    <row r="41795" ht="12.75" hidden="1" customHeight="1" x14ac:dyDescent="0.2"/>
    <row r="41796" ht="12.75" hidden="1" customHeight="1" x14ac:dyDescent="0.2"/>
    <row r="41797" ht="12.75" hidden="1" customHeight="1" x14ac:dyDescent="0.2"/>
    <row r="41798" ht="12.75" hidden="1" customHeight="1" x14ac:dyDescent="0.2"/>
    <row r="41799" ht="12.75" hidden="1" customHeight="1" x14ac:dyDescent="0.2"/>
    <row r="41800" ht="12.75" hidden="1" customHeight="1" x14ac:dyDescent="0.2"/>
    <row r="41801" ht="12.75" hidden="1" customHeight="1" x14ac:dyDescent="0.2"/>
    <row r="41802" ht="12.75" hidden="1" customHeight="1" x14ac:dyDescent="0.2"/>
    <row r="41803" ht="12.75" hidden="1" customHeight="1" x14ac:dyDescent="0.2"/>
    <row r="41804" ht="12.75" hidden="1" customHeight="1" x14ac:dyDescent="0.2"/>
    <row r="41805" ht="12.75" hidden="1" customHeight="1" x14ac:dyDescent="0.2"/>
    <row r="41806" ht="12.75" hidden="1" customHeight="1" x14ac:dyDescent="0.2"/>
    <row r="41807" ht="12.75" hidden="1" customHeight="1" x14ac:dyDescent="0.2"/>
    <row r="41808" ht="12.75" hidden="1" customHeight="1" x14ac:dyDescent="0.2"/>
    <row r="41809" ht="12.75" hidden="1" customHeight="1" x14ac:dyDescent="0.2"/>
    <row r="41810" ht="12.75" hidden="1" customHeight="1" x14ac:dyDescent="0.2"/>
    <row r="41811" ht="12.75" hidden="1" customHeight="1" x14ac:dyDescent="0.2"/>
    <row r="41812" ht="12.75" hidden="1" customHeight="1" x14ac:dyDescent="0.2"/>
    <row r="41813" ht="12.75" hidden="1" customHeight="1" x14ac:dyDescent="0.2"/>
    <row r="41814" ht="12.75" hidden="1" customHeight="1" x14ac:dyDescent="0.2"/>
    <row r="41815" ht="12.75" hidden="1" customHeight="1" x14ac:dyDescent="0.2"/>
    <row r="41816" ht="12.75" hidden="1" customHeight="1" x14ac:dyDescent="0.2"/>
    <row r="41817" ht="12.75" hidden="1" customHeight="1" x14ac:dyDescent="0.2"/>
    <row r="41818" ht="12.75" hidden="1" customHeight="1" x14ac:dyDescent="0.2"/>
    <row r="41819" ht="12.75" hidden="1" customHeight="1" x14ac:dyDescent="0.2"/>
    <row r="41820" ht="12.75" hidden="1" customHeight="1" x14ac:dyDescent="0.2"/>
    <row r="41821" ht="12.75" hidden="1" customHeight="1" x14ac:dyDescent="0.2"/>
    <row r="41822" ht="12.75" hidden="1" customHeight="1" x14ac:dyDescent="0.2"/>
    <row r="41823" ht="12.75" hidden="1" customHeight="1" x14ac:dyDescent="0.2"/>
    <row r="41824" ht="12.75" hidden="1" customHeight="1" x14ac:dyDescent="0.2"/>
    <row r="41825" ht="12.75" hidden="1" customHeight="1" x14ac:dyDescent="0.2"/>
    <row r="41826" ht="12.75" hidden="1" customHeight="1" x14ac:dyDescent="0.2"/>
    <row r="41827" ht="12.75" hidden="1" customHeight="1" x14ac:dyDescent="0.2"/>
    <row r="41828" ht="12.75" hidden="1" customHeight="1" x14ac:dyDescent="0.2"/>
    <row r="41829" ht="12.75" hidden="1" customHeight="1" x14ac:dyDescent="0.2"/>
    <row r="41830" ht="12.75" hidden="1" customHeight="1" x14ac:dyDescent="0.2"/>
    <row r="41831" ht="12.75" hidden="1" customHeight="1" x14ac:dyDescent="0.2"/>
    <row r="41832" ht="12.75" hidden="1" customHeight="1" x14ac:dyDescent="0.2"/>
    <row r="41833" ht="12.75" hidden="1" customHeight="1" x14ac:dyDescent="0.2"/>
    <row r="41834" ht="12.75" hidden="1" customHeight="1" x14ac:dyDescent="0.2"/>
    <row r="41835" ht="12.75" hidden="1" customHeight="1" x14ac:dyDescent="0.2"/>
    <row r="41836" ht="12.75" hidden="1" customHeight="1" x14ac:dyDescent="0.2"/>
    <row r="41837" ht="12.75" hidden="1" customHeight="1" x14ac:dyDescent="0.2"/>
    <row r="41838" ht="12.75" hidden="1" customHeight="1" x14ac:dyDescent="0.2"/>
    <row r="41839" ht="12.75" hidden="1" customHeight="1" x14ac:dyDescent="0.2"/>
    <row r="41840" ht="12.75" hidden="1" customHeight="1" x14ac:dyDescent="0.2"/>
    <row r="41841" ht="12.75" hidden="1" customHeight="1" x14ac:dyDescent="0.2"/>
    <row r="41842" ht="12.75" hidden="1" customHeight="1" x14ac:dyDescent="0.2"/>
    <row r="41843" ht="12.75" hidden="1" customHeight="1" x14ac:dyDescent="0.2"/>
    <row r="41844" ht="12.75" hidden="1" customHeight="1" x14ac:dyDescent="0.2"/>
    <row r="41845" ht="12.75" hidden="1" customHeight="1" x14ac:dyDescent="0.2"/>
    <row r="41846" ht="12.75" hidden="1" customHeight="1" x14ac:dyDescent="0.2"/>
    <row r="41847" ht="12.75" hidden="1" customHeight="1" x14ac:dyDescent="0.2"/>
    <row r="41848" ht="12.75" hidden="1" customHeight="1" x14ac:dyDescent="0.2"/>
    <row r="41849" ht="12.75" hidden="1" customHeight="1" x14ac:dyDescent="0.2"/>
    <row r="41850" ht="12.75" hidden="1" customHeight="1" x14ac:dyDescent="0.2"/>
    <row r="41851" ht="12.75" hidden="1" customHeight="1" x14ac:dyDescent="0.2"/>
    <row r="41852" ht="12.75" hidden="1" customHeight="1" x14ac:dyDescent="0.2"/>
    <row r="41853" ht="12.75" hidden="1" customHeight="1" x14ac:dyDescent="0.2"/>
    <row r="41854" ht="12.75" hidden="1" customHeight="1" x14ac:dyDescent="0.2"/>
    <row r="41855" ht="12.75" hidden="1" customHeight="1" x14ac:dyDescent="0.2"/>
    <row r="41856" ht="12.75" hidden="1" customHeight="1" x14ac:dyDescent="0.2"/>
    <row r="41857" ht="12.75" hidden="1" customHeight="1" x14ac:dyDescent="0.2"/>
    <row r="41858" ht="12.75" hidden="1" customHeight="1" x14ac:dyDescent="0.2"/>
    <row r="41859" ht="12.75" hidden="1" customHeight="1" x14ac:dyDescent="0.2"/>
    <row r="41860" ht="12.75" hidden="1" customHeight="1" x14ac:dyDescent="0.2"/>
    <row r="41861" ht="12.75" hidden="1" customHeight="1" x14ac:dyDescent="0.2"/>
    <row r="41862" ht="12.75" hidden="1" customHeight="1" x14ac:dyDescent="0.2"/>
    <row r="41863" ht="12.75" hidden="1" customHeight="1" x14ac:dyDescent="0.2"/>
    <row r="41864" ht="12.75" hidden="1" customHeight="1" x14ac:dyDescent="0.2"/>
    <row r="41865" ht="12.75" hidden="1" customHeight="1" x14ac:dyDescent="0.2"/>
    <row r="41866" ht="12.75" hidden="1" customHeight="1" x14ac:dyDescent="0.2"/>
    <row r="41867" ht="12.75" hidden="1" customHeight="1" x14ac:dyDescent="0.2"/>
    <row r="41868" ht="12.75" hidden="1" customHeight="1" x14ac:dyDescent="0.2"/>
    <row r="41869" ht="12.75" hidden="1" customHeight="1" x14ac:dyDescent="0.2"/>
    <row r="41870" ht="12.75" hidden="1" customHeight="1" x14ac:dyDescent="0.2"/>
    <row r="41871" ht="12.75" hidden="1" customHeight="1" x14ac:dyDescent="0.2"/>
    <row r="41872" ht="12.75" hidden="1" customHeight="1" x14ac:dyDescent="0.2"/>
    <row r="41873" ht="12.75" hidden="1" customHeight="1" x14ac:dyDescent="0.2"/>
    <row r="41874" ht="12.75" hidden="1" customHeight="1" x14ac:dyDescent="0.2"/>
    <row r="41875" ht="12.75" hidden="1" customHeight="1" x14ac:dyDescent="0.2"/>
    <row r="41876" ht="12.75" hidden="1" customHeight="1" x14ac:dyDescent="0.2"/>
    <row r="41877" ht="12.75" hidden="1" customHeight="1" x14ac:dyDescent="0.2"/>
    <row r="41878" ht="12.75" hidden="1" customHeight="1" x14ac:dyDescent="0.2"/>
    <row r="41879" ht="12.75" hidden="1" customHeight="1" x14ac:dyDescent="0.2"/>
    <row r="41880" ht="12.75" hidden="1" customHeight="1" x14ac:dyDescent="0.2"/>
    <row r="41881" ht="12.75" hidden="1" customHeight="1" x14ac:dyDescent="0.2"/>
    <row r="41882" ht="12.75" hidden="1" customHeight="1" x14ac:dyDescent="0.2"/>
    <row r="41883" ht="12.75" hidden="1" customHeight="1" x14ac:dyDescent="0.2"/>
    <row r="41884" ht="12.75" hidden="1" customHeight="1" x14ac:dyDescent="0.2"/>
    <row r="41885" ht="12.75" hidden="1" customHeight="1" x14ac:dyDescent="0.2"/>
    <row r="41886" ht="12.75" hidden="1" customHeight="1" x14ac:dyDescent="0.2"/>
    <row r="41887" ht="12.75" hidden="1" customHeight="1" x14ac:dyDescent="0.2"/>
    <row r="41888" ht="12.75" hidden="1" customHeight="1" x14ac:dyDescent="0.2"/>
    <row r="41889" ht="12.75" hidden="1" customHeight="1" x14ac:dyDescent="0.2"/>
    <row r="41890" ht="12.75" hidden="1" customHeight="1" x14ac:dyDescent="0.2"/>
    <row r="41891" ht="12.75" hidden="1" customHeight="1" x14ac:dyDescent="0.2"/>
    <row r="41892" ht="12.75" hidden="1" customHeight="1" x14ac:dyDescent="0.2"/>
    <row r="41893" ht="12.75" hidden="1" customHeight="1" x14ac:dyDescent="0.2"/>
    <row r="41894" ht="12.75" hidden="1" customHeight="1" x14ac:dyDescent="0.2"/>
    <row r="41895" ht="12.75" hidden="1" customHeight="1" x14ac:dyDescent="0.2"/>
    <row r="41896" ht="12.75" hidden="1" customHeight="1" x14ac:dyDescent="0.2"/>
    <row r="41897" ht="12.75" hidden="1" customHeight="1" x14ac:dyDescent="0.2"/>
    <row r="41898" ht="12.75" hidden="1" customHeight="1" x14ac:dyDescent="0.2"/>
    <row r="41899" ht="12.75" hidden="1" customHeight="1" x14ac:dyDescent="0.2"/>
    <row r="41900" ht="12.75" hidden="1" customHeight="1" x14ac:dyDescent="0.2"/>
    <row r="41901" ht="12.75" hidden="1" customHeight="1" x14ac:dyDescent="0.2"/>
    <row r="41902" ht="12.75" hidden="1" customHeight="1" x14ac:dyDescent="0.2"/>
    <row r="41903" ht="12.75" hidden="1" customHeight="1" x14ac:dyDescent="0.2"/>
    <row r="41904" ht="12.75" hidden="1" customHeight="1" x14ac:dyDescent="0.2"/>
    <row r="41905" ht="12.75" hidden="1" customHeight="1" x14ac:dyDescent="0.2"/>
    <row r="41906" ht="12.75" hidden="1" customHeight="1" x14ac:dyDescent="0.2"/>
    <row r="41907" ht="12.75" hidden="1" customHeight="1" x14ac:dyDescent="0.2"/>
    <row r="41908" ht="12.75" hidden="1" customHeight="1" x14ac:dyDescent="0.2"/>
    <row r="41909" ht="12.75" hidden="1" customHeight="1" x14ac:dyDescent="0.2"/>
    <row r="41910" ht="12.75" hidden="1" customHeight="1" x14ac:dyDescent="0.2"/>
    <row r="41911" ht="12.75" hidden="1" customHeight="1" x14ac:dyDescent="0.2"/>
    <row r="41912" ht="12.75" hidden="1" customHeight="1" x14ac:dyDescent="0.2"/>
    <row r="41913" ht="12.75" hidden="1" customHeight="1" x14ac:dyDescent="0.2"/>
    <row r="41914" ht="12.75" hidden="1" customHeight="1" x14ac:dyDescent="0.2"/>
    <row r="41915" ht="12.75" hidden="1" customHeight="1" x14ac:dyDescent="0.2"/>
    <row r="41916" ht="12.75" hidden="1" customHeight="1" x14ac:dyDescent="0.2"/>
    <row r="41917" ht="12.75" hidden="1" customHeight="1" x14ac:dyDescent="0.2"/>
    <row r="41918" ht="12.75" hidden="1" customHeight="1" x14ac:dyDescent="0.2"/>
    <row r="41919" ht="12.75" hidden="1" customHeight="1" x14ac:dyDescent="0.2"/>
    <row r="41920" ht="12.75" hidden="1" customHeight="1" x14ac:dyDescent="0.2"/>
    <row r="41921" ht="12.75" hidden="1" customHeight="1" x14ac:dyDescent="0.2"/>
    <row r="41922" ht="12.75" hidden="1" customHeight="1" x14ac:dyDescent="0.2"/>
    <row r="41923" ht="12.75" hidden="1" customHeight="1" x14ac:dyDescent="0.2"/>
    <row r="41924" ht="12.75" hidden="1" customHeight="1" x14ac:dyDescent="0.2"/>
    <row r="41925" ht="12.75" hidden="1" customHeight="1" x14ac:dyDescent="0.2"/>
    <row r="41926" ht="12.75" hidden="1" customHeight="1" x14ac:dyDescent="0.2"/>
    <row r="41927" ht="12.75" hidden="1" customHeight="1" x14ac:dyDescent="0.2"/>
    <row r="41928" ht="12.75" hidden="1" customHeight="1" x14ac:dyDescent="0.2"/>
    <row r="41929" ht="12.75" hidden="1" customHeight="1" x14ac:dyDescent="0.2"/>
    <row r="41930" ht="12.75" hidden="1" customHeight="1" x14ac:dyDescent="0.2"/>
    <row r="41931" ht="12.75" hidden="1" customHeight="1" x14ac:dyDescent="0.2"/>
    <row r="41932" ht="12.75" hidden="1" customHeight="1" x14ac:dyDescent="0.2"/>
    <row r="41933" ht="12.75" hidden="1" customHeight="1" x14ac:dyDescent="0.2"/>
    <row r="41934" ht="12.75" hidden="1" customHeight="1" x14ac:dyDescent="0.2"/>
    <row r="41935" ht="12.75" hidden="1" customHeight="1" x14ac:dyDescent="0.2"/>
    <row r="41936" ht="12.75" hidden="1" customHeight="1" x14ac:dyDescent="0.2"/>
    <row r="41937" ht="12.75" hidden="1" customHeight="1" x14ac:dyDescent="0.2"/>
    <row r="41938" ht="12.75" hidden="1" customHeight="1" x14ac:dyDescent="0.2"/>
    <row r="41939" ht="12.75" hidden="1" customHeight="1" x14ac:dyDescent="0.2"/>
    <row r="41940" ht="12.75" hidden="1" customHeight="1" x14ac:dyDescent="0.2"/>
    <row r="41941" ht="12.75" hidden="1" customHeight="1" x14ac:dyDescent="0.2"/>
    <row r="41942" ht="12.75" hidden="1" customHeight="1" x14ac:dyDescent="0.2"/>
    <row r="41943" ht="12.75" hidden="1" customHeight="1" x14ac:dyDescent="0.2"/>
    <row r="41944" ht="12.75" hidden="1" customHeight="1" x14ac:dyDescent="0.2"/>
    <row r="41945" ht="12.75" hidden="1" customHeight="1" x14ac:dyDescent="0.2"/>
    <row r="41946" ht="12.75" hidden="1" customHeight="1" x14ac:dyDescent="0.2"/>
    <row r="41947" ht="12.75" hidden="1" customHeight="1" x14ac:dyDescent="0.2"/>
    <row r="41948" ht="12.75" hidden="1" customHeight="1" x14ac:dyDescent="0.2"/>
    <row r="41949" ht="12.75" hidden="1" customHeight="1" x14ac:dyDescent="0.2"/>
    <row r="41950" ht="12.75" hidden="1" customHeight="1" x14ac:dyDescent="0.2"/>
    <row r="41951" ht="12.75" hidden="1" customHeight="1" x14ac:dyDescent="0.2"/>
    <row r="41952" ht="12.75" hidden="1" customHeight="1" x14ac:dyDescent="0.2"/>
    <row r="41953" ht="12.75" hidden="1" customHeight="1" x14ac:dyDescent="0.2"/>
    <row r="41954" ht="12.75" hidden="1" customHeight="1" x14ac:dyDescent="0.2"/>
    <row r="41955" ht="12.75" hidden="1" customHeight="1" x14ac:dyDescent="0.2"/>
    <row r="41956" ht="12.75" hidden="1" customHeight="1" x14ac:dyDescent="0.2"/>
    <row r="41957" ht="12.75" hidden="1" customHeight="1" x14ac:dyDescent="0.2"/>
    <row r="41958" ht="12.75" hidden="1" customHeight="1" x14ac:dyDescent="0.2"/>
    <row r="41959" ht="12.75" hidden="1" customHeight="1" x14ac:dyDescent="0.2"/>
    <row r="41960" ht="12.75" hidden="1" customHeight="1" x14ac:dyDescent="0.2"/>
    <row r="41961" ht="12.75" hidden="1" customHeight="1" x14ac:dyDescent="0.2"/>
    <row r="41962" ht="12.75" hidden="1" customHeight="1" x14ac:dyDescent="0.2"/>
    <row r="41963" ht="12.75" hidden="1" customHeight="1" x14ac:dyDescent="0.2"/>
    <row r="41964" ht="12.75" hidden="1" customHeight="1" x14ac:dyDescent="0.2"/>
    <row r="41965" ht="12.75" hidden="1" customHeight="1" x14ac:dyDescent="0.2"/>
    <row r="41966" ht="12.75" hidden="1" customHeight="1" x14ac:dyDescent="0.2"/>
    <row r="41967" ht="12.75" hidden="1" customHeight="1" x14ac:dyDescent="0.2"/>
    <row r="41968" ht="12.75" hidden="1" customHeight="1" x14ac:dyDescent="0.2"/>
    <row r="41969" ht="12.75" hidden="1" customHeight="1" x14ac:dyDescent="0.2"/>
    <row r="41970" ht="12.75" hidden="1" customHeight="1" x14ac:dyDescent="0.2"/>
    <row r="41971" ht="12.75" hidden="1" customHeight="1" x14ac:dyDescent="0.2"/>
    <row r="41972" ht="12.75" hidden="1" customHeight="1" x14ac:dyDescent="0.2"/>
    <row r="41973" ht="12.75" hidden="1" customHeight="1" x14ac:dyDescent="0.2"/>
    <row r="41974" ht="12.75" hidden="1" customHeight="1" x14ac:dyDescent="0.2"/>
    <row r="41975" ht="12.75" hidden="1" customHeight="1" x14ac:dyDescent="0.2"/>
    <row r="41976" ht="12.75" hidden="1" customHeight="1" x14ac:dyDescent="0.2"/>
    <row r="41977" ht="12.75" hidden="1" customHeight="1" x14ac:dyDescent="0.2"/>
    <row r="41978" ht="12.75" hidden="1" customHeight="1" x14ac:dyDescent="0.2"/>
    <row r="41979" ht="12.75" hidden="1" customHeight="1" x14ac:dyDescent="0.2"/>
    <row r="41980" ht="12.75" hidden="1" customHeight="1" x14ac:dyDescent="0.2"/>
    <row r="41981" ht="12.75" hidden="1" customHeight="1" x14ac:dyDescent="0.2"/>
    <row r="41982" ht="12.75" hidden="1" customHeight="1" x14ac:dyDescent="0.2"/>
    <row r="41983" ht="12.75" hidden="1" customHeight="1" x14ac:dyDescent="0.2"/>
    <row r="41984" ht="12.75" hidden="1" customHeight="1" x14ac:dyDescent="0.2"/>
    <row r="41985" ht="12.75" hidden="1" customHeight="1" x14ac:dyDescent="0.2"/>
    <row r="41986" ht="12.75" hidden="1" customHeight="1" x14ac:dyDescent="0.2"/>
    <row r="41987" ht="12.75" hidden="1" customHeight="1" x14ac:dyDescent="0.2"/>
    <row r="41988" ht="12.75" hidden="1" customHeight="1" x14ac:dyDescent="0.2"/>
    <row r="41989" ht="12.75" hidden="1" customHeight="1" x14ac:dyDescent="0.2"/>
    <row r="41990" ht="12.75" hidden="1" customHeight="1" x14ac:dyDescent="0.2"/>
    <row r="41991" ht="12.75" hidden="1" customHeight="1" x14ac:dyDescent="0.2"/>
    <row r="41992" ht="12.75" hidden="1" customHeight="1" x14ac:dyDescent="0.2"/>
    <row r="41993" ht="12.75" hidden="1" customHeight="1" x14ac:dyDescent="0.2"/>
    <row r="41994" ht="12.75" hidden="1" customHeight="1" x14ac:dyDescent="0.2"/>
    <row r="41995" ht="12.75" hidden="1" customHeight="1" x14ac:dyDescent="0.2"/>
    <row r="41996" ht="12.75" hidden="1" customHeight="1" x14ac:dyDescent="0.2"/>
    <row r="41997" ht="12.75" hidden="1" customHeight="1" x14ac:dyDescent="0.2"/>
    <row r="41998" ht="12.75" hidden="1" customHeight="1" x14ac:dyDescent="0.2"/>
    <row r="41999" ht="12.75" hidden="1" customHeight="1" x14ac:dyDescent="0.2"/>
    <row r="42000" ht="12.75" hidden="1" customHeight="1" x14ac:dyDescent="0.2"/>
    <row r="42001" ht="12.75" hidden="1" customHeight="1" x14ac:dyDescent="0.2"/>
    <row r="42002" ht="12.75" hidden="1" customHeight="1" x14ac:dyDescent="0.2"/>
    <row r="42003" ht="12.75" hidden="1" customHeight="1" x14ac:dyDescent="0.2"/>
    <row r="42004" ht="12.75" hidden="1" customHeight="1" x14ac:dyDescent="0.2"/>
    <row r="42005" ht="12.75" hidden="1" customHeight="1" x14ac:dyDescent="0.2"/>
    <row r="42006" ht="12.75" hidden="1" customHeight="1" x14ac:dyDescent="0.2"/>
    <row r="42007" ht="12.75" hidden="1" customHeight="1" x14ac:dyDescent="0.2"/>
    <row r="42008" ht="12.75" hidden="1" customHeight="1" x14ac:dyDescent="0.2"/>
    <row r="42009" ht="12.75" hidden="1" customHeight="1" x14ac:dyDescent="0.2"/>
    <row r="42010" ht="12.75" hidden="1" customHeight="1" x14ac:dyDescent="0.2"/>
    <row r="42011" ht="12.75" hidden="1" customHeight="1" x14ac:dyDescent="0.2"/>
    <row r="42012" ht="12.75" hidden="1" customHeight="1" x14ac:dyDescent="0.2"/>
    <row r="42013" ht="12.75" hidden="1" customHeight="1" x14ac:dyDescent="0.2"/>
    <row r="42014" ht="12.75" hidden="1" customHeight="1" x14ac:dyDescent="0.2"/>
    <row r="42015" ht="12.75" hidden="1" customHeight="1" x14ac:dyDescent="0.2"/>
    <row r="42016" ht="12.75" hidden="1" customHeight="1" x14ac:dyDescent="0.2"/>
    <row r="42017" ht="12.75" hidden="1" customHeight="1" x14ac:dyDescent="0.2"/>
    <row r="42018" ht="12.75" hidden="1" customHeight="1" x14ac:dyDescent="0.2"/>
    <row r="42019" ht="12.75" hidden="1" customHeight="1" x14ac:dyDescent="0.2"/>
    <row r="42020" ht="12.75" hidden="1" customHeight="1" x14ac:dyDescent="0.2"/>
    <row r="42021" ht="12.75" hidden="1" customHeight="1" x14ac:dyDescent="0.2"/>
    <row r="42022" ht="12.75" hidden="1" customHeight="1" x14ac:dyDescent="0.2"/>
    <row r="42023" ht="12.75" hidden="1" customHeight="1" x14ac:dyDescent="0.2"/>
    <row r="42024" ht="12.75" hidden="1" customHeight="1" x14ac:dyDescent="0.2"/>
    <row r="42025" ht="12.75" hidden="1" customHeight="1" x14ac:dyDescent="0.2"/>
    <row r="42026" ht="12.75" hidden="1" customHeight="1" x14ac:dyDescent="0.2"/>
    <row r="42027" ht="12.75" hidden="1" customHeight="1" x14ac:dyDescent="0.2"/>
    <row r="42028" ht="12.75" hidden="1" customHeight="1" x14ac:dyDescent="0.2"/>
    <row r="42029" ht="12.75" hidden="1" customHeight="1" x14ac:dyDescent="0.2"/>
    <row r="42030" ht="12.75" hidden="1" customHeight="1" x14ac:dyDescent="0.2"/>
    <row r="42031" ht="12.75" hidden="1" customHeight="1" x14ac:dyDescent="0.2"/>
    <row r="42032" ht="12.75" hidden="1" customHeight="1" x14ac:dyDescent="0.2"/>
    <row r="42033" ht="12.75" hidden="1" customHeight="1" x14ac:dyDescent="0.2"/>
    <row r="42034" ht="12.75" hidden="1" customHeight="1" x14ac:dyDescent="0.2"/>
    <row r="42035" ht="12.75" hidden="1" customHeight="1" x14ac:dyDescent="0.2"/>
    <row r="42036" ht="12.75" hidden="1" customHeight="1" x14ac:dyDescent="0.2"/>
    <row r="42037" ht="12.75" hidden="1" customHeight="1" x14ac:dyDescent="0.2"/>
    <row r="42038" ht="12.75" hidden="1" customHeight="1" x14ac:dyDescent="0.2"/>
    <row r="42039" ht="12.75" hidden="1" customHeight="1" x14ac:dyDescent="0.2"/>
    <row r="42040" ht="12.75" hidden="1" customHeight="1" x14ac:dyDescent="0.2"/>
    <row r="42041" ht="12.75" hidden="1" customHeight="1" x14ac:dyDescent="0.2"/>
    <row r="42042" ht="12.75" hidden="1" customHeight="1" x14ac:dyDescent="0.2"/>
    <row r="42043" ht="12.75" hidden="1" customHeight="1" x14ac:dyDescent="0.2"/>
    <row r="42044" ht="12.75" hidden="1" customHeight="1" x14ac:dyDescent="0.2"/>
    <row r="42045" ht="12.75" hidden="1" customHeight="1" x14ac:dyDescent="0.2"/>
    <row r="42046" ht="12.75" hidden="1" customHeight="1" x14ac:dyDescent="0.2"/>
    <row r="42047" ht="12.75" hidden="1" customHeight="1" x14ac:dyDescent="0.2"/>
    <row r="42048" ht="12.75" hidden="1" customHeight="1" x14ac:dyDescent="0.2"/>
    <row r="42049" ht="12.75" hidden="1" customHeight="1" x14ac:dyDescent="0.2"/>
    <row r="42050" ht="12.75" hidden="1" customHeight="1" x14ac:dyDescent="0.2"/>
    <row r="42051" ht="12.75" hidden="1" customHeight="1" x14ac:dyDescent="0.2"/>
    <row r="42052" ht="12.75" hidden="1" customHeight="1" x14ac:dyDescent="0.2"/>
    <row r="42053" ht="12.75" hidden="1" customHeight="1" x14ac:dyDescent="0.2"/>
    <row r="42054" ht="12.75" hidden="1" customHeight="1" x14ac:dyDescent="0.2"/>
    <row r="42055" ht="12.75" hidden="1" customHeight="1" x14ac:dyDescent="0.2"/>
    <row r="42056" ht="12.75" hidden="1" customHeight="1" x14ac:dyDescent="0.2"/>
    <row r="42057" ht="12.75" hidden="1" customHeight="1" x14ac:dyDescent="0.2"/>
    <row r="42058" ht="12.75" hidden="1" customHeight="1" x14ac:dyDescent="0.2"/>
    <row r="42059" ht="12.75" hidden="1" customHeight="1" x14ac:dyDescent="0.2"/>
    <row r="42060" ht="12.75" hidden="1" customHeight="1" x14ac:dyDescent="0.2"/>
    <row r="42061" ht="12.75" hidden="1" customHeight="1" x14ac:dyDescent="0.2"/>
    <row r="42062" ht="12.75" hidden="1" customHeight="1" x14ac:dyDescent="0.2"/>
    <row r="42063" ht="12.75" hidden="1" customHeight="1" x14ac:dyDescent="0.2"/>
    <row r="42064" ht="12.75" hidden="1" customHeight="1" x14ac:dyDescent="0.2"/>
    <row r="42065" ht="12.75" hidden="1" customHeight="1" x14ac:dyDescent="0.2"/>
    <row r="42066" ht="12.75" hidden="1" customHeight="1" x14ac:dyDescent="0.2"/>
    <row r="42067" ht="12.75" hidden="1" customHeight="1" x14ac:dyDescent="0.2"/>
    <row r="42068" ht="12.75" hidden="1" customHeight="1" x14ac:dyDescent="0.2"/>
    <row r="42069" ht="12.75" hidden="1" customHeight="1" x14ac:dyDescent="0.2"/>
    <row r="42070" ht="12.75" hidden="1" customHeight="1" x14ac:dyDescent="0.2"/>
    <row r="42071" ht="12.75" hidden="1" customHeight="1" x14ac:dyDescent="0.2"/>
    <row r="42072" ht="12.75" hidden="1" customHeight="1" x14ac:dyDescent="0.2"/>
    <row r="42073" ht="12.75" hidden="1" customHeight="1" x14ac:dyDescent="0.2"/>
    <row r="42074" ht="12.75" hidden="1" customHeight="1" x14ac:dyDescent="0.2"/>
    <row r="42075" ht="12.75" hidden="1" customHeight="1" x14ac:dyDescent="0.2"/>
    <row r="42076" ht="12.75" hidden="1" customHeight="1" x14ac:dyDescent="0.2"/>
    <row r="42077" ht="12.75" hidden="1" customHeight="1" x14ac:dyDescent="0.2"/>
    <row r="42078" ht="12.75" hidden="1" customHeight="1" x14ac:dyDescent="0.2"/>
    <row r="42079" ht="12.75" hidden="1" customHeight="1" x14ac:dyDescent="0.2"/>
    <row r="42080" ht="12.75" hidden="1" customHeight="1" x14ac:dyDescent="0.2"/>
    <row r="42081" ht="12.75" hidden="1" customHeight="1" x14ac:dyDescent="0.2"/>
    <row r="42082" ht="12.75" hidden="1" customHeight="1" x14ac:dyDescent="0.2"/>
    <row r="42083" ht="12.75" hidden="1" customHeight="1" x14ac:dyDescent="0.2"/>
    <row r="42084" ht="12.75" hidden="1" customHeight="1" x14ac:dyDescent="0.2"/>
    <row r="42085" ht="12.75" hidden="1" customHeight="1" x14ac:dyDescent="0.2"/>
    <row r="42086" ht="12.75" hidden="1" customHeight="1" x14ac:dyDescent="0.2"/>
    <row r="42087" ht="12.75" hidden="1" customHeight="1" x14ac:dyDescent="0.2"/>
    <row r="42088" ht="12.75" hidden="1" customHeight="1" x14ac:dyDescent="0.2"/>
    <row r="42089" ht="12.75" hidden="1" customHeight="1" x14ac:dyDescent="0.2"/>
    <row r="42090" ht="12.75" hidden="1" customHeight="1" x14ac:dyDescent="0.2"/>
    <row r="42091" ht="12.75" hidden="1" customHeight="1" x14ac:dyDescent="0.2"/>
    <row r="42092" ht="12.75" hidden="1" customHeight="1" x14ac:dyDescent="0.2"/>
    <row r="42093" ht="12.75" hidden="1" customHeight="1" x14ac:dyDescent="0.2"/>
    <row r="42094" ht="12.75" hidden="1" customHeight="1" x14ac:dyDescent="0.2"/>
    <row r="42095" ht="12.75" hidden="1" customHeight="1" x14ac:dyDescent="0.2"/>
    <row r="42096" ht="12.75" hidden="1" customHeight="1" x14ac:dyDescent="0.2"/>
    <row r="42097" ht="12.75" hidden="1" customHeight="1" x14ac:dyDescent="0.2"/>
    <row r="42098" ht="12.75" hidden="1" customHeight="1" x14ac:dyDescent="0.2"/>
    <row r="42099" ht="12.75" hidden="1" customHeight="1" x14ac:dyDescent="0.2"/>
    <row r="42100" ht="12.75" hidden="1" customHeight="1" x14ac:dyDescent="0.2"/>
    <row r="42101" ht="12.75" hidden="1" customHeight="1" x14ac:dyDescent="0.2"/>
    <row r="42102" ht="12.75" hidden="1" customHeight="1" x14ac:dyDescent="0.2"/>
    <row r="42103" ht="12.75" hidden="1" customHeight="1" x14ac:dyDescent="0.2"/>
    <row r="42104" ht="12.75" hidden="1" customHeight="1" x14ac:dyDescent="0.2"/>
    <row r="42105" ht="12.75" hidden="1" customHeight="1" x14ac:dyDescent="0.2"/>
    <row r="42106" ht="12.75" hidden="1" customHeight="1" x14ac:dyDescent="0.2"/>
    <row r="42107" ht="12.75" hidden="1" customHeight="1" x14ac:dyDescent="0.2"/>
    <row r="42108" ht="12.75" hidden="1" customHeight="1" x14ac:dyDescent="0.2"/>
    <row r="42109" ht="12.75" hidden="1" customHeight="1" x14ac:dyDescent="0.2"/>
    <row r="42110" ht="12.75" hidden="1" customHeight="1" x14ac:dyDescent="0.2"/>
    <row r="42111" ht="12.75" hidden="1" customHeight="1" x14ac:dyDescent="0.2"/>
    <row r="42112" ht="12.75" hidden="1" customHeight="1" x14ac:dyDescent="0.2"/>
    <row r="42113" ht="12.75" hidden="1" customHeight="1" x14ac:dyDescent="0.2"/>
    <row r="42114" ht="12.75" hidden="1" customHeight="1" x14ac:dyDescent="0.2"/>
    <row r="42115" ht="12.75" hidden="1" customHeight="1" x14ac:dyDescent="0.2"/>
    <row r="42116" ht="12.75" hidden="1" customHeight="1" x14ac:dyDescent="0.2"/>
    <row r="42117" ht="12.75" hidden="1" customHeight="1" x14ac:dyDescent="0.2"/>
    <row r="42118" ht="12.75" hidden="1" customHeight="1" x14ac:dyDescent="0.2"/>
    <row r="42119" ht="12.75" hidden="1" customHeight="1" x14ac:dyDescent="0.2"/>
    <row r="42120" ht="12.75" hidden="1" customHeight="1" x14ac:dyDescent="0.2"/>
    <row r="42121" ht="12.75" hidden="1" customHeight="1" x14ac:dyDescent="0.2"/>
    <row r="42122" ht="12.75" hidden="1" customHeight="1" x14ac:dyDescent="0.2"/>
    <row r="42123" ht="12.75" hidden="1" customHeight="1" x14ac:dyDescent="0.2"/>
    <row r="42124" ht="12.75" hidden="1" customHeight="1" x14ac:dyDescent="0.2"/>
    <row r="42125" ht="12.75" hidden="1" customHeight="1" x14ac:dyDescent="0.2"/>
    <row r="42126" ht="12.75" hidden="1" customHeight="1" x14ac:dyDescent="0.2"/>
    <row r="42127" ht="12.75" hidden="1" customHeight="1" x14ac:dyDescent="0.2"/>
    <row r="42128" ht="12.75" hidden="1" customHeight="1" x14ac:dyDescent="0.2"/>
    <row r="42129" ht="12.75" hidden="1" customHeight="1" x14ac:dyDescent="0.2"/>
    <row r="42130" ht="12.75" hidden="1" customHeight="1" x14ac:dyDescent="0.2"/>
    <row r="42131" ht="12.75" hidden="1" customHeight="1" x14ac:dyDescent="0.2"/>
    <row r="42132" ht="12.75" hidden="1" customHeight="1" x14ac:dyDescent="0.2"/>
    <row r="42133" ht="12.75" hidden="1" customHeight="1" x14ac:dyDescent="0.2"/>
    <row r="42134" ht="12.75" hidden="1" customHeight="1" x14ac:dyDescent="0.2"/>
    <row r="42135" ht="12.75" hidden="1" customHeight="1" x14ac:dyDescent="0.2"/>
    <row r="42136" ht="12.75" hidden="1" customHeight="1" x14ac:dyDescent="0.2"/>
    <row r="42137" ht="12.75" hidden="1" customHeight="1" x14ac:dyDescent="0.2"/>
    <row r="42138" ht="12.75" hidden="1" customHeight="1" x14ac:dyDescent="0.2"/>
    <row r="42139" ht="12.75" hidden="1" customHeight="1" x14ac:dyDescent="0.2"/>
    <row r="42140" ht="12.75" hidden="1" customHeight="1" x14ac:dyDescent="0.2"/>
    <row r="42141" ht="12.75" hidden="1" customHeight="1" x14ac:dyDescent="0.2"/>
    <row r="42142" ht="12.75" hidden="1" customHeight="1" x14ac:dyDescent="0.2"/>
    <row r="42143" ht="12.75" hidden="1" customHeight="1" x14ac:dyDescent="0.2"/>
    <row r="42144" ht="12.75" hidden="1" customHeight="1" x14ac:dyDescent="0.2"/>
    <row r="42145" ht="12.75" hidden="1" customHeight="1" x14ac:dyDescent="0.2"/>
    <row r="42146" ht="12.75" hidden="1" customHeight="1" x14ac:dyDescent="0.2"/>
    <row r="42147" ht="12.75" hidden="1" customHeight="1" x14ac:dyDescent="0.2"/>
    <row r="42148" ht="12.75" hidden="1" customHeight="1" x14ac:dyDescent="0.2"/>
    <row r="42149" ht="12.75" hidden="1" customHeight="1" x14ac:dyDescent="0.2"/>
    <row r="42150" ht="12.75" hidden="1" customHeight="1" x14ac:dyDescent="0.2"/>
    <row r="42151" ht="12.75" hidden="1" customHeight="1" x14ac:dyDescent="0.2"/>
    <row r="42152" ht="12.75" hidden="1" customHeight="1" x14ac:dyDescent="0.2"/>
    <row r="42153" ht="12.75" hidden="1" customHeight="1" x14ac:dyDescent="0.2"/>
    <row r="42154" ht="12.75" hidden="1" customHeight="1" x14ac:dyDescent="0.2"/>
    <row r="42155" ht="12.75" hidden="1" customHeight="1" x14ac:dyDescent="0.2"/>
    <row r="42156" ht="12.75" hidden="1" customHeight="1" x14ac:dyDescent="0.2"/>
    <row r="42157" ht="12.75" hidden="1" customHeight="1" x14ac:dyDescent="0.2"/>
    <row r="42158" ht="12.75" hidden="1" customHeight="1" x14ac:dyDescent="0.2"/>
    <row r="42159" ht="12.75" hidden="1" customHeight="1" x14ac:dyDescent="0.2"/>
    <row r="42160" ht="12.75" hidden="1" customHeight="1" x14ac:dyDescent="0.2"/>
    <row r="42161" ht="12.75" hidden="1" customHeight="1" x14ac:dyDescent="0.2"/>
    <row r="42162" ht="12.75" hidden="1" customHeight="1" x14ac:dyDescent="0.2"/>
    <row r="42163" ht="12.75" hidden="1" customHeight="1" x14ac:dyDescent="0.2"/>
    <row r="42164" ht="12.75" hidden="1" customHeight="1" x14ac:dyDescent="0.2"/>
    <row r="42165" ht="12.75" hidden="1" customHeight="1" x14ac:dyDescent="0.2"/>
    <row r="42166" ht="12.75" hidden="1" customHeight="1" x14ac:dyDescent="0.2"/>
    <row r="42167" ht="12.75" hidden="1" customHeight="1" x14ac:dyDescent="0.2"/>
    <row r="42168" ht="12.75" hidden="1" customHeight="1" x14ac:dyDescent="0.2"/>
    <row r="42169" ht="12.75" hidden="1" customHeight="1" x14ac:dyDescent="0.2"/>
    <row r="42170" ht="12.75" hidden="1" customHeight="1" x14ac:dyDescent="0.2"/>
    <row r="42171" ht="12.75" hidden="1" customHeight="1" x14ac:dyDescent="0.2"/>
    <row r="42172" ht="12.75" hidden="1" customHeight="1" x14ac:dyDescent="0.2"/>
    <row r="42173" ht="12.75" hidden="1" customHeight="1" x14ac:dyDescent="0.2"/>
    <row r="42174" ht="12.75" hidden="1" customHeight="1" x14ac:dyDescent="0.2"/>
    <row r="42175" ht="12.75" hidden="1" customHeight="1" x14ac:dyDescent="0.2"/>
    <row r="42176" ht="12.75" hidden="1" customHeight="1" x14ac:dyDescent="0.2"/>
    <row r="42177" ht="12.75" hidden="1" customHeight="1" x14ac:dyDescent="0.2"/>
    <row r="42178" ht="12.75" hidden="1" customHeight="1" x14ac:dyDescent="0.2"/>
    <row r="42179" ht="12.75" hidden="1" customHeight="1" x14ac:dyDescent="0.2"/>
    <row r="42180" ht="12.75" hidden="1" customHeight="1" x14ac:dyDescent="0.2"/>
    <row r="42181" ht="12.75" hidden="1" customHeight="1" x14ac:dyDescent="0.2"/>
    <row r="42182" ht="12.75" hidden="1" customHeight="1" x14ac:dyDescent="0.2"/>
    <row r="42183" ht="12.75" hidden="1" customHeight="1" x14ac:dyDescent="0.2"/>
    <row r="42184" ht="12.75" hidden="1" customHeight="1" x14ac:dyDescent="0.2"/>
    <row r="42185" ht="12.75" hidden="1" customHeight="1" x14ac:dyDescent="0.2"/>
    <row r="42186" ht="12.75" hidden="1" customHeight="1" x14ac:dyDescent="0.2"/>
    <row r="42187" ht="12.75" hidden="1" customHeight="1" x14ac:dyDescent="0.2"/>
    <row r="42188" ht="12.75" hidden="1" customHeight="1" x14ac:dyDescent="0.2"/>
    <row r="42189" ht="12.75" hidden="1" customHeight="1" x14ac:dyDescent="0.2"/>
    <row r="42190" ht="12.75" hidden="1" customHeight="1" x14ac:dyDescent="0.2"/>
    <row r="42191" ht="12.75" hidden="1" customHeight="1" x14ac:dyDescent="0.2"/>
    <row r="42192" ht="12.75" hidden="1" customHeight="1" x14ac:dyDescent="0.2"/>
    <row r="42193" ht="12.75" hidden="1" customHeight="1" x14ac:dyDescent="0.2"/>
    <row r="42194" ht="12.75" hidden="1" customHeight="1" x14ac:dyDescent="0.2"/>
    <row r="42195" ht="12.75" hidden="1" customHeight="1" x14ac:dyDescent="0.2"/>
    <row r="42196" ht="12.75" hidden="1" customHeight="1" x14ac:dyDescent="0.2"/>
    <row r="42197" ht="12.75" hidden="1" customHeight="1" x14ac:dyDescent="0.2"/>
    <row r="42198" ht="12.75" hidden="1" customHeight="1" x14ac:dyDescent="0.2"/>
    <row r="42199" ht="12.75" hidden="1" customHeight="1" x14ac:dyDescent="0.2"/>
    <row r="42200" ht="12.75" hidden="1" customHeight="1" x14ac:dyDescent="0.2"/>
    <row r="42201" ht="12.75" hidden="1" customHeight="1" x14ac:dyDescent="0.2"/>
    <row r="42202" ht="12.75" hidden="1" customHeight="1" x14ac:dyDescent="0.2"/>
    <row r="42203" ht="12.75" hidden="1" customHeight="1" x14ac:dyDescent="0.2"/>
    <row r="42204" ht="12.75" hidden="1" customHeight="1" x14ac:dyDescent="0.2"/>
    <row r="42205" ht="12.75" hidden="1" customHeight="1" x14ac:dyDescent="0.2"/>
    <row r="42206" ht="12.75" hidden="1" customHeight="1" x14ac:dyDescent="0.2"/>
    <row r="42207" ht="12.75" hidden="1" customHeight="1" x14ac:dyDescent="0.2"/>
    <row r="42208" ht="12.75" hidden="1" customHeight="1" x14ac:dyDescent="0.2"/>
    <row r="42209" ht="12.75" hidden="1" customHeight="1" x14ac:dyDescent="0.2"/>
    <row r="42210" ht="12.75" hidden="1" customHeight="1" x14ac:dyDescent="0.2"/>
    <row r="42211" ht="12.75" hidden="1" customHeight="1" x14ac:dyDescent="0.2"/>
    <row r="42212" ht="12.75" hidden="1" customHeight="1" x14ac:dyDescent="0.2"/>
    <row r="42213" ht="12.75" hidden="1" customHeight="1" x14ac:dyDescent="0.2"/>
    <row r="42214" ht="12.75" hidden="1" customHeight="1" x14ac:dyDescent="0.2"/>
    <row r="42215" ht="12.75" hidden="1" customHeight="1" x14ac:dyDescent="0.2"/>
    <row r="42216" ht="12.75" hidden="1" customHeight="1" x14ac:dyDescent="0.2"/>
    <row r="42217" ht="12.75" hidden="1" customHeight="1" x14ac:dyDescent="0.2"/>
    <row r="42218" ht="12.75" hidden="1" customHeight="1" x14ac:dyDescent="0.2"/>
    <row r="42219" ht="12.75" hidden="1" customHeight="1" x14ac:dyDescent="0.2"/>
    <row r="42220" ht="12.75" hidden="1" customHeight="1" x14ac:dyDescent="0.2"/>
    <row r="42221" ht="12.75" hidden="1" customHeight="1" x14ac:dyDescent="0.2"/>
    <row r="42222" ht="12.75" hidden="1" customHeight="1" x14ac:dyDescent="0.2"/>
    <row r="42223" ht="12.75" hidden="1" customHeight="1" x14ac:dyDescent="0.2"/>
    <row r="42224" ht="12.75" hidden="1" customHeight="1" x14ac:dyDescent="0.2"/>
    <row r="42225" ht="12.75" hidden="1" customHeight="1" x14ac:dyDescent="0.2"/>
    <row r="42226" ht="12.75" hidden="1" customHeight="1" x14ac:dyDescent="0.2"/>
    <row r="42227" ht="12.75" hidden="1" customHeight="1" x14ac:dyDescent="0.2"/>
    <row r="42228" ht="12.75" hidden="1" customHeight="1" x14ac:dyDescent="0.2"/>
    <row r="42229" ht="12.75" hidden="1" customHeight="1" x14ac:dyDescent="0.2"/>
    <row r="42230" ht="12.75" hidden="1" customHeight="1" x14ac:dyDescent="0.2"/>
    <row r="42231" ht="12.75" hidden="1" customHeight="1" x14ac:dyDescent="0.2"/>
    <row r="42232" ht="12.75" hidden="1" customHeight="1" x14ac:dyDescent="0.2"/>
    <row r="42233" ht="12.75" hidden="1" customHeight="1" x14ac:dyDescent="0.2"/>
    <row r="42234" ht="12.75" hidden="1" customHeight="1" x14ac:dyDescent="0.2"/>
    <row r="42235" ht="12.75" hidden="1" customHeight="1" x14ac:dyDescent="0.2"/>
    <row r="42236" ht="12.75" hidden="1" customHeight="1" x14ac:dyDescent="0.2"/>
    <row r="42237" ht="12.75" hidden="1" customHeight="1" x14ac:dyDescent="0.2"/>
    <row r="42238" ht="12.75" hidden="1" customHeight="1" x14ac:dyDescent="0.2"/>
    <row r="42239" ht="12.75" hidden="1" customHeight="1" x14ac:dyDescent="0.2"/>
    <row r="42240" ht="12.75" hidden="1" customHeight="1" x14ac:dyDescent="0.2"/>
    <row r="42241" ht="12.75" hidden="1" customHeight="1" x14ac:dyDescent="0.2"/>
    <row r="42242" ht="12.75" hidden="1" customHeight="1" x14ac:dyDescent="0.2"/>
    <row r="42243" ht="12.75" hidden="1" customHeight="1" x14ac:dyDescent="0.2"/>
    <row r="42244" ht="12.75" hidden="1" customHeight="1" x14ac:dyDescent="0.2"/>
    <row r="42245" ht="12.75" hidden="1" customHeight="1" x14ac:dyDescent="0.2"/>
    <row r="42246" ht="12.75" hidden="1" customHeight="1" x14ac:dyDescent="0.2"/>
    <row r="42247" ht="12.75" hidden="1" customHeight="1" x14ac:dyDescent="0.2"/>
    <row r="42248" ht="12.75" hidden="1" customHeight="1" x14ac:dyDescent="0.2"/>
    <row r="42249" ht="12.75" hidden="1" customHeight="1" x14ac:dyDescent="0.2"/>
    <row r="42250" ht="12.75" hidden="1" customHeight="1" x14ac:dyDescent="0.2"/>
    <row r="42251" ht="12.75" hidden="1" customHeight="1" x14ac:dyDescent="0.2"/>
    <row r="42252" ht="12.75" hidden="1" customHeight="1" x14ac:dyDescent="0.2"/>
    <row r="42253" ht="12.75" hidden="1" customHeight="1" x14ac:dyDescent="0.2"/>
    <row r="42254" ht="12.75" hidden="1" customHeight="1" x14ac:dyDescent="0.2"/>
    <row r="42255" ht="12.75" hidden="1" customHeight="1" x14ac:dyDescent="0.2"/>
    <row r="42256" ht="12.75" hidden="1" customHeight="1" x14ac:dyDescent="0.2"/>
    <row r="42257" ht="12.75" hidden="1" customHeight="1" x14ac:dyDescent="0.2"/>
    <row r="42258" ht="12.75" hidden="1" customHeight="1" x14ac:dyDescent="0.2"/>
    <row r="42259" ht="12.75" hidden="1" customHeight="1" x14ac:dyDescent="0.2"/>
    <row r="42260" ht="12.75" hidden="1" customHeight="1" x14ac:dyDescent="0.2"/>
    <row r="42261" ht="12.75" hidden="1" customHeight="1" x14ac:dyDescent="0.2"/>
    <row r="42262" ht="12.75" hidden="1" customHeight="1" x14ac:dyDescent="0.2"/>
    <row r="42263" ht="12.75" hidden="1" customHeight="1" x14ac:dyDescent="0.2"/>
    <row r="42264" ht="12.75" hidden="1" customHeight="1" x14ac:dyDescent="0.2"/>
    <row r="42265" ht="12.75" hidden="1" customHeight="1" x14ac:dyDescent="0.2"/>
    <row r="42266" ht="12.75" hidden="1" customHeight="1" x14ac:dyDescent="0.2"/>
    <row r="42267" ht="12.75" hidden="1" customHeight="1" x14ac:dyDescent="0.2"/>
    <row r="42268" ht="12.75" hidden="1" customHeight="1" x14ac:dyDescent="0.2"/>
    <row r="42269" ht="12.75" hidden="1" customHeight="1" x14ac:dyDescent="0.2"/>
    <row r="42270" ht="12.75" hidden="1" customHeight="1" x14ac:dyDescent="0.2"/>
    <row r="42271" ht="12.75" hidden="1" customHeight="1" x14ac:dyDescent="0.2"/>
    <row r="42272" ht="12.75" hidden="1" customHeight="1" x14ac:dyDescent="0.2"/>
    <row r="42273" ht="12.75" hidden="1" customHeight="1" x14ac:dyDescent="0.2"/>
    <row r="42274" ht="12.75" hidden="1" customHeight="1" x14ac:dyDescent="0.2"/>
    <row r="42275" ht="12.75" hidden="1" customHeight="1" x14ac:dyDescent="0.2"/>
    <row r="42276" ht="12.75" hidden="1" customHeight="1" x14ac:dyDescent="0.2"/>
    <row r="42277" ht="12.75" hidden="1" customHeight="1" x14ac:dyDescent="0.2"/>
    <row r="42278" ht="12.75" hidden="1" customHeight="1" x14ac:dyDescent="0.2"/>
    <row r="42279" ht="12.75" hidden="1" customHeight="1" x14ac:dyDescent="0.2"/>
    <row r="42280" ht="12.75" hidden="1" customHeight="1" x14ac:dyDescent="0.2"/>
    <row r="42281" ht="12.75" hidden="1" customHeight="1" x14ac:dyDescent="0.2"/>
    <row r="42282" ht="12.75" hidden="1" customHeight="1" x14ac:dyDescent="0.2"/>
    <row r="42283" ht="12.75" hidden="1" customHeight="1" x14ac:dyDescent="0.2"/>
    <row r="42284" ht="12.75" hidden="1" customHeight="1" x14ac:dyDescent="0.2"/>
    <row r="42285" ht="12.75" hidden="1" customHeight="1" x14ac:dyDescent="0.2"/>
    <row r="42286" ht="12.75" hidden="1" customHeight="1" x14ac:dyDescent="0.2"/>
    <row r="42287" ht="12.75" hidden="1" customHeight="1" x14ac:dyDescent="0.2"/>
    <row r="42288" ht="12.75" hidden="1" customHeight="1" x14ac:dyDescent="0.2"/>
    <row r="42289" ht="12.75" hidden="1" customHeight="1" x14ac:dyDescent="0.2"/>
    <row r="42290" ht="12.75" hidden="1" customHeight="1" x14ac:dyDescent="0.2"/>
    <row r="42291" ht="12.75" hidden="1" customHeight="1" x14ac:dyDescent="0.2"/>
    <row r="42292" ht="12.75" hidden="1" customHeight="1" x14ac:dyDescent="0.2"/>
    <row r="42293" ht="12.75" hidden="1" customHeight="1" x14ac:dyDescent="0.2"/>
    <row r="42294" ht="12.75" hidden="1" customHeight="1" x14ac:dyDescent="0.2"/>
    <row r="42295" ht="12.75" hidden="1" customHeight="1" x14ac:dyDescent="0.2"/>
    <row r="42296" ht="12.75" hidden="1" customHeight="1" x14ac:dyDescent="0.2"/>
    <row r="42297" ht="12.75" hidden="1" customHeight="1" x14ac:dyDescent="0.2"/>
    <row r="42298" ht="12.75" hidden="1" customHeight="1" x14ac:dyDescent="0.2"/>
    <row r="42299" ht="12.75" hidden="1" customHeight="1" x14ac:dyDescent="0.2"/>
    <row r="42300" ht="12.75" hidden="1" customHeight="1" x14ac:dyDescent="0.2"/>
    <row r="42301" ht="12.75" hidden="1" customHeight="1" x14ac:dyDescent="0.2"/>
    <row r="42302" ht="12.75" hidden="1" customHeight="1" x14ac:dyDescent="0.2"/>
    <row r="42303" ht="12.75" hidden="1" customHeight="1" x14ac:dyDescent="0.2"/>
    <row r="42304" ht="12.75" hidden="1" customHeight="1" x14ac:dyDescent="0.2"/>
    <row r="42305" ht="12.75" hidden="1" customHeight="1" x14ac:dyDescent="0.2"/>
    <row r="42306" ht="12.75" hidden="1" customHeight="1" x14ac:dyDescent="0.2"/>
    <row r="42307" ht="12.75" hidden="1" customHeight="1" x14ac:dyDescent="0.2"/>
    <row r="42308" ht="12.75" hidden="1" customHeight="1" x14ac:dyDescent="0.2"/>
    <row r="42309" ht="12.75" hidden="1" customHeight="1" x14ac:dyDescent="0.2"/>
    <row r="42310" ht="12.75" hidden="1" customHeight="1" x14ac:dyDescent="0.2"/>
    <row r="42311" ht="12.75" hidden="1" customHeight="1" x14ac:dyDescent="0.2"/>
    <row r="42312" ht="12.75" hidden="1" customHeight="1" x14ac:dyDescent="0.2"/>
    <row r="42313" ht="12.75" hidden="1" customHeight="1" x14ac:dyDescent="0.2"/>
    <row r="42314" ht="12.75" hidden="1" customHeight="1" x14ac:dyDescent="0.2"/>
    <row r="42315" ht="12.75" hidden="1" customHeight="1" x14ac:dyDescent="0.2"/>
    <row r="42316" ht="12.75" hidden="1" customHeight="1" x14ac:dyDescent="0.2"/>
    <row r="42317" ht="12.75" hidden="1" customHeight="1" x14ac:dyDescent="0.2"/>
    <row r="42318" ht="12.75" hidden="1" customHeight="1" x14ac:dyDescent="0.2"/>
    <row r="42319" ht="12.75" hidden="1" customHeight="1" x14ac:dyDescent="0.2"/>
    <row r="42320" ht="12.75" hidden="1" customHeight="1" x14ac:dyDescent="0.2"/>
    <row r="42321" ht="12.75" hidden="1" customHeight="1" x14ac:dyDescent="0.2"/>
    <row r="42322" ht="12.75" hidden="1" customHeight="1" x14ac:dyDescent="0.2"/>
    <row r="42323" ht="12.75" hidden="1" customHeight="1" x14ac:dyDescent="0.2"/>
    <row r="42324" ht="12.75" hidden="1" customHeight="1" x14ac:dyDescent="0.2"/>
    <row r="42325" ht="12.75" hidden="1" customHeight="1" x14ac:dyDescent="0.2"/>
    <row r="42326" ht="12.75" hidden="1" customHeight="1" x14ac:dyDescent="0.2"/>
    <row r="42327" ht="12.75" hidden="1" customHeight="1" x14ac:dyDescent="0.2"/>
    <row r="42328" ht="12.75" hidden="1" customHeight="1" x14ac:dyDescent="0.2"/>
    <row r="42329" ht="12.75" hidden="1" customHeight="1" x14ac:dyDescent="0.2"/>
    <row r="42330" ht="12.75" hidden="1" customHeight="1" x14ac:dyDescent="0.2"/>
    <row r="42331" ht="12.75" hidden="1" customHeight="1" x14ac:dyDescent="0.2"/>
    <row r="42332" ht="12.75" hidden="1" customHeight="1" x14ac:dyDescent="0.2"/>
    <row r="42333" ht="12.75" hidden="1" customHeight="1" x14ac:dyDescent="0.2"/>
    <row r="42334" ht="12.75" hidden="1" customHeight="1" x14ac:dyDescent="0.2"/>
    <row r="42335" ht="12.75" hidden="1" customHeight="1" x14ac:dyDescent="0.2"/>
    <row r="42336" ht="12.75" hidden="1" customHeight="1" x14ac:dyDescent="0.2"/>
    <row r="42337" ht="12.75" hidden="1" customHeight="1" x14ac:dyDescent="0.2"/>
    <row r="42338" ht="12.75" hidden="1" customHeight="1" x14ac:dyDescent="0.2"/>
    <row r="42339" ht="12.75" hidden="1" customHeight="1" x14ac:dyDescent="0.2"/>
    <row r="42340" ht="12.75" hidden="1" customHeight="1" x14ac:dyDescent="0.2"/>
    <row r="42341" ht="12.75" hidden="1" customHeight="1" x14ac:dyDescent="0.2"/>
    <row r="42342" ht="12.75" hidden="1" customHeight="1" x14ac:dyDescent="0.2"/>
    <row r="42343" ht="12.75" hidden="1" customHeight="1" x14ac:dyDescent="0.2"/>
    <row r="42344" ht="12.75" hidden="1" customHeight="1" x14ac:dyDescent="0.2"/>
    <row r="42345" ht="12.75" hidden="1" customHeight="1" x14ac:dyDescent="0.2"/>
    <row r="42346" ht="12.75" hidden="1" customHeight="1" x14ac:dyDescent="0.2"/>
    <row r="42347" ht="12.75" hidden="1" customHeight="1" x14ac:dyDescent="0.2"/>
    <row r="42348" ht="12.75" hidden="1" customHeight="1" x14ac:dyDescent="0.2"/>
    <row r="42349" ht="12.75" hidden="1" customHeight="1" x14ac:dyDescent="0.2"/>
    <row r="42350" ht="12.75" hidden="1" customHeight="1" x14ac:dyDescent="0.2"/>
    <row r="42351" ht="12.75" hidden="1" customHeight="1" x14ac:dyDescent="0.2"/>
    <row r="42352" ht="12.75" hidden="1" customHeight="1" x14ac:dyDescent="0.2"/>
    <row r="42353" ht="12.75" hidden="1" customHeight="1" x14ac:dyDescent="0.2"/>
    <row r="42354" ht="12.75" hidden="1" customHeight="1" x14ac:dyDescent="0.2"/>
    <row r="42355" ht="12.75" hidden="1" customHeight="1" x14ac:dyDescent="0.2"/>
    <row r="42356" ht="12.75" hidden="1" customHeight="1" x14ac:dyDescent="0.2"/>
    <row r="42357" ht="12.75" hidden="1" customHeight="1" x14ac:dyDescent="0.2"/>
    <row r="42358" ht="12.75" hidden="1" customHeight="1" x14ac:dyDescent="0.2"/>
    <row r="42359" ht="12.75" hidden="1" customHeight="1" x14ac:dyDescent="0.2"/>
    <row r="42360" ht="12.75" hidden="1" customHeight="1" x14ac:dyDescent="0.2"/>
    <row r="42361" ht="12.75" hidden="1" customHeight="1" x14ac:dyDescent="0.2"/>
    <row r="42362" ht="12.75" hidden="1" customHeight="1" x14ac:dyDescent="0.2"/>
    <row r="42363" ht="12.75" hidden="1" customHeight="1" x14ac:dyDescent="0.2"/>
    <row r="42364" ht="12.75" hidden="1" customHeight="1" x14ac:dyDescent="0.2"/>
    <row r="42365" ht="12.75" hidden="1" customHeight="1" x14ac:dyDescent="0.2"/>
    <row r="42366" ht="12.75" hidden="1" customHeight="1" x14ac:dyDescent="0.2"/>
    <row r="42367" ht="12.75" hidden="1" customHeight="1" x14ac:dyDescent="0.2"/>
    <row r="42368" ht="12.75" hidden="1" customHeight="1" x14ac:dyDescent="0.2"/>
    <row r="42369" ht="12.75" hidden="1" customHeight="1" x14ac:dyDescent="0.2"/>
    <row r="42370" ht="12.75" hidden="1" customHeight="1" x14ac:dyDescent="0.2"/>
    <row r="42371" ht="12.75" hidden="1" customHeight="1" x14ac:dyDescent="0.2"/>
    <row r="42372" ht="12.75" hidden="1" customHeight="1" x14ac:dyDescent="0.2"/>
    <row r="42373" ht="12.75" hidden="1" customHeight="1" x14ac:dyDescent="0.2"/>
    <row r="42374" ht="12.75" hidden="1" customHeight="1" x14ac:dyDescent="0.2"/>
    <row r="42375" ht="12.75" hidden="1" customHeight="1" x14ac:dyDescent="0.2"/>
    <row r="42376" ht="12.75" hidden="1" customHeight="1" x14ac:dyDescent="0.2"/>
    <row r="42377" ht="12.75" hidden="1" customHeight="1" x14ac:dyDescent="0.2"/>
    <row r="42378" ht="12.75" hidden="1" customHeight="1" x14ac:dyDescent="0.2"/>
    <row r="42379" ht="12.75" hidden="1" customHeight="1" x14ac:dyDescent="0.2"/>
    <row r="42380" ht="12.75" hidden="1" customHeight="1" x14ac:dyDescent="0.2"/>
    <row r="42381" ht="12.75" hidden="1" customHeight="1" x14ac:dyDescent="0.2"/>
    <row r="42382" ht="12.75" hidden="1" customHeight="1" x14ac:dyDescent="0.2"/>
    <row r="42383" ht="12.75" hidden="1" customHeight="1" x14ac:dyDescent="0.2"/>
    <row r="42384" ht="12.75" hidden="1" customHeight="1" x14ac:dyDescent="0.2"/>
    <row r="42385" ht="12.75" hidden="1" customHeight="1" x14ac:dyDescent="0.2"/>
    <row r="42386" ht="12.75" hidden="1" customHeight="1" x14ac:dyDescent="0.2"/>
    <row r="42387" ht="12.75" hidden="1" customHeight="1" x14ac:dyDescent="0.2"/>
    <row r="42388" ht="12.75" hidden="1" customHeight="1" x14ac:dyDescent="0.2"/>
    <row r="42389" ht="12.75" hidden="1" customHeight="1" x14ac:dyDescent="0.2"/>
    <row r="42390" ht="12.75" hidden="1" customHeight="1" x14ac:dyDescent="0.2"/>
    <row r="42391" ht="12.75" hidden="1" customHeight="1" x14ac:dyDescent="0.2"/>
    <row r="42392" ht="12.75" hidden="1" customHeight="1" x14ac:dyDescent="0.2"/>
    <row r="42393" ht="12.75" hidden="1" customHeight="1" x14ac:dyDescent="0.2"/>
    <row r="42394" ht="12.75" hidden="1" customHeight="1" x14ac:dyDescent="0.2"/>
    <row r="42395" ht="12.75" hidden="1" customHeight="1" x14ac:dyDescent="0.2"/>
    <row r="42396" ht="12.75" hidden="1" customHeight="1" x14ac:dyDescent="0.2"/>
    <row r="42397" ht="12.75" hidden="1" customHeight="1" x14ac:dyDescent="0.2"/>
    <row r="42398" ht="12.75" hidden="1" customHeight="1" x14ac:dyDescent="0.2"/>
    <row r="42399" ht="12.75" hidden="1" customHeight="1" x14ac:dyDescent="0.2"/>
    <row r="42400" ht="12.75" hidden="1" customHeight="1" x14ac:dyDescent="0.2"/>
    <row r="42401" ht="12.75" hidden="1" customHeight="1" x14ac:dyDescent="0.2"/>
    <row r="42402" ht="12.75" hidden="1" customHeight="1" x14ac:dyDescent="0.2"/>
    <row r="42403" ht="12.75" hidden="1" customHeight="1" x14ac:dyDescent="0.2"/>
    <row r="42404" ht="12.75" hidden="1" customHeight="1" x14ac:dyDescent="0.2"/>
    <row r="42405" ht="12.75" hidden="1" customHeight="1" x14ac:dyDescent="0.2"/>
    <row r="42406" ht="12.75" hidden="1" customHeight="1" x14ac:dyDescent="0.2"/>
    <row r="42407" ht="12.75" hidden="1" customHeight="1" x14ac:dyDescent="0.2"/>
    <row r="42408" ht="12.75" hidden="1" customHeight="1" x14ac:dyDescent="0.2"/>
    <row r="42409" ht="12.75" hidden="1" customHeight="1" x14ac:dyDescent="0.2"/>
    <row r="42410" ht="12.75" hidden="1" customHeight="1" x14ac:dyDescent="0.2"/>
    <row r="42411" ht="12.75" hidden="1" customHeight="1" x14ac:dyDescent="0.2"/>
    <row r="42412" ht="12.75" hidden="1" customHeight="1" x14ac:dyDescent="0.2"/>
    <row r="42413" ht="12.75" hidden="1" customHeight="1" x14ac:dyDescent="0.2"/>
    <row r="42414" ht="12.75" hidden="1" customHeight="1" x14ac:dyDescent="0.2"/>
    <row r="42415" ht="12.75" hidden="1" customHeight="1" x14ac:dyDescent="0.2"/>
    <row r="42416" ht="12.75" hidden="1" customHeight="1" x14ac:dyDescent="0.2"/>
    <row r="42417" ht="12.75" hidden="1" customHeight="1" x14ac:dyDescent="0.2"/>
    <row r="42418" ht="12.75" hidden="1" customHeight="1" x14ac:dyDescent="0.2"/>
    <row r="42419" ht="12.75" hidden="1" customHeight="1" x14ac:dyDescent="0.2"/>
    <row r="42420" ht="12.75" hidden="1" customHeight="1" x14ac:dyDescent="0.2"/>
    <row r="42421" ht="12.75" hidden="1" customHeight="1" x14ac:dyDescent="0.2"/>
    <row r="42422" ht="12.75" hidden="1" customHeight="1" x14ac:dyDescent="0.2"/>
    <row r="42423" ht="12.75" hidden="1" customHeight="1" x14ac:dyDescent="0.2"/>
    <row r="42424" ht="12.75" hidden="1" customHeight="1" x14ac:dyDescent="0.2"/>
    <row r="42425" ht="12.75" hidden="1" customHeight="1" x14ac:dyDescent="0.2"/>
    <row r="42426" ht="12.75" hidden="1" customHeight="1" x14ac:dyDescent="0.2"/>
    <row r="42427" ht="12.75" hidden="1" customHeight="1" x14ac:dyDescent="0.2"/>
    <row r="42428" ht="12.75" hidden="1" customHeight="1" x14ac:dyDescent="0.2"/>
    <row r="42429" ht="12.75" hidden="1" customHeight="1" x14ac:dyDescent="0.2"/>
    <row r="42430" ht="12.75" hidden="1" customHeight="1" x14ac:dyDescent="0.2"/>
    <row r="42431" ht="12.75" hidden="1" customHeight="1" x14ac:dyDescent="0.2"/>
    <row r="42432" ht="12.75" hidden="1" customHeight="1" x14ac:dyDescent="0.2"/>
    <row r="42433" ht="12.75" hidden="1" customHeight="1" x14ac:dyDescent="0.2"/>
    <row r="42434" ht="12.75" hidden="1" customHeight="1" x14ac:dyDescent="0.2"/>
    <row r="42435" ht="12.75" hidden="1" customHeight="1" x14ac:dyDescent="0.2"/>
    <row r="42436" ht="12.75" hidden="1" customHeight="1" x14ac:dyDescent="0.2"/>
    <row r="42437" ht="12.75" hidden="1" customHeight="1" x14ac:dyDescent="0.2"/>
    <row r="42438" ht="12.75" hidden="1" customHeight="1" x14ac:dyDescent="0.2"/>
    <row r="42439" ht="12.75" hidden="1" customHeight="1" x14ac:dyDescent="0.2"/>
    <row r="42440" ht="12.75" hidden="1" customHeight="1" x14ac:dyDescent="0.2"/>
    <row r="42441" ht="12.75" hidden="1" customHeight="1" x14ac:dyDescent="0.2"/>
    <row r="42442" ht="12.75" hidden="1" customHeight="1" x14ac:dyDescent="0.2"/>
    <row r="42443" ht="12.75" hidden="1" customHeight="1" x14ac:dyDescent="0.2"/>
    <row r="42444" ht="12.75" hidden="1" customHeight="1" x14ac:dyDescent="0.2"/>
    <row r="42445" ht="12.75" hidden="1" customHeight="1" x14ac:dyDescent="0.2"/>
    <row r="42446" ht="12.75" hidden="1" customHeight="1" x14ac:dyDescent="0.2"/>
    <row r="42447" ht="12.75" hidden="1" customHeight="1" x14ac:dyDescent="0.2"/>
    <row r="42448" ht="12.75" hidden="1" customHeight="1" x14ac:dyDescent="0.2"/>
    <row r="42449" ht="12.75" hidden="1" customHeight="1" x14ac:dyDescent="0.2"/>
    <row r="42450" ht="12.75" hidden="1" customHeight="1" x14ac:dyDescent="0.2"/>
    <row r="42451" ht="12.75" hidden="1" customHeight="1" x14ac:dyDescent="0.2"/>
    <row r="42452" ht="12.75" hidden="1" customHeight="1" x14ac:dyDescent="0.2"/>
    <row r="42453" ht="12.75" hidden="1" customHeight="1" x14ac:dyDescent="0.2"/>
    <row r="42454" ht="12.75" hidden="1" customHeight="1" x14ac:dyDescent="0.2"/>
    <row r="42455" ht="12.75" hidden="1" customHeight="1" x14ac:dyDescent="0.2"/>
    <row r="42456" ht="12.75" hidden="1" customHeight="1" x14ac:dyDescent="0.2"/>
    <row r="42457" ht="12.75" hidden="1" customHeight="1" x14ac:dyDescent="0.2"/>
    <row r="42458" ht="12.75" hidden="1" customHeight="1" x14ac:dyDescent="0.2"/>
    <row r="42459" ht="12.75" hidden="1" customHeight="1" x14ac:dyDescent="0.2"/>
    <row r="42460" ht="12.75" hidden="1" customHeight="1" x14ac:dyDescent="0.2"/>
    <row r="42461" ht="12.75" hidden="1" customHeight="1" x14ac:dyDescent="0.2"/>
    <row r="42462" ht="12.75" hidden="1" customHeight="1" x14ac:dyDescent="0.2"/>
    <row r="42463" ht="12.75" hidden="1" customHeight="1" x14ac:dyDescent="0.2"/>
    <row r="42464" ht="12.75" hidden="1" customHeight="1" x14ac:dyDescent="0.2"/>
    <row r="42465" ht="12.75" hidden="1" customHeight="1" x14ac:dyDescent="0.2"/>
    <row r="42466" ht="12.75" hidden="1" customHeight="1" x14ac:dyDescent="0.2"/>
    <row r="42467" ht="12.75" hidden="1" customHeight="1" x14ac:dyDescent="0.2"/>
    <row r="42468" ht="12.75" hidden="1" customHeight="1" x14ac:dyDescent="0.2"/>
    <row r="42469" ht="12.75" hidden="1" customHeight="1" x14ac:dyDescent="0.2"/>
    <row r="42470" ht="12.75" hidden="1" customHeight="1" x14ac:dyDescent="0.2"/>
    <row r="42471" ht="12.75" hidden="1" customHeight="1" x14ac:dyDescent="0.2"/>
    <row r="42472" ht="12.75" hidden="1" customHeight="1" x14ac:dyDescent="0.2"/>
    <row r="42473" ht="12.75" hidden="1" customHeight="1" x14ac:dyDescent="0.2"/>
    <row r="42474" ht="12.75" hidden="1" customHeight="1" x14ac:dyDescent="0.2"/>
    <row r="42475" ht="12.75" hidden="1" customHeight="1" x14ac:dyDescent="0.2"/>
    <row r="42476" ht="12.75" hidden="1" customHeight="1" x14ac:dyDescent="0.2"/>
    <row r="42477" ht="12.75" hidden="1" customHeight="1" x14ac:dyDescent="0.2"/>
    <row r="42478" ht="12.75" hidden="1" customHeight="1" x14ac:dyDescent="0.2"/>
    <row r="42479" ht="12.75" hidden="1" customHeight="1" x14ac:dyDescent="0.2"/>
    <row r="42480" ht="12.75" hidden="1" customHeight="1" x14ac:dyDescent="0.2"/>
    <row r="42481" ht="12.75" hidden="1" customHeight="1" x14ac:dyDescent="0.2"/>
    <row r="42482" ht="12.75" hidden="1" customHeight="1" x14ac:dyDescent="0.2"/>
    <row r="42483" ht="12.75" hidden="1" customHeight="1" x14ac:dyDescent="0.2"/>
    <row r="42484" ht="12.75" hidden="1" customHeight="1" x14ac:dyDescent="0.2"/>
    <row r="42485" ht="12.75" hidden="1" customHeight="1" x14ac:dyDescent="0.2"/>
    <row r="42486" ht="12.75" hidden="1" customHeight="1" x14ac:dyDescent="0.2"/>
    <row r="42487" ht="12.75" hidden="1" customHeight="1" x14ac:dyDescent="0.2"/>
    <row r="42488" ht="12.75" hidden="1" customHeight="1" x14ac:dyDescent="0.2"/>
    <row r="42489" ht="12.75" hidden="1" customHeight="1" x14ac:dyDescent="0.2"/>
    <row r="42490" ht="12.75" hidden="1" customHeight="1" x14ac:dyDescent="0.2"/>
    <row r="42491" ht="12.75" hidden="1" customHeight="1" x14ac:dyDescent="0.2"/>
    <row r="42492" ht="12.75" hidden="1" customHeight="1" x14ac:dyDescent="0.2"/>
    <row r="42493" ht="12.75" hidden="1" customHeight="1" x14ac:dyDescent="0.2"/>
    <row r="42494" ht="12.75" hidden="1" customHeight="1" x14ac:dyDescent="0.2"/>
    <row r="42495" ht="12.75" hidden="1" customHeight="1" x14ac:dyDescent="0.2"/>
    <row r="42496" ht="12.75" hidden="1" customHeight="1" x14ac:dyDescent="0.2"/>
    <row r="42497" ht="12.75" hidden="1" customHeight="1" x14ac:dyDescent="0.2"/>
    <row r="42498" ht="12.75" hidden="1" customHeight="1" x14ac:dyDescent="0.2"/>
    <row r="42499" ht="12.75" hidden="1" customHeight="1" x14ac:dyDescent="0.2"/>
    <row r="42500" ht="12.75" hidden="1" customHeight="1" x14ac:dyDescent="0.2"/>
    <row r="42501" ht="12.75" hidden="1" customHeight="1" x14ac:dyDescent="0.2"/>
    <row r="42502" ht="12.75" hidden="1" customHeight="1" x14ac:dyDescent="0.2"/>
    <row r="42503" ht="12.75" hidden="1" customHeight="1" x14ac:dyDescent="0.2"/>
    <row r="42504" ht="12.75" hidden="1" customHeight="1" x14ac:dyDescent="0.2"/>
    <row r="42505" ht="12.75" hidden="1" customHeight="1" x14ac:dyDescent="0.2"/>
    <row r="42506" ht="12.75" hidden="1" customHeight="1" x14ac:dyDescent="0.2"/>
    <row r="42507" ht="12.75" hidden="1" customHeight="1" x14ac:dyDescent="0.2"/>
    <row r="42508" ht="12.75" hidden="1" customHeight="1" x14ac:dyDescent="0.2"/>
    <row r="42509" ht="12.75" hidden="1" customHeight="1" x14ac:dyDescent="0.2"/>
    <row r="42510" ht="12.75" hidden="1" customHeight="1" x14ac:dyDescent="0.2"/>
    <row r="42511" ht="12.75" hidden="1" customHeight="1" x14ac:dyDescent="0.2"/>
    <row r="42512" ht="12.75" hidden="1" customHeight="1" x14ac:dyDescent="0.2"/>
    <row r="42513" ht="12.75" hidden="1" customHeight="1" x14ac:dyDescent="0.2"/>
    <row r="42514" ht="12.75" hidden="1" customHeight="1" x14ac:dyDescent="0.2"/>
    <row r="42515" ht="12.75" hidden="1" customHeight="1" x14ac:dyDescent="0.2"/>
    <row r="42516" ht="12.75" hidden="1" customHeight="1" x14ac:dyDescent="0.2"/>
    <row r="42517" ht="12.75" hidden="1" customHeight="1" x14ac:dyDescent="0.2"/>
    <row r="42518" ht="12.75" hidden="1" customHeight="1" x14ac:dyDescent="0.2"/>
    <row r="42519" ht="12.75" hidden="1" customHeight="1" x14ac:dyDescent="0.2"/>
    <row r="42520" ht="12.75" hidden="1" customHeight="1" x14ac:dyDescent="0.2"/>
    <row r="42521" ht="12.75" hidden="1" customHeight="1" x14ac:dyDescent="0.2"/>
    <row r="42522" ht="12.75" hidden="1" customHeight="1" x14ac:dyDescent="0.2"/>
    <row r="42523" ht="12.75" hidden="1" customHeight="1" x14ac:dyDescent="0.2"/>
    <row r="42524" ht="12.75" hidden="1" customHeight="1" x14ac:dyDescent="0.2"/>
    <row r="42525" ht="12.75" hidden="1" customHeight="1" x14ac:dyDescent="0.2"/>
    <row r="42526" ht="12.75" hidden="1" customHeight="1" x14ac:dyDescent="0.2"/>
    <row r="42527" ht="12.75" hidden="1" customHeight="1" x14ac:dyDescent="0.2"/>
    <row r="42528" ht="12.75" hidden="1" customHeight="1" x14ac:dyDescent="0.2"/>
    <row r="42529" ht="12.75" hidden="1" customHeight="1" x14ac:dyDescent="0.2"/>
    <row r="42530" ht="12.75" hidden="1" customHeight="1" x14ac:dyDescent="0.2"/>
    <row r="42531" ht="12.75" hidden="1" customHeight="1" x14ac:dyDescent="0.2"/>
    <row r="42532" ht="12.75" hidden="1" customHeight="1" x14ac:dyDescent="0.2"/>
    <row r="42533" ht="12.75" hidden="1" customHeight="1" x14ac:dyDescent="0.2"/>
    <row r="42534" ht="12.75" hidden="1" customHeight="1" x14ac:dyDescent="0.2"/>
    <row r="42535" ht="12.75" hidden="1" customHeight="1" x14ac:dyDescent="0.2"/>
    <row r="42536" ht="12.75" hidden="1" customHeight="1" x14ac:dyDescent="0.2"/>
    <row r="42537" ht="12.75" hidden="1" customHeight="1" x14ac:dyDescent="0.2"/>
    <row r="42538" ht="12.75" hidden="1" customHeight="1" x14ac:dyDescent="0.2"/>
    <row r="42539" ht="12.75" hidden="1" customHeight="1" x14ac:dyDescent="0.2"/>
    <row r="42540" ht="12.75" hidden="1" customHeight="1" x14ac:dyDescent="0.2"/>
    <row r="42541" ht="12.75" hidden="1" customHeight="1" x14ac:dyDescent="0.2"/>
    <row r="42542" ht="12.75" hidden="1" customHeight="1" x14ac:dyDescent="0.2"/>
    <row r="42543" ht="12.75" hidden="1" customHeight="1" x14ac:dyDescent="0.2"/>
    <row r="42544" ht="12.75" hidden="1" customHeight="1" x14ac:dyDescent="0.2"/>
    <row r="42545" ht="12.75" hidden="1" customHeight="1" x14ac:dyDescent="0.2"/>
    <row r="42546" ht="12.75" hidden="1" customHeight="1" x14ac:dyDescent="0.2"/>
    <row r="42547" ht="12.75" hidden="1" customHeight="1" x14ac:dyDescent="0.2"/>
    <row r="42548" ht="12.75" hidden="1" customHeight="1" x14ac:dyDescent="0.2"/>
    <row r="42549" ht="12.75" hidden="1" customHeight="1" x14ac:dyDescent="0.2"/>
    <row r="42550" ht="12.75" hidden="1" customHeight="1" x14ac:dyDescent="0.2"/>
    <row r="42551" ht="12.75" hidden="1" customHeight="1" x14ac:dyDescent="0.2"/>
    <row r="42552" ht="12.75" hidden="1" customHeight="1" x14ac:dyDescent="0.2"/>
    <row r="42553" ht="12.75" hidden="1" customHeight="1" x14ac:dyDescent="0.2"/>
    <row r="42554" ht="12.75" hidden="1" customHeight="1" x14ac:dyDescent="0.2"/>
    <row r="42555" ht="12.75" hidden="1" customHeight="1" x14ac:dyDescent="0.2"/>
    <row r="42556" ht="12.75" hidden="1" customHeight="1" x14ac:dyDescent="0.2"/>
    <row r="42557" ht="12.75" hidden="1" customHeight="1" x14ac:dyDescent="0.2"/>
    <row r="42558" ht="12.75" hidden="1" customHeight="1" x14ac:dyDescent="0.2"/>
    <row r="42559" ht="12.75" hidden="1" customHeight="1" x14ac:dyDescent="0.2"/>
    <row r="42560" ht="12.75" hidden="1" customHeight="1" x14ac:dyDescent="0.2"/>
    <row r="42561" ht="12.75" hidden="1" customHeight="1" x14ac:dyDescent="0.2"/>
    <row r="42562" ht="12.75" hidden="1" customHeight="1" x14ac:dyDescent="0.2"/>
    <row r="42563" ht="12.75" hidden="1" customHeight="1" x14ac:dyDescent="0.2"/>
    <row r="42564" ht="12.75" hidden="1" customHeight="1" x14ac:dyDescent="0.2"/>
    <row r="42565" ht="12.75" hidden="1" customHeight="1" x14ac:dyDescent="0.2"/>
    <row r="42566" ht="12.75" hidden="1" customHeight="1" x14ac:dyDescent="0.2"/>
    <row r="42567" ht="12.75" hidden="1" customHeight="1" x14ac:dyDescent="0.2"/>
    <row r="42568" ht="12.75" hidden="1" customHeight="1" x14ac:dyDescent="0.2"/>
    <row r="42569" ht="12.75" hidden="1" customHeight="1" x14ac:dyDescent="0.2"/>
    <row r="42570" ht="12.75" hidden="1" customHeight="1" x14ac:dyDescent="0.2"/>
    <row r="42571" ht="12.75" hidden="1" customHeight="1" x14ac:dyDescent="0.2"/>
    <row r="42572" ht="12.75" hidden="1" customHeight="1" x14ac:dyDescent="0.2"/>
    <row r="42573" ht="12.75" hidden="1" customHeight="1" x14ac:dyDescent="0.2"/>
    <row r="42574" ht="12.75" hidden="1" customHeight="1" x14ac:dyDescent="0.2"/>
    <row r="42575" ht="12.75" hidden="1" customHeight="1" x14ac:dyDescent="0.2"/>
    <row r="42576" ht="12.75" hidden="1" customHeight="1" x14ac:dyDescent="0.2"/>
    <row r="42577" ht="12.75" hidden="1" customHeight="1" x14ac:dyDescent="0.2"/>
    <row r="42578" ht="12.75" hidden="1" customHeight="1" x14ac:dyDescent="0.2"/>
    <row r="42579" ht="12.75" hidden="1" customHeight="1" x14ac:dyDescent="0.2"/>
    <row r="42580" ht="12.75" hidden="1" customHeight="1" x14ac:dyDescent="0.2"/>
    <row r="42581" ht="12.75" hidden="1" customHeight="1" x14ac:dyDescent="0.2"/>
    <row r="42582" ht="12.75" hidden="1" customHeight="1" x14ac:dyDescent="0.2"/>
    <row r="42583" ht="12.75" hidden="1" customHeight="1" x14ac:dyDescent="0.2"/>
    <row r="42584" ht="12.75" hidden="1" customHeight="1" x14ac:dyDescent="0.2"/>
    <row r="42585" ht="12.75" hidden="1" customHeight="1" x14ac:dyDescent="0.2"/>
    <row r="42586" ht="12.75" hidden="1" customHeight="1" x14ac:dyDescent="0.2"/>
    <row r="42587" ht="12.75" hidden="1" customHeight="1" x14ac:dyDescent="0.2"/>
    <row r="42588" ht="12.75" hidden="1" customHeight="1" x14ac:dyDescent="0.2"/>
    <row r="42589" ht="12.75" hidden="1" customHeight="1" x14ac:dyDescent="0.2"/>
    <row r="42590" ht="12.75" hidden="1" customHeight="1" x14ac:dyDescent="0.2"/>
    <row r="42591" ht="12.75" hidden="1" customHeight="1" x14ac:dyDescent="0.2"/>
    <row r="42592" ht="12.75" hidden="1" customHeight="1" x14ac:dyDescent="0.2"/>
    <row r="42593" ht="12.75" hidden="1" customHeight="1" x14ac:dyDescent="0.2"/>
    <row r="42594" ht="12.75" hidden="1" customHeight="1" x14ac:dyDescent="0.2"/>
    <row r="42595" ht="12.75" hidden="1" customHeight="1" x14ac:dyDescent="0.2"/>
    <row r="42596" ht="12.75" hidden="1" customHeight="1" x14ac:dyDescent="0.2"/>
    <row r="42597" ht="12.75" hidden="1" customHeight="1" x14ac:dyDescent="0.2"/>
    <row r="42598" ht="12.75" hidden="1" customHeight="1" x14ac:dyDescent="0.2"/>
    <row r="42599" ht="12.75" hidden="1" customHeight="1" x14ac:dyDescent="0.2"/>
    <row r="42600" ht="12.75" hidden="1" customHeight="1" x14ac:dyDescent="0.2"/>
    <row r="42601" ht="12.75" hidden="1" customHeight="1" x14ac:dyDescent="0.2"/>
    <row r="42602" ht="12.75" hidden="1" customHeight="1" x14ac:dyDescent="0.2"/>
    <row r="42603" ht="12.75" hidden="1" customHeight="1" x14ac:dyDescent="0.2"/>
    <row r="42604" ht="12.75" hidden="1" customHeight="1" x14ac:dyDescent="0.2"/>
    <row r="42605" ht="12.75" hidden="1" customHeight="1" x14ac:dyDescent="0.2"/>
    <row r="42606" ht="12.75" hidden="1" customHeight="1" x14ac:dyDescent="0.2"/>
    <row r="42607" ht="12.75" hidden="1" customHeight="1" x14ac:dyDescent="0.2"/>
    <row r="42608" ht="12.75" hidden="1" customHeight="1" x14ac:dyDescent="0.2"/>
    <row r="42609" ht="12.75" hidden="1" customHeight="1" x14ac:dyDescent="0.2"/>
    <row r="42610" ht="12.75" hidden="1" customHeight="1" x14ac:dyDescent="0.2"/>
    <row r="42611" ht="12.75" hidden="1" customHeight="1" x14ac:dyDescent="0.2"/>
    <row r="42612" ht="12.75" hidden="1" customHeight="1" x14ac:dyDescent="0.2"/>
    <row r="42613" ht="12.75" hidden="1" customHeight="1" x14ac:dyDescent="0.2"/>
    <row r="42614" ht="12.75" hidden="1" customHeight="1" x14ac:dyDescent="0.2"/>
    <row r="42615" ht="12.75" hidden="1" customHeight="1" x14ac:dyDescent="0.2"/>
    <row r="42616" ht="12.75" hidden="1" customHeight="1" x14ac:dyDescent="0.2"/>
    <row r="42617" ht="12.75" hidden="1" customHeight="1" x14ac:dyDescent="0.2"/>
    <row r="42618" ht="12.75" hidden="1" customHeight="1" x14ac:dyDescent="0.2"/>
    <row r="42619" ht="12.75" hidden="1" customHeight="1" x14ac:dyDescent="0.2"/>
    <row r="42620" ht="12.75" hidden="1" customHeight="1" x14ac:dyDescent="0.2"/>
    <row r="42621" ht="12.75" hidden="1" customHeight="1" x14ac:dyDescent="0.2"/>
    <row r="42622" ht="12.75" hidden="1" customHeight="1" x14ac:dyDescent="0.2"/>
    <row r="42623" ht="12.75" hidden="1" customHeight="1" x14ac:dyDescent="0.2"/>
    <row r="42624" ht="12.75" hidden="1" customHeight="1" x14ac:dyDescent="0.2"/>
    <row r="42625" ht="12.75" hidden="1" customHeight="1" x14ac:dyDescent="0.2"/>
    <row r="42626" ht="12.75" hidden="1" customHeight="1" x14ac:dyDescent="0.2"/>
    <row r="42627" ht="12.75" hidden="1" customHeight="1" x14ac:dyDescent="0.2"/>
    <row r="42628" ht="12.75" hidden="1" customHeight="1" x14ac:dyDescent="0.2"/>
    <row r="42629" ht="12.75" hidden="1" customHeight="1" x14ac:dyDescent="0.2"/>
    <row r="42630" ht="12.75" hidden="1" customHeight="1" x14ac:dyDescent="0.2"/>
    <row r="42631" ht="12.75" hidden="1" customHeight="1" x14ac:dyDescent="0.2"/>
    <row r="42632" ht="12.75" hidden="1" customHeight="1" x14ac:dyDescent="0.2"/>
    <row r="42633" ht="12.75" hidden="1" customHeight="1" x14ac:dyDescent="0.2"/>
    <row r="42634" ht="12.75" hidden="1" customHeight="1" x14ac:dyDescent="0.2"/>
    <row r="42635" ht="12.75" hidden="1" customHeight="1" x14ac:dyDescent="0.2"/>
    <row r="42636" ht="12.75" hidden="1" customHeight="1" x14ac:dyDescent="0.2"/>
    <row r="42637" ht="12.75" hidden="1" customHeight="1" x14ac:dyDescent="0.2"/>
    <row r="42638" ht="12.75" hidden="1" customHeight="1" x14ac:dyDescent="0.2"/>
    <row r="42639" ht="12.75" hidden="1" customHeight="1" x14ac:dyDescent="0.2"/>
    <row r="42640" ht="12.75" hidden="1" customHeight="1" x14ac:dyDescent="0.2"/>
    <row r="42641" ht="12.75" hidden="1" customHeight="1" x14ac:dyDescent="0.2"/>
    <row r="42642" ht="12.75" hidden="1" customHeight="1" x14ac:dyDescent="0.2"/>
    <row r="42643" ht="12.75" hidden="1" customHeight="1" x14ac:dyDescent="0.2"/>
    <row r="42644" ht="12.75" hidden="1" customHeight="1" x14ac:dyDescent="0.2"/>
    <row r="42645" ht="12.75" hidden="1" customHeight="1" x14ac:dyDescent="0.2"/>
    <row r="42646" ht="12.75" hidden="1" customHeight="1" x14ac:dyDescent="0.2"/>
    <row r="42647" ht="12.75" hidden="1" customHeight="1" x14ac:dyDescent="0.2"/>
    <row r="42648" ht="12.75" hidden="1" customHeight="1" x14ac:dyDescent="0.2"/>
    <row r="42649" ht="12.75" hidden="1" customHeight="1" x14ac:dyDescent="0.2"/>
    <row r="42650" ht="12.75" hidden="1" customHeight="1" x14ac:dyDescent="0.2"/>
    <row r="42651" ht="12.75" hidden="1" customHeight="1" x14ac:dyDescent="0.2"/>
    <row r="42652" ht="12.75" hidden="1" customHeight="1" x14ac:dyDescent="0.2"/>
    <row r="42653" ht="12.75" hidden="1" customHeight="1" x14ac:dyDescent="0.2"/>
    <row r="42654" ht="12.75" hidden="1" customHeight="1" x14ac:dyDescent="0.2"/>
    <row r="42655" ht="12.75" hidden="1" customHeight="1" x14ac:dyDescent="0.2"/>
    <row r="42656" ht="12.75" hidden="1" customHeight="1" x14ac:dyDescent="0.2"/>
    <row r="42657" ht="12.75" hidden="1" customHeight="1" x14ac:dyDescent="0.2"/>
    <row r="42658" ht="12.75" hidden="1" customHeight="1" x14ac:dyDescent="0.2"/>
    <row r="42659" ht="12.75" hidden="1" customHeight="1" x14ac:dyDescent="0.2"/>
    <row r="42660" ht="12.75" hidden="1" customHeight="1" x14ac:dyDescent="0.2"/>
    <row r="42661" ht="12.75" hidden="1" customHeight="1" x14ac:dyDescent="0.2"/>
    <row r="42662" ht="12.75" hidden="1" customHeight="1" x14ac:dyDescent="0.2"/>
    <row r="42663" ht="12.75" hidden="1" customHeight="1" x14ac:dyDescent="0.2"/>
    <row r="42664" ht="12.75" hidden="1" customHeight="1" x14ac:dyDescent="0.2"/>
    <row r="42665" ht="12.75" hidden="1" customHeight="1" x14ac:dyDescent="0.2"/>
    <row r="42666" ht="12.75" hidden="1" customHeight="1" x14ac:dyDescent="0.2"/>
    <row r="42667" ht="12.75" hidden="1" customHeight="1" x14ac:dyDescent="0.2"/>
    <row r="42668" ht="12.75" hidden="1" customHeight="1" x14ac:dyDescent="0.2"/>
    <row r="42669" ht="12.75" hidden="1" customHeight="1" x14ac:dyDescent="0.2"/>
    <row r="42670" ht="12.75" hidden="1" customHeight="1" x14ac:dyDescent="0.2"/>
    <row r="42671" ht="12.75" hidden="1" customHeight="1" x14ac:dyDescent="0.2"/>
    <row r="42672" ht="12.75" hidden="1" customHeight="1" x14ac:dyDescent="0.2"/>
    <row r="42673" ht="12.75" hidden="1" customHeight="1" x14ac:dyDescent="0.2"/>
    <row r="42674" ht="12.75" hidden="1" customHeight="1" x14ac:dyDescent="0.2"/>
    <row r="42675" ht="12.75" hidden="1" customHeight="1" x14ac:dyDescent="0.2"/>
    <row r="42676" ht="12.75" hidden="1" customHeight="1" x14ac:dyDescent="0.2"/>
    <row r="42677" ht="12.75" hidden="1" customHeight="1" x14ac:dyDescent="0.2"/>
    <row r="42678" ht="12.75" hidden="1" customHeight="1" x14ac:dyDescent="0.2"/>
    <row r="42679" ht="12.75" hidden="1" customHeight="1" x14ac:dyDescent="0.2"/>
    <row r="42680" ht="12.75" hidden="1" customHeight="1" x14ac:dyDescent="0.2"/>
    <row r="42681" ht="12.75" hidden="1" customHeight="1" x14ac:dyDescent="0.2"/>
    <row r="42682" ht="12.75" hidden="1" customHeight="1" x14ac:dyDescent="0.2"/>
    <row r="42683" ht="12.75" hidden="1" customHeight="1" x14ac:dyDescent="0.2"/>
    <row r="42684" ht="12.75" hidden="1" customHeight="1" x14ac:dyDescent="0.2"/>
    <row r="42685" ht="12.75" hidden="1" customHeight="1" x14ac:dyDescent="0.2"/>
    <row r="42686" ht="12.75" hidden="1" customHeight="1" x14ac:dyDescent="0.2"/>
    <row r="42687" ht="12.75" hidden="1" customHeight="1" x14ac:dyDescent="0.2"/>
    <row r="42688" ht="12.75" hidden="1" customHeight="1" x14ac:dyDescent="0.2"/>
    <row r="42689" ht="12.75" hidden="1" customHeight="1" x14ac:dyDescent="0.2"/>
    <row r="42690" ht="12.75" hidden="1" customHeight="1" x14ac:dyDescent="0.2"/>
    <row r="42691" ht="12.75" hidden="1" customHeight="1" x14ac:dyDescent="0.2"/>
    <row r="42692" ht="12.75" hidden="1" customHeight="1" x14ac:dyDescent="0.2"/>
    <row r="42693" ht="12.75" hidden="1" customHeight="1" x14ac:dyDescent="0.2"/>
    <row r="42694" ht="12.75" hidden="1" customHeight="1" x14ac:dyDescent="0.2"/>
    <row r="42695" ht="12.75" hidden="1" customHeight="1" x14ac:dyDescent="0.2"/>
    <row r="42696" ht="12.75" hidden="1" customHeight="1" x14ac:dyDescent="0.2"/>
    <row r="42697" ht="12.75" hidden="1" customHeight="1" x14ac:dyDescent="0.2"/>
    <row r="42698" ht="12.75" hidden="1" customHeight="1" x14ac:dyDescent="0.2"/>
    <row r="42699" ht="12.75" hidden="1" customHeight="1" x14ac:dyDescent="0.2"/>
    <row r="42700" ht="12.75" hidden="1" customHeight="1" x14ac:dyDescent="0.2"/>
    <row r="42701" ht="12.75" hidden="1" customHeight="1" x14ac:dyDescent="0.2"/>
    <row r="42702" ht="12.75" hidden="1" customHeight="1" x14ac:dyDescent="0.2"/>
    <row r="42703" ht="12.75" hidden="1" customHeight="1" x14ac:dyDescent="0.2"/>
    <row r="42704" ht="12.75" hidden="1" customHeight="1" x14ac:dyDescent="0.2"/>
    <row r="42705" ht="12.75" hidden="1" customHeight="1" x14ac:dyDescent="0.2"/>
    <row r="42706" ht="12.75" hidden="1" customHeight="1" x14ac:dyDescent="0.2"/>
    <row r="42707" ht="12.75" hidden="1" customHeight="1" x14ac:dyDescent="0.2"/>
    <row r="42708" ht="12.75" hidden="1" customHeight="1" x14ac:dyDescent="0.2"/>
    <row r="42709" ht="12.75" hidden="1" customHeight="1" x14ac:dyDescent="0.2"/>
    <row r="42710" ht="12.75" hidden="1" customHeight="1" x14ac:dyDescent="0.2"/>
    <row r="42711" ht="12.75" hidden="1" customHeight="1" x14ac:dyDescent="0.2"/>
    <row r="42712" ht="12.75" hidden="1" customHeight="1" x14ac:dyDescent="0.2"/>
    <row r="42713" ht="12.75" hidden="1" customHeight="1" x14ac:dyDescent="0.2"/>
    <row r="42714" ht="12.75" hidden="1" customHeight="1" x14ac:dyDescent="0.2"/>
    <row r="42715" ht="12.75" hidden="1" customHeight="1" x14ac:dyDescent="0.2"/>
    <row r="42716" ht="12.75" hidden="1" customHeight="1" x14ac:dyDescent="0.2"/>
    <row r="42717" ht="12.75" hidden="1" customHeight="1" x14ac:dyDescent="0.2"/>
    <row r="42718" ht="12.75" hidden="1" customHeight="1" x14ac:dyDescent="0.2"/>
    <row r="42719" ht="12.75" hidden="1" customHeight="1" x14ac:dyDescent="0.2"/>
    <row r="42720" ht="12.75" hidden="1" customHeight="1" x14ac:dyDescent="0.2"/>
    <row r="42721" ht="12.75" hidden="1" customHeight="1" x14ac:dyDescent="0.2"/>
    <row r="42722" ht="12.75" hidden="1" customHeight="1" x14ac:dyDescent="0.2"/>
    <row r="42723" ht="12.75" hidden="1" customHeight="1" x14ac:dyDescent="0.2"/>
    <row r="42724" ht="12.75" hidden="1" customHeight="1" x14ac:dyDescent="0.2"/>
    <row r="42725" ht="12.75" hidden="1" customHeight="1" x14ac:dyDescent="0.2"/>
    <row r="42726" ht="12.75" hidden="1" customHeight="1" x14ac:dyDescent="0.2"/>
    <row r="42727" ht="12.75" hidden="1" customHeight="1" x14ac:dyDescent="0.2"/>
    <row r="42728" ht="12.75" hidden="1" customHeight="1" x14ac:dyDescent="0.2"/>
    <row r="42729" ht="12.75" hidden="1" customHeight="1" x14ac:dyDescent="0.2"/>
    <row r="42730" ht="12.75" hidden="1" customHeight="1" x14ac:dyDescent="0.2"/>
    <row r="42731" ht="12.75" hidden="1" customHeight="1" x14ac:dyDescent="0.2"/>
    <row r="42732" ht="12.75" hidden="1" customHeight="1" x14ac:dyDescent="0.2"/>
    <row r="42733" ht="12.75" hidden="1" customHeight="1" x14ac:dyDescent="0.2"/>
    <row r="42734" ht="12.75" hidden="1" customHeight="1" x14ac:dyDescent="0.2"/>
    <row r="42735" ht="12.75" hidden="1" customHeight="1" x14ac:dyDescent="0.2"/>
    <row r="42736" ht="12.75" hidden="1" customHeight="1" x14ac:dyDescent="0.2"/>
    <row r="42737" ht="12.75" hidden="1" customHeight="1" x14ac:dyDescent="0.2"/>
    <row r="42738" ht="12.75" hidden="1" customHeight="1" x14ac:dyDescent="0.2"/>
    <row r="42739" ht="12.75" hidden="1" customHeight="1" x14ac:dyDescent="0.2"/>
    <row r="42740" ht="12.75" hidden="1" customHeight="1" x14ac:dyDescent="0.2"/>
    <row r="42741" ht="12.75" hidden="1" customHeight="1" x14ac:dyDescent="0.2"/>
    <row r="42742" ht="12.75" hidden="1" customHeight="1" x14ac:dyDescent="0.2"/>
    <row r="42743" ht="12.75" hidden="1" customHeight="1" x14ac:dyDescent="0.2"/>
    <row r="42744" ht="12.75" hidden="1" customHeight="1" x14ac:dyDescent="0.2"/>
    <row r="42745" ht="12.75" hidden="1" customHeight="1" x14ac:dyDescent="0.2"/>
    <row r="42746" ht="12.75" hidden="1" customHeight="1" x14ac:dyDescent="0.2"/>
    <row r="42747" ht="12.75" hidden="1" customHeight="1" x14ac:dyDescent="0.2"/>
    <row r="42748" ht="12.75" hidden="1" customHeight="1" x14ac:dyDescent="0.2"/>
    <row r="42749" ht="12.75" hidden="1" customHeight="1" x14ac:dyDescent="0.2"/>
    <row r="42750" ht="12.75" hidden="1" customHeight="1" x14ac:dyDescent="0.2"/>
    <row r="42751" ht="12.75" hidden="1" customHeight="1" x14ac:dyDescent="0.2"/>
    <row r="42752" ht="12.75" hidden="1" customHeight="1" x14ac:dyDescent="0.2"/>
    <row r="42753" ht="12.75" hidden="1" customHeight="1" x14ac:dyDescent="0.2"/>
    <row r="42754" ht="12.75" hidden="1" customHeight="1" x14ac:dyDescent="0.2"/>
    <row r="42755" ht="12.75" hidden="1" customHeight="1" x14ac:dyDescent="0.2"/>
    <row r="42756" ht="12.75" hidden="1" customHeight="1" x14ac:dyDescent="0.2"/>
    <row r="42757" ht="12.75" hidden="1" customHeight="1" x14ac:dyDescent="0.2"/>
    <row r="42758" ht="12.75" hidden="1" customHeight="1" x14ac:dyDescent="0.2"/>
    <row r="42759" ht="12.75" hidden="1" customHeight="1" x14ac:dyDescent="0.2"/>
    <row r="42760" ht="12.75" hidden="1" customHeight="1" x14ac:dyDescent="0.2"/>
    <row r="42761" ht="12.75" hidden="1" customHeight="1" x14ac:dyDescent="0.2"/>
    <row r="42762" ht="12.75" hidden="1" customHeight="1" x14ac:dyDescent="0.2"/>
    <row r="42763" ht="12.75" hidden="1" customHeight="1" x14ac:dyDescent="0.2"/>
    <row r="42764" ht="12.75" hidden="1" customHeight="1" x14ac:dyDescent="0.2"/>
    <row r="42765" ht="12.75" hidden="1" customHeight="1" x14ac:dyDescent="0.2"/>
    <row r="42766" ht="12.75" hidden="1" customHeight="1" x14ac:dyDescent="0.2"/>
    <row r="42767" ht="12.75" hidden="1" customHeight="1" x14ac:dyDescent="0.2"/>
    <row r="42768" ht="12.75" hidden="1" customHeight="1" x14ac:dyDescent="0.2"/>
    <row r="42769" ht="12.75" hidden="1" customHeight="1" x14ac:dyDescent="0.2"/>
    <row r="42770" ht="12.75" hidden="1" customHeight="1" x14ac:dyDescent="0.2"/>
    <row r="42771" ht="12.75" hidden="1" customHeight="1" x14ac:dyDescent="0.2"/>
    <row r="42772" ht="12.75" hidden="1" customHeight="1" x14ac:dyDescent="0.2"/>
    <row r="42773" ht="12.75" hidden="1" customHeight="1" x14ac:dyDescent="0.2"/>
    <row r="42774" ht="12.75" hidden="1" customHeight="1" x14ac:dyDescent="0.2"/>
    <row r="42775" ht="12.75" hidden="1" customHeight="1" x14ac:dyDescent="0.2"/>
    <row r="42776" ht="12.75" hidden="1" customHeight="1" x14ac:dyDescent="0.2"/>
    <row r="42777" ht="12.75" hidden="1" customHeight="1" x14ac:dyDescent="0.2"/>
    <row r="42778" ht="12.75" hidden="1" customHeight="1" x14ac:dyDescent="0.2"/>
    <row r="42779" ht="12.75" hidden="1" customHeight="1" x14ac:dyDescent="0.2"/>
    <row r="42780" ht="12.75" hidden="1" customHeight="1" x14ac:dyDescent="0.2"/>
    <row r="42781" ht="12.75" hidden="1" customHeight="1" x14ac:dyDescent="0.2"/>
    <row r="42782" ht="12.75" hidden="1" customHeight="1" x14ac:dyDescent="0.2"/>
    <row r="42783" ht="12.75" hidden="1" customHeight="1" x14ac:dyDescent="0.2"/>
    <row r="42784" ht="12.75" hidden="1" customHeight="1" x14ac:dyDescent="0.2"/>
    <row r="42785" ht="12.75" hidden="1" customHeight="1" x14ac:dyDescent="0.2"/>
    <row r="42786" ht="12.75" hidden="1" customHeight="1" x14ac:dyDescent="0.2"/>
    <row r="42787" ht="12.75" hidden="1" customHeight="1" x14ac:dyDescent="0.2"/>
    <row r="42788" ht="12.75" hidden="1" customHeight="1" x14ac:dyDescent="0.2"/>
    <row r="42789" ht="12.75" hidden="1" customHeight="1" x14ac:dyDescent="0.2"/>
    <row r="42790" ht="12.75" hidden="1" customHeight="1" x14ac:dyDescent="0.2"/>
    <row r="42791" ht="12.75" hidden="1" customHeight="1" x14ac:dyDescent="0.2"/>
    <row r="42792" ht="12.75" hidden="1" customHeight="1" x14ac:dyDescent="0.2"/>
    <row r="42793" ht="12.75" hidden="1" customHeight="1" x14ac:dyDescent="0.2"/>
    <row r="42794" ht="12.75" hidden="1" customHeight="1" x14ac:dyDescent="0.2"/>
    <row r="42795" ht="12.75" hidden="1" customHeight="1" x14ac:dyDescent="0.2"/>
    <row r="42796" ht="12.75" hidden="1" customHeight="1" x14ac:dyDescent="0.2"/>
    <row r="42797" ht="12.75" hidden="1" customHeight="1" x14ac:dyDescent="0.2"/>
    <row r="42798" ht="12.75" hidden="1" customHeight="1" x14ac:dyDescent="0.2"/>
    <row r="42799" ht="12.75" hidden="1" customHeight="1" x14ac:dyDescent="0.2"/>
    <row r="42800" ht="12.75" hidden="1" customHeight="1" x14ac:dyDescent="0.2"/>
    <row r="42801" ht="12.75" hidden="1" customHeight="1" x14ac:dyDescent="0.2"/>
    <row r="42802" ht="12.75" hidden="1" customHeight="1" x14ac:dyDescent="0.2"/>
    <row r="42803" ht="12.75" hidden="1" customHeight="1" x14ac:dyDescent="0.2"/>
    <row r="42804" ht="12.75" hidden="1" customHeight="1" x14ac:dyDescent="0.2"/>
    <row r="42805" ht="12.75" hidden="1" customHeight="1" x14ac:dyDescent="0.2"/>
    <row r="42806" ht="12.75" hidden="1" customHeight="1" x14ac:dyDescent="0.2"/>
    <row r="42807" ht="12.75" hidden="1" customHeight="1" x14ac:dyDescent="0.2"/>
    <row r="42808" ht="12.75" hidden="1" customHeight="1" x14ac:dyDescent="0.2"/>
    <row r="42809" ht="12.75" hidden="1" customHeight="1" x14ac:dyDescent="0.2"/>
    <row r="42810" ht="12.75" hidden="1" customHeight="1" x14ac:dyDescent="0.2"/>
    <row r="42811" ht="12.75" hidden="1" customHeight="1" x14ac:dyDescent="0.2"/>
    <row r="42812" ht="12.75" hidden="1" customHeight="1" x14ac:dyDescent="0.2"/>
    <row r="42813" ht="12.75" hidden="1" customHeight="1" x14ac:dyDescent="0.2"/>
    <row r="42814" ht="12.75" hidden="1" customHeight="1" x14ac:dyDescent="0.2"/>
    <row r="42815" ht="12.75" hidden="1" customHeight="1" x14ac:dyDescent="0.2"/>
    <row r="42816" ht="12.75" hidden="1" customHeight="1" x14ac:dyDescent="0.2"/>
    <row r="42817" ht="12.75" hidden="1" customHeight="1" x14ac:dyDescent="0.2"/>
    <row r="42818" ht="12.75" hidden="1" customHeight="1" x14ac:dyDescent="0.2"/>
    <row r="42819" ht="12.75" hidden="1" customHeight="1" x14ac:dyDescent="0.2"/>
    <row r="42820" ht="12.75" hidden="1" customHeight="1" x14ac:dyDescent="0.2"/>
    <row r="42821" ht="12.75" hidden="1" customHeight="1" x14ac:dyDescent="0.2"/>
    <row r="42822" ht="12.75" hidden="1" customHeight="1" x14ac:dyDescent="0.2"/>
    <row r="42823" ht="12.75" hidden="1" customHeight="1" x14ac:dyDescent="0.2"/>
    <row r="42824" ht="12.75" hidden="1" customHeight="1" x14ac:dyDescent="0.2"/>
    <row r="42825" ht="12.75" hidden="1" customHeight="1" x14ac:dyDescent="0.2"/>
    <row r="42826" ht="12.75" hidden="1" customHeight="1" x14ac:dyDescent="0.2"/>
    <row r="42827" ht="12.75" hidden="1" customHeight="1" x14ac:dyDescent="0.2"/>
    <row r="42828" ht="12.75" hidden="1" customHeight="1" x14ac:dyDescent="0.2"/>
    <row r="42829" ht="12.75" hidden="1" customHeight="1" x14ac:dyDescent="0.2"/>
    <row r="42830" ht="12.75" hidden="1" customHeight="1" x14ac:dyDescent="0.2"/>
    <row r="42831" ht="12.75" hidden="1" customHeight="1" x14ac:dyDescent="0.2"/>
    <row r="42832" ht="12.75" hidden="1" customHeight="1" x14ac:dyDescent="0.2"/>
    <row r="42833" ht="12.75" hidden="1" customHeight="1" x14ac:dyDescent="0.2"/>
    <row r="42834" ht="12.75" hidden="1" customHeight="1" x14ac:dyDescent="0.2"/>
    <row r="42835" ht="12.75" hidden="1" customHeight="1" x14ac:dyDescent="0.2"/>
    <row r="42836" ht="12.75" hidden="1" customHeight="1" x14ac:dyDescent="0.2"/>
    <row r="42837" ht="12.75" hidden="1" customHeight="1" x14ac:dyDescent="0.2"/>
    <row r="42838" ht="12.75" hidden="1" customHeight="1" x14ac:dyDescent="0.2"/>
    <row r="42839" ht="12.75" hidden="1" customHeight="1" x14ac:dyDescent="0.2"/>
    <row r="42840" ht="12.75" hidden="1" customHeight="1" x14ac:dyDescent="0.2"/>
    <row r="42841" ht="12.75" hidden="1" customHeight="1" x14ac:dyDescent="0.2"/>
    <row r="42842" ht="12.75" hidden="1" customHeight="1" x14ac:dyDescent="0.2"/>
    <row r="42843" ht="12.75" hidden="1" customHeight="1" x14ac:dyDescent="0.2"/>
    <row r="42844" ht="12.75" hidden="1" customHeight="1" x14ac:dyDescent="0.2"/>
    <row r="42845" ht="12.75" hidden="1" customHeight="1" x14ac:dyDescent="0.2"/>
    <row r="42846" ht="12.75" hidden="1" customHeight="1" x14ac:dyDescent="0.2"/>
    <row r="42847" ht="12.75" hidden="1" customHeight="1" x14ac:dyDescent="0.2"/>
    <row r="42848" ht="12.75" hidden="1" customHeight="1" x14ac:dyDescent="0.2"/>
    <row r="42849" ht="12.75" hidden="1" customHeight="1" x14ac:dyDescent="0.2"/>
    <row r="42850" ht="12.75" hidden="1" customHeight="1" x14ac:dyDescent="0.2"/>
    <row r="42851" ht="12.75" hidden="1" customHeight="1" x14ac:dyDescent="0.2"/>
    <row r="42852" ht="12.75" hidden="1" customHeight="1" x14ac:dyDescent="0.2"/>
    <row r="42853" ht="12.75" hidden="1" customHeight="1" x14ac:dyDescent="0.2"/>
    <row r="42854" ht="12.75" hidden="1" customHeight="1" x14ac:dyDescent="0.2"/>
    <row r="42855" ht="12.75" hidden="1" customHeight="1" x14ac:dyDescent="0.2"/>
    <row r="42856" ht="12.75" hidden="1" customHeight="1" x14ac:dyDescent="0.2"/>
    <row r="42857" ht="12.75" hidden="1" customHeight="1" x14ac:dyDescent="0.2"/>
    <row r="42858" ht="12.75" hidden="1" customHeight="1" x14ac:dyDescent="0.2"/>
    <row r="42859" ht="12.75" hidden="1" customHeight="1" x14ac:dyDescent="0.2"/>
    <row r="42860" ht="12.75" hidden="1" customHeight="1" x14ac:dyDescent="0.2"/>
    <row r="42861" ht="12.75" hidden="1" customHeight="1" x14ac:dyDescent="0.2"/>
    <row r="42862" ht="12.75" hidden="1" customHeight="1" x14ac:dyDescent="0.2"/>
    <row r="42863" ht="12.75" hidden="1" customHeight="1" x14ac:dyDescent="0.2"/>
    <row r="42864" ht="12.75" hidden="1" customHeight="1" x14ac:dyDescent="0.2"/>
    <row r="42865" ht="12.75" hidden="1" customHeight="1" x14ac:dyDescent="0.2"/>
    <row r="42866" ht="12.75" hidden="1" customHeight="1" x14ac:dyDescent="0.2"/>
    <row r="42867" ht="12.75" hidden="1" customHeight="1" x14ac:dyDescent="0.2"/>
    <row r="42868" ht="12.75" hidden="1" customHeight="1" x14ac:dyDescent="0.2"/>
    <row r="42869" ht="12.75" hidden="1" customHeight="1" x14ac:dyDescent="0.2"/>
    <row r="42870" ht="12.75" hidden="1" customHeight="1" x14ac:dyDescent="0.2"/>
    <row r="42871" ht="12.75" hidden="1" customHeight="1" x14ac:dyDescent="0.2"/>
    <row r="42872" ht="12.75" hidden="1" customHeight="1" x14ac:dyDescent="0.2"/>
    <row r="42873" ht="12.75" hidden="1" customHeight="1" x14ac:dyDescent="0.2"/>
    <row r="42874" ht="12.75" hidden="1" customHeight="1" x14ac:dyDescent="0.2"/>
    <row r="42875" ht="12.75" hidden="1" customHeight="1" x14ac:dyDescent="0.2"/>
    <row r="42876" ht="12.75" hidden="1" customHeight="1" x14ac:dyDescent="0.2"/>
    <row r="42877" ht="12.75" hidden="1" customHeight="1" x14ac:dyDescent="0.2"/>
    <row r="42878" ht="12.75" hidden="1" customHeight="1" x14ac:dyDescent="0.2"/>
    <row r="42879" ht="12.75" hidden="1" customHeight="1" x14ac:dyDescent="0.2"/>
    <row r="42880" ht="12.75" hidden="1" customHeight="1" x14ac:dyDescent="0.2"/>
    <row r="42881" ht="12.75" hidden="1" customHeight="1" x14ac:dyDescent="0.2"/>
    <row r="42882" ht="12.75" hidden="1" customHeight="1" x14ac:dyDescent="0.2"/>
    <row r="42883" ht="12.75" hidden="1" customHeight="1" x14ac:dyDescent="0.2"/>
    <row r="42884" ht="12.75" hidden="1" customHeight="1" x14ac:dyDescent="0.2"/>
    <row r="42885" ht="12.75" hidden="1" customHeight="1" x14ac:dyDescent="0.2"/>
    <row r="42886" ht="12.75" hidden="1" customHeight="1" x14ac:dyDescent="0.2"/>
    <row r="42887" ht="12.75" hidden="1" customHeight="1" x14ac:dyDescent="0.2"/>
    <row r="42888" ht="12.75" hidden="1" customHeight="1" x14ac:dyDescent="0.2"/>
    <row r="42889" ht="12.75" hidden="1" customHeight="1" x14ac:dyDescent="0.2"/>
    <row r="42890" ht="12.75" hidden="1" customHeight="1" x14ac:dyDescent="0.2"/>
    <row r="42891" ht="12.75" hidden="1" customHeight="1" x14ac:dyDescent="0.2"/>
    <row r="42892" ht="12.75" hidden="1" customHeight="1" x14ac:dyDescent="0.2"/>
    <row r="42893" ht="12.75" hidden="1" customHeight="1" x14ac:dyDescent="0.2"/>
    <row r="42894" ht="12.75" hidden="1" customHeight="1" x14ac:dyDescent="0.2"/>
    <row r="42895" ht="12.75" hidden="1" customHeight="1" x14ac:dyDescent="0.2"/>
    <row r="42896" ht="12.75" hidden="1" customHeight="1" x14ac:dyDescent="0.2"/>
    <row r="42897" ht="12.75" hidden="1" customHeight="1" x14ac:dyDescent="0.2"/>
    <row r="42898" ht="12.75" hidden="1" customHeight="1" x14ac:dyDescent="0.2"/>
    <row r="42899" ht="12.75" hidden="1" customHeight="1" x14ac:dyDescent="0.2"/>
    <row r="42900" ht="12.75" hidden="1" customHeight="1" x14ac:dyDescent="0.2"/>
    <row r="42901" ht="12.75" hidden="1" customHeight="1" x14ac:dyDescent="0.2"/>
    <row r="42902" ht="12.75" hidden="1" customHeight="1" x14ac:dyDescent="0.2"/>
    <row r="42903" ht="12.75" hidden="1" customHeight="1" x14ac:dyDescent="0.2"/>
    <row r="42904" ht="12.75" hidden="1" customHeight="1" x14ac:dyDescent="0.2"/>
    <row r="42905" ht="12.75" hidden="1" customHeight="1" x14ac:dyDescent="0.2"/>
    <row r="42906" ht="12.75" hidden="1" customHeight="1" x14ac:dyDescent="0.2"/>
    <row r="42907" ht="12.75" hidden="1" customHeight="1" x14ac:dyDescent="0.2"/>
    <row r="42908" ht="12.75" hidden="1" customHeight="1" x14ac:dyDescent="0.2"/>
    <row r="42909" ht="12.75" hidden="1" customHeight="1" x14ac:dyDescent="0.2"/>
    <row r="42910" ht="12.75" hidden="1" customHeight="1" x14ac:dyDescent="0.2"/>
    <row r="42911" ht="12.75" hidden="1" customHeight="1" x14ac:dyDescent="0.2"/>
    <row r="42912" ht="12.75" hidden="1" customHeight="1" x14ac:dyDescent="0.2"/>
    <row r="42913" ht="12.75" hidden="1" customHeight="1" x14ac:dyDescent="0.2"/>
    <row r="42914" ht="12.75" hidden="1" customHeight="1" x14ac:dyDescent="0.2"/>
    <row r="42915" ht="12.75" hidden="1" customHeight="1" x14ac:dyDescent="0.2"/>
    <row r="42916" ht="12.75" hidden="1" customHeight="1" x14ac:dyDescent="0.2"/>
    <row r="42917" ht="12.75" hidden="1" customHeight="1" x14ac:dyDescent="0.2"/>
    <row r="42918" ht="12.75" hidden="1" customHeight="1" x14ac:dyDescent="0.2"/>
    <row r="42919" ht="12.75" hidden="1" customHeight="1" x14ac:dyDescent="0.2"/>
    <row r="42920" ht="12.75" hidden="1" customHeight="1" x14ac:dyDescent="0.2"/>
    <row r="42921" ht="12.75" hidden="1" customHeight="1" x14ac:dyDescent="0.2"/>
    <row r="42922" ht="12.75" hidden="1" customHeight="1" x14ac:dyDescent="0.2"/>
    <row r="42923" ht="12.75" hidden="1" customHeight="1" x14ac:dyDescent="0.2"/>
    <row r="42924" ht="12.75" hidden="1" customHeight="1" x14ac:dyDescent="0.2"/>
    <row r="42925" ht="12.75" hidden="1" customHeight="1" x14ac:dyDescent="0.2"/>
    <row r="42926" ht="12.75" hidden="1" customHeight="1" x14ac:dyDescent="0.2"/>
    <row r="42927" ht="12.75" hidden="1" customHeight="1" x14ac:dyDescent="0.2"/>
    <row r="42928" ht="12.75" hidden="1" customHeight="1" x14ac:dyDescent="0.2"/>
    <row r="42929" ht="12.75" hidden="1" customHeight="1" x14ac:dyDescent="0.2"/>
    <row r="42930" ht="12.75" hidden="1" customHeight="1" x14ac:dyDescent="0.2"/>
    <row r="42931" ht="12.75" hidden="1" customHeight="1" x14ac:dyDescent="0.2"/>
    <row r="42932" ht="12.75" hidden="1" customHeight="1" x14ac:dyDescent="0.2"/>
    <row r="42933" ht="12.75" hidden="1" customHeight="1" x14ac:dyDescent="0.2"/>
    <row r="42934" ht="12.75" hidden="1" customHeight="1" x14ac:dyDescent="0.2"/>
    <row r="42935" ht="12.75" hidden="1" customHeight="1" x14ac:dyDescent="0.2"/>
    <row r="42936" ht="12.75" hidden="1" customHeight="1" x14ac:dyDescent="0.2"/>
    <row r="42937" ht="12.75" hidden="1" customHeight="1" x14ac:dyDescent="0.2"/>
    <row r="42938" ht="12.75" hidden="1" customHeight="1" x14ac:dyDescent="0.2"/>
    <row r="42939" ht="12.75" hidden="1" customHeight="1" x14ac:dyDescent="0.2"/>
    <row r="42940" ht="12.75" hidden="1" customHeight="1" x14ac:dyDescent="0.2"/>
    <row r="42941" ht="12.75" hidden="1" customHeight="1" x14ac:dyDescent="0.2"/>
    <row r="42942" ht="12.75" hidden="1" customHeight="1" x14ac:dyDescent="0.2"/>
    <row r="42943" ht="12.75" hidden="1" customHeight="1" x14ac:dyDescent="0.2"/>
    <row r="42944" ht="12.75" hidden="1" customHeight="1" x14ac:dyDescent="0.2"/>
    <row r="42945" ht="12.75" hidden="1" customHeight="1" x14ac:dyDescent="0.2"/>
    <row r="42946" ht="12.75" hidden="1" customHeight="1" x14ac:dyDescent="0.2"/>
    <row r="42947" ht="12.75" hidden="1" customHeight="1" x14ac:dyDescent="0.2"/>
    <row r="42948" ht="12.75" hidden="1" customHeight="1" x14ac:dyDescent="0.2"/>
    <row r="42949" ht="12.75" hidden="1" customHeight="1" x14ac:dyDescent="0.2"/>
    <row r="42950" ht="12.75" hidden="1" customHeight="1" x14ac:dyDescent="0.2"/>
    <row r="42951" ht="12.75" hidden="1" customHeight="1" x14ac:dyDescent="0.2"/>
    <row r="42952" ht="12.75" hidden="1" customHeight="1" x14ac:dyDescent="0.2"/>
    <row r="42953" ht="12.75" hidden="1" customHeight="1" x14ac:dyDescent="0.2"/>
    <row r="42954" ht="12.75" hidden="1" customHeight="1" x14ac:dyDescent="0.2"/>
    <row r="42955" ht="12.75" hidden="1" customHeight="1" x14ac:dyDescent="0.2"/>
    <row r="42956" ht="12.75" hidden="1" customHeight="1" x14ac:dyDescent="0.2"/>
    <row r="42957" ht="12.75" hidden="1" customHeight="1" x14ac:dyDescent="0.2"/>
    <row r="42958" ht="12.75" hidden="1" customHeight="1" x14ac:dyDescent="0.2"/>
    <row r="42959" ht="12.75" hidden="1" customHeight="1" x14ac:dyDescent="0.2"/>
    <row r="42960" ht="12.75" hidden="1" customHeight="1" x14ac:dyDescent="0.2"/>
    <row r="42961" ht="12.75" hidden="1" customHeight="1" x14ac:dyDescent="0.2"/>
    <row r="42962" ht="12.75" hidden="1" customHeight="1" x14ac:dyDescent="0.2"/>
    <row r="42963" ht="12.75" hidden="1" customHeight="1" x14ac:dyDescent="0.2"/>
    <row r="42964" ht="12.75" hidden="1" customHeight="1" x14ac:dyDescent="0.2"/>
    <row r="42965" ht="12.75" hidden="1" customHeight="1" x14ac:dyDescent="0.2"/>
    <row r="42966" ht="12.75" hidden="1" customHeight="1" x14ac:dyDescent="0.2"/>
    <row r="42967" ht="12.75" hidden="1" customHeight="1" x14ac:dyDescent="0.2"/>
    <row r="42968" ht="12.75" hidden="1" customHeight="1" x14ac:dyDescent="0.2"/>
    <row r="42969" ht="12.75" hidden="1" customHeight="1" x14ac:dyDescent="0.2"/>
    <row r="42970" ht="12.75" hidden="1" customHeight="1" x14ac:dyDescent="0.2"/>
    <row r="42971" ht="12.75" hidden="1" customHeight="1" x14ac:dyDescent="0.2"/>
    <row r="42972" ht="12.75" hidden="1" customHeight="1" x14ac:dyDescent="0.2"/>
    <row r="42973" ht="12.75" hidden="1" customHeight="1" x14ac:dyDescent="0.2"/>
    <row r="42974" ht="12.75" hidden="1" customHeight="1" x14ac:dyDescent="0.2"/>
    <row r="42975" ht="12.75" hidden="1" customHeight="1" x14ac:dyDescent="0.2"/>
    <row r="42976" ht="12.75" hidden="1" customHeight="1" x14ac:dyDescent="0.2"/>
    <row r="42977" ht="12.75" hidden="1" customHeight="1" x14ac:dyDescent="0.2"/>
    <row r="42978" ht="12.75" hidden="1" customHeight="1" x14ac:dyDescent="0.2"/>
    <row r="42979" ht="12.75" hidden="1" customHeight="1" x14ac:dyDescent="0.2"/>
    <row r="42980" ht="12.75" hidden="1" customHeight="1" x14ac:dyDescent="0.2"/>
    <row r="42981" ht="12.75" hidden="1" customHeight="1" x14ac:dyDescent="0.2"/>
    <row r="42982" ht="12.75" hidden="1" customHeight="1" x14ac:dyDescent="0.2"/>
    <row r="42983" ht="12.75" hidden="1" customHeight="1" x14ac:dyDescent="0.2"/>
    <row r="42984" ht="12.75" hidden="1" customHeight="1" x14ac:dyDescent="0.2"/>
    <row r="42985" ht="12.75" hidden="1" customHeight="1" x14ac:dyDescent="0.2"/>
    <row r="42986" ht="12.75" hidden="1" customHeight="1" x14ac:dyDescent="0.2"/>
    <row r="42987" ht="12.75" hidden="1" customHeight="1" x14ac:dyDescent="0.2"/>
    <row r="42988" ht="12.75" hidden="1" customHeight="1" x14ac:dyDescent="0.2"/>
    <row r="42989" ht="12.75" hidden="1" customHeight="1" x14ac:dyDescent="0.2"/>
    <row r="42990" ht="12.75" hidden="1" customHeight="1" x14ac:dyDescent="0.2"/>
    <row r="42991" ht="12.75" hidden="1" customHeight="1" x14ac:dyDescent="0.2"/>
    <row r="42992" ht="12.75" hidden="1" customHeight="1" x14ac:dyDescent="0.2"/>
    <row r="42993" ht="12.75" hidden="1" customHeight="1" x14ac:dyDescent="0.2"/>
    <row r="42994" ht="12.75" hidden="1" customHeight="1" x14ac:dyDescent="0.2"/>
    <row r="42995" ht="12.75" hidden="1" customHeight="1" x14ac:dyDescent="0.2"/>
    <row r="42996" ht="12.75" hidden="1" customHeight="1" x14ac:dyDescent="0.2"/>
    <row r="42997" ht="12.75" hidden="1" customHeight="1" x14ac:dyDescent="0.2"/>
    <row r="42998" ht="12.75" hidden="1" customHeight="1" x14ac:dyDescent="0.2"/>
    <row r="42999" ht="12.75" hidden="1" customHeight="1" x14ac:dyDescent="0.2"/>
    <row r="43000" ht="12.75" hidden="1" customHeight="1" x14ac:dyDescent="0.2"/>
    <row r="43001" ht="12.75" hidden="1" customHeight="1" x14ac:dyDescent="0.2"/>
    <row r="43002" ht="12.75" hidden="1" customHeight="1" x14ac:dyDescent="0.2"/>
    <row r="43003" ht="12.75" hidden="1" customHeight="1" x14ac:dyDescent="0.2"/>
    <row r="43004" ht="12.75" hidden="1" customHeight="1" x14ac:dyDescent="0.2"/>
    <row r="43005" ht="12.75" hidden="1" customHeight="1" x14ac:dyDescent="0.2"/>
    <row r="43006" ht="12.75" hidden="1" customHeight="1" x14ac:dyDescent="0.2"/>
    <row r="43007" ht="12.75" hidden="1" customHeight="1" x14ac:dyDescent="0.2"/>
    <row r="43008" ht="12.75" hidden="1" customHeight="1" x14ac:dyDescent="0.2"/>
    <row r="43009" ht="12.75" hidden="1" customHeight="1" x14ac:dyDescent="0.2"/>
    <row r="43010" ht="12.75" hidden="1" customHeight="1" x14ac:dyDescent="0.2"/>
    <row r="43011" ht="12.75" hidden="1" customHeight="1" x14ac:dyDescent="0.2"/>
    <row r="43012" ht="12.75" hidden="1" customHeight="1" x14ac:dyDescent="0.2"/>
    <row r="43013" ht="12.75" hidden="1" customHeight="1" x14ac:dyDescent="0.2"/>
    <row r="43014" ht="12.75" hidden="1" customHeight="1" x14ac:dyDescent="0.2"/>
    <row r="43015" ht="12.75" hidden="1" customHeight="1" x14ac:dyDescent="0.2"/>
    <row r="43016" ht="12.75" hidden="1" customHeight="1" x14ac:dyDescent="0.2"/>
    <row r="43017" ht="12.75" hidden="1" customHeight="1" x14ac:dyDescent="0.2"/>
    <row r="43018" ht="12.75" hidden="1" customHeight="1" x14ac:dyDescent="0.2"/>
    <row r="43019" ht="12.75" hidden="1" customHeight="1" x14ac:dyDescent="0.2"/>
    <row r="43020" ht="12.75" hidden="1" customHeight="1" x14ac:dyDescent="0.2"/>
    <row r="43021" ht="12.75" hidden="1" customHeight="1" x14ac:dyDescent="0.2"/>
    <row r="43022" ht="12.75" hidden="1" customHeight="1" x14ac:dyDescent="0.2"/>
    <row r="43023" ht="12.75" hidden="1" customHeight="1" x14ac:dyDescent="0.2"/>
    <row r="43024" ht="12.75" hidden="1" customHeight="1" x14ac:dyDescent="0.2"/>
    <row r="43025" ht="12.75" hidden="1" customHeight="1" x14ac:dyDescent="0.2"/>
    <row r="43026" ht="12.75" hidden="1" customHeight="1" x14ac:dyDescent="0.2"/>
    <row r="43027" ht="12.75" hidden="1" customHeight="1" x14ac:dyDescent="0.2"/>
    <row r="43028" ht="12.75" hidden="1" customHeight="1" x14ac:dyDescent="0.2"/>
    <row r="43029" ht="12.75" hidden="1" customHeight="1" x14ac:dyDescent="0.2"/>
    <row r="43030" ht="12.75" hidden="1" customHeight="1" x14ac:dyDescent="0.2"/>
    <row r="43031" ht="12.75" hidden="1" customHeight="1" x14ac:dyDescent="0.2"/>
    <row r="43032" ht="12.75" hidden="1" customHeight="1" x14ac:dyDescent="0.2"/>
    <row r="43033" ht="12.75" hidden="1" customHeight="1" x14ac:dyDescent="0.2"/>
    <row r="43034" ht="12.75" hidden="1" customHeight="1" x14ac:dyDescent="0.2"/>
    <row r="43035" ht="12.75" hidden="1" customHeight="1" x14ac:dyDescent="0.2"/>
    <row r="43036" ht="12.75" hidden="1" customHeight="1" x14ac:dyDescent="0.2"/>
    <row r="43037" ht="12.75" hidden="1" customHeight="1" x14ac:dyDescent="0.2"/>
    <row r="43038" ht="12.75" hidden="1" customHeight="1" x14ac:dyDescent="0.2"/>
    <row r="43039" ht="12.75" hidden="1" customHeight="1" x14ac:dyDescent="0.2"/>
    <row r="43040" ht="12.75" hidden="1" customHeight="1" x14ac:dyDescent="0.2"/>
    <row r="43041" ht="12.75" hidden="1" customHeight="1" x14ac:dyDescent="0.2"/>
    <row r="43042" ht="12.75" hidden="1" customHeight="1" x14ac:dyDescent="0.2"/>
    <row r="43043" ht="12.75" hidden="1" customHeight="1" x14ac:dyDescent="0.2"/>
    <row r="43044" ht="12.75" hidden="1" customHeight="1" x14ac:dyDescent="0.2"/>
    <row r="43045" ht="12.75" hidden="1" customHeight="1" x14ac:dyDescent="0.2"/>
    <row r="43046" ht="12.75" hidden="1" customHeight="1" x14ac:dyDescent="0.2"/>
    <row r="43047" ht="12.75" hidden="1" customHeight="1" x14ac:dyDescent="0.2"/>
    <row r="43048" ht="12.75" hidden="1" customHeight="1" x14ac:dyDescent="0.2"/>
    <row r="43049" ht="12.75" hidden="1" customHeight="1" x14ac:dyDescent="0.2"/>
    <row r="43050" ht="12.75" hidden="1" customHeight="1" x14ac:dyDescent="0.2"/>
    <row r="43051" ht="12.75" hidden="1" customHeight="1" x14ac:dyDescent="0.2"/>
    <row r="43052" ht="12.75" hidden="1" customHeight="1" x14ac:dyDescent="0.2"/>
    <row r="43053" ht="12.75" hidden="1" customHeight="1" x14ac:dyDescent="0.2"/>
    <row r="43054" ht="12.75" hidden="1" customHeight="1" x14ac:dyDescent="0.2"/>
    <row r="43055" ht="12.75" hidden="1" customHeight="1" x14ac:dyDescent="0.2"/>
    <row r="43056" ht="12.75" hidden="1" customHeight="1" x14ac:dyDescent="0.2"/>
    <row r="43057" ht="12.75" hidden="1" customHeight="1" x14ac:dyDescent="0.2"/>
    <row r="43058" ht="12.75" hidden="1" customHeight="1" x14ac:dyDescent="0.2"/>
    <row r="43059" ht="12.75" hidden="1" customHeight="1" x14ac:dyDescent="0.2"/>
    <row r="43060" ht="12.75" hidden="1" customHeight="1" x14ac:dyDescent="0.2"/>
    <row r="43061" ht="12.75" hidden="1" customHeight="1" x14ac:dyDescent="0.2"/>
    <row r="43062" ht="12.75" hidden="1" customHeight="1" x14ac:dyDescent="0.2"/>
    <row r="43063" ht="12.75" hidden="1" customHeight="1" x14ac:dyDescent="0.2"/>
    <row r="43064" ht="12.75" hidden="1" customHeight="1" x14ac:dyDescent="0.2"/>
    <row r="43065" ht="12.75" hidden="1" customHeight="1" x14ac:dyDescent="0.2"/>
    <row r="43066" ht="12.75" hidden="1" customHeight="1" x14ac:dyDescent="0.2"/>
    <row r="43067" ht="12.75" hidden="1" customHeight="1" x14ac:dyDescent="0.2"/>
    <row r="43068" ht="12.75" hidden="1" customHeight="1" x14ac:dyDescent="0.2"/>
    <row r="43069" ht="12.75" hidden="1" customHeight="1" x14ac:dyDescent="0.2"/>
    <row r="43070" ht="12.75" hidden="1" customHeight="1" x14ac:dyDescent="0.2"/>
    <row r="43071" ht="12.75" hidden="1" customHeight="1" x14ac:dyDescent="0.2"/>
    <row r="43072" ht="12.75" hidden="1" customHeight="1" x14ac:dyDescent="0.2"/>
    <row r="43073" ht="12.75" hidden="1" customHeight="1" x14ac:dyDescent="0.2"/>
    <row r="43074" ht="12.75" hidden="1" customHeight="1" x14ac:dyDescent="0.2"/>
    <row r="43075" ht="12.75" hidden="1" customHeight="1" x14ac:dyDescent="0.2"/>
    <row r="43076" ht="12.75" hidden="1" customHeight="1" x14ac:dyDescent="0.2"/>
    <row r="43077" ht="12.75" hidden="1" customHeight="1" x14ac:dyDescent="0.2"/>
    <row r="43078" ht="12.75" hidden="1" customHeight="1" x14ac:dyDescent="0.2"/>
    <row r="43079" ht="12.75" hidden="1" customHeight="1" x14ac:dyDescent="0.2"/>
    <row r="43080" ht="12.75" hidden="1" customHeight="1" x14ac:dyDescent="0.2"/>
    <row r="43081" ht="12.75" hidden="1" customHeight="1" x14ac:dyDescent="0.2"/>
    <row r="43082" ht="12.75" hidden="1" customHeight="1" x14ac:dyDescent="0.2"/>
    <row r="43083" ht="12.75" hidden="1" customHeight="1" x14ac:dyDescent="0.2"/>
    <row r="43084" ht="12.75" hidden="1" customHeight="1" x14ac:dyDescent="0.2"/>
    <row r="43085" ht="12.75" hidden="1" customHeight="1" x14ac:dyDescent="0.2"/>
    <row r="43086" ht="12.75" hidden="1" customHeight="1" x14ac:dyDescent="0.2"/>
    <row r="43087" ht="12.75" hidden="1" customHeight="1" x14ac:dyDescent="0.2"/>
    <row r="43088" ht="12.75" hidden="1" customHeight="1" x14ac:dyDescent="0.2"/>
    <row r="43089" ht="12.75" hidden="1" customHeight="1" x14ac:dyDescent="0.2"/>
    <row r="43090" ht="12.75" hidden="1" customHeight="1" x14ac:dyDescent="0.2"/>
    <row r="43091" ht="12.75" hidden="1" customHeight="1" x14ac:dyDescent="0.2"/>
    <row r="43092" ht="12.75" hidden="1" customHeight="1" x14ac:dyDescent="0.2"/>
    <row r="43093" ht="12.75" hidden="1" customHeight="1" x14ac:dyDescent="0.2"/>
    <row r="43094" ht="12.75" hidden="1" customHeight="1" x14ac:dyDescent="0.2"/>
    <row r="43095" ht="12.75" hidden="1" customHeight="1" x14ac:dyDescent="0.2"/>
    <row r="43096" ht="12.75" hidden="1" customHeight="1" x14ac:dyDescent="0.2"/>
    <row r="43097" ht="12.75" hidden="1" customHeight="1" x14ac:dyDescent="0.2"/>
    <row r="43098" ht="12.75" hidden="1" customHeight="1" x14ac:dyDescent="0.2"/>
    <row r="43099" ht="12.75" hidden="1" customHeight="1" x14ac:dyDescent="0.2"/>
    <row r="43100" ht="12.75" hidden="1" customHeight="1" x14ac:dyDescent="0.2"/>
    <row r="43101" ht="12.75" hidden="1" customHeight="1" x14ac:dyDescent="0.2"/>
    <row r="43102" ht="12.75" hidden="1" customHeight="1" x14ac:dyDescent="0.2"/>
    <row r="43103" ht="12.75" hidden="1" customHeight="1" x14ac:dyDescent="0.2"/>
    <row r="43104" ht="12.75" hidden="1" customHeight="1" x14ac:dyDescent="0.2"/>
    <row r="43105" ht="12.75" hidden="1" customHeight="1" x14ac:dyDescent="0.2"/>
    <row r="43106" ht="12.75" hidden="1" customHeight="1" x14ac:dyDescent="0.2"/>
    <row r="43107" ht="12.75" hidden="1" customHeight="1" x14ac:dyDescent="0.2"/>
    <row r="43108" ht="12.75" hidden="1" customHeight="1" x14ac:dyDescent="0.2"/>
    <row r="43109" ht="12.75" hidden="1" customHeight="1" x14ac:dyDescent="0.2"/>
    <row r="43110" ht="12.75" hidden="1" customHeight="1" x14ac:dyDescent="0.2"/>
    <row r="43111" ht="12.75" hidden="1" customHeight="1" x14ac:dyDescent="0.2"/>
    <row r="43112" ht="12.75" hidden="1" customHeight="1" x14ac:dyDescent="0.2"/>
    <row r="43113" ht="12.75" hidden="1" customHeight="1" x14ac:dyDescent="0.2"/>
    <row r="43114" ht="12.75" hidden="1" customHeight="1" x14ac:dyDescent="0.2"/>
    <row r="43115" ht="12.75" hidden="1" customHeight="1" x14ac:dyDescent="0.2"/>
    <row r="43116" ht="12.75" hidden="1" customHeight="1" x14ac:dyDescent="0.2"/>
    <row r="43117" ht="12.75" hidden="1" customHeight="1" x14ac:dyDescent="0.2"/>
    <row r="43118" ht="12.75" hidden="1" customHeight="1" x14ac:dyDescent="0.2"/>
    <row r="43119" ht="12.75" hidden="1" customHeight="1" x14ac:dyDescent="0.2"/>
    <row r="43120" ht="12.75" hidden="1" customHeight="1" x14ac:dyDescent="0.2"/>
    <row r="43121" ht="12.75" hidden="1" customHeight="1" x14ac:dyDescent="0.2"/>
    <row r="43122" ht="12.75" hidden="1" customHeight="1" x14ac:dyDescent="0.2"/>
    <row r="43123" ht="12.75" hidden="1" customHeight="1" x14ac:dyDescent="0.2"/>
    <row r="43124" ht="12.75" hidden="1" customHeight="1" x14ac:dyDescent="0.2"/>
    <row r="43125" ht="12.75" hidden="1" customHeight="1" x14ac:dyDescent="0.2"/>
    <row r="43126" ht="12.75" hidden="1" customHeight="1" x14ac:dyDescent="0.2"/>
    <row r="43127" ht="12.75" hidden="1" customHeight="1" x14ac:dyDescent="0.2"/>
    <row r="43128" ht="12.75" hidden="1" customHeight="1" x14ac:dyDescent="0.2"/>
    <row r="43129" ht="12.75" hidden="1" customHeight="1" x14ac:dyDescent="0.2"/>
    <row r="43130" ht="12.75" hidden="1" customHeight="1" x14ac:dyDescent="0.2"/>
    <row r="43131" ht="12.75" hidden="1" customHeight="1" x14ac:dyDescent="0.2"/>
    <row r="43132" ht="12.75" hidden="1" customHeight="1" x14ac:dyDescent="0.2"/>
    <row r="43133" ht="12.75" hidden="1" customHeight="1" x14ac:dyDescent="0.2"/>
    <row r="43134" ht="12.75" hidden="1" customHeight="1" x14ac:dyDescent="0.2"/>
    <row r="43135" ht="12.75" hidden="1" customHeight="1" x14ac:dyDescent="0.2"/>
    <row r="43136" ht="12.75" hidden="1" customHeight="1" x14ac:dyDescent="0.2"/>
    <row r="43137" ht="12.75" hidden="1" customHeight="1" x14ac:dyDescent="0.2"/>
    <row r="43138" ht="12.75" hidden="1" customHeight="1" x14ac:dyDescent="0.2"/>
    <row r="43139" ht="12.75" hidden="1" customHeight="1" x14ac:dyDescent="0.2"/>
    <row r="43140" ht="12.75" hidden="1" customHeight="1" x14ac:dyDescent="0.2"/>
    <row r="43141" ht="12.75" hidden="1" customHeight="1" x14ac:dyDescent="0.2"/>
    <row r="43142" ht="12.75" hidden="1" customHeight="1" x14ac:dyDescent="0.2"/>
    <row r="43143" ht="12.75" hidden="1" customHeight="1" x14ac:dyDescent="0.2"/>
    <row r="43144" ht="12.75" hidden="1" customHeight="1" x14ac:dyDescent="0.2"/>
    <row r="43145" ht="12.75" hidden="1" customHeight="1" x14ac:dyDescent="0.2"/>
    <row r="43146" ht="12.75" hidden="1" customHeight="1" x14ac:dyDescent="0.2"/>
    <row r="43147" ht="12.75" hidden="1" customHeight="1" x14ac:dyDescent="0.2"/>
    <row r="43148" ht="12.75" hidden="1" customHeight="1" x14ac:dyDescent="0.2"/>
    <row r="43149" ht="12.75" hidden="1" customHeight="1" x14ac:dyDescent="0.2"/>
    <row r="43150" ht="12.75" hidden="1" customHeight="1" x14ac:dyDescent="0.2"/>
    <row r="43151" ht="12.75" hidden="1" customHeight="1" x14ac:dyDescent="0.2"/>
    <row r="43152" ht="12.75" hidden="1" customHeight="1" x14ac:dyDescent="0.2"/>
    <row r="43153" ht="12.75" hidden="1" customHeight="1" x14ac:dyDescent="0.2"/>
    <row r="43154" ht="12.75" hidden="1" customHeight="1" x14ac:dyDescent="0.2"/>
    <row r="43155" ht="12.75" hidden="1" customHeight="1" x14ac:dyDescent="0.2"/>
    <row r="43156" ht="12.75" hidden="1" customHeight="1" x14ac:dyDescent="0.2"/>
    <row r="43157" ht="12.75" hidden="1" customHeight="1" x14ac:dyDescent="0.2"/>
    <row r="43158" ht="12.75" hidden="1" customHeight="1" x14ac:dyDescent="0.2"/>
    <row r="43159" ht="12.75" hidden="1" customHeight="1" x14ac:dyDescent="0.2"/>
    <row r="43160" ht="12.75" hidden="1" customHeight="1" x14ac:dyDescent="0.2"/>
    <row r="43161" ht="12.75" hidden="1" customHeight="1" x14ac:dyDescent="0.2"/>
    <row r="43162" ht="12.75" hidden="1" customHeight="1" x14ac:dyDescent="0.2"/>
    <row r="43163" ht="12.75" hidden="1" customHeight="1" x14ac:dyDescent="0.2"/>
    <row r="43164" ht="12.75" hidden="1" customHeight="1" x14ac:dyDescent="0.2"/>
    <row r="43165" ht="12.75" hidden="1" customHeight="1" x14ac:dyDescent="0.2"/>
    <row r="43166" ht="12.75" hidden="1" customHeight="1" x14ac:dyDescent="0.2"/>
    <row r="43167" ht="12.75" hidden="1" customHeight="1" x14ac:dyDescent="0.2"/>
    <row r="43168" ht="12.75" hidden="1" customHeight="1" x14ac:dyDescent="0.2"/>
    <row r="43169" ht="12.75" hidden="1" customHeight="1" x14ac:dyDescent="0.2"/>
    <row r="43170" ht="12.75" hidden="1" customHeight="1" x14ac:dyDescent="0.2"/>
    <row r="43171" ht="12.75" hidden="1" customHeight="1" x14ac:dyDescent="0.2"/>
    <row r="43172" ht="12.75" hidden="1" customHeight="1" x14ac:dyDescent="0.2"/>
    <row r="43173" ht="12.75" hidden="1" customHeight="1" x14ac:dyDescent="0.2"/>
    <row r="43174" ht="12.75" hidden="1" customHeight="1" x14ac:dyDescent="0.2"/>
    <row r="43175" ht="12.75" hidden="1" customHeight="1" x14ac:dyDescent="0.2"/>
    <row r="43176" ht="12.75" hidden="1" customHeight="1" x14ac:dyDescent="0.2"/>
    <row r="43177" ht="12.75" hidden="1" customHeight="1" x14ac:dyDescent="0.2"/>
    <row r="43178" ht="12.75" hidden="1" customHeight="1" x14ac:dyDescent="0.2"/>
    <row r="43179" ht="12.75" hidden="1" customHeight="1" x14ac:dyDescent="0.2"/>
    <row r="43180" ht="12.75" hidden="1" customHeight="1" x14ac:dyDescent="0.2"/>
    <row r="43181" ht="12.75" hidden="1" customHeight="1" x14ac:dyDescent="0.2"/>
    <row r="43182" ht="12.75" hidden="1" customHeight="1" x14ac:dyDescent="0.2"/>
    <row r="43183" ht="12.75" hidden="1" customHeight="1" x14ac:dyDescent="0.2"/>
    <row r="43184" ht="12.75" hidden="1" customHeight="1" x14ac:dyDescent="0.2"/>
    <row r="43185" ht="12.75" hidden="1" customHeight="1" x14ac:dyDescent="0.2"/>
    <row r="43186" ht="12.75" hidden="1" customHeight="1" x14ac:dyDescent="0.2"/>
    <row r="43187" ht="12.75" hidden="1" customHeight="1" x14ac:dyDescent="0.2"/>
    <row r="43188" ht="12.75" hidden="1" customHeight="1" x14ac:dyDescent="0.2"/>
    <row r="43189" ht="12.75" hidden="1" customHeight="1" x14ac:dyDescent="0.2"/>
    <row r="43190" ht="12.75" hidden="1" customHeight="1" x14ac:dyDescent="0.2"/>
    <row r="43191" ht="12.75" hidden="1" customHeight="1" x14ac:dyDescent="0.2"/>
    <row r="43192" ht="12.75" hidden="1" customHeight="1" x14ac:dyDescent="0.2"/>
    <row r="43193" ht="12.75" hidden="1" customHeight="1" x14ac:dyDescent="0.2"/>
    <row r="43194" ht="12.75" hidden="1" customHeight="1" x14ac:dyDescent="0.2"/>
    <row r="43195" ht="12.75" hidden="1" customHeight="1" x14ac:dyDescent="0.2"/>
    <row r="43196" ht="12.75" hidden="1" customHeight="1" x14ac:dyDescent="0.2"/>
    <row r="43197" ht="12.75" hidden="1" customHeight="1" x14ac:dyDescent="0.2"/>
    <row r="43198" ht="12.75" hidden="1" customHeight="1" x14ac:dyDescent="0.2"/>
    <row r="43199" ht="12.75" hidden="1" customHeight="1" x14ac:dyDescent="0.2"/>
    <row r="43200" ht="12.75" hidden="1" customHeight="1" x14ac:dyDescent="0.2"/>
    <row r="43201" ht="12.75" hidden="1" customHeight="1" x14ac:dyDescent="0.2"/>
    <row r="43202" ht="12.75" hidden="1" customHeight="1" x14ac:dyDescent="0.2"/>
    <row r="43203" ht="12.75" hidden="1" customHeight="1" x14ac:dyDescent="0.2"/>
    <row r="43204" ht="12.75" hidden="1" customHeight="1" x14ac:dyDescent="0.2"/>
    <row r="43205" ht="12.75" hidden="1" customHeight="1" x14ac:dyDescent="0.2"/>
    <row r="43206" ht="12.75" hidden="1" customHeight="1" x14ac:dyDescent="0.2"/>
    <row r="43207" ht="12.75" hidden="1" customHeight="1" x14ac:dyDescent="0.2"/>
    <row r="43208" ht="12.75" hidden="1" customHeight="1" x14ac:dyDescent="0.2"/>
    <row r="43209" ht="12.75" hidden="1" customHeight="1" x14ac:dyDescent="0.2"/>
    <row r="43210" ht="12.75" hidden="1" customHeight="1" x14ac:dyDescent="0.2"/>
    <row r="43211" ht="12.75" hidden="1" customHeight="1" x14ac:dyDescent="0.2"/>
    <row r="43212" ht="12.75" hidden="1" customHeight="1" x14ac:dyDescent="0.2"/>
    <row r="43213" ht="12.75" hidden="1" customHeight="1" x14ac:dyDescent="0.2"/>
    <row r="43214" ht="12.75" hidden="1" customHeight="1" x14ac:dyDescent="0.2"/>
    <row r="43215" ht="12.75" hidden="1" customHeight="1" x14ac:dyDescent="0.2"/>
    <row r="43216" ht="12.75" hidden="1" customHeight="1" x14ac:dyDescent="0.2"/>
    <row r="43217" ht="12.75" hidden="1" customHeight="1" x14ac:dyDescent="0.2"/>
    <row r="43218" ht="12.75" hidden="1" customHeight="1" x14ac:dyDescent="0.2"/>
    <row r="43219" ht="12.75" hidden="1" customHeight="1" x14ac:dyDescent="0.2"/>
    <row r="43220" ht="12.75" hidden="1" customHeight="1" x14ac:dyDescent="0.2"/>
    <row r="43221" ht="12.75" hidden="1" customHeight="1" x14ac:dyDescent="0.2"/>
    <row r="43222" ht="12.75" hidden="1" customHeight="1" x14ac:dyDescent="0.2"/>
    <row r="43223" ht="12.75" hidden="1" customHeight="1" x14ac:dyDescent="0.2"/>
    <row r="43224" ht="12.75" hidden="1" customHeight="1" x14ac:dyDescent="0.2"/>
    <row r="43225" ht="12.75" hidden="1" customHeight="1" x14ac:dyDescent="0.2"/>
    <row r="43226" ht="12.75" hidden="1" customHeight="1" x14ac:dyDescent="0.2"/>
    <row r="43227" ht="12.75" hidden="1" customHeight="1" x14ac:dyDescent="0.2"/>
    <row r="43228" ht="12.75" hidden="1" customHeight="1" x14ac:dyDescent="0.2"/>
    <row r="43229" ht="12.75" hidden="1" customHeight="1" x14ac:dyDescent="0.2"/>
    <row r="43230" ht="12.75" hidden="1" customHeight="1" x14ac:dyDescent="0.2"/>
    <row r="43231" ht="12.75" hidden="1" customHeight="1" x14ac:dyDescent="0.2"/>
    <row r="43232" ht="12.75" hidden="1" customHeight="1" x14ac:dyDescent="0.2"/>
    <row r="43233" ht="12.75" hidden="1" customHeight="1" x14ac:dyDescent="0.2"/>
    <row r="43234" ht="12.75" hidden="1" customHeight="1" x14ac:dyDescent="0.2"/>
    <row r="43235" ht="12.75" hidden="1" customHeight="1" x14ac:dyDescent="0.2"/>
    <row r="43236" ht="12.75" hidden="1" customHeight="1" x14ac:dyDescent="0.2"/>
    <row r="43237" ht="12.75" hidden="1" customHeight="1" x14ac:dyDescent="0.2"/>
    <row r="43238" ht="12.75" hidden="1" customHeight="1" x14ac:dyDescent="0.2"/>
    <row r="43239" ht="12.75" hidden="1" customHeight="1" x14ac:dyDescent="0.2"/>
    <row r="43240" ht="12.75" hidden="1" customHeight="1" x14ac:dyDescent="0.2"/>
    <row r="43241" ht="12.75" hidden="1" customHeight="1" x14ac:dyDescent="0.2"/>
    <row r="43242" ht="12.75" hidden="1" customHeight="1" x14ac:dyDescent="0.2"/>
    <row r="43243" ht="12.75" hidden="1" customHeight="1" x14ac:dyDescent="0.2"/>
    <row r="43244" ht="12.75" hidden="1" customHeight="1" x14ac:dyDescent="0.2"/>
    <row r="43245" ht="12.75" hidden="1" customHeight="1" x14ac:dyDescent="0.2"/>
    <row r="43246" ht="12.75" hidden="1" customHeight="1" x14ac:dyDescent="0.2"/>
    <row r="43247" ht="12.75" hidden="1" customHeight="1" x14ac:dyDescent="0.2"/>
    <row r="43248" ht="12.75" hidden="1" customHeight="1" x14ac:dyDescent="0.2"/>
    <row r="43249" ht="12.75" hidden="1" customHeight="1" x14ac:dyDescent="0.2"/>
    <row r="43250" ht="12.75" hidden="1" customHeight="1" x14ac:dyDescent="0.2"/>
    <row r="43251" ht="12.75" hidden="1" customHeight="1" x14ac:dyDescent="0.2"/>
    <row r="43252" ht="12.75" hidden="1" customHeight="1" x14ac:dyDescent="0.2"/>
    <row r="43253" ht="12.75" hidden="1" customHeight="1" x14ac:dyDescent="0.2"/>
    <row r="43254" ht="12.75" hidden="1" customHeight="1" x14ac:dyDescent="0.2"/>
    <row r="43255" ht="12.75" hidden="1" customHeight="1" x14ac:dyDescent="0.2"/>
    <row r="43256" ht="12.75" hidden="1" customHeight="1" x14ac:dyDescent="0.2"/>
    <row r="43257" ht="12.75" hidden="1" customHeight="1" x14ac:dyDescent="0.2"/>
    <row r="43258" ht="12.75" hidden="1" customHeight="1" x14ac:dyDescent="0.2"/>
    <row r="43259" ht="12.75" hidden="1" customHeight="1" x14ac:dyDescent="0.2"/>
    <row r="43260" ht="12.75" hidden="1" customHeight="1" x14ac:dyDescent="0.2"/>
    <row r="43261" ht="12.75" hidden="1" customHeight="1" x14ac:dyDescent="0.2"/>
    <row r="43262" ht="12.75" hidden="1" customHeight="1" x14ac:dyDescent="0.2"/>
    <row r="43263" ht="12.75" hidden="1" customHeight="1" x14ac:dyDescent="0.2"/>
    <row r="43264" ht="12.75" hidden="1" customHeight="1" x14ac:dyDescent="0.2"/>
    <row r="43265" ht="12.75" hidden="1" customHeight="1" x14ac:dyDescent="0.2"/>
    <row r="43266" ht="12.75" hidden="1" customHeight="1" x14ac:dyDescent="0.2"/>
    <row r="43267" ht="12.75" hidden="1" customHeight="1" x14ac:dyDescent="0.2"/>
    <row r="43268" ht="12.75" hidden="1" customHeight="1" x14ac:dyDescent="0.2"/>
    <row r="43269" ht="12.75" hidden="1" customHeight="1" x14ac:dyDescent="0.2"/>
    <row r="43270" ht="12.75" hidden="1" customHeight="1" x14ac:dyDescent="0.2"/>
    <row r="43271" ht="12.75" hidden="1" customHeight="1" x14ac:dyDescent="0.2"/>
    <row r="43272" ht="12.75" hidden="1" customHeight="1" x14ac:dyDescent="0.2"/>
    <row r="43273" ht="12.75" hidden="1" customHeight="1" x14ac:dyDescent="0.2"/>
    <row r="43274" ht="12.75" hidden="1" customHeight="1" x14ac:dyDescent="0.2"/>
    <row r="43275" ht="12.75" hidden="1" customHeight="1" x14ac:dyDescent="0.2"/>
    <row r="43276" ht="12.75" hidden="1" customHeight="1" x14ac:dyDescent="0.2"/>
    <row r="43277" ht="12.75" hidden="1" customHeight="1" x14ac:dyDescent="0.2"/>
    <row r="43278" ht="12.75" hidden="1" customHeight="1" x14ac:dyDescent="0.2"/>
    <row r="43279" ht="12.75" hidden="1" customHeight="1" x14ac:dyDescent="0.2"/>
    <row r="43280" ht="12.75" hidden="1" customHeight="1" x14ac:dyDescent="0.2"/>
    <row r="43281" ht="12.75" hidden="1" customHeight="1" x14ac:dyDescent="0.2"/>
    <row r="43282" ht="12.75" hidden="1" customHeight="1" x14ac:dyDescent="0.2"/>
    <row r="43283" ht="12.75" hidden="1" customHeight="1" x14ac:dyDescent="0.2"/>
    <row r="43284" ht="12.75" hidden="1" customHeight="1" x14ac:dyDescent="0.2"/>
    <row r="43285" ht="12.75" hidden="1" customHeight="1" x14ac:dyDescent="0.2"/>
    <row r="43286" ht="12.75" hidden="1" customHeight="1" x14ac:dyDescent="0.2"/>
    <row r="43287" ht="12.75" hidden="1" customHeight="1" x14ac:dyDescent="0.2"/>
    <row r="43288" ht="12.75" hidden="1" customHeight="1" x14ac:dyDescent="0.2"/>
    <row r="43289" ht="12.75" hidden="1" customHeight="1" x14ac:dyDescent="0.2"/>
    <row r="43290" ht="12.75" hidden="1" customHeight="1" x14ac:dyDescent="0.2"/>
    <row r="43291" ht="12.75" hidden="1" customHeight="1" x14ac:dyDescent="0.2"/>
    <row r="43292" ht="12.75" hidden="1" customHeight="1" x14ac:dyDescent="0.2"/>
    <row r="43293" ht="12.75" hidden="1" customHeight="1" x14ac:dyDescent="0.2"/>
    <row r="43294" ht="12.75" hidden="1" customHeight="1" x14ac:dyDescent="0.2"/>
    <row r="43295" ht="12.75" hidden="1" customHeight="1" x14ac:dyDescent="0.2"/>
    <row r="43296" ht="12.75" hidden="1" customHeight="1" x14ac:dyDescent="0.2"/>
    <row r="43297" ht="12.75" hidden="1" customHeight="1" x14ac:dyDescent="0.2"/>
    <row r="43298" ht="12.75" hidden="1" customHeight="1" x14ac:dyDescent="0.2"/>
    <row r="43299" ht="12.75" hidden="1" customHeight="1" x14ac:dyDescent="0.2"/>
    <row r="43300" ht="12.75" hidden="1" customHeight="1" x14ac:dyDescent="0.2"/>
    <row r="43301" ht="12.75" hidden="1" customHeight="1" x14ac:dyDescent="0.2"/>
    <row r="43302" ht="12.75" hidden="1" customHeight="1" x14ac:dyDescent="0.2"/>
    <row r="43303" ht="12.75" hidden="1" customHeight="1" x14ac:dyDescent="0.2"/>
    <row r="43304" ht="12.75" hidden="1" customHeight="1" x14ac:dyDescent="0.2"/>
    <row r="43305" ht="12.75" hidden="1" customHeight="1" x14ac:dyDescent="0.2"/>
    <row r="43306" ht="12.75" hidden="1" customHeight="1" x14ac:dyDescent="0.2"/>
    <row r="43307" ht="12.75" hidden="1" customHeight="1" x14ac:dyDescent="0.2"/>
    <row r="43308" ht="12.75" hidden="1" customHeight="1" x14ac:dyDescent="0.2"/>
    <row r="43309" ht="12.75" hidden="1" customHeight="1" x14ac:dyDescent="0.2"/>
    <row r="43310" ht="12.75" hidden="1" customHeight="1" x14ac:dyDescent="0.2"/>
    <row r="43311" ht="12.75" hidden="1" customHeight="1" x14ac:dyDescent="0.2"/>
    <row r="43312" ht="12.75" hidden="1" customHeight="1" x14ac:dyDescent="0.2"/>
    <row r="43313" ht="12.75" hidden="1" customHeight="1" x14ac:dyDescent="0.2"/>
    <row r="43314" ht="12.75" hidden="1" customHeight="1" x14ac:dyDescent="0.2"/>
    <row r="43315" ht="12.75" hidden="1" customHeight="1" x14ac:dyDescent="0.2"/>
    <row r="43316" ht="12.75" hidden="1" customHeight="1" x14ac:dyDescent="0.2"/>
    <row r="43317" ht="12.75" hidden="1" customHeight="1" x14ac:dyDescent="0.2"/>
    <row r="43318" ht="12.75" hidden="1" customHeight="1" x14ac:dyDescent="0.2"/>
    <row r="43319" ht="12.75" hidden="1" customHeight="1" x14ac:dyDescent="0.2"/>
    <row r="43320" ht="12.75" hidden="1" customHeight="1" x14ac:dyDescent="0.2"/>
    <row r="43321" ht="12.75" hidden="1" customHeight="1" x14ac:dyDescent="0.2"/>
    <row r="43322" ht="12.75" hidden="1" customHeight="1" x14ac:dyDescent="0.2"/>
    <row r="43323" ht="12.75" hidden="1" customHeight="1" x14ac:dyDescent="0.2"/>
    <row r="43324" ht="12.75" hidden="1" customHeight="1" x14ac:dyDescent="0.2"/>
    <row r="43325" ht="12.75" hidden="1" customHeight="1" x14ac:dyDescent="0.2"/>
    <row r="43326" ht="12.75" hidden="1" customHeight="1" x14ac:dyDescent="0.2"/>
    <row r="43327" ht="12.75" hidden="1" customHeight="1" x14ac:dyDescent="0.2"/>
    <row r="43328" ht="12.75" hidden="1" customHeight="1" x14ac:dyDescent="0.2"/>
    <row r="43329" ht="12.75" hidden="1" customHeight="1" x14ac:dyDescent="0.2"/>
    <row r="43330" ht="12.75" hidden="1" customHeight="1" x14ac:dyDescent="0.2"/>
    <row r="43331" ht="12.75" hidden="1" customHeight="1" x14ac:dyDescent="0.2"/>
    <row r="43332" ht="12.75" hidden="1" customHeight="1" x14ac:dyDescent="0.2"/>
    <row r="43333" ht="12.75" hidden="1" customHeight="1" x14ac:dyDescent="0.2"/>
    <row r="43334" ht="12.75" hidden="1" customHeight="1" x14ac:dyDescent="0.2"/>
    <row r="43335" ht="12.75" hidden="1" customHeight="1" x14ac:dyDescent="0.2"/>
    <row r="43336" ht="12.75" hidden="1" customHeight="1" x14ac:dyDescent="0.2"/>
    <row r="43337" ht="12.75" hidden="1" customHeight="1" x14ac:dyDescent="0.2"/>
    <row r="43338" ht="12.75" hidden="1" customHeight="1" x14ac:dyDescent="0.2"/>
    <row r="43339" ht="12.75" hidden="1" customHeight="1" x14ac:dyDescent="0.2"/>
    <row r="43340" ht="12.75" hidden="1" customHeight="1" x14ac:dyDescent="0.2"/>
    <row r="43341" ht="12.75" hidden="1" customHeight="1" x14ac:dyDescent="0.2"/>
    <row r="43342" ht="12.75" hidden="1" customHeight="1" x14ac:dyDescent="0.2"/>
    <row r="43343" ht="12.75" hidden="1" customHeight="1" x14ac:dyDescent="0.2"/>
    <row r="43344" ht="12.75" hidden="1" customHeight="1" x14ac:dyDescent="0.2"/>
    <row r="43345" ht="12.75" hidden="1" customHeight="1" x14ac:dyDescent="0.2"/>
    <row r="43346" ht="12.75" hidden="1" customHeight="1" x14ac:dyDescent="0.2"/>
    <row r="43347" ht="12.75" hidden="1" customHeight="1" x14ac:dyDescent="0.2"/>
    <row r="43348" ht="12.75" hidden="1" customHeight="1" x14ac:dyDescent="0.2"/>
    <row r="43349" ht="12.75" hidden="1" customHeight="1" x14ac:dyDescent="0.2"/>
    <row r="43350" ht="12.75" hidden="1" customHeight="1" x14ac:dyDescent="0.2"/>
    <row r="43351" ht="12.75" hidden="1" customHeight="1" x14ac:dyDescent="0.2"/>
    <row r="43352" ht="12.75" hidden="1" customHeight="1" x14ac:dyDescent="0.2"/>
    <row r="43353" ht="12.75" hidden="1" customHeight="1" x14ac:dyDescent="0.2"/>
    <row r="43354" ht="12.75" hidden="1" customHeight="1" x14ac:dyDescent="0.2"/>
    <row r="43355" ht="12.75" hidden="1" customHeight="1" x14ac:dyDescent="0.2"/>
    <row r="43356" ht="12.75" hidden="1" customHeight="1" x14ac:dyDescent="0.2"/>
    <row r="43357" ht="12.75" hidden="1" customHeight="1" x14ac:dyDescent="0.2"/>
    <row r="43358" ht="12.75" hidden="1" customHeight="1" x14ac:dyDescent="0.2"/>
    <row r="43359" ht="12.75" hidden="1" customHeight="1" x14ac:dyDescent="0.2"/>
    <row r="43360" ht="12.75" hidden="1" customHeight="1" x14ac:dyDescent="0.2"/>
    <row r="43361" ht="12.75" hidden="1" customHeight="1" x14ac:dyDescent="0.2"/>
    <row r="43362" ht="12.75" hidden="1" customHeight="1" x14ac:dyDescent="0.2"/>
    <row r="43363" ht="12.75" hidden="1" customHeight="1" x14ac:dyDescent="0.2"/>
    <row r="43364" ht="12.75" hidden="1" customHeight="1" x14ac:dyDescent="0.2"/>
    <row r="43365" ht="12.75" hidden="1" customHeight="1" x14ac:dyDescent="0.2"/>
    <row r="43366" ht="12.75" hidden="1" customHeight="1" x14ac:dyDescent="0.2"/>
    <row r="43367" ht="12.75" hidden="1" customHeight="1" x14ac:dyDescent="0.2"/>
    <row r="43368" ht="12.75" hidden="1" customHeight="1" x14ac:dyDescent="0.2"/>
    <row r="43369" ht="12.75" hidden="1" customHeight="1" x14ac:dyDescent="0.2"/>
    <row r="43370" ht="12.75" hidden="1" customHeight="1" x14ac:dyDescent="0.2"/>
    <row r="43371" ht="12.75" hidden="1" customHeight="1" x14ac:dyDescent="0.2"/>
    <row r="43372" ht="12.75" hidden="1" customHeight="1" x14ac:dyDescent="0.2"/>
    <row r="43373" ht="12.75" hidden="1" customHeight="1" x14ac:dyDescent="0.2"/>
    <row r="43374" ht="12.75" hidden="1" customHeight="1" x14ac:dyDescent="0.2"/>
    <row r="43375" ht="12.75" hidden="1" customHeight="1" x14ac:dyDescent="0.2"/>
    <row r="43376" ht="12.75" hidden="1" customHeight="1" x14ac:dyDescent="0.2"/>
    <row r="43377" ht="12.75" hidden="1" customHeight="1" x14ac:dyDescent="0.2"/>
    <row r="43378" ht="12.75" hidden="1" customHeight="1" x14ac:dyDescent="0.2"/>
    <row r="43379" ht="12.75" hidden="1" customHeight="1" x14ac:dyDescent="0.2"/>
    <row r="43380" ht="12.75" hidden="1" customHeight="1" x14ac:dyDescent="0.2"/>
    <row r="43381" ht="12.75" hidden="1" customHeight="1" x14ac:dyDescent="0.2"/>
    <row r="43382" ht="12.75" hidden="1" customHeight="1" x14ac:dyDescent="0.2"/>
    <row r="43383" ht="12.75" hidden="1" customHeight="1" x14ac:dyDescent="0.2"/>
    <row r="43384" ht="12.75" hidden="1" customHeight="1" x14ac:dyDescent="0.2"/>
    <row r="43385" ht="12.75" hidden="1" customHeight="1" x14ac:dyDescent="0.2"/>
    <row r="43386" ht="12.75" hidden="1" customHeight="1" x14ac:dyDescent="0.2"/>
    <row r="43387" ht="12.75" hidden="1" customHeight="1" x14ac:dyDescent="0.2"/>
    <row r="43388" ht="12.75" hidden="1" customHeight="1" x14ac:dyDescent="0.2"/>
    <row r="43389" ht="12.75" hidden="1" customHeight="1" x14ac:dyDescent="0.2"/>
    <row r="43390" ht="12.75" hidden="1" customHeight="1" x14ac:dyDescent="0.2"/>
    <row r="43391" ht="12.75" hidden="1" customHeight="1" x14ac:dyDescent="0.2"/>
    <row r="43392" ht="12.75" hidden="1" customHeight="1" x14ac:dyDescent="0.2"/>
    <row r="43393" ht="12.75" hidden="1" customHeight="1" x14ac:dyDescent="0.2"/>
    <row r="43394" ht="12.75" hidden="1" customHeight="1" x14ac:dyDescent="0.2"/>
    <row r="43395" ht="12.75" hidden="1" customHeight="1" x14ac:dyDescent="0.2"/>
    <row r="43396" ht="12.75" hidden="1" customHeight="1" x14ac:dyDescent="0.2"/>
    <row r="43397" ht="12.75" hidden="1" customHeight="1" x14ac:dyDescent="0.2"/>
    <row r="43398" ht="12.75" hidden="1" customHeight="1" x14ac:dyDescent="0.2"/>
    <row r="43399" ht="12.75" hidden="1" customHeight="1" x14ac:dyDescent="0.2"/>
    <row r="43400" ht="12.75" hidden="1" customHeight="1" x14ac:dyDescent="0.2"/>
    <row r="43401" ht="12.75" hidden="1" customHeight="1" x14ac:dyDescent="0.2"/>
    <row r="43402" ht="12.75" hidden="1" customHeight="1" x14ac:dyDescent="0.2"/>
    <row r="43403" ht="12.75" hidden="1" customHeight="1" x14ac:dyDescent="0.2"/>
    <row r="43404" ht="12.75" hidden="1" customHeight="1" x14ac:dyDescent="0.2"/>
    <row r="43405" ht="12.75" hidden="1" customHeight="1" x14ac:dyDescent="0.2"/>
    <row r="43406" ht="12.75" hidden="1" customHeight="1" x14ac:dyDescent="0.2"/>
    <row r="43407" ht="12.75" hidden="1" customHeight="1" x14ac:dyDescent="0.2"/>
    <row r="43408" ht="12.75" hidden="1" customHeight="1" x14ac:dyDescent="0.2"/>
    <row r="43409" ht="12.75" hidden="1" customHeight="1" x14ac:dyDescent="0.2"/>
    <row r="43410" ht="12.75" hidden="1" customHeight="1" x14ac:dyDescent="0.2"/>
    <row r="43411" ht="12.75" hidden="1" customHeight="1" x14ac:dyDescent="0.2"/>
    <row r="43412" ht="12.75" hidden="1" customHeight="1" x14ac:dyDescent="0.2"/>
    <row r="43413" ht="12.75" hidden="1" customHeight="1" x14ac:dyDescent="0.2"/>
    <row r="43414" ht="12.75" hidden="1" customHeight="1" x14ac:dyDescent="0.2"/>
    <row r="43415" ht="12.75" hidden="1" customHeight="1" x14ac:dyDescent="0.2"/>
    <row r="43416" ht="12.75" hidden="1" customHeight="1" x14ac:dyDescent="0.2"/>
    <row r="43417" ht="12.75" hidden="1" customHeight="1" x14ac:dyDescent="0.2"/>
    <row r="43418" ht="12.75" hidden="1" customHeight="1" x14ac:dyDescent="0.2"/>
    <row r="43419" ht="12.75" hidden="1" customHeight="1" x14ac:dyDescent="0.2"/>
    <row r="43420" ht="12.75" hidden="1" customHeight="1" x14ac:dyDescent="0.2"/>
    <row r="43421" ht="12.75" hidden="1" customHeight="1" x14ac:dyDescent="0.2"/>
    <row r="43422" ht="12.75" hidden="1" customHeight="1" x14ac:dyDescent="0.2"/>
    <row r="43423" ht="12.75" hidden="1" customHeight="1" x14ac:dyDescent="0.2"/>
    <row r="43424" ht="12.75" hidden="1" customHeight="1" x14ac:dyDescent="0.2"/>
    <row r="43425" ht="12.75" hidden="1" customHeight="1" x14ac:dyDescent="0.2"/>
    <row r="43426" ht="12.75" hidden="1" customHeight="1" x14ac:dyDescent="0.2"/>
    <row r="43427" ht="12.75" hidden="1" customHeight="1" x14ac:dyDescent="0.2"/>
    <row r="43428" ht="12.75" hidden="1" customHeight="1" x14ac:dyDescent="0.2"/>
    <row r="43429" ht="12.75" hidden="1" customHeight="1" x14ac:dyDescent="0.2"/>
    <row r="43430" ht="12.75" hidden="1" customHeight="1" x14ac:dyDescent="0.2"/>
    <row r="43431" ht="12.75" hidden="1" customHeight="1" x14ac:dyDescent="0.2"/>
    <row r="43432" ht="12.75" hidden="1" customHeight="1" x14ac:dyDescent="0.2"/>
    <row r="43433" ht="12.75" hidden="1" customHeight="1" x14ac:dyDescent="0.2"/>
    <row r="43434" ht="12.75" hidden="1" customHeight="1" x14ac:dyDescent="0.2"/>
    <row r="43435" ht="12.75" hidden="1" customHeight="1" x14ac:dyDescent="0.2"/>
    <row r="43436" ht="12.75" hidden="1" customHeight="1" x14ac:dyDescent="0.2"/>
    <row r="43437" ht="12.75" hidden="1" customHeight="1" x14ac:dyDescent="0.2"/>
    <row r="43438" ht="12.75" hidden="1" customHeight="1" x14ac:dyDescent="0.2"/>
    <row r="43439" ht="12.75" hidden="1" customHeight="1" x14ac:dyDescent="0.2"/>
    <row r="43440" ht="12.75" hidden="1" customHeight="1" x14ac:dyDescent="0.2"/>
    <row r="43441" ht="12.75" hidden="1" customHeight="1" x14ac:dyDescent="0.2"/>
    <row r="43442" ht="12.75" hidden="1" customHeight="1" x14ac:dyDescent="0.2"/>
    <row r="43443" ht="12.75" hidden="1" customHeight="1" x14ac:dyDescent="0.2"/>
    <row r="43444" ht="12.75" hidden="1" customHeight="1" x14ac:dyDescent="0.2"/>
    <row r="43445" ht="12.75" hidden="1" customHeight="1" x14ac:dyDescent="0.2"/>
    <row r="43446" ht="12.75" hidden="1" customHeight="1" x14ac:dyDescent="0.2"/>
    <row r="43447" ht="12.75" hidden="1" customHeight="1" x14ac:dyDescent="0.2"/>
    <row r="43448" ht="12.75" hidden="1" customHeight="1" x14ac:dyDescent="0.2"/>
    <row r="43449" ht="12.75" hidden="1" customHeight="1" x14ac:dyDescent="0.2"/>
    <row r="43450" ht="12.75" hidden="1" customHeight="1" x14ac:dyDescent="0.2"/>
    <row r="43451" ht="12.75" hidden="1" customHeight="1" x14ac:dyDescent="0.2"/>
    <row r="43452" ht="12.75" hidden="1" customHeight="1" x14ac:dyDescent="0.2"/>
    <row r="43453" ht="12.75" hidden="1" customHeight="1" x14ac:dyDescent="0.2"/>
    <row r="43454" ht="12.75" hidden="1" customHeight="1" x14ac:dyDescent="0.2"/>
    <row r="43455" ht="12.75" hidden="1" customHeight="1" x14ac:dyDescent="0.2"/>
    <row r="43456" ht="12.75" hidden="1" customHeight="1" x14ac:dyDescent="0.2"/>
    <row r="43457" ht="12.75" hidden="1" customHeight="1" x14ac:dyDescent="0.2"/>
    <row r="43458" ht="12.75" hidden="1" customHeight="1" x14ac:dyDescent="0.2"/>
    <row r="43459" ht="12.75" hidden="1" customHeight="1" x14ac:dyDescent="0.2"/>
    <row r="43460" ht="12.75" hidden="1" customHeight="1" x14ac:dyDescent="0.2"/>
    <row r="43461" ht="12.75" hidden="1" customHeight="1" x14ac:dyDescent="0.2"/>
    <row r="43462" ht="12.75" hidden="1" customHeight="1" x14ac:dyDescent="0.2"/>
    <row r="43463" ht="12.75" hidden="1" customHeight="1" x14ac:dyDescent="0.2"/>
    <row r="43464" ht="12.75" hidden="1" customHeight="1" x14ac:dyDescent="0.2"/>
    <row r="43465" ht="12.75" hidden="1" customHeight="1" x14ac:dyDescent="0.2"/>
    <row r="43466" ht="12.75" hidden="1" customHeight="1" x14ac:dyDescent="0.2"/>
    <row r="43467" ht="12.75" hidden="1" customHeight="1" x14ac:dyDescent="0.2"/>
    <row r="43468" ht="12.75" hidden="1" customHeight="1" x14ac:dyDescent="0.2"/>
    <row r="43469" ht="12.75" hidden="1" customHeight="1" x14ac:dyDescent="0.2"/>
    <row r="43470" ht="12.75" hidden="1" customHeight="1" x14ac:dyDescent="0.2"/>
    <row r="43471" ht="12.75" hidden="1" customHeight="1" x14ac:dyDescent="0.2"/>
    <row r="43472" ht="12.75" hidden="1" customHeight="1" x14ac:dyDescent="0.2"/>
    <row r="43473" ht="12.75" hidden="1" customHeight="1" x14ac:dyDescent="0.2"/>
    <row r="43474" ht="12.75" hidden="1" customHeight="1" x14ac:dyDescent="0.2"/>
    <row r="43475" ht="12.75" hidden="1" customHeight="1" x14ac:dyDescent="0.2"/>
    <row r="43476" ht="12.75" hidden="1" customHeight="1" x14ac:dyDescent="0.2"/>
    <row r="43477" ht="12.75" hidden="1" customHeight="1" x14ac:dyDescent="0.2"/>
    <row r="43478" ht="12.75" hidden="1" customHeight="1" x14ac:dyDescent="0.2"/>
    <row r="43479" ht="12.75" hidden="1" customHeight="1" x14ac:dyDescent="0.2"/>
    <row r="43480" ht="12.75" hidden="1" customHeight="1" x14ac:dyDescent="0.2"/>
    <row r="43481" ht="12.75" hidden="1" customHeight="1" x14ac:dyDescent="0.2"/>
    <row r="43482" ht="12.75" hidden="1" customHeight="1" x14ac:dyDescent="0.2"/>
    <row r="43483" ht="12.75" hidden="1" customHeight="1" x14ac:dyDescent="0.2"/>
    <row r="43484" ht="12.75" hidden="1" customHeight="1" x14ac:dyDescent="0.2"/>
    <row r="43485" ht="12.75" hidden="1" customHeight="1" x14ac:dyDescent="0.2"/>
    <row r="43486" ht="12.75" hidden="1" customHeight="1" x14ac:dyDescent="0.2"/>
    <row r="43487" ht="12.75" hidden="1" customHeight="1" x14ac:dyDescent="0.2"/>
    <row r="43488" ht="12.75" hidden="1" customHeight="1" x14ac:dyDescent="0.2"/>
    <row r="43489" ht="12.75" hidden="1" customHeight="1" x14ac:dyDescent="0.2"/>
    <row r="43490" ht="12.75" hidden="1" customHeight="1" x14ac:dyDescent="0.2"/>
    <row r="43491" ht="12.75" hidden="1" customHeight="1" x14ac:dyDescent="0.2"/>
    <row r="43492" ht="12.75" hidden="1" customHeight="1" x14ac:dyDescent="0.2"/>
    <row r="43493" ht="12.75" hidden="1" customHeight="1" x14ac:dyDescent="0.2"/>
    <row r="43494" ht="12.75" hidden="1" customHeight="1" x14ac:dyDescent="0.2"/>
    <row r="43495" ht="12.75" hidden="1" customHeight="1" x14ac:dyDescent="0.2"/>
    <row r="43496" ht="12.75" hidden="1" customHeight="1" x14ac:dyDescent="0.2"/>
    <row r="43497" ht="12.75" hidden="1" customHeight="1" x14ac:dyDescent="0.2"/>
    <row r="43498" ht="12.75" hidden="1" customHeight="1" x14ac:dyDescent="0.2"/>
    <row r="43499" ht="12.75" hidden="1" customHeight="1" x14ac:dyDescent="0.2"/>
    <row r="43500" ht="12.75" hidden="1" customHeight="1" x14ac:dyDescent="0.2"/>
    <row r="43501" ht="12.75" hidden="1" customHeight="1" x14ac:dyDescent="0.2"/>
    <row r="43502" ht="12.75" hidden="1" customHeight="1" x14ac:dyDescent="0.2"/>
    <row r="43503" ht="12.75" hidden="1" customHeight="1" x14ac:dyDescent="0.2"/>
    <row r="43504" ht="12.75" hidden="1" customHeight="1" x14ac:dyDescent="0.2"/>
    <row r="43505" ht="12.75" hidden="1" customHeight="1" x14ac:dyDescent="0.2"/>
    <row r="43506" ht="12.75" hidden="1" customHeight="1" x14ac:dyDescent="0.2"/>
    <row r="43507" ht="12.75" hidden="1" customHeight="1" x14ac:dyDescent="0.2"/>
    <row r="43508" ht="12.75" hidden="1" customHeight="1" x14ac:dyDescent="0.2"/>
    <row r="43509" ht="12.75" hidden="1" customHeight="1" x14ac:dyDescent="0.2"/>
    <row r="43510" ht="12.75" hidden="1" customHeight="1" x14ac:dyDescent="0.2"/>
    <row r="43511" ht="12.75" hidden="1" customHeight="1" x14ac:dyDescent="0.2"/>
    <row r="43512" ht="12.75" hidden="1" customHeight="1" x14ac:dyDescent="0.2"/>
    <row r="43513" ht="12.75" hidden="1" customHeight="1" x14ac:dyDescent="0.2"/>
    <row r="43514" ht="12.75" hidden="1" customHeight="1" x14ac:dyDescent="0.2"/>
    <row r="43515" ht="12.75" hidden="1" customHeight="1" x14ac:dyDescent="0.2"/>
    <row r="43516" ht="12.75" hidden="1" customHeight="1" x14ac:dyDescent="0.2"/>
    <row r="43517" ht="12.75" hidden="1" customHeight="1" x14ac:dyDescent="0.2"/>
    <row r="43518" ht="12.75" hidden="1" customHeight="1" x14ac:dyDescent="0.2"/>
    <row r="43519" ht="12.75" hidden="1" customHeight="1" x14ac:dyDescent="0.2"/>
    <row r="43520" ht="12.75" hidden="1" customHeight="1" x14ac:dyDescent="0.2"/>
    <row r="43521" ht="12.75" hidden="1" customHeight="1" x14ac:dyDescent="0.2"/>
    <row r="43522" ht="12.75" hidden="1" customHeight="1" x14ac:dyDescent="0.2"/>
    <row r="43523" ht="12.75" hidden="1" customHeight="1" x14ac:dyDescent="0.2"/>
    <row r="43524" ht="12.75" hidden="1" customHeight="1" x14ac:dyDescent="0.2"/>
    <row r="43525" ht="12.75" hidden="1" customHeight="1" x14ac:dyDescent="0.2"/>
    <row r="43526" ht="12.75" hidden="1" customHeight="1" x14ac:dyDescent="0.2"/>
    <row r="43527" ht="12.75" hidden="1" customHeight="1" x14ac:dyDescent="0.2"/>
    <row r="43528" ht="12.75" hidden="1" customHeight="1" x14ac:dyDescent="0.2"/>
    <row r="43529" ht="12.75" hidden="1" customHeight="1" x14ac:dyDescent="0.2"/>
    <row r="43530" ht="12.75" hidden="1" customHeight="1" x14ac:dyDescent="0.2"/>
    <row r="43531" ht="12.75" hidden="1" customHeight="1" x14ac:dyDescent="0.2"/>
    <row r="43532" ht="12.75" hidden="1" customHeight="1" x14ac:dyDescent="0.2"/>
    <row r="43533" ht="12.75" hidden="1" customHeight="1" x14ac:dyDescent="0.2"/>
    <row r="43534" ht="12.75" hidden="1" customHeight="1" x14ac:dyDescent="0.2"/>
    <row r="43535" ht="12.75" hidden="1" customHeight="1" x14ac:dyDescent="0.2"/>
    <row r="43536" ht="12.75" hidden="1" customHeight="1" x14ac:dyDescent="0.2"/>
    <row r="43537" ht="12.75" hidden="1" customHeight="1" x14ac:dyDescent="0.2"/>
    <row r="43538" ht="12.75" hidden="1" customHeight="1" x14ac:dyDescent="0.2"/>
    <row r="43539" ht="12.75" hidden="1" customHeight="1" x14ac:dyDescent="0.2"/>
    <row r="43540" ht="12.75" hidden="1" customHeight="1" x14ac:dyDescent="0.2"/>
    <row r="43541" ht="12.75" hidden="1" customHeight="1" x14ac:dyDescent="0.2"/>
    <row r="43542" ht="12.75" hidden="1" customHeight="1" x14ac:dyDescent="0.2"/>
    <row r="43543" ht="12.75" hidden="1" customHeight="1" x14ac:dyDescent="0.2"/>
    <row r="43544" ht="12.75" hidden="1" customHeight="1" x14ac:dyDescent="0.2"/>
    <row r="43545" ht="12.75" hidden="1" customHeight="1" x14ac:dyDescent="0.2"/>
    <row r="43546" ht="12.75" hidden="1" customHeight="1" x14ac:dyDescent="0.2"/>
    <row r="43547" ht="12.75" hidden="1" customHeight="1" x14ac:dyDescent="0.2"/>
    <row r="43548" ht="12.75" hidden="1" customHeight="1" x14ac:dyDescent="0.2"/>
    <row r="43549" ht="12.75" hidden="1" customHeight="1" x14ac:dyDescent="0.2"/>
    <row r="43550" ht="12.75" hidden="1" customHeight="1" x14ac:dyDescent="0.2"/>
    <row r="43551" ht="12.75" hidden="1" customHeight="1" x14ac:dyDescent="0.2"/>
    <row r="43552" ht="12.75" hidden="1" customHeight="1" x14ac:dyDescent="0.2"/>
    <row r="43553" ht="12.75" hidden="1" customHeight="1" x14ac:dyDescent="0.2"/>
    <row r="43554" ht="12.75" hidden="1" customHeight="1" x14ac:dyDescent="0.2"/>
    <row r="43555" ht="12.75" hidden="1" customHeight="1" x14ac:dyDescent="0.2"/>
    <row r="43556" ht="12.75" hidden="1" customHeight="1" x14ac:dyDescent="0.2"/>
    <row r="43557" ht="12.75" hidden="1" customHeight="1" x14ac:dyDescent="0.2"/>
    <row r="43558" ht="12.75" hidden="1" customHeight="1" x14ac:dyDescent="0.2"/>
    <row r="43559" ht="12.75" hidden="1" customHeight="1" x14ac:dyDescent="0.2"/>
    <row r="43560" ht="12.75" hidden="1" customHeight="1" x14ac:dyDescent="0.2"/>
    <row r="43561" ht="12.75" hidden="1" customHeight="1" x14ac:dyDescent="0.2"/>
    <row r="43562" ht="12.75" hidden="1" customHeight="1" x14ac:dyDescent="0.2"/>
    <row r="43563" ht="12.75" hidden="1" customHeight="1" x14ac:dyDescent="0.2"/>
    <row r="43564" ht="12.75" hidden="1" customHeight="1" x14ac:dyDescent="0.2"/>
    <row r="43565" ht="12.75" hidden="1" customHeight="1" x14ac:dyDescent="0.2"/>
    <row r="43566" ht="12.75" hidden="1" customHeight="1" x14ac:dyDescent="0.2"/>
    <row r="43567" ht="12.75" hidden="1" customHeight="1" x14ac:dyDescent="0.2"/>
    <row r="43568" ht="12.75" hidden="1" customHeight="1" x14ac:dyDescent="0.2"/>
    <row r="43569" ht="12.75" hidden="1" customHeight="1" x14ac:dyDescent="0.2"/>
    <row r="43570" ht="12.75" hidden="1" customHeight="1" x14ac:dyDescent="0.2"/>
    <row r="43571" ht="12.75" hidden="1" customHeight="1" x14ac:dyDescent="0.2"/>
    <row r="43572" ht="12.75" hidden="1" customHeight="1" x14ac:dyDescent="0.2"/>
    <row r="43573" ht="12.75" hidden="1" customHeight="1" x14ac:dyDescent="0.2"/>
    <row r="43574" ht="12.75" hidden="1" customHeight="1" x14ac:dyDescent="0.2"/>
    <row r="43575" ht="12.75" hidden="1" customHeight="1" x14ac:dyDescent="0.2"/>
    <row r="43576" ht="12.75" hidden="1" customHeight="1" x14ac:dyDescent="0.2"/>
    <row r="43577" ht="12.75" hidden="1" customHeight="1" x14ac:dyDescent="0.2"/>
    <row r="43578" ht="12.75" hidden="1" customHeight="1" x14ac:dyDescent="0.2"/>
    <row r="43579" ht="12.75" hidden="1" customHeight="1" x14ac:dyDescent="0.2"/>
    <row r="43580" ht="12.75" hidden="1" customHeight="1" x14ac:dyDescent="0.2"/>
    <row r="43581" ht="12.75" hidden="1" customHeight="1" x14ac:dyDescent="0.2"/>
    <row r="43582" ht="12.75" hidden="1" customHeight="1" x14ac:dyDescent="0.2"/>
    <row r="43583" ht="12.75" hidden="1" customHeight="1" x14ac:dyDescent="0.2"/>
    <row r="43584" ht="12.75" hidden="1" customHeight="1" x14ac:dyDescent="0.2"/>
    <row r="43585" ht="12.75" hidden="1" customHeight="1" x14ac:dyDescent="0.2"/>
    <row r="43586" ht="12.75" hidden="1" customHeight="1" x14ac:dyDescent="0.2"/>
    <row r="43587" ht="12.75" hidden="1" customHeight="1" x14ac:dyDescent="0.2"/>
    <row r="43588" ht="12.75" hidden="1" customHeight="1" x14ac:dyDescent="0.2"/>
    <row r="43589" ht="12.75" hidden="1" customHeight="1" x14ac:dyDescent="0.2"/>
    <row r="43590" ht="12.75" hidden="1" customHeight="1" x14ac:dyDescent="0.2"/>
    <row r="43591" ht="12.75" hidden="1" customHeight="1" x14ac:dyDescent="0.2"/>
    <row r="43592" ht="12.75" hidden="1" customHeight="1" x14ac:dyDescent="0.2"/>
    <row r="43593" ht="12.75" hidden="1" customHeight="1" x14ac:dyDescent="0.2"/>
    <row r="43594" ht="12.75" hidden="1" customHeight="1" x14ac:dyDescent="0.2"/>
    <row r="43595" ht="12.75" hidden="1" customHeight="1" x14ac:dyDescent="0.2"/>
    <row r="43596" ht="12.75" hidden="1" customHeight="1" x14ac:dyDescent="0.2"/>
    <row r="43597" ht="12.75" hidden="1" customHeight="1" x14ac:dyDescent="0.2"/>
    <row r="43598" ht="12.75" hidden="1" customHeight="1" x14ac:dyDescent="0.2"/>
    <row r="43599" ht="12.75" hidden="1" customHeight="1" x14ac:dyDescent="0.2"/>
    <row r="43600" ht="12.75" hidden="1" customHeight="1" x14ac:dyDescent="0.2"/>
    <row r="43601" ht="12.75" hidden="1" customHeight="1" x14ac:dyDescent="0.2"/>
    <row r="43602" ht="12.75" hidden="1" customHeight="1" x14ac:dyDescent="0.2"/>
    <row r="43603" ht="12.75" hidden="1" customHeight="1" x14ac:dyDescent="0.2"/>
    <row r="43604" ht="12.75" hidden="1" customHeight="1" x14ac:dyDescent="0.2"/>
    <row r="43605" ht="12.75" hidden="1" customHeight="1" x14ac:dyDescent="0.2"/>
    <row r="43606" ht="12.75" hidden="1" customHeight="1" x14ac:dyDescent="0.2"/>
    <row r="43607" ht="12.75" hidden="1" customHeight="1" x14ac:dyDescent="0.2"/>
    <row r="43608" ht="12.75" hidden="1" customHeight="1" x14ac:dyDescent="0.2"/>
    <row r="43609" ht="12.75" hidden="1" customHeight="1" x14ac:dyDescent="0.2"/>
    <row r="43610" ht="12.75" hidden="1" customHeight="1" x14ac:dyDescent="0.2"/>
    <row r="43611" ht="12.75" hidden="1" customHeight="1" x14ac:dyDescent="0.2"/>
    <row r="43612" ht="12.75" hidden="1" customHeight="1" x14ac:dyDescent="0.2"/>
    <row r="43613" ht="12.75" hidden="1" customHeight="1" x14ac:dyDescent="0.2"/>
    <row r="43614" ht="12.75" hidden="1" customHeight="1" x14ac:dyDescent="0.2"/>
    <row r="43615" ht="12.75" hidden="1" customHeight="1" x14ac:dyDescent="0.2"/>
    <row r="43616" ht="12.75" hidden="1" customHeight="1" x14ac:dyDescent="0.2"/>
    <row r="43617" ht="12.75" hidden="1" customHeight="1" x14ac:dyDescent="0.2"/>
    <row r="43618" ht="12.75" hidden="1" customHeight="1" x14ac:dyDescent="0.2"/>
    <row r="43619" ht="12.75" hidden="1" customHeight="1" x14ac:dyDescent="0.2"/>
    <row r="43620" ht="12.75" hidden="1" customHeight="1" x14ac:dyDescent="0.2"/>
    <row r="43621" ht="12.75" hidden="1" customHeight="1" x14ac:dyDescent="0.2"/>
    <row r="43622" ht="12.75" hidden="1" customHeight="1" x14ac:dyDescent="0.2"/>
    <row r="43623" ht="12.75" hidden="1" customHeight="1" x14ac:dyDescent="0.2"/>
    <row r="43624" ht="12.75" hidden="1" customHeight="1" x14ac:dyDescent="0.2"/>
    <row r="43625" ht="12.75" hidden="1" customHeight="1" x14ac:dyDescent="0.2"/>
    <row r="43626" ht="12.75" hidden="1" customHeight="1" x14ac:dyDescent="0.2"/>
    <row r="43627" ht="12.75" hidden="1" customHeight="1" x14ac:dyDescent="0.2"/>
    <row r="43628" ht="12.75" hidden="1" customHeight="1" x14ac:dyDescent="0.2"/>
    <row r="43629" ht="12.75" hidden="1" customHeight="1" x14ac:dyDescent="0.2"/>
    <row r="43630" ht="12.75" hidden="1" customHeight="1" x14ac:dyDescent="0.2"/>
    <row r="43631" ht="12.75" hidden="1" customHeight="1" x14ac:dyDescent="0.2"/>
    <row r="43632" ht="12.75" hidden="1" customHeight="1" x14ac:dyDescent="0.2"/>
    <row r="43633" ht="12.75" hidden="1" customHeight="1" x14ac:dyDescent="0.2"/>
    <row r="43634" ht="12.75" hidden="1" customHeight="1" x14ac:dyDescent="0.2"/>
    <row r="43635" ht="12.75" hidden="1" customHeight="1" x14ac:dyDescent="0.2"/>
    <row r="43636" ht="12.75" hidden="1" customHeight="1" x14ac:dyDescent="0.2"/>
    <row r="43637" ht="12.75" hidden="1" customHeight="1" x14ac:dyDescent="0.2"/>
    <row r="43638" ht="12.75" hidden="1" customHeight="1" x14ac:dyDescent="0.2"/>
    <row r="43639" ht="12.75" hidden="1" customHeight="1" x14ac:dyDescent="0.2"/>
    <row r="43640" ht="12.75" hidden="1" customHeight="1" x14ac:dyDescent="0.2"/>
    <row r="43641" ht="12.75" hidden="1" customHeight="1" x14ac:dyDescent="0.2"/>
    <row r="43642" ht="12.75" hidden="1" customHeight="1" x14ac:dyDescent="0.2"/>
    <row r="43643" ht="12.75" hidden="1" customHeight="1" x14ac:dyDescent="0.2"/>
    <row r="43644" ht="12.75" hidden="1" customHeight="1" x14ac:dyDescent="0.2"/>
    <row r="43645" ht="12.75" hidden="1" customHeight="1" x14ac:dyDescent="0.2"/>
    <row r="43646" ht="12.75" hidden="1" customHeight="1" x14ac:dyDescent="0.2"/>
    <row r="43647" ht="12.75" hidden="1" customHeight="1" x14ac:dyDescent="0.2"/>
    <row r="43648" ht="12.75" hidden="1" customHeight="1" x14ac:dyDescent="0.2"/>
    <row r="43649" ht="12.75" hidden="1" customHeight="1" x14ac:dyDescent="0.2"/>
    <row r="43650" ht="12.75" hidden="1" customHeight="1" x14ac:dyDescent="0.2"/>
    <row r="43651" ht="12.75" hidden="1" customHeight="1" x14ac:dyDescent="0.2"/>
    <row r="43652" ht="12.75" hidden="1" customHeight="1" x14ac:dyDescent="0.2"/>
    <row r="43653" ht="12.75" hidden="1" customHeight="1" x14ac:dyDescent="0.2"/>
    <row r="43654" ht="12.75" hidden="1" customHeight="1" x14ac:dyDescent="0.2"/>
    <row r="43655" ht="12.75" hidden="1" customHeight="1" x14ac:dyDescent="0.2"/>
    <row r="43656" ht="12.75" hidden="1" customHeight="1" x14ac:dyDescent="0.2"/>
    <row r="43657" ht="12.75" hidden="1" customHeight="1" x14ac:dyDescent="0.2"/>
    <row r="43658" ht="12.75" hidden="1" customHeight="1" x14ac:dyDescent="0.2"/>
    <row r="43659" ht="12.75" hidden="1" customHeight="1" x14ac:dyDescent="0.2"/>
    <row r="43660" ht="12.75" hidden="1" customHeight="1" x14ac:dyDescent="0.2"/>
    <row r="43661" ht="12.75" hidden="1" customHeight="1" x14ac:dyDescent="0.2"/>
    <row r="43662" ht="12.75" hidden="1" customHeight="1" x14ac:dyDescent="0.2"/>
    <row r="43663" ht="12.75" hidden="1" customHeight="1" x14ac:dyDescent="0.2"/>
    <row r="43664" ht="12.75" hidden="1" customHeight="1" x14ac:dyDescent="0.2"/>
    <row r="43665" ht="12.75" hidden="1" customHeight="1" x14ac:dyDescent="0.2"/>
    <row r="43666" ht="12.75" hidden="1" customHeight="1" x14ac:dyDescent="0.2"/>
    <row r="43667" ht="12.75" hidden="1" customHeight="1" x14ac:dyDescent="0.2"/>
    <row r="43668" ht="12.75" hidden="1" customHeight="1" x14ac:dyDescent="0.2"/>
    <row r="43669" ht="12.75" hidden="1" customHeight="1" x14ac:dyDescent="0.2"/>
    <row r="43670" ht="12.75" hidden="1" customHeight="1" x14ac:dyDescent="0.2"/>
    <row r="43671" ht="12.75" hidden="1" customHeight="1" x14ac:dyDescent="0.2"/>
    <row r="43672" ht="12.75" hidden="1" customHeight="1" x14ac:dyDescent="0.2"/>
    <row r="43673" ht="12.75" hidden="1" customHeight="1" x14ac:dyDescent="0.2"/>
    <row r="43674" ht="12.75" hidden="1" customHeight="1" x14ac:dyDescent="0.2"/>
    <row r="43675" ht="12.75" hidden="1" customHeight="1" x14ac:dyDescent="0.2"/>
    <row r="43676" ht="12.75" hidden="1" customHeight="1" x14ac:dyDescent="0.2"/>
    <row r="43677" ht="12.75" hidden="1" customHeight="1" x14ac:dyDescent="0.2"/>
    <row r="43678" ht="12.75" hidden="1" customHeight="1" x14ac:dyDescent="0.2"/>
    <row r="43679" ht="12.75" hidden="1" customHeight="1" x14ac:dyDescent="0.2"/>
    <row r="43680" ht="12.75" hidden="1" customHeight="1" x14ac:dyDescent="0.2"/>
    <row r="43681" ht="12.75" hidden="1" customHeight="1" x14ac:dyDescent="0.2"/>
    <row r="43682" ht="12.75" hidden="1" customHeight="1" x14ac:dyDescent="0.2"/>
    <row r="43683" ht="12.75" hidden="1" customHeight="1" x14ac:dyDescent="0.2"/>
    <row r="43684" ht="12.75" hidden="1" customHeight="1" x14ac:dyDescent="0.2"/>
    <row r="43685" ht="12.75" hidden="1" customHeight="1" x14ac:dyDescent="0.2"/>
    <row r="43686" ht="12.75" hidden="1" customHeight="1" x14ac:dyDescent="0.2"/>
    <row r="43687" ht="12.75" hidden="1" customHeight="1" x14ac:dyDescent="0.2"/>
    <row r="43688" ht="12.75" hidden="1" customHeight="1" x14ac:dyDescent="0.2"/>
    <row r="43689" ht="12.75" hidden="1" customHeight="1" x14ac:dyDescent="0.2"/>
    <row r="43690" ht="12.75" hidden="1" customHeight="1" x14ac:dyDescent="0.2"/>
    <row r="43691" ht="12.75" hidden="1" customHeight="1" x14ac:dyDescent="0.2"/>
    <row r="43692" ht="12.75" hidden="1" customHeight="1" x14ac:dyDescent="0.2"/>
    <row r="43693" ht="12.75" hidden="1" customHeight="1" x14ac:dyDescent="0.2"/>
    <row r="43694" ht="12.75" hidden="1" customHeight="1" x14ac:dyDescent="0.2"/>
    <row r="43695" ht="12.75" hidden="1" customHeight="1" x14ac:dyDescent="0.2"/>
    <row r="43696" ht="12.75" hidden="1" customHeight="1" x14ac:dyDescent="0.2"/>
    <row r="43697" ht="12.75" hidden="1" customHeight="1" x14ac:dyDescent="0.2"/>
    <row r="43698" ht="12.75" hidden="1" customHeight="1" x14ac:dyDescent="0.2"/>
    <row r="43699" ht="12.75" hidden="1" customHeight="1" x14ac:dyDescent="0.2"/>
    <row r="43700" ht="12.75" hidden="1" customHeight="1" x14ac:dyDescent="0.2"/>
    <row r="43701" ht="12.75" hidden="1" customHeight="1" x14ac:dyDescent="0.2"/>
    <row r="43702" ht="12.75" hidden="1" customHeight="1" x14ac:dyDescent="0.2"/>
    <row r="43703" ht="12.75" hidden="1" customHeight="1" x14ac:dyDescent="0.2"/>
    <row r="43704" ht="12.75" hidden="1" customHeight="1" x14ac:dyDescent="0.2"/>
    <row r="43705" ht="12.75" hidden="1" customHeight="1" x14ac:dyDescent="0.2"/>
    <row r="43706" ht="12.75" hidden="1" customHeight="1" x14ac:dyDescent="0.2"/>
    <row r="43707" ht="12.75" hidden="1" customHeight="1" x14ac:dyDescent="0.2"/>
    <row r="43708" ht="12.75" hidden="1" customHeight="1" x14ac:dyDescent="0.2"/>
    <row r="43709" ht="12.75" hidden="1" customHeight="1" x14ac:dyDescent="0.2"/>
    <row r="43710" ht="12.75" hidden="1" customHeight="1" x14ac:dyDescent="0.2"/>
    <row r="43711" ht="12.75" hidden="1" customHeight="1" x14ac:dyDescent="0.2"/>
    <row r="43712" ht="12.75" hidden="1" customHeight="1" x14ac:dyDescent="0.2"/>
    <row r="43713" ht="12.75" hidden="1" customHeight="1" x14ac:dyDescent="0.2"/>
    <row r="43714" ht="12.75" hidden="1" customHeight="1" x14ac:dyDescent="0.2"/>
    <row r="43715" ht="12.75" hidden="1" customHeight="1" x14ac:dyDescent="0.2"/>
    <row r="43716" ht="12.75" hidden="1" customHeight="1" x14ac:dyDescent="0.2"/>
    <row r="43717" ht="12.75" hidden="1" customHeight="1" x14ac:dyDescent="0.2"/>
    <row r="43718" ht="12.75" hidden="1" customHeight="1" x14ac:dyDescent="0.2"/>
    <row r="43719" ht="12.75" hidden="1" customHeight="1" x14ac:dyDescent="0.2"/>
    <row r="43720" ht="12.75" hidden="1" customHeight="1" x14ac:dyDescent="0.2"/>
    <row r="43721" ht="12.75" hidden="1" customHeight="1" x14ac:dyDescent="0.2"/>
    <row r="43722" ht="12.75" hidden="1" customHeight="1" x14ac:dyDescent="0.2"/>
    <row r="43723" ht="12.75" hidden="1" customHeight="1" x14ac:dyDescent="0.2"/>
    <row r="43724" ht="12.75" hidden="1" customHeight="1" x14ac:dyDescent="0.2"/>
    <row r="43725" ht="12.75" hidden="1" customHeight="1" x14ac:dyDescent="0.2"/>
    <row r="43726" ht="12.75" hidden="1" customHeight="1" x14ac:dyDescent="0.2"/>
    <row r="43727" ht="12.75" hidden="1" customHeight="1" x14ac:dyDescent="0.2"/>
    <row r="43728" ht="12.75" hidden="1" customHeight="1" x14ac:dyDescent="0.2"/>
    <row r="43729" ht="12.75" hidden="1" customHeight="1" x14ac:dyDescent="0.2"/>
    <row r="43730" ht="12.75" hidden="1" customHeight="1" x14ac:dyDescent="0.2"/>
    <row r="43731" ht="12.75" hidden="1" customHeight="1" x14ac:dyDescent="0.2"/>
    <row r="43732" ht="12.75" hidden="1" customHeight="1" x14ac:dyDescent="0.2"/>
    <row r="43733" ht="12.75" hidden="1" customHeight="1" x14ac:dyDescent="0.2"/>
    <row r="43734" ht="12.75" hidden="1" customHeight="1" x14ac:dyDescent="0.2"/>
    <row r="43735" ht="12.75" hidden="1" customHeight="1" x14ac:dyDescent="0.2"/>
    <row r="43736" ht="12.75" hidden="1" customHeight="1" x14ac:dyDescent="0.2"/>
    <row r="43737" ht="12.75" hidden="1" customHeight="1" x14ac:dyDescent="0.2"/>
    <row r="43738" ht="12.75" hidden="1" customHeight="1" x14ac:dyDescent="0.2"/>
    <row r="43739" ht="12.75" hidden="1" customHeight="1" x14ac:dyDescent="0.2"/>
    <row r="43740" ht="12.75" hidden="1" customHeight="1" x14ac:dyDescent="0.2"/>
    <row r="43741" ht="12.75" hidden="1" customHeight="1" x14ac:dyDescent="0.2"/>
    <row r="43742" ht="12.75" hidden="1" customHeight="1" x14ac:dyDescent="0.2"/>
    <row r="43743" ht="12.75" hidden="1" customHeight="1" x14ac:dyDescent="0.2"/>
    <row r="43744" ht="12.75" hidden="1" customHeight="1" x14ac:dyDescent="0.2"/>
    <row r="43745" ht="12.75" hidden="1" customHeight="1" x14ac:dyDescent="0.2"/>
    <row r="43746" ht="12.75" hidden="1" customHeight="1" x14ac:dyDescent="0.2"/>
    <row r="43747" ht="12.75" hidden="1" customHeight="1" x14ac:dyDescent="0.2"/>
    <row r="43748" ht="12.75" hidden="1" customHeight="1" x14ac:dyDescent="0.2"/>
    <row r="43749" ht="12.75" hidden="1" customHeight="1" x14ac:dyDescent="0.2"/>
    <row r="43750" ht="12.75" hidden="1" customHeight="1" x14ac:dyDescent="0.2"/>
    <row r="43751" ht="12.75" hidden="1" customHeight="1" x14ac:dyDescent="0.2"/>
    <row r="43752" ht="12.75" hidden="1" customHeight="1" x14ac:dyDescent="0.2"/>
    <row r="43753" ht="12.75" hidden="1" customHeight="1" x14ac:dyDescent="0.2"/>
    <row r="43754" ht="12.75" hidden="1" customHeight="1" x14ac:dyDescent="0.2"/>
    <row r="43755" ht="12.75" hidden="1" customHeight="1" x14ac:dyDescent="0.2"/>
    <row r="43756" ht="12.75" hidden="1" customHeight="1" x14ac:dyDescent="0.2"/>
    <row r="43757" ht="12.75" hidden="1" customHeight="1" x14ac:dyDescent="0.2"/>
    <row r="43758" ht="12.75" hidden="1" customHeight="1" x14ac:dyDescent="0.2"/>
    <row r="43759" ht="12.75" hidden="1" customHeight="1" x14ac:dyDescent="0.2"/>
    <row r="43760" ht="12.75" hidden="1" customHeight="1" x14ac:dyDescent="0.2"/>
    <row r="43761" ht="12.75" hidden="1" customHeight="1" x14ac:dyDescent="0.2"/>
    <row r="43762" ht="12.75" hidden="1" customHeight="1" x14ac:dyDescent="0.2"/>
    <row r="43763" ht="12.75" hidden="1" customHeight="1" x14ac:dyDescent="0.2"/>
    <row r="43764" ht="12.75" hidden="1" customHeight="1" x14ac:dyDescent="0.2"/>
    <row r="43765" ht="12.75" hidden="1" customHeight="1" x14ac:dyDescent="0.2"/>
    <row r="43766" ht="12.75" hidden="1" customHeight="1" x14ac:dyDescent="0.2"/>
    <row r="43767" ht="12.75" hidden="1" customHeight="1" x14ac:dyDescent="0.2"/>
    <row r="43768" ht="12.75" hidden="1" customHeight="1" x14ac:dyDescent="0.2"/>
    <row r="43769" ht="12.75" hidden="1" customHeight="1" x14ac:dyDescent="0.2"/>
    <row r="43770" ht="12.75" hidden="1" customHeight="1" x14ac:dyDescent="0.2"/>
    <row r="43771" ht="12.75" hidden="1" customHeight="1" x14ac:dyDescent="0.2"/>
    <row r="43772" ht="12.75" hidden="1" customHeight="1" x14ac:dyDescent="0.2"/>
    <row r="43773" ht="12.75" hidden="1" customHeight="1" x14ac:dyDescent="0.2"/>
    <row r="43774" ht="12.75" hidden="1" customHeight="1" x14ac:dyDescent="0.2"/>
    <row r="43775" ht="12.75" hidden="1" customHeight="1" x14ac:dyDescent="0.2"/>
    <row r="43776" ht="12.75" hidden="1" customHeight="1" x14ac:dyDescent="0.2"/>
    <row r="43777" ht="12.75" hidden="1" customHeight="1" x14ac:dyDescent="0.2"/>
    <row r="43778" ht="12.75" hidden="1" customHeight="1" x14ac:dyDescent="0.2"/>
    <row r="43779" ht="12.75" hidden="1" customHeight="1" x14ac:dyDescent="0.2"/>
    <row r="43780" ht="12.75" hidden="1" customHeight="1" x14ac:dyDescent="0.2"/>
    <row r="43781" ht="12.75" hidden="1" customHeight="1" x14ac:dyDescent="0.2"/>
    <row r="43782" ht="12.75" hidden="1" customHeight="1" x14ac:dyDescent="0.2"/>
    <row r="43783" ht="12.75" hidden="1" customHeight="1" x14ac:dyDescent="0.2"/>
    <row r="43784" ht="12.75" hidden="1" customHeight="1" x14ac:dyDescent="0.2"/>
    <row r="43785" ht="12.75" hidden="1" customHeight="1" x14ac:dyDescent="0.2"/>
    <row r="43786" ht="12.75" hidden="1" customHeight="1" x14ac:dyDescent="0.2"/>
    <row r="43787" ht="12.75" hidden="1" customHeight="1" x14ac:dyDescent="0.2"/>
    <row r="43788" ht="12.75" hidden="1" customHeight="1" x14ac:dyDescent="0.2"/>
    <row r="43789" ht="12.75" hidden="1" customHeight="1" x14ac:dyDescent="0.2"/>
    <row r="43790" ht="12.75" hidden="1" customHeight="1" x14ac:dyDescent="0.2"/>
    <row r="43791" ht="12.75" hidden="1" customHeight="1" x14ac:dyDescent="0.2"/>
    <row r="43792" ht="12.75" hidden="1" customHeight="1" x14ac:dyDescent="0.2"/>
    <row r="43793" ht="12.75" hidden="1" customHeight="1" x14ac:dyDescent="0.2"/>
    <row r="43794" ht="12.75" hidden="1" customHeight="1" x14ac:dyDescent="0.2"/>
    <row r="43795" ht="12.75" hidden="1" customHeight="1" x14ac:dyDescent="0.2"/>
    <row r="43796" ht="12.75" hidden="1" customHeight="1" x14ac:dyDescent="0.2"/>
    <row r="43797" ht="12.75" hidden="1" customHeight="1" x14ac:dyDescent="0.2"/>
    <row r="43798" ht="12.75" hidden="1" customHeight="1" x14ac:dyDescent="0.2"/>
    <row r="43799" ht="12.75" hidden="1" customHeight="1" x14ac:dyDescent="0.2"/>
    <row r="43800" ht="12.75" hidden="1" customHeight="1" x14ac:dyDescent="0.2"/>
    <row r="43801" ht="12.75" hidden="1" customHeight="1" x14ac:dyDescent="0.2"/>
    <row r="43802" ht="12.75" hidden="1" customHeight="1" x14ac:dyDescent="0.2"/>
    <row r="43803" ht="12.75" hidden="1" customHeight="1" x14ac:dyDescent="0.2"/>
    <row r="43804" ht="12.75" hidden="1" customHeight="1" x14ac:dyDescent="0.2"/>
    <row r="43805" ht="12.75" hidden="1" customHeight="1" x14ac:dyDescent="0.2"/>
    <row r="43806" ht="12.75" hidden="1" customHeight="1" x14ac:dyDescent="0.2"/>
    <row r="43807" ht="12.75" hidden="1" customHeight="1" x14ac:dyDescent="0.2"/>
    <row r="43808" ht="12.75" hidden="1" customHeight="1" x14ac:dyDescent="0.2"/>
    <row r="43809" ht="12.75" hidden="1" customHeight="1" x14ac:dyDescent="0.2"/>
    <row r="43810" ht="12.75" hidden="1" customHeight="1" x14ac:dyDescent="0.2"/>
    <row r="43811" ht="12.75" hidden="1" customHeight="1" x14ac:dyDescent="0.2"/>
    <row r="43812" ht="12.75" hidden="1" customHeight="1" x14ac:dyDescent="0.2"/>
    <row r="43813" ht="12.75" hidden="1" customHeight="1" x14ac:dyDescent="0.2"/>
    <row r="43814" ht="12.75" hidden="1" customHeight="1" x14ac:dyDescent="0.2"/>
    <row r="43815" ht="12.75" hidden="1" customHeight="1" x14ac:dyDescent="0.2"/>
    <row r="43816" ht="12.75" hidden="1" customHeight="1" x14ac:dyDescent="0.2"/>
    <row r="43817" ht="12.75" hidden="1" customHeight="1" x14ac:dyDescent="0.2"/>
    <row r="43818" ht="12.75" hidden="1" customHeight="1" x14ac:dyDescent="0.2"/>
    <row r="43819" ht="12.75" hidden="1" customHeight="1" x14ac:dyDescent="0.2"/>
    <row r="43820" ht="12.75" hidden="1" customHeight="1" x14ac:dyDescent="0.2"/>
    <row r="43821" ht="12.75" hidden="1" customHeight="1" x14ac:dyDescent="0.2"/>
    <row r="43822" ht="12.75" hidden="1" customHeight="1" x14ac:dyDescent="0.2"/>
    <row r="43823" ht="12.75" hidden="1" customHeight="1" x14ac:dyDescent="0.2"/>
    <row r="43824" ht="12.75" hidden="1" customHeight="1" x14ac:dyDescent="0.2"/>
    <row r="43825" ht="12.75" hidden="1" customHeight="1" x14ac:dyDescent="0.2"/>
    <row r="43826" ht="12.75" hidden="1" customHeight="1" x14ac:dyDescent="0.2"/>
    <row r="43827" ht="12.75" hidden="1" customHeight="1" x14ac:dyDescent="0.2"/>
    <row r="43828" ht="12.75" hidden="1" customHeight="1" x14ac:dyDescent="0.2"/>
    <row r="43829" ht="12.75" hidden="1" customHeight="1" x14ac:dyDescent="0.2"/>
    <row r="43830" ht="12.75" hidden="1" customHeight="1" x14ac:dyDescent="0.2"/>
    <row r="43831" ht="12.75" hidden="1" customHeight="1" x14ac:dyDescent="0.2"/>
    <row r="43832" ht="12.75" hidden="1" customHeight="1" x14ac:dyDescent="0.2"/>
    <row r="43833" ht="12.75" hidden="1" customHeight="1" x14ac:dyDescent="0.2"/>
    <row r="43834" ht="12.75" hidden="1" customHeight="1" x14ac:dyDescent="0.2"/>
    <row r="43835" ht="12.75" hidden="1" customHeight="1" x14ac:dyDescent="0.2"/>
    <row r="43836" ht="12.75" hidden="1" customHeight="1" x14ac:dyDescent="0.2"/>
    <row r="43837" ht="12.75" hidden="1" customHeight="1" x14ac:dyDescent="0.2"/>
    <row r="43838" ht="12.75" hidden="1" customHeight="1" x14ac:dyDescent="0.2"/>
    <row r="43839" ht="12.75" hidden="1" customHeight="1" x14ac:dyDescent="0.2"/>
    <row r="43840" ht="12.75" hidden="1" customHeight="1" x14ac:dyDescent="0.2"/>
    <row r="43841" ht="12.75" hidden="1" customHeight="1" x14ac:dyDescent="0.2"/>
    <row r="43842" ht="12.75" hidden="1" customHeight="1" x14ac:dyDescent="0.2"/>
    <row r="43843" ht="12.75" hidden="1" customHeight="1" x14ac:dyDescent="0.2"/>
    <row r="43844" ht="12.75" hidden="1" customHeight="1" x14ac:dyDescent="0.2"/>
    <row r="43845" ht="12.75" hidden="1" customHeight="1" x14ac:dyDescent="0.2"/>
    <row r="43846" ht="12.75" hidden="1" customHeight="1" x14ac:dyDescent="0.2"/>
    <row r="43847" ht="12.75" hidden="1" customHeight="1" x14ac:dyDescent="0.2"/>
    <row r="43848" ht="12.75" hidden="1" customHeight="1" x14ac:dyDescent="0.2"/>
    <row r="43849" ht="12.75" hidden="1" customHeight="1" x14ac:dyDescent="0.2"/>
    <row r="43850" ht="12.75" hidden="1" customHeight="1" x14ac:dyDescent="0.2"/>
    <row r="43851" ht="12.75" hidden="1" customHeight="1" x14ac:dyDescent="0.2"/>
    <row r="43852" ht="12.75" hidden="1" customHeight="1" x14ac:dyDescent="0.2"/>
    <row r="43853" ht="12.75" hidden="1" customHeight="1" x14ac:dyDescent="0.2"/>
    <row r="43854" ht="12.75" hidden="1" customHeight="1" x14ac:dyDescent="0.2"/>
    <row r="43855" ht="12.75" hidden="1" customHeight="1" x14ac:dyDescent="0.2"/>
    <row r="43856" ht="12.75" hidden="1" customHeight="1" x14ac:dyDescent="0.2"/>
    <row r="43857" ht="12.75" hidden="1" customHeight="1" x14ac:dyDescent="0.2"/>
    <row r="43858" ht="12.75" hidden="1" customHeight="1" x14ac:dyDescent="0.2"/>
    <row r="43859" ht="12.75" hidden="1" customHeight="1" x14ac:dyDescent="0.2"/>
    <row r="43860" ht="12.75" hidden="1" customHeight="1" x14ac:dyDescent="0.2"/>
    <row r="43861" ht="12.75" hidden="1" customHeight="1" x14ac:dyDescent="0.2"/>
    <row r="43862" ht="12.75" hidden="1" customHeight="1" x14ac:dyDescent="0.2"/>
    <row r="43863" ht="12.75" hidden="1" customHeight="1" x14ac:dyDescent="0.2"/>
    <row r="43864" ht="12.75" hidden="1" customHeight="1" x14ac:dyDescent="0.2"/>
    <row r="43865" ht="12.75" hidden="1" customHeight="1" x14ac:dyDescent="0.2"/>
    <row r="43866" ht="12.75" hidden="1" customHeight="1" x14ac:dyDescent="0.2"/>
    <row r="43867" ht="12.75" hidden="1" customHeight="1" x14ac:dyDescent="0.2"/>
    <row r="43868" ht="12.75" hidden="1" customHeight="1" x14ac:dyDescent="0.2"/>
    <row r="43869" ht="12.75" hidden="1" customHeight="1" x14ac:dyDescent="0.2"/>
    <row r="43870" ht="12.75" hidden="1" customHeight="1" x14ac:dyDescent="0.2"/>
    <row r="43871" ht="12.75" hidden="1" customHeight="1" x14ac:dyDescent="0.2"/>
    <row r="43872" ht="12.75" hidden="1" customHeight="1" x14ac:dyDescent="0.2"/>
    <row r="43873" ht="12.75" hidden="1" customHeight="1" x14ac:dyDescent="0.2"/>
    <row r="43874" ht="12.75" hidden="1" customHeight="1" x14ac:dyDescent="0.2"/>
    <row r="43875" ht="12.75" hidden="1" customHeight="1" x14ac:dyDescent="0.2"/>
    <row r="43876" ht="12.75" hidden="1" customHeight="1" x14ac:dyDescent="0.2"/>
    <row r="43877" ht="12.75" hidden="1" customHeight="1" x14ac:dyDescent="0.2"/>
    <row r="43878" ht="12.75" hidden="1" customHeight="1" x14ac:dyDescent="0.2"/>
    <row r="43879" ht="12.75" hidden="1" customHeight="1" x14ac:dyDescent="0.2"/>
    <row r="43880" ht="12.75" hidden="1" customHeight="1" x14ac:dyDescent="0.2"/>
    <row r="43881" ht="12.75" hidden="1" customHeight="1" x14ac:dyDescent="0.2"/>
    <row r="43882" ht="12.75" hidden="1" customHeight="1" x14ac:dyDescent="0.2"/>
    <row r="43883" ht="12.75" hidden="1" customHeight="1" x14ac:dyDescent="0.2"/>
    <row r="43884" ht="12.75" hidden="1" customHeight="1" x14ac:dyDescent="0.2"/>
    <row r="43885" ht="12.75" hidden="1" customHeight="1" x14ac:dyDescent="0.2"/>
    <row r="43886" ht="12.75" hidden="1" customHeight="1" x14ac:dyDescent="0.2"/>
    <row r="43887" ht="12.75" hidden="1" customHeight="1" x14ac:dyDescent="0.2"/>
    <row r="43888" ht="12.75" hidden="1" customHeight="1" x14ac:dyDescent="0.2"/>
    <row r="43889" ht="12.75" hidden="1" customHeight="1" x14ac:dyDescent="0.2"/>
    <row r="43890" ht="12.75" hidden="1" customHeight="1" x14ac:dyDescent="0.2"/>
    <row r="43891" ht="12.75" hidden="1" customHeight="1" x14ac:dyDescent="0.2"/>
    <row r="43892" ht="12.75" hidden="1" customHeight="1" x14ac:dyDescent="0.2"/>
    <row r="43893" ht="12.75" hidden="1" customHeight="1" x14ac:dyDescent="0.2"/>
    <row r="43894" ht="12.75" hidden="1" customHeight="1" x14ac:dyDescent="0.2"/>
    <row r="43895" ht="12.75" hidden="1" customHeight="1" x14ac:dyDescent="0.2"/>
    <row r="43896" ht="12.75" hidden="1" customHeight="1" x14ac:dyDescent="0.2"/>
    <row r="43897" ht="12.75" hidden="1" customHeight="1" x14ac:dyDescent="0.2"/>
    <row r="43898" ht="12.75" hidden="1" customHeight="1" x14ac:dyDescent="0.2"/>
    <row r="43899" ht="12.75" hidden="1" customHeight="1" x14ac:dyDescent="0.2"/>
    <row r="43900" ht="12.75" hidden="1" customHeight="1" x14ac:dyDescent="0.2"/>
    <row r="43901" ht="12.75" hidden="1" customHeight="1" x14ac:dyDescent="0.2"/>
    <row r="43902" ht="12.75" hidden="1" customHeight="1" x14ac:dyDescent="0.2"/>
    <row r="43903" ht="12.75" hidden="1" customHeight="1" x14ac:dyDescent="0.2"/>
    <row r="43904" ht="12.75" hidden="1" customHeight="1" x14ac:dyDescent="0.2"/>
    <row r="43905" ht="12.75" hidden="1" customHeight="1" x14ac:dyDescent="0.2"/>
    <row r="43906" ht="12.75" hidden="1" customHeight="1" x14ac:dyDescent="0.2"/>
    <row r="43907" ht="12.75" hidden="1" customHeight="1" x14ac:dyDescent="0.2"/>
    <row r="43908" ht="12.75" hidden="1" customHeight="1" x14ac:dyDescent="0.2"/>
    <row r="43909" ht="12.75" hidden="1" customHeight="1" x14ac:dyDescent="0.2"/>
    <row r="43910" ht="12.75" hidden="1" customHeight="1" x14ac:dyDescent="0.2"/>
    <row r="43911" ht="12.75" hidden="1" customHeight="1" x14ac:dyDescent="0.2"/>
    <row r="43912" ht="12.75" hidden="1" customHeight="1" x14ac:dyDescent="0.2"/>
    <row r="43913" ht="12.75" hidden="1" customHeight="1" x14ac:dyDescent="0.2"/>
    <row r="43914" ht="12.75" hidden="1" customHeight="1" x14ac:dyDescent="0.2"/>
    <row r="43915" ht="12.75" hidden="1" customHeight="1" x14ac:dyDescent="0.2"/>
    <row r="43916" ht="12.75" hidden="1" customHeight="1" x14ac:dyDescent="0.2"/>
    <row r="43917" ht="12.75" hidden="1" customHeight="1" x14ac:dyDescent="0.2"/>
    <row r="43918" ht="12.75" hidden="1" customHeight="1" x14ac:dyDescent="0.2"/>
    <row r="43919" ht="12.75" hidden="1" customHeight="1" x14ac:dyDescent="0.2"/>
    <row r="43920" ht="12.75" hidden="1" customHeight="1" x14ac:dyDescent="0.2"/>
    <row r="43921" ht="12.75" hidden="1" customHeight="1" x14ac:dyDescent="0.2"/>
    <row r="43922" ht="12.75" hidden="1" customHeight="1" x14ac:dyDescent="0.2"/>
    <row r="43923" ht="12.75" hidden="1" customHeight="1" x14ac:dyDescent="0.2"/>
    <row r="43924" ht="12.75" hidden="1" customHeight="1" x14ac:dyDescent="0.2"/>
    <row r="43925" ht="12.75" hidden="1" customHeight="1" x14ac:dyDescent="0.2"/>
    <row r="43926" ht="12.75" hidden="1" customHeight="1" x14ac:dyDescent="0.2"/>
    <row r="43927" ht="12.75" hidden="1" customHeight="1" x14ac:dyDescent="0.2"/>
    <row r="43928" ht="12.75" hidden="1" customHeight="1" x14ac:dyDescent="0.2"/>
    <row r="43929" ht="12.75" hidden="1" customHeight="1" x14ac:dyDescent="0.2"/>
    <row r="43930" ht="12.75" hidden="1" customHeight="1" x14ac:dyDescent="0.2"/>
    <row r="43931" ht="12.75" hidden="1" customHeight="1" x14ac:dyDescent="0.2"/>
    <row r="43932" ht="12.75" hidden="1" customHeight="1" x14ac:dyDescent="0.2"/>
    <row r="43933" ht="12.75" hidden="1" customHeight="1" x14ac:dyDescent="0.2"/>
    <row r="43934" ht="12.75" hidden="1" customHeight="1" x14ac:dyDescent="0.2"/>
    <row r="43935" ht="12.75" hidden="1" customHeight="1" x14ac:dyDescent="0.2"/>
    <row r="43936" ht="12.75" hidden="1" customHeight="1" x14ac:dyDescent="0.2"/>
    <row r="43937" ht="12.75" hidden="1" customHeight="1" x14ac:dyDescent="0.2"/>
    <row r="43938" ht="12.75" hidden="1" customHeight="1" x14ac:dyDescent="0.2"/>
    <row r="43939" ht="12.75" hidden="1" customHeight="1" x14ac:dyDescent="0.2"/>
    <row r="43940" ht="12.75" hidden="1" customHeight="1" x14ac:dyDescent="0.2"/>
    <row r="43941" ht="12.75" hidden="1" customHeight="1" x14ac:dyDescent="0.2"/>
    <row r="43942" ht="12.75" hidden="1" customHeight="1" x14ac:dyDescent="0.2"/>
    <row r="43943" ht="12.75" hidden="1" customHeight="1" x14ac:dyDescent="0.2"/>
    <row r="43944" ht="12.75" hidden="1" customHeight="1" x14ac:dyDescent="0.2"/>
    <row r="43945" ht="12.75" hidden="1" customHeight="1" x14ac:dyDescent="0.2"/>
    <row r="43946" ht="12.75" hidden="1" customHeight="1" x14ac:dyDescent="0.2"/>
    <row r="43947" ht="12.75" hidden="1" customHeight="1" x14ac:dyDescent="0.2"/>
    <row r="43948" ht="12.75" hidden="1" customHeight="1" x14ac:dyDescent="0.2"/>
    <row r="43949" ht="12.75" hidden="1" customHeight="1" x14ac:dyDescent="0.2"/>
    <row r="43950" ht="12.75" hidden="1" customHeight="1" x14ac:dyDescent="0.2"/>
    <row r="43951" ht="12.75" hidden="1" customHeight="1" x14ac:dyDescent="0.2"/>
    <row r="43952" ht="12.75" hidden="1" customHeight="1" x14ac:dyDescent="0.2"/>
    <row r="43953" ht="12.75" hidden="1" customHeight="1" x14ac:dyDescent="0.2"/>
    <row r="43954" ht="12.75" hidden="1" customHeight="1" x14ac:dyDescent="0.2"/>
    <row r="43955" ht="12.75" hidden="1" customHeight="1" x14ac:dyDescent="0.2"/>
    <row r="43956" ht="12.75" hidden="1" customHeight="1" x14ac:dyDescent="0.2"/>
    <row r="43957" ht="12.75" hidden="1" customHeight="1" x14ac:dyDescent="0.2"/>
    <row r="43958" ht="12.75" hidden="1" customHeight="1" x14ac:dyDescent="0.2"/>
    <row r="43959" ht="12.75" hidden="1" customHeight="1" x14ac:dyDescent="0.2"/>
    <row r="43960" ht="12.75" hidden="1" customHeight="1" x14ac:dyDescent="0.2"/>
    <row r="43961" ht="12.75" hidden="1" customHeight="1" x14ac:dyDescent="0.2"/>
    <row r="43962" ht="12.75" hidden="1" customHeight="1" x14ac:dyDescent="0.2"/>
    <row r="43963" ht="12.75" hidden="1" customHeight="1" x14ac:dyDescent="0.2"/>
    <row r="43964" ht="12.75" hidden="1" customHeight="1" x14ac:dyDescent="0.2"/>
    <row r="43965" ht="12.75" hidden="1" customHeight="1" x14ac:dyDescent="0.2"/>
    <row r="43966" ht="12.75" hidden="1" customHeight="1" x14ac:dyDescent="0.2"/>
    <row r="43967" ht="12.75" hidden="1" customHeight="1" x14ac:dyDescent="0.2"/>
    <row r="43968" ht="12.75" hidden="1" customHeight="1" x14ac:dyDescent="0.2"/>
    <row r="43969" ht="12.75" hidden="1" customHeight="1" x14ac:dyDescent="0.2"/>
    <row r="43970" ht="12.75" hidden="1" customHeight="1" x14ac:dyDescent="0.2"/>
    <row r="43971" ht="12.75" hidden="1" customHeight="1" x14ac:dyDescent="0.2"/>
    <row r="43972" ht="12.75" hidden="1" customHeight="1" x14ac:dyDescent="0.2"/>
    <row r="43973" ht="12.75" hidden="1" customHeight="1" x14ac:dyDescent="0.2"/>
    <row r="43974" ht="12.75" hidden="1" customHeight="1" x14ac:dyDescent="0.2"/>
    <row r="43975" ht="12.75" hidden="1" customHeight="1" x14ac:dyDescent="0.2"/>
    <row r="43976" ht="12.75" hidden="1" customHeight="1" x14ac:dyDescent="0.2"/>
    <row r="43977" ht="12.75" hidden="1" customHeight="1" x14ac:dyDescent="0.2"/>
    <row r="43978" ht="12.75" hidden="1" customHeight="1" x14ac:dyDescent="0.2"/>
    <row r="43979" ht="12.75" hidden="1" customHeight="1" x14ac:dyDescent="0.2"/>
    <row r="43980" ht="12.75" hidden="1" customHeight="1" x14ac:dyDescent="0.2"/>
    <row r="43981" ht="12.75" hidden="1" customHeight="1" x14ac:dyDescent="0.2"/>
    <row r="43982" ht="12.75" hidden="1" customHeight="1" x14ac:dyDescent="0.2"/>
    <row r="43983" ht="12.75" hidden="1" customHeight="1" x14ac:dyDescent="0.2"/>
    <row r="43984" ht="12.75" hidden="1" customHeight="1" x14ac:dyDescent="0.2"/>
    <row r="43985" ht="12.75" hidden="1" customHeight="1" x14ac:dyDescent="0.2"/>
    <row r="43986" ht="12.75" hidden="1" customHeight="1" x14ac:dyDescent="0.2"/>
    <row r="43987" ht="12.75" hidden="1" customHeight="1" x14ac:dyDescent="0.2"/>
    <row r="43988" ht="12.75" hidden="1" customHeight="1" x14ac:dyDescent="0.2"/>
    <row r="43989" ht="12.75" hidden="1" customHeight="1" x14ac:dyDescent="0.2"/>
    <row r="43990" ht="12.75" hidden="1" customHeight="1" x14ac:dyDescent="0.2"/>
    <row r="43991" ht="12.75" hidden="1" customHeight="1" x14ac:dyDescent="0.2"/>
    <row r="43992" ht="12.75" hidden="1" customHeight="1" x14ac:dyDescent="0.2"/>
    <row r="43993" ht="12.75" hidden="1" customHeight="1" x14ac:dyDescent="0.2"/>
    <row r="43994" ht="12.75" hidden="1" customHeight="1" x14ac:dyDescent="0.2"/>
    <row r="43995" ht="12.75" hidden="1" customHeight="1" x14ac:dyDescent="0.2"/>
    <row r="43996" ht="12.75" hidden="1" customHeight="1" x14ac:dyDescent="0.2"/>
    <row r="43997" ht="12.75" hidden="1" customHeight="1" x14ac:dyDescent="0.2"/>
    <row r="43998" ht="12.75" hidden="1" customHeight="1" x14ac:dyDescent="0.2"/>
    <row r="43999" ht="12.75" hidden="1" customHeight="1" x14ac:dyDescent="0.2"/>
    <row r="44000" ht="12.75" hidden="1" customHeight="1" x14ac:dyDescent="0.2"/>
    <row r="44001" ht="12.75" hidden="1" customHeight="1" x14ac:dyDescent="0.2"/>
    <row r="44002" ht="12.75" hidden="1" customHeight="1" x14ac:dyDescent="0.2"/>
    <row r="44003" ht="12.75" hidden="1" customHeight="1" x14ac:dyDescent="0.2"/>
    <row r="44004" ht="12.75" hidden="1" customHeight="1" x14ac:dyDescent="0.2"/>
    <row r="44005" ht="12.75" hidden="1" customHeight="1" x14ac:dyDescent="0.2"/>
    <row r="44006" ht="12.75" hidden="1" customHeight="1" x14ac:dyDescent="0.2"/>
    <row r="44007" ht="12.75" hidden="1" customHeight="1" x14ac:dyDescent="0.2"/>
    <row r="44008" ht="12.75" hidden="1" customHeight="1" x14ac:dyDescent="0.2"/>
    <row r="44009" ht="12.75" hidden="1" customHeight="1" x14ac:dyDescent="0.2"/>
    <row r="44010" ht="12.75" hidden="1" customHeight="1" x14ac:dyDescent="0.2"/>
    <row r="44011" ht="12.75" hidden="1" customHeight="1" x14ac:dyDescent="0.2"/>
    <row r="44012" ht="12.75" hidden="1" customHeight="1" x14ac:dyDescent="0.2"/>
    <row r="44013" ht="12.75" hidden="1" customHeight="1" x14ac:dyDescent="0.2"/>
    <row r="44014" ht="12.75" hidden="1" customHeight="1" x14ac:dyDescent="0.2"/>
    <row r="44015" ht="12.75" hidden="1" customHeight="1" x14ac:dyDescent="0.2"/>
    <row r="44016" ht="12.75" hidden="1" customHeight="1" x14ac:dyDescent="0.2"/>
    <row r="44017" ht="12.75" hidden="1" customHeight="1" x14ac:dyDescent="0.2"/>
    <row r="44018" ht="12.75" hidden="1" customHeight="1" x14ac:dyDescent="0.2"/>
    <row r="44019" ht="12.75" hidden="1" customHeight="1" x14ac:dyDescent="0.2"/>
    <row r="44020" ht="12.75" hidden="1" customHeight="1" x14ac:dyDescent="0.2"/>
    <row r="44021" ht="12.75" hidden="1" customHeight="1" x14ac:dyDescent="0.2"/>
    <row r="44022" ht="12.75" hidden="1" customHeight="1" x14ac:dyDescent="0.2"/>
    <row r="44023" ht="12.75" hidden="1" customHeight="1" x14ac:dyDescent="0.2"/>
    <row r="44024" ht="12.75" hidden="1" customHeight="1" x14ac:dyDescent="0.2"/>
    <row r="44025" ht="12.75" hidden="1" customHeight="1" x14ac:dyDescent="0.2"/>
    <row r="44026" ht="12.75" hidden="1" customHeight="1" x14ac:dyDescent="0.2"/>
    <row r="44027" ht="12.75" hidden="1" customHeight="1" x14ac:dyDescent="0.2"/>
    <row r="44028" ht="12.75" hidden="1" customHeight="1" x14ac:dyDescent="0.2"/>
    <row r="44029" ht="12.75" hidden="1" customHeight="1" x14ac:dyDescent="0.2"/>
    <row r="44030" ht="12.75" hidden="1" customHeight="1" x14ac:dyDescent="0.2"/>
    <row r="44031" ht="12.75" hidden="1" customHeight="1" x14ac:dyDescent="0.2"/>
    <row r="44032" ht="12.75" hidden="1" customHeight="1" x14ac:dyDescent="0.2"/>
    <row r="44033" ht="12.75" hidden="1" customHeight="1" x14ac:dyDescent="0.2"/>
    <row r="44034" ht="12.75" hidden="1" customHeight="1" x14ac:dyDescent="0.2"/>
    <row r="44035" ht="12.75" hidden="1" customHeight="1" x14ac:dyDescent="0.2"/>
    <row r="44036" ht="12.75" hidden="1" customHeight="1" x14ac:dyDescent="0.2"/>
    <row r="44037" ht="12.75" hidden="1" customHeight="1" x14ac:dyDescent="0.2"/>
    <row r="44038" ht="12.75" hidden="1" customHeight="1" x14ac:dyDescent="0.2"/>
    <row r="44039" ht="12.75" hidden="1" customHeight="1" x14ac:dyDescent="0.2"/>
    <row r="44040" ht="12.75" hidden="1" customHeight="1" x14ac:dyDescent="0.2"/>
    <row r="44041" ht="12.75" hidden="1" customHeight="1" x14ac:dyDescent="0.2"/>
    <row r="44042" ht="12.75" hidden="1" customHeight="1" x14ac:dyDescent="0.2"/>
    <row r="44043" ht="12.75" hidden="1" customHeight="1" x14ac:dyDescent="0.2"/>
    <row r="44044" ht="12.75" hidden="1" customHeight="1" x14ac:dyDescent="0.2"/>
    <row r="44045" ht="12.75" hidden="1" customHeight="1" x14ac:dyDescent="0.2"/>
    <row r="44046" ht="12.75" hidden="1" customHeight="1" x14ac:dyDescent="0.2"/>
    <row r="44047" ht="12.75" hidden="1" customHeight="1" x14ac:dyDescent="0.2"/>
    <row r="44048" ht="12.75" hidden="1" customHeight="1" x14ac:dyDescent="0.2"/>
    <row r="44049" ht="12.75" hidden="1" customHeight="1" x14ac:dyDescent="0.2"/>
    <row r="44050" ht="12.75" hidden="1" customHeight="1" x14ac:dyDescent="0.2"/>
    <row r="44051" ht="12.75" hidden="1" customHeight="1" x14ac:dyDescent="0.2"/>
    <row r="44052" ht="12.75" hidden="1" customHeight="1" x14ac:dyDescent="0.2"/>
    <row r="44053" ht="12.75" hidden="1" customHeight="1" x14ac:dyDescent="0.2"/>
    <row r="44054" ht="12.75" hidden="1" customHeight="1" x14ac:dyDescent="0.2"/>
    <row r="44055" ht="12.75" hidden="1" customHeight="1" x14ac:dyDescent="0.2"/>
    <row r="44056" ht="12.75" hidden="1" customHeight="1" x14ac:dyDescent="0.2"/>
    <row r="44057" ht="12.75" hidden="1" customHeight="1" x14ac:dyDescent="0.2"/>
    <row r="44058" ht="12.75" hidden="1" customHeight="1" x14ac:dyDescent="0.2"/>
    <row r="44059" ht="12.75" hidden="1" customHeight="1" x14ac:dyDescent="0.2"/>
    <row r="44060" ht="12.75" hidden="1" customHeight="1" x14ac:dyDescent="0.2"/>
    <row r="44061" ht="12.75" hidden="1" customHeight="1" x14ac:dyDescent="0.2"/>
    <row r="44062" ht="12.75" hidden="1" customHeight="1" x14ac:dyDescent="0.2"/>
    <row r="44063" ht="12.75" hidden="1" customHeight="1" x14ac:dyDescent="0.2"/>
    <row r="44064" ht="12.75" hidden="1" customHeight="1" x14ac:dyDescent="0.2"/>
    <row r="44065" ht="12.75" hidden="1" customHeight="1" x14ac:dyDescent="0.2"/>
    <row r="44066" ht="12.75" hidden="1" customHeight="1" x14ac:dyDescent="0.2"/>
    <row r="44067" ht="12.75" hidden="1" customHeight="1" x14ac:dyDescent="0.2"/>
    <row r="44068" ht="12.75" hidden="1" customHeight="1" x14ac:dyDescent="0.2"/>
    <row r="44069" ht="12.75" hidden="1" customHeight="1" x14ac:dyDescent="0.2"/>
    <row r="44070" ht="12.75" hidden="1" customHeight="1" x14ac:dyDescent="0.2"/>
    <row r="44071" ht="12.75" hidden="1" customHeight="1" x14ac:dyDescent="0.2"/>
    <row r="44072" ht="12.75" hidden="1" customHeight="1" x14ac:dyDescent="0.2"/>
    <row r="44073" ht="12.75" hidden="1" customHeight="1" x14ac:dyDescent="0.2"/>
    <row r="44074" ht="12.75" hidden="1" customHeight="1" x14ac:dyDescent="0.2"/>
    <row r="44075" ht="12.75" hidden="1" customHeight="1" x14ac:dyDescent="0.2"/>
    <row r="44076" ht="12.75" hidden="1" customHeight="1" x14ac:dyDescent="0.2"/>
    <row r="44077" ht="12.75" hidden="1" customHeight="1" x14ac:dyDescent="0.2"/>
    <row r="44078" ht="12.75" hidden="1" customHeight="1" x14ac:dyDescent="0.2"/>
    <row r="44079" ht="12.75" hidden="1" customHeight="1" x14ac:dyDescent="0.2"/>
    <row r="44080" ht="12.75" hidden="1" customHeight="1" x14ac:dyDescent="0.2"/>
    <row r="44081" ht="12.75" hidden="1" customHeight="1" x14ac:dyDescent="0.2"/>
    <row r="44082" ht="12.75" hidden="1" customHeight="1" x14ac:dyDescent="0.2"/>
    <row r="44083" ht="12.75" hidden="1" customHeight="1" x14ac:dyDescent="0.2"/>
    <row r="44084" ht="12.75" hidden="1" customHeight="1" x14ac:dyDescent="0.2"/>
    <row r="44085" ht="12.75" hidden="1" customHeight="1" x14ac:dyDescent="0.2"/>
    <row r="44086" ht="12.75" hidden="1" customHeight="1" x14ac:dyDescent="0.2"/>
    <row r="44087" ht="12.75" hidden="1" customHeight="1" x14ac:dyDescent="0.2"/>
    <row r="44088" ht="12.75" hidden="1" customHeight="1" x14ac:dyDescent="0.2"/>
    <row r="44089" ht="12.75" hidden="1" customHeight="1" x14ac:dyDescent="0.2"/>
    <row r="44090" ht="12.75" hidden="1" customHeight="1" x14ac:dyDescent="0.2"/>
    <row r="44091" ht="12.75" hidden="1" customHeight="1" x14ac:dyDescent="0.2"/>
    <row r="44092" ht="12.75" hidden="1" customHeight="1" x14ac:dyDescent="0.2"/>
    <row r="44093" ht="12.75" hidden="1" customHeight="1" x14ac:dyDescent="0.2"/>
    <row r="44094" ht="12.75" hidden="1" customHeight="1" x14ac:dyDescent="0.2"/>
    <row r="44095" ht="12.75" hidden="1" customHeight="1" x14ac:dyDescent="0.2"/>
    <row r="44096" ht="12.75" hidden="1" customHeight="1" x14ac:dyDescent="0.2"/>
    <row r="44097" ht="12.75" hidden="1" customHeight="1" x14ac:dyDescent="0.2"/>
    <row r="44098" ht="12.75" hidden="1" customHeight="1" x14ac:dyDescent="0.2"/>
    <row r="44099" ht="12.75" hidden="1" customHeight="1" x14ac:dyDescent="0.2"/>
    <row r="44100" ht="12.75" hidden="1" customHeight="1" x14ac:dyDescent="0.2"/>
    <row r="44101" ht="12.75" hidden="1" customHeight="1" x14ac:dyDescent="0.2"/>
    <row r="44102" ht="12.75" hidden="1" customHeight="1" x14ac:dyDescent="0.2"/>
    <row r="44103" ht="12.75" hidden="1" customHeight="1" x14ac:dyDescent="0.2"/>
    <row r="44104" ht="12.75" hidden="1" customHeight="1" x14ac:dyDescent="0.2"/>
    <row r="44105" ht="12.75" hidden="1" customHeight="1" x14ac:dyDescent="0.2"/>
    <row r="44106" ht="12.75" hidden="1" customHeight="1" x14ac:dyDescent="0.2"/>
    <row r="44107" ht="12.75" hidden="1" customHeight="1" x14ac:dyDescent="0.2"/>
    <row r="44108" ht="12.75" hidden="1" customHeight="1" x14ac:dyDescent="0.2"/>
    <row r="44109" ht="12.75" hidden="1" customHeight="1" x14ac:dyDescent="0.2"/>
    <row r="44110" ht="12.75" hidden="1" customHeight="1" x14ac:dyDescent="0.2"/>
    <row r="44111" ht="12.75" hidden="1" customHeight="1" x14ac:dyDescent="0.2"/>
    <row r="44112" ht="12.75" hidden="1" customHeight="1" x14ac:dyDescent="0.2"/>
    <row r="44113" ht="12.75" hidden="1" customHeight="1" x14ac:dyDescent="0.2"/>
    <row r="44114" ht="12.75" hidden="1" customHeight="1" x14ac:dyDescent="0.2"/>
    <row r="44115" ht="12.75" hidden="1" customHeight="1" x14ac:dyDescent="0.2"/>
    <row r="44116" ht="12.75" hidden="1" customHeight="1" x14ac:dyDescent="0.2"/>
    <row r="44117" ht="12.75" hidden="1" customHeight="1" x14ac:dyDescent="0.2"/>
    <row r="44118" ht="12.75" hidden="1" customHeight="1" x14ac:dyDescent="0.2"/>
    <row r="44119" ht="12.75" hidden="1" customHeight="1" x14ac:dyDescent="0.2"/>
    <row r="44120" ht="12.75" hidden="1" customHeight="1" x14ac:dyDescent="0.2"/>
    <row r="44121" ht="12.75" hidden="1" customHeight="1" x14ac:dyDescent="0.2"/>
    <row r="44122" ht="12.75" hidden="1" customHeight="1" x14ac:dyDescent="0.2"/>
    <row r="44123" ht="12.75" hidden="1" customHeight="1" x14ac:dyDescent="0.2"/>
    <row r="44124" ht="12.75" hidden="1" customHeight="1" x14ac:dyDescent="0.2"/>
    <row r="44125" ht="12.75" hidden="1" customHeight="1" x14ac:dyDescent="0.2"/>
    <row r="44126" ht="12.75" hidden="1" customHeight="1" x14ac:dyDescent="0.2"/>
    <row r="44127" ht="12.75" hidden="1" customHeight="1" x14ac:dyDescent="0.2"/>
    <row r="44128" ht="12.75" hidden="1" customHeight="1" x14ac:dyDescent="0.2"/>
    <row r="44129" ht="12.75" hidden="1" customHeight="1" x14ac:dyDescent="0.2"/>
    <row r="44130" ht="12.75" hidden="1" customHeight="1" x14ac:dyDescent="0.2"/>
    <row r="44131" ht="12.75" hidden="1" customHeight="1" x14ac:dyDescent="0.2"/>
    <row r="44132" ht="12.75" hidden="1" customHeight="1" x14ac:dyDescent="0.2"/>
    <row r="44133" ht="12.75" hidden="1" customHeight="1" x14ac:dyDescent="0.2"/>
    <row r="44134" ht="12.75" hidden="1" customHeight="1" x14ac:dyDescent="0.2"/>
    <row r="44135" ht="12.75" hidden="1" customHeight="1" x14ac:dyDescent="0.2"/>
    <row r="44136" ht="12.75" hidden="1" customHeight="1" x14ac:dyDescent="0.2"/>
    <row r="44137" ht="12.75" hidden="1" customHeight="1" x14ac:dyDescent="0.2"/>
    <row r="44138" ht="12.75" hidden="1" customHeight="1" x14ac:dyDescent="0.2"/>
    <row r="44139" ht="12.75" hidden="1" customHeight="1" x14ac:dyDescent="0.2"/>
    <row r="44140" ht="12.75" hidden="1" customHeight="1" x14ac:dyDescent="0.2"/>
    <row r="44141" ht="12.75" hidden="1" customHeight="1" x14ac:dyDescent="0.2"/>
    <row r="44142" ht="12.75" hidden="1" customHeight="1" x14ac:dyDescent="0.2"/>
    <row r="44143" ht="12.75" hidden="1" customHeight="1" x14ac:dyDescent="0.2"/>
    <row r="44144" ht="12.75" hidden="1" customHeight="1" x14ac:dyDescent="0.2"/>
    <row r="44145" ht="12.75" hidden="1" customHeight="1" x14ac:dyDescent="0.2"/>
    <row r="44146" ht="12.75" hidden="1" customHeight="1" x14ac:dyDescent="0.2"/>
    <row r="44147" ht="12.75" hidden="1" customHeight="1" x14ac:dyDescent="0.2"/>
    <row r="44148" ht="12.75" hidden="1" customHeight="1" x14ac:dyDescent="0.2"/>
    <row r="44149" ht="12.75" hidden="1" customHeight="1" x14ac:dyDescent="0.2"/>
    <row r="44150" ht="12.75" hidden="1" customHeight="1" x14ac:dyDescent="0.2"/>
    <row r="44151" ht="12.75" hidden="1" customHeight="1" x14ac:dyDescent="0.2"/>
    <row r="44152" ht="12.75" hidden="1" customHeight="1" x14ac:dyDescent="0.2"/>
    <row r="44153" ht="12.75" hidden="1" customHeight="1" x14ac:dyDescent="0.2"/>
    <row r="44154" ht="12.75" hidden="1" customHeight="1" x14ac:dyDescent="0.2"/>
    <row r="44155" ht="12.75" hidden="1" customHeight="1" x14ac:dyDescent="0.2"/>
    <row r="44156" ht="12.75" hidden="1" customHeight="1" x14ac:dyDescent="0.2"/>
    <row r="44157" ht="12.75" hidden="1" customHeight="1" x14ac:dyDescent="0.2"/>
    <row r="44158" ht="12.75" hidden="1" customHeight="1" x14ac:dyDescent="0.2"/>
    <row r="44159" ht="12.75" hidden="1" customHeight="1" x14ac:dyDescent="0.2"/>
    <row r="44160" ht="12.75" hidden="1" customHeight="1" x14ac:dyDescent="0.2"/>
    <row r="44161" ht="12.75" hidden="1" customHeight="1" x14ac:dyDescent="0.2"/>
    <row r="44162" ht="12.75" hidden="1" customHeight="1" x14ac:dyDescent="0.2"/>
    <row r="44163" ht="12.75" hidden="1" customHeight="1" x14ac:dyDescent="0.2"/>
    <row r="44164" ht="12.75" hidden="1" customHeight="1" x14ac:dyDescent="0.2"/>
    <row r="44165" ht="12.75" hidden="1" customHeight="1" x14ac:dyDescent="0.2"/>
    <row r="44166" ht="12.75" hidden="1" customHeight="1" x14ac:dyDescent="0.2"/>
    <row r="44167" ht="12.75" hidden="1" customHeight="1" x14ac:dyDescent="0.2"/>
    <row r="44168" ht="12.75" hidden="1" customHeight="1" x14ac:dyDescent="0.2"/>
    <row r="44169" ht="12.75" hidden="1" customHeight="1" x14ac:dyDescent="0.2"/>
    <row r="44170" ht="12.75" hidden="1" customHeight="1" x14ac:dyDescent="0.2"/>
    <row r="44171" ht="12.75" hidden="1" customHeight="1" x14ac:dyDescent="0.2"/>
    <row r="44172" ht="12.75" hidden="1" customHeight="1" x14ac:dyDescent="0.2"/>
    <row r="44173" ht="12.75" hidden="1" customHeight="1" x14ac:dyDescent="0.2"/>
    <row r="44174" ht="12.75" hidden="1" customHeight="1" x14ac:dyDescent="0.2"/>
    <row r="44175" ht="12.75" hidden="1" customHeight="1" x14ac:dyDescent="0.2"/>
    <row r="44176" ht="12.75" hidden="1" customHeight="1" x14ac:dyDescent="0.2"/>
    <row r="44177" ht="12.75" hidden="1" customHeight="1" x14ac:dyDescent="0.2"/>
    <row r="44178" ht="12.75" hidden="1" customHeight="1" x14ac:dyDescent="0.2"/>
    <row r="44179" ht="12.75" hidden="1" customHeight="1" x14ac:dyDescent="0.2"/>
    <row r="44180" ht="12.75" hidden="1" customHeight="1" x14ac:dyDescent="0.2"/>
    <row r="44181" ht="12.75" hidden="1" customHeight="1" x14ac:dyDescent="0.2"/>
    <row r="44182" ht="12.75" hidden="1" customHeight="1" x14ac:dyDescent="0.2"/>
    <row r="44183" ht="12.75" hidden="1" customHeight="1" x14ac:dyDescent="0.2"/>
    <row r="44184" ht="12.75" hidden="1" customHeight="1" x14ac:dyDescent="0.2"/>
    <row r="44185" ht="12.75" hidden="1" customHeight="1" x14ac:dyDescent="0.2"/>
    <row r="44186" ht="12.75" hidden="1" customHeight="1" x14ac:dyDescent="0.2"/>
    <row r="44187" ht="12.75" hidden="1" customHeight="1" x14ac:dyDescent="0.2"/>
    <row r="44188" ht="12.75" hidden="1" customHeight="1" x14ac:dyDescent="0.2"/>
    <row r="44189" ht="12.75" hidden="1" customHeight="1" x14ac:dyDescent="0.2"/>
    <row r="44190" ht="12.75" hidden="1" customHeight="1" x14ac:dyDescent="0.2"/>
    <row r="44191" ht="12.75" hidden="1" customHeight="1" x14ac:dyDescent="0.2"/>
    <row r="44192" ht="12.75" hidden="1" customHeight="1" x14ac:dyDescent="0.2"/>
    <row r="44193" ht="12.75" hidden="1" customHeight="1" x14ac:dyDescent="0.2"/>
    <row r="44194" ht="12.75" hidden="1" customHeight="1" x14ac:dyDescent="0.2"/>
    <row r="44195" ht="12.75" hidden="1" customHeight="1" x14ac:dyDescent="0.2"/>
    <row r="44196" ht="12.75" hidden="1" customHeight="1" x14ac:dyDescent="0.2"/>
    <row r="44197" ht="12.75" hidden="1" customHeight="1" x14ac:dyDescent="0.2"/>
    <row r="44198" ht="12.75" hidden="1" customHeight="1" x14ac:dyDescent="0.2"/>
    <row r="44199" ht="12.75" hidden="1" customHeight="1" x14ac:dyDescent="0.2"/>
    <row r="44200" ht="12.75" hidden="1" customHeight="1" x14ac:dyDescent="0.2"/>
    <row r="44201" ht="12.75" hidden="1" customHeight="1" x14ac:dyDescent="0.2"/>
    <row r="44202" ht="12.75" hidden="1" customHeight="1" x14ac:dyDescent="0.2"/>
    <row r="44203" ht="12.75" hidden="1" customHeight="1" x14ac:dyDescent="0.2"/>
    <row r="44204" ht="12.75" hidden="1" customHeight="1" x14ac:dyDescent="0.2"/>
    <row r="44205" ht="12.75" hidden="1" customHeight="1" x14ac:dyDescent="0.2"/>
    <row r="44206" ht="12.75" hidden="1" customHeight="1" x14ac:dyDescent="0.2"/>
    <row r="44207" ht="12.75" hidden="1" customHeight="1" x14ac:dyDescent="0.2"/>
    <row r="44208" ht="12.75" hidden="1" customHeight="1" x14ac:dyDescent="0.2"/>
    <row r="44209" ht="12.75" hidden="1" customHeight="1" x14ac:dyDescent="0.2"/>
    <row r="44210" ht="12.75" hidden="1" customHeight="1" x14ac:dyDescent="0.2"/>
    <row r="44211" ht="12.75" hidden="1" customHeight="1" x14ac:dyDescent="0.2"/>
    <row r="44212" ht="12.75" hidden="1" customHeight="1" x14ac:dyDescent="0.2"/>
    <row r="44213" ht="12.75" hidden="1" customHeight="1" x14ac:dyDescent="0.2"/>
    <row r="44214" ht="12.75" hidden="1" customHeight="1" x14ac:dyDescent="0.2"/>
    <row r="44215" ht="12.75" hidden="1" customHeight="1" x14ac:dyDescent="0.2"/>
    <row r="44216" ht="12.75" hidden="1" customHeight="1" x14ac:dyDescent="0.2"/>
    <row r="44217" ht="12.75" hidden="1" customHeight="1" x14ac:dyDescent="0.2"/>
    <row r="44218" ht="12.75" hidden="1" customHeight="1" x14ac:dyDescent="0.2"/>
    <row r="44219" ht="12.75" hidden="1" customHeight="1" x14ac:dyDescent="0.2"/>
    <row r="44220" ht="12.75" hidden="1" customHeight="1" x14ac:dyDescent="0.2"/>
    <row r="44221" ht="12.75" hidden="1" customHeight="1" x14ac:dyDescent="0.2"/>
    <row r="44222" ht="12.75" hidden="1" customHeight="1" x14ac:dyDescent="0.2"/>
    <row r="44223" ht="12.75" hidden="1" customHeight="1" x14ac:dyDescent="0.2"/>
    <row r="44224" ht="12.75" hidden="1" customHeight="1" x14ac:dyDescent="0.2"/>
    <row r="44225" ht="12.75" hidden="1" customHeight="1" x14ac:dyDescent="0.2"/>
    <row r="44226" ht="12.75" hidden="1" customHeight="1" x14ac:dyDescent="0.2"/>
    <row r="44227" ht="12.75" hidden="1" customHeight="1" x14ac:dyDescent="0.2"/>
    <row r="44228" ht="12.75" hidden="1" customHeight="1" x14ac:dyDescent="0.2"/>
    <row r="44229" ht="12.75" hidden="1" customHeight="1" x14ac:dyDescent="0.2"/>
    <row r="44230" ht="12.75" hidden="1" customHeight="1" x14ac:dyDescent="0.2"/>
    <row r="44231" ht="12.75" hidden="1" customHeight="1" x14ac:dyDescent="0.2"/>
    <row r="44232" ht="12.75" hidden="1" customHeight="1" x14ac:dyDescent="0.2"/>
    <row r="44233" ht="12.75" hidden="1" customHeight="1" x14ac:dyDescent="0.2"/>
    <row r="44234" ht="12.75" hidden="1" customHeight="1" x14ac:dyDescent="0.2"/>
    <row r="44235" ht="12.75" hidden="1" customHeight="1" x14ac:dyDescent="0.2"/>
    <row r="44236" ht="12.75" hidden="1" customHeight="1" x14ac:dyDescent="0.2"/>
    <row r="44237" ht="12.75" hidden="1" customHeight="1" x14ac:dyDescent="0.2"/>
    <row r="44238" ht="12.75" hidden="1" customHeight="1" x14ac:dyDescent="0.2"/>
    <row r="44239" ht="12.75" hidden="1" customHeight="1" x14ac:dyDescent="0.2"/>
    <row r="44240" ht="12.75" hidden="1" customHeight="1" x14ac:dyDescent="0.2"/>
    <row r="44241" ht="12.75" hidden="1" customHeight="1" x14ac:dyDescent="0.2"/>
    <row r="44242" ht="12.75" hidden="1" customHeight="1" x14ac:dyDescent="0.2"/>
    <row r="44243" ht="12.75" hidden="1" customHeight="1" x14ac:dyDescent="0.2"/>
    <row r="44244" ht="12.75" hidden="1" customHeight="1" x14ac:dyDescent="0.2"/>
    <row r="44245" ht="12.75" hidden="1" customHeight="1" x14ac:dyDescent="0.2"/>
    <row r="44246" ht="12.75" hidden="1" customHeight="1" x14ac:dyDescent="0.2"/>
    <row r="44247" ht="12.75" hidden="1" customHeight="1" x14ac:dyDescent="0.2"/>
    <row r="44248" ht="12.75" hidden="1" customHeight="1" x14ac:dyDescent="0.2"/>
    <row r="44249" ht="12.75" hidden="1" customHeight="1" x14ac:dyDescent="0.2"/>
    <row r="44250" ht="12.75" hidden="1" customHeight="1" x14ac:dyDescent="0.2"/>
    <row r="44251" ht="12.75" hidden="1" customHeight="1" x14ac:dyDescent="0.2"/>
    <row r="44252" ht="12.75" hidden="1" customHeight="1" x14ac:dyDescent="0.2"/>
    <row r="44253" ht="12.75" hidden="1" customHeight="1" x14ac:dyDescent="0.2"/>
    <row r="44254" ht="12.75" hidden="1" customHeight="1" x14ac:dyDescent="0.2"/>
    <row r="44255" ht="12.75" hidden="1" customHeight="1" x14ac:dyDescent="0.2"/>
    <row r="44256" ht="12.75" hidden="1" customHeight="1" x14ac:dyDescent="0.2"/>
    <row r="44257" ht="12.75" hidden="1" customHeight="1" x14ac:dyDescent="0.2"/>
    <row r="44258" ht="12.75" hidden="1" customHeight="1" x14ac:dyDescent="0.2"/>
    <row r="44259" ht="12.75" hidden="1" customHeight="1" x14ac:dyDescent="0.2"/>
    <row r="44260" ht="12.75" hidden="1" customHeight="1" x14ac:dyDescent="0.2"/>
    <row r="44261" ht="12.75" hidden="1" customHeight="1" x14ac:dyDescent="0.2"/>
    <row r="44262" ht="12.75" hidden="1" customHeight="1" x14ac:dyDescent="0.2"/>
    <row r="44263" ht="12.75" hidden="1" customHeight="1" x14ac:dyDescent="0.2"/>
    <row r="44264" ht="12.75" hidden="1" customHeight="1" x14ac:dyDescent="0.2"/>
    <row r="44265" ht="12.75" hidden="1" customHeight="1" x14ac:dyDescent="0.2"/>
    <row r="44266" ht="12.75" hidden="1" customHeight="1" x14ac:dyDescent="0.2"/>
    <row r="44267" ht="12.75" hidden="1" customHeight="1" x14ac:dyDescent="0.2"/>
    <row r="44268" ht="12.75" hidden="1" customHeight="1" x14ac:dyDescent="0.2"/>
    <row r="44269" ht="12.75" hidden="1" customHeight="1" x14ac:dyDescent="0.2"/>
    <row r="44270" ht="12.75" hidden="1" customHeight="1" x14ac:dyDescent="0.2"/>
    <row r="44271" ht="12.75" hidden="1" customHeight="1" x14ac:dyDescent="0.2"/>
    <row r="44272" ht="12.75" hidden="1" customHeight="1" x14ac:dyDescent="0.2"/>
    <row r="44273" ht="12.75" hidden="1" customHeight="1" x14ac:dyDescent="0.2"/>
    <row r="44274" ht="12.75" hidden="1" customHeight="1" x14ac:dyDescent="0.2"/>
    <row r="44275" ht="12.75" hidden="1" customHeight="1" x14ac:dyDescent="0.2"/>
    <row r="44276" ht="12.75" hidden="1" customHeight="1" x14ac:dyDescent="0.2"/>
    <row r="44277" ht="12.75" hidden="1" customHeight="1" x14ac:dyDescent="0.2"/>
    <row r="44278" ht="12.75" hidden="1" customHeight="1" x14ac:dyDescent="0.2"/>
    <row r="44279" ht="12.75" hidden="1" customHeight="1" x14ac:dyDescent="0.2"/>
    <row r="44280" ht="12.75" hidden="1" customHeight="1" x14ac:dyDescent="0.2"/>
    <row r="44281" ht="12.75" hidden="1" customHeight="1" x14ac:dyDescent="0.2"/>
    <row r="44282" ht="12.75" hidden="1" customHeight="1" x14ac:dyDescent="0.2"/>
    <row r="44283" ht="12.75" hidden="1" customHeight="1" x14ac:dyDescent="0.2"/>
    <row r="44284" ht="12.75" hidden="1" customHeight="1" x14ac:dyDescent="0.2"/>
    <row r="44285" ht="12.75" hidden="1" customHeight="1" x14ac:dyDescent="0.2"/>
    <row r="44286" ht="12.75" hidden="1" customHeight="1" x14ac:dyDescent="0.2"/>
    <row r="44287" ht="12.75" hidden="1" customHeight="1" x14ac:dyDescent="0.2"/>
    <row r="44288" ht="12.75" hidden="1" customHeight="1" x14ac:dyDescent="0.2"/>
    <row r="44289" ht="12.75" hidden="1" customHeight="1" x14ac:dyDescent="0.2"/>
    <row r="44290" ht="12.75" hidden="1" customHeight="1" x14ac:dyDescent="0.2"/>
    <row r="44291" ht="12.75" hidden="1" customHeight="1" x14ac:dyDescent="0.2"/>
    <row r="44292" ht="12.75" hidden="1" customHeight="1" x14ac:dyDescent="0.2"/>
    <row r="44293" ht="12.75" hidden="1" customHeight="1" x14ac:dyDescent="0.2"/>
    <row r="44294" ht="12.75" hidden="1" customHeight="1" x14ac:dyDescent="0.2"/>
    <row r="44295" ht="12.75" hidden="1" customHeight="1" x14ac:dyDescent="0.2"/>
    <row r="44296" ht="12.75" hidden="1" customHeight="1" x14ac:dyDescent="0.2"/>
    <row r="44297" ht="12.75" hidden="1" customHeight="1" x14ac:dyDescent="0.2"/>
    <row r="44298" ht="12.75" hidden="1" customHeight="1" x14ac:dyDescent="0.2"/>
    <row r="44299" ht="12.75" hidden="1" customHeight="1" x14ac:dyDescent="0.2"/>
    <row r="44300" ht="12.75" hidden="1" customHeight="1" x14ac:dyDescent="0.2"/>
    <row r="44301" ht="12.75" hidden="1" customHeight="1" x14ac:dyDescent="0.2"/>
    <row r="44302" ht="12.75" hidden="1" customHeight="1" x14ac:dyDescent="0.2"/>
    <row r="44303" ht="12.75" hidden="1" customHeight="1" x14ac:dyDescent="0.2"/>
    <row r="44304" ht="12.75" hidden="1" customHeight="1" x14ac:dyDescent="0.2"/>
    <row r="44305" ht="12.75" hidden="1" customHeight="1" x14ac:dyDescent="0.2"/>
    <row r="44306" ht="12.75" hidden="1" customHeight="1" x14ac:dyDescent="0.2"/>
    <row r="44307" ht="12.75" hidden="1" customHeight="1" x14ac:dyDescent="0.2"/>
    <row r="44308" ht="12.75" hidden="1" customHeight="1" x14ac:dyDescent="0.2"/>
    <row r="44309" ht="12.75" hidden="1" customHeight="1" x14ac:dyDescent="0.2"/>
    <row r="44310" ht="12.75" hidden="1" customHeight="1" x14ac:dyDescent="0.2"/>
    <row r="44311" ht="12.75" hidden="1" customHeight="1" x14ac:dyDescent="0.2"/>
    <row r="44312" ht="12.75" hidden="1" customHeight="1" x14ac:dyDescent="0.2"/>
    <row r="44313" ht="12.75" hidden="1" customHeight="1" x14ac:dyDescent="0.2"/>
    <row r="44314" ht="12.75" hidden="1" customHeight="1" x14ac:dyDescent="0.2"/>
    <row r="44315" ht="12.75" hidden="1" customHeight="1" x14ac:dyDescent="0.2"/>
    <row r="44316" ht="12.75" hidden="1" customHeight="1" x14ac:dyDescent="0.2"/>
    <row r="44317" ht="12.75" hidden="1" customHeight="1" x14ac:dyDescent="0.2"/>
    <row r="44318" ht="12.75" hidden="1" customHeight="1" x14ac:dyDescent="0.2"/>
    <row r="44319" ht="12.75" hidden="1" customHeight="1" x14ac:dyDescent="0.2"/>
    <row r="44320" ht="12.75" hidden="1" customHeight="1" x14ac:dyDescent="0.2"/>
    <row r="44321" ht="12.75" hidden="1" customHeight="1" x14ac:dyDescent="0.2"/>
    <row r="44322" ht="12.75" hidden="1" customHeight="1" x14ac:dyDescent="0.2"/>
    <row r="44323" ht="12.75" hidden="1" customHeight="1" x14ac:dyDescent="0.2"/>
    <row r="44324" ht="12.75" hidden="1" customHeight="1" x14ac:dyDescent="0.2"/>
    <row r="44325" ht="12.75" hidden="1" customHeight="1" x14ac:dyDescent="0.2"/>
    <row r="44326" ht="12.75" hidden="1" customHeight="1" x14ac:dyDescent="0.2"/>
    <row r="44327" ht="12.75" hidden="1" customHeight="1" x14ac:dyDescent="0.2"/>
    <row r="44328" ht="12.75" hidden="1" customHeight="1" x14ac:dyDescent="0.2"/>
    <row r="44329" ht="12.75" hidden="1" customHeight="1" x14ac:dyDescent="0.2"/>
    <row r="44330" ht="12.75" hidden="1" customHeight="1" x14ac:dyDescent="0.2"/>
    <row r="44331" ht="12.75" hidden="1" customHeight="1" x14ac:dyDescent="0.2"/>
    <row r="44332" ht="12.75" hidden="1" customHeight="1" x14ac:dyDescent="0.2"/>
    <row r="44333" ht="12.75" hidden="1" customHeight="1" x14ac:dyDescent="0.2"/>
    <row r="44334" ht="12.75" hidden="1" customHeight="1" x14ac:dyDescent="0.2"/>
    <row r="44335" ht="12.75" hidden="1" customHeight="1" x14ac:dyDescent="0.2"/>
    <row r="44336" ht="12.75" hidden="1" customHeight="1" x14ac:dyDescent="0.2"/>
    <row r="44337" ht="12.75" hidden="1" customHeight="1" x14ac:dyDescent="0.2"/>
    <row r="44338" ht="12.75" hidden="1" customHeight="1" x14ac:dyDescent="0.2"/>
    <row r="44339" ht="12.75" hidden="1" customHeight="1" x14ac:dyDescent="0.2"/>
    <row r="44340" ht="12.75" hidden="1" customHeight="1" x14ac:dyDescent="0.2"/>
    <row r="44341" ht="12.75" hidden="1" customHeight="1" x14ac:dyDescent="0.2"/>
    <row r="44342" ht="12.75" hidden="1" customHeight="1" x14ac:dyDescent="0.2"/>
    <row r="44343" ht="12.75" hidden="1" customHeight="1" x14ac:dyDescent="0.2"/>
    <row r="44344" ht="12.75" hidden="1" customHeight="1" x14ac:dyDescent="0.2"/>
    <row r="44345" ht="12.75" hidden="1" customHeight="1" x14ac:dyDescent="0.2"/>
    <row r="44346" ht="12.75" hidden="1" customHeight="1" x14ac:dyDescent="0.2"/>
    <row r="44347" ht="12.75" hidden="1" customHeight="1" x14ac:dyDescent="0.2"/>
    <row r="44348" ht="12.75" hidden="1" customHeight="1" x14ac:dyDescent="0.2"/>
    <row r="44349" ht="12.75" hidden="1" customHeight="1" x14ac:dyDescent="0.2"/>
    <row r="44350" ht="12.75" hidden="1" customHeight="1" x14ac:dyDescent="0.2"/>
    <row r="44351" ht="12.75" hidden="1" customHeight="1" x14ac:dyDescent="0.2"/>
    <row r="44352" ht="12.75" hidden="1" customHeight="1" x14ac:dyDescent="0.2"/>
    <row r="44353" ht="12.75" hidden="1" customHeight="1" x14ac:dyDescent="0.2"/>
    <row r="44354" ht="12.75" hidden="1" customHeight="1" x14ac:dyDescent="0.2"/>
    <row r="44355" ht="12.75" hidden="1" customHeight="1" x14ac:dyDescent="0.2"/>
    <row r="44356" ht="12.75" hidden="1" customHeight="1" x14ac:dyDescent="0.2"/>
    <row r="44357" ht="12.75" hidden="1" customHeight="1" x14ac:dyDescent="0.2"/>
    <row r="44358" ht="12.75" hidden="1" customHeight="1" x14ac:dyDescent="0.2"/>
    <row r="44359" ht="12.75" hidden="1" customHeight="1" x14ac:dyDescent="0.2"/>
    <row r="44360" ht="12.75" hidden="1" customHeight="1" x14ac:dyDescent="0.2"/>
    <row r="44361" ht="12.75" hidden="1" customHeight="1" x14ac:dyDescent="0.2"/>
    <row r="44362" ht="12.75" hidden="1" customHeight="1" x14ac:dyDescent="0.2"/>
    <row r="44363" ht="12.75" hidden="1" customHeight="1" x14ac:dyDescent="0.2"/>
    <row r="44364" ht="12.75" hidden="1" customHeight="1" x14ac:dyDescent="0.2"/>
    <row r="44365" ht="12.75" hidden="1" customHeight="1" x14ac:dyDescent="0.2"/>
    <row r="44366" ht="12.75" hidden="1" customHeight="1" x14ac:dyDescent="0.2"/>
    <row r="44367" ht="12.75" hidden="1" customHeight="1" x14ac:dyDescent="0.2"/>
    <row r="44368" ht="12.75" hidden="1" customHeight="1" x14ac:dyDescent="0.2"/>
    <row r="44369" ht="12.75" hidden="1" customHeight="1" x14ac:dyDescent="0.2"/>
    <row r="44370" ht="12.75" hidden="1" customHeight="1" x14ac:dyDescent="0.2"/>
    <row r="44371" ht="12.75" hidden="1" customHeight="1" x14ac:dyDescent="0.2"/>
    <row r="44372" ht="12.75" hidden="1" customHeight="1" x14ac:dyDescent="0.2"/>
    <row r="44373" ht="12.75" hidden="1" customHeight="1" x14ac:dyDescent="0.2"/>
    <row r="44374" ht="12.75" hidden="1" customHeight="1" x14ac:dyDescent="0.2"/>
    <row r="44375" ht="12.75" hidden="1" customHeight="1" x14ac:dyDescent="0.2"/>
    <row r="44376" ht="12.75" hidden="1" customHeight="1" x14ac:dyDescent="0.2"/>
    <row r="44377" ht="12.75" hidden="1" customHeight="1" x14ac:dyDescent="0.2"/>
    <row r="44378" ht="12.75" hidden="1" customHeight="1" x14ac:dyDescent="0.2"/>
    <row r="44379" ht="12.75" hidden="1" customHeight="1" x14ac:dyDescent="0.2"/>
    <row r="44380" ht="12.75" hidden="1" customHeight="1" x14ac:dyDescent="0.2"/>
    <row r="44381" ht="12.75" hidden="1" customHeight="1" x14ac:dyDescent="0.2"/>
    <row r="44382" ht="12.75" hidden="1" customHeight="1" x14ac:dyDescent="0.2"/>
    <row r="44383" ht="12.75" hidden="1" customHeight="1" x14ac:dyDescent="0.2"/>
    <row r="44384" ht="12.75" hidden="1" customHeight="1" x14ac:dyDescent="0.2"/>
    <row r="44385" ht="12.75" hidden="1" customHeight="1" x14ac:dyDescent="0.2"/>
    <row r="44386" ht="12.75" hidden="1" customHeight="1" x14ac:dyDescent="0.2"/>
    <row r="44387" ht="12.75" hidden="1" customHeight="1" x14ac:dyDescent="0.2"/>
    <row r="44388" ht="12.75" hidden="1" customHeight="1" x14ac:dyDescent="0.2"/>
    <row r="44389" ht="12.75" hidden="1" customHeight="1" x14ac:dyDescent="0.2"/>
    <row r="44390" ht="12.75" hidden="1" customHeight="1" x14ac:dyDescent="0.2"/>
    <row r="44391" ht="12.75" hidden="1" customHeight="1" x14ac:dyDescent="0.2"/>
    <row r="44392" ht="12.75" hidden="1" customHeight="1" x14ac:dyDescent="0.2"/>
    <row r="44393" ht="12.75" hidden="1" customHeight="1" x14ac:dyDescent="0.2"/>
    <row r="44394" ht="12.75" hidden="1" customHeight="1" x14ac:dyDescent="0.2"/>
    <row r="44395" ht="12.75" hidden="1" customHeight="1" x14ac:dyDescent="0.2"/>
    <row r="44396" ht="12.75" hidden="1" customHeight="1" x14ac:dyDescent="0.2"/>
    <row r="44397" ht="12.75" hidden="1" customHeight="1" x14ac:dyDescent="0.2"/>
    <row r="44398" ht="12.75" hidden="1" customHeight="1" x14ac:dyDescent="0.2"/>
    <row r="44399" ht="12.75" hidden="1" customHeight="1" x14ac:dyDescent="0.2"/>
    <row r="44400" ht="12.75" hidden="1" customHeight="1" x14ac:dyDescent="0.2"/>
    <row r="44401" ht="12.75" hidden="1" customHeight="1" x14ac:dyDescent="0.2"/>
    <row r="44402" ht="12.75" hidden="1" customHeight="1" x14ac:dyDescent="0.2"/>
    <row r="44403" ht="12.75" hidden="1" customHeight="1" x14ac:dyDescent="0.2"/>
    <row r="44404" ht="12.75" hidden="1" customHeight="1" x14ac:dyDescent="0.2"/>
    <row r="44405" ht="12.75" hidden="1" customHeight="1" x14ac:dyDescent="0.2"/>
    <row r="44406" ht="12.75" hidden="1" customHeight="1" x14ac:dyDescent="0.2"/>
    <row r="44407" ht="12.75" hidden="1" customHeight="1" x14ac:dyDescent="0.2"/>
    <row r="44408" ht="12.75" hidden="1" customHeight="1" x14ac:dyDescent="0.2"/>
    <row r="44409" ht="12.75" hidden="1" customHeight="1" x14ac:dyDescent="0.2"/>
    <row r="44410" ht="12.75" hidden="1" customHeight="1" x14ac:dyDescent="0.2"/>
    <row r="44411" ht="12.75" hidden="1" customHeight="1" x14ac:dyDescent="0.2"/>
    <row r="44412" ht="12.75" hidden="1" customHeight="1" x14ac:dyDescent="0.2"/>
    <row r="44413" ht="12.75" hidden="1" customHeight="1" x14ac:dyDescent="0.2"/>
    <row r="44414" ht="12.75" hidden="1" customHeight="1" x14ac:dyDescent="0.2"/>
    <row r="44415" ht="12.75" hidden="1" customHeight="1" x14ac:dyDescent="0.2"/>
    <row r="44416" ht="12.75" hidden="1" customHeight="1" x14ac:dyDescent="0.2"/>
    <row r="44417" ht="12.75" hidden="1" customHeight="1" x14ac:dyDescent="0.2"/>
    <row r="44418" ht="12.75" hidden="1" customHeight="1" x14ac:dyDescent="0.2"/>
    <row r="44419" ht="12.75" hidden="1" customHeight="1" x14ac:dyDescent="0.2"/>
    <row r="44420" ht="12.75" hidden="1" customHeight="1" x14ac:dyDescent="0.2"/>
    <row r="44421" ht="12.75" hidden="1" customHeight="1" x14ac:dyDescent="0.2"/>
    <row r="44422" ht="12.75" hidden="1" customHeight="1" x14ac:dyDescent="0.2"/>
    <row r="44423" ht="12.75" hidden="1" customHeight="1" x14ac:dyDescent="0.2"/>
    <row r="44424" ht="12.75" hidden="1" customHeight="1" x14ac:dyDescent="0.2"/>
    <row r="44425" ht="12.75" hidden="1" customHeight="1" x14ac:dyDescent="0.2"/>
    <row r="44426" ht="12.75" hidden="1" customHeight="1" x14ac:dyDescent="0.2"/>
    <row r="44427" ht="12.75" hidden="1" customHeight="1" x14ac:dyDescent="0.2"/>
    <row r="44428" ht="12.75" hidden="1" customHeight="1" x14ac:dyDescent="0.2"/>
    <row r="44429" ht="12.75" hidden="1" customHeight="1" x14ac:dyDescent="0.2"/>
    <row r="44430" ht="12.75" hidden="1" customHeight="1" x14ac:dyDescent="0.2"/>
    <row r="44431" ht="12.75" hidden="1" customHeight="1" x14ac:dyDescent="0.2"/>
    <row r="44432" ht="12.75" hidden="1" customHeight="1" x14ac:dyDescent="0.2"/>
    <row r="44433" ht="12.75" hidden="1" customHeight="1" x14ac:dyDescent="0.2"/>
    <row r="44434" ht="12.75" hidden="1" customHeight="1" x14ac:dyDescent="0.2"/>
    <row r="44435" ht="12.75" hidden="1" customHeight="1" x14ac:dyDescent="0.2"/>
    <row r="44436" ht="12.75" hidden="1" customHeight="1" x14ac:dyDescent="0.2"/>
    <row r="44437" ht="12.75" hidden="1" customHeight="1" x14ac:dyDescent="0.2"/>
    <row r="44438" ht="12.75" hidden="1" customHeight="1" x14ac:dyDescent="0.2"/>
    <row r="44439" ht="12.75" hidden="1" customHeight="1" x14ac:dyDescent="0.2"/>
    <row r="44440" ht="12.75" hidden="1" customHeight="1" x14ac:dyDescent="0.2"/>
    <row r="44441" ht="12.75" hidden="1" customHeight="1" x14ac:dyDescent="0.2"/>
    <row r="44442" ht="12.75" hidden="1" customHeight="1" x14ac:dyDescent="0.2"/>
    <row r="44443" ht="12.75" hidden="1" customHeight="1" x14ac:dyDescent="0.2"/>
    <row r="44444" ht="12.75" hidden="1" customHeight="1" x14ac:dyDescent="0.2"/>
    <row r="44445" ht="12.75" hidden="1" customHeight="1" x14ac:dyDescent="0.2"/>
    <row r="44446" ht="12.75" hidden="1" customHeight="1" x14ac:dyDescent="0.2"/>
    <row r="44447" ht="12.75" hidden="1" customHeight="1" x14ac:dyDescent="0.2"/>
    <row r="44448" ht="12.75" hidden="1" customHeight="1" x14ac:dyDescent="0.2"/>
    <row r="44449" ht="12.75" hidden="1" customHeight="1" x14ac:dyDescent="0.2"/>
    <row r="44450" ht="12.75" hidden="1" customHeight="1" x14ac:dyDescent="0.2"/>
    <row r="44451" ht="12.75" hidden="1" customHeight="1" x14ac:dyDescent="0.2"/>
    <row r="44452" ht="12.75" hidden="1" customHeight="1" x14ac:dyDescent="0.2"/>
    <row r="44453" ht="12.75" hidden="1" customHeight="1" x14ac:dyDescent="0.2"/>
    <row r="44454" ht="12.75" hidden="1" customHeight="1" x14ac:dyDescent="0.2"/>
    <row r="44455" ht="12.75" hidden="1" customHeight="1" x14ac:dyDescent="0.2"/>
    <row r="44456" ht="12.75" hidden="1" customHeight="1" x14ac:dyDescent="0.2"/>
    <row r="44457" ht="12.75" hidden="1" customHeight="1" x14ac:dyDescent="0.2"/>
    <row r="44458" ht="12.75" hidden="1" customHeight="1" x14ac:dyDescent="0.2"/>
    <row r="44459" ht="12.75" hidden="1" customHeight="1" x14ac:dyDescent="0.2"/>
    <row r="44460" ht="12.75" hidden="1" customHeight="1" x14ac:dyDescent="0.2"/>
    <row r="44461" ht="12.75" hidden="1" customHeight="1" x14ac:dyDescent="0.2"/>
    <row r="44462" ht="12.75" hidden="1" customHeight="1" x14ac:dyDescent="0.2"/>
    <row r="44463" ht="12.75" hidden="1" customHeight="1" x14ac:dyDescent="0.2"/>
    <row r="44464" ht="12.75" hidden="1" customHeight="1" x14ac:dyDescent="0.2"/>
    <row r="44465" ht="12.75" hidden="1" customHeight="1" x14ac:dyDescent="0.2"/>
    <row r="44466" ht="12.75" hidden="1" customHeight="1" x14ac:dyDescent="0.2"/>
    <row r="44467" ht="12.75" hidden="1" customHeight="1" x14ac:dyDescent="0.2"/>
    <row r="44468" ht="12.75" hidden="1" customHeight="1" x14ac:dyDescent="0.2"/>
    <row r="44469" ht="12.75" hidden="1" customHeight="1" x14ac:dyDescent="0.2"/>
    <row r="44470" ht="12.75" hidden="1" customHeight="1" x14ac:dyDescent="0.2"/>
    <row r="44471" ht="12.75" hidden="1" customHeight="1" x14ac:dyDescent="0.2"/>
    <row r="44472" ht="12.75" hidden="1" customHeight="1" x14ac:dyDescent="0.2"/>
    <row r="44473" ht="12.75" hidden="1" customHeight="1" x14ac:dyDescent="0.2"/>
    <row r="44474" ht="12.75" hidden="1" customHeight="1" x14ac:dyDescent="0.2"/>
    <row r="44475" ht="12.75" hidden="1" customHeight="1" x14ac:dyDescent="0.2"/>
    <row r="44476" ht="12.75" hidden="1" customHeight="1" x14ac:dyDescent="0.2"/>
    <row r="44477" ht="12.75" hidden="1" customHeight="1" x14ac:dyDescent="0.2"/>
    <row r="44478" ht="12.75" hidden="1" customHeight="1" x14ac:dyDescent="0.2"/>
    <row r="44479" ht="12.75" hidden="1" customHeight="1" x14ac:dyDescent="0.2"/>
    <row r="44480" ht="12.75" hidden="1" customHeight="1" x14ac:dyDescent="0.2"/>
    <row r="44481" ht="12.75" hidden="1" customHeight="1" x14ac:dyDescent="0.2"/>
    <row r="44482" ht="12.75" hidden="1" customHeight="1" x14ac:dyDescent="0.2"/>
    <row r="44483" ht="12.75" hidden="1" customHeight="1" x14ac:dyDescent="0.2"/>
    <row r="44484" ht="12.75" hidden="1" customHeight="1" x14ac:dyDescent="0.2"/>
    <row r="44485" ht="12.75" hidden="1" customHeight="1" x14ac:dyDescent="0.2"/>
    <row r="44486" ht="12.75" hidden="1" customHeight="1" x14ac:dyDescent="0.2"/>
    <row r="44487" ht="12.75" hidden="1" customHeight="1" x14ac:dyDescent="0.2"/>
    <row r="44488" ht="12.75" hidden="1" customHeight="1" x14ac:dyDescent="0.2"/>
    <row r="44489" ht="12.75" hidden="1" customHeight="1" x14ac:dyDescent="0.2"/>
    <row r="44490" ht="12.75" hidden="1" customHeight="1" x14ac:dyDescent="0.2"/>
    <row r="44491" ht="12.75" hidden="1" customHeight="1" x14ac:dyDescent="0.2"/>
    <row r="44492" ht="12.75" hidden="1" customHeight="1" x14ac:dyDescent="0.2"/>
    <row r="44493" ht="12.75" hidden="1" customHeight="1" x14ac:dyDescent="0.2"/>
    <row r="44494" ht="12.75" hidden="1" customHeight="1" x14ac:dyDescent="0.2"/>
    <row r="44495" ht="12.75" hidden="1" customHeight="1" x14ac:dyDescent="0.2"/>
    <row r="44496" ht="12.75" hidden="1" customHeight="1" x14ac:dyDescent="0.2"/>
    <row r="44497" ht="12.75" hidden="1" customHeight="1" x14ac:dyDescent="0.2"/>
    <row r="44498" ht="12.75" hidden="1" customHeight="1" x14ac:dyDescent="0.2"/>
    <row r="44499" ht="12.75" hidden="1" customHeight="1" x14ac:dyDescent="0.2"/>
    <row r="44500" ht="12.75" hidden="1" customHeight="1" x14ac:dyDescent="0.2"/>
    <row r="44501" ht="12.75" hidden="1" customHeight="1" x14ac:dyDescent="0.2"/>
    <row r="44502" ht="12.75" hidden="1" customHeight="1" x14ac:dyDescent="0.2"/>
    <row r="44503" ht="12.75" hidden="1" customHeight="1" x14ac:dyDescent="0.2"/>
    <row r="44504" ht="12.75" hidden="1" customHeight="1" x14ac:dyDescent="0.2"/>
    <row r="44505" ht="12.75" hidden="1" customHeight="1" x14ac:dyDescent="0.2"/>
    <row r="44506" ht="12.75" hidden="1" customHeight="1" x14ac:dyDescent="0.2"/>
    <row r="44507" ht="12.75" hidden="1" customHeight="1" x14ac:dyDescent="0.2"/>
    <row r="44508" ht="12.75" hidden="1" customHeight="1" x14ac:dyDescent="0.2"/>
    <row r="44509" ht="12.75" hidden="1" customHeight="1" x14ac:dyDescent="0.2"/>
    <row r="44510" ht="12.75" hidden="1" customHeight="1" x14ac:dyDescent="0.2"/>
    <row r="44511" ht="12.75" hidden="1" customHeight="1" x14ac:dyDescent="0.2"/>
    <row r="44512" ht="12.75" hidden="1" customHeight="1" x14ac:dyDescent="0.2"/>
    <row r="44513" ht="12.75" hidden="1" customHeight="1" x14ac:dyDescent="0.2"/>
    <row r="44514" ht="12.75" hidden="1" customHeight="1" x14ac:dyDescent="0.2"/>
    <row r="44515" ht="12.75" hidden="1" customHeight="1" x14ac:dyDescent="0.2"/>
    <row r="44516" ht="12.75" hidden="1" customHeight="1" x14ac:dyDescent="0.2"/>
    <row r="44517" ht="12.75" hidden="1" customHeight="1" x14ac:dyDescent="0.2"/>
    <row r="44518" ht="12.75" hidden="1" customHeight="1" x14ac:dyDescent="0.2"/>
    <row r="44519" ht="12.75" hidden="1" customHeight="1" x14ac:dyDescent="0.2"/>
    <row r="44520" ht="12.75" hidden="1" customHeight="1" x14ac:dyDescent="0.2"/>
    <row r="44521" ht="12.75" hidden="1" customHeight="1" x14ac:dyDescent="0.2"/>
    <row r="44522" ht="12.75" hidden="1" customHeight="1" x14ac:dyDescent="0.2"/>
    <row r="44523" ht="12.75" hidden="1" customHeight="1" x14ac:dyDescent="0.2"/>
    <row r="44524" ht="12.75" hidden="1" customHeight="1" x14ac:dyDescent="0.2"/>
    <row r="44525" ht="12.75" hidden="1" customHeight="1" x14ac:dyDescent="0.2"/>
    <row r="44526" ht="12.75" hidden="1" customHeight="1" x14ac:dyDescent="0.2"/>
    <row r="44527" ht="12.75" hidden="1" customHeight="1" x14ac:dyDescent="0.2"/>
    <row r="44528" ht="12.75" hidden="1" customHeight="1" x14ac:dyDescent="0.2"/>
    <row r="44529" ht="12.75" hidden="1" customHeight="1" x14ac:dyDescent="0.2"/>
    <row r="44530" ht="12.75" hidden="1" customHeight="1" x14ac:dyDescent="0.2"/>
    <row r="44531" ht="12.75" hidden="1" customHeight="1" x14ac:dyDescent="0.2"/>
    <row r="44532" ht="12.75" hidden="1" customHeight="1" x14ac:dyDescent="0.2"/>
    <row r="44533" ht="12.75" hidden="1" customHeight="1" x14ac:dyDescent="0.2"/>
    <row r="44534" ht="12.75" hidden="1" customHeight="1" x14ac:dyDescent="0.2"/>
    <row r="44535" ht="12.75" hidden="1" customHeight="1" x14ac:dyDescent="0.2"/>
    <row r="44536" ht="12.75" hidden="1" customHeight="1" x14ac:dyDescent="0.2"/>
    <row r="44537" ht="12.75" hidden="1" customHeight="1" x14ac:dyDescent="0.2"/>
    <row r="44538" ht="12.75" hidden="1" customHeight="1" x14ac:dyDescent="0.2"/>
    <row r="44539" ht="12.75" hidden="1" customHeight="1" x14ac:dyDescent="0.2"/>
    <row r="44540" ht="12.75" hidden="1" customHeight="1" x14ac:dyDescent="0.2"/>
    <row r="44541" ht="12.75" hidden="1" customHeight="1" x14ac:dyDescent="0.2"/>
    <row r="44542" ht="12.75" hidden="1" customHeight="1" x14ac:dyDescent="0.2"/>
    <row r="44543" ht="12.75" hidden="1" customHeight="1" x14ac:dyDescent="0.2"/>
    <row r="44544" ht="12.75" hidden="1" customHeight="1" x14ac:dyDescent="0.2"/>
    <row r="44545" ht="12.75" hidden="1" customHeight="1" x14ac:dyDescent="0.2"/>
    <row r="44546" ht="12.75" hidden="1" customHeight="1" x14ac:dyDescent="0.2"/>
    <row r="44547" ht="12.75" hidden="1" customHeight="1" x14ac:dyDescent="0.2"/>
    <row r="44548" ht="12.75" hidden="1" customHeight="1" x14ac:dyDescent="0.2"/>
    <row r="44549" ht="12.75" hidden="1" customHeight="1" x14ac:dyDescent="0.2"/>
    <row r="44550" ht="12.75" hidden="1" customHeight="1" x14ac:dyDescent="0.2"/>
    <row r="44551" ht="12.75" hidden="1" customHeight="1" x14ac:dyDescent="0.2"/>
    <row r="44552" ht="12.75" hidden="1" customHeight="1" x14ac:dyDescent="0.2"/>
    <row r="44553" ht="12.75" hidden="1" customHeight="1" x14ac:dyDescent="0.2"/>
    <row r="44554" ht="12.75" hidden="1" customHeight="1" x14ac:dyDescent="0.2"/>
    <row r="44555" ht="12.75" hidden="1" customHeight="1" x14ac:dyDescent="0.2"/>
    <row r="44556" ht="12.75" hidden="1" customHeight="1" x14ac:dyDescent="0.2"/>
    <row r="44557" ht="12.75" hidden="1" customHeight="1" x14ac:dyDescent="0.2"/>
    <row r="44558" ht="12.75" hidden="1" customHeight="1" x14ac:dyDescent="0.2"/>
    <row r="44559" ht="12.75" hidden="1" customHeight="1" x14ac:dyDescent="0.2"/>
    <row r="44560" ht="12.75" hidden="1" customHeight="1" x14ac:dyDescent="0.2"/>
    <row r="44561" ht="12.75" hidden="1" customHeight="1" x14ac:dyDescent="0.2"/>
    <row r="44562" ht="12.75" hidden="1" customHeight="1" x14ac:dyDescent="0.2"/>
    <row r="44563" ht="12.75" hidden="1" customHeight="1" x14ac:dyDescent="0.2"/>
    <row r="44564" ht="12.75" hidden="1" customHeight="1" x14ac:dyDescent="0.2"/>
    <row r="44565" ht="12.75" hidden="1" customHeight="1" x14ac:dyDescent="0.2"/>
    <row r="44566" ht="12.75" hidden="1" customHeight="1" x14ac:dyDescent="0.2"/>
    <row r="44567" ht="12.75" hidden="1" customHeight="1" x14ac:dyDescent="0.2"/>
    <row r="44568" ht="12.75" hidden="1" customHeight="1" x14ac:dyDescent="0.2"/>
    <row r="44569" ht="12.75" hidden="1" customHeight="1" x14ac:dyDescent="0.2"/>
    <row r="44570" ht="12.75" hidden="1" customHeight="1" x14ac:dyDescent="0.2"/>
    <row r="44571" ht="12.75" hidden="1" customHeight="1" x14ac:dyDescent="0.2"/>
    <row r="44572" ht="12.75" hidden="1" customHeight="1" x14ac:dyDescent="0.2"/>
    <row r="44573" ht="12.75" hidden="1" customHeight="1" x14ac:dyDescent="0.2"/>
    <row r="44574" ht="12.75" hidden="1" customHeight="1" x14ac:dyDescent="0.2"/>
    <row r="44575" ht="12.75" hidden="1" customHeight="1" x14ac:dyDescent="0.2"/>
    <row r="44576" ht="12.75" hidden="1" customHeight="1" x14ac:dyDescent="0.2"/>
    <row r="44577" ht="12.75" hidden="1" customHeight="1" x14ac:dyDescent="0.2"/>
    <row r="44578" ht="12.75" hidden="1" customHeight="1" x14ac:dyDescent="0.2"/>
    <row r="44579" ht="12.75" hidden="1" customHeight="1" x14ac:dyDescent="0.2"/>
    <row r="44580" ht="12.75" hidden="1" customHeight="1" x14ac:dyDescent="0.2"/>
    <row r="44581" ht="12.75" hidden="1" customHeight="1" x14ac:dyDescent="0.2"/>
    <row r="44582" ht="12.75" hidden="1" customHeight="1" x14ac:dyDescent="0.2"/>
    <row r="44583" ht="12.75" hidden="1" customHeight="1" x14ac:dyDescent="0.2"/>
    <row r="44584" ht="12.75" hidden="1" customHeight="1" x14ac:dyDescent="0.2"/>
    <row r="44585" ht="12.75" hidden="1" customHeight="1" x14ac:dyDescent="0.2"/>
    <row r="44586" ht="12.75" hidden="1" customHeight="1" x14ac:dyDescent="0.2"/>
    <row r="44587" ht="12.75" hidden="1" customHeight="1" x14ac:dyDescent="0.2"/>
    <row r="44588" ht="12.75" hidden="1" customHeight="1" x14ac:dyDescent="0.2"/>
    <row r="44589" ht="12.75" hidden="1" customHeight="1" x14ac:dyDescent="0.2"/>
    <row r="44590" ht="12.75" hidden="1" customHeight="1" x14ac:dyDescent="0.2"/>
    <row r="44591" ht="12.75" hidden="1" customHeight="1" x14ac:dyDescent="0.2"/>
    <row r="44592" ht="12.75" hidden="1" customHeight="1" x14ac:dyDescent="0.2"/>
    <row r="44593" ht="12.75" hidden="1" customHeight="1" x14ac:dyDescent="0.2"/>
    <row r="44594" ht="12.75" hidden="1" customHeight="1" x14ac:dyDescent="0.2"/>
    <row r="44595" ht="12.75" hidden="1" customHeight="1" x14ac:dyDescent="0.2"/>
    <row r="44596" ht="12.75" hidden="1" customHeight="1" x14ac:dyDescent="0.2"/>
    <row r="44597" ht="12.75" hidden="1" customHeight="1" x14ac:dyDescent="0.2"/>
    <row r="44598" ht="12.75" hidden="1" customHeight="1" x14ac:dyDescent="0.2"/>
    <row r="44599" ht="12.75" hidden="1" customHeight="1" x14ac:dyDescent="0.2"/>
    <row r="44600" ht="12.75" hidden="1" customHeight="1" x14ac:dyDescent="0.2"/>
    <row r="44601" ht="12.75" hidden="1" customHeight="1" x14ac:dyDescent="0.2"/>
    <row r="44602" ht="12.75" hidden="1" customHeight="1" x14ac:dyDescent="0.2"/>
    <row r="44603" ht="12.75" hidden="1" customHeight="1" x14ac:dyDescent="0.2"/>
    <row r="44604" ht="12.75" hidden="1" customHeight="1" x14ac:dyDescent="0.2"/>
    <row r="44605" ht="12.75" hidden="1" customHeight="1" x14ac:dyDescent="0.2"/>
    <row r="44606" ht="12.75" hidden="1" customHeight="1" x14ac:dyDescent="0.2"/>
    <row r="44607" ht="12.75" hidden="1" customHeight="1" x14ac:dyDescent="0.2"/>
    <row r="44608" ht="12.75" hidden="1" customHeight="1" x14ac:dyDescent="0.2"/>
    <row r="44609" ht="12.75" hidden="1" customHeight="1" x14ac:dyDescent="0.2"/>
    <row r="44610" ht="12.75" hidden="1" customHeight="1" x14ac:dyDescent="0.2"/>
    <row r="44611" ht="12.75" hidden="1" customHeight="1" x14ac:dyDescent="0.2"/>
    <row r="44612" ht="12.75" hidden="1" customHeight="1" x14ac:dyDescent="0.2"/>
    <row r="44613" ht="12.75" hidden="1" customHeight="1" x14ac:dyDescent="0.2"/>
    <row r="44614" ht="12.75" hidden="1" customHeight="1" x14ac:dyDescent="0.2"/>
    <row r="44615" ht="12.75" hidden="1" customHeight="1" x14ac:dyDescent="0.2"/>
    <row r="44616" ht="12.75" hidden="1" customHeight="1" x14ac:dyDescent="0.2"/>
    <row r="44617" ht="12.75" hidden="1" customHeight="1" x14ac:dyDescent="0.2"/>
    <row r="44618" ht="12.75" hidden="1" customHeight="1" x14ac:dyDescent="0.2"/>
    <row r="44619" ht="12.75" hidden="1" customHeight="1" x14ac:dyDescent="0.2"/>
    <row r="44620" ht="12.75" hidden="1" customHeight="1" x14ac:dyDescent="0.2"/>
    <row r="44621" ht="12.75" hidden="1" customHeight="1" x14ac:dyDescent="0.2"/>
    <row r="44622" ht="12.75" hidden="1" customHeight="1" x14ac:dyDescent="0.2"/>
    <row r="44623" ht="12.75" hidden="1" customHeight="1" x14ac:dyDescent="0.2"/>
    <row r="44624" ht="12.75" hidden="1" customHeight="1" x14ac:dyDescent="0.2"/>
    <row r="44625" ht="12.75" hidden="1" customHeight="1" x14ac:dyDescent="0.2"/>
    <row r="44626" ht="12.75" hidden="1" customHeight="1" x14ac:dyDescent="0.2"/>
    <row r="44627" ht="12.75" hidden="1" customHeight="1" x14ac:dyDescent="0.2"/>
    <row r="44628" ht="12.75" hidden="1" customHeight="1" x14ac:dyDescent="0.2"/>
    <row r="44629" ht="12.75" hidden="1" customHeight="1" x14ac:dyDescent="0.2"/>
    <row r="44630" ht="12.75" hidden="1" customHeight="1" x14ac:dyDescent="0.2"/>
    <row r="44631" ht="12.75" hidden="1" customHeight="1" x14ac:dyDescent="0.2"/>
    <row r="44632" ht="12.75" hidden="1" customHeight="1" x14ac:dyDescent="0.2"/>
    <row r="44633" ht="12.75" hidden="1" customHeight="1" x14ac:dyDescent="0.2"/>
    <row r="44634" ht="12.75" hidden="1" customHeight="1" x14ac:dyDescent="0.2"/>
    <row r="44635" ht="12.75" hidden="1" customHeight="1" x14ac:dyDescent="0.2"/>
    <row r="44636" ht="12.75" hidden="1" customHeight="1" x14ac:dyDescent="0.2"/>
    <row r="44637" ht="12.75" hidden="1" customHeight="1" x14ac:dyDescent="0.2"/>
    <row r="44638" ht="12.75" hidden="1" customHeight="1" x14ac:dyDescent="0.2"/>
    <row r="44639" ht="12.75" hidden="1" customHeight="1" x14ac:dyDescent="0.2"/>
    <row r="44640" ht="12.75" hidden="1" customHeight="1" x14ac:dyDescent="0.2"/>
    <row r="44641" ht="12.75" hidden="1" customHeight="1" x14ac:dyDescent="0.2"/>
    <row r="44642" ht="12.75" hidden="1" customHeight="1" x14ac:dyDescent="0.2"/>
    <row r="44643" ht="12.75" hidden="1" customHeight="1" x14ac:dyDescent="0.2"/>
    <row r="44644" ht="12.75" hidden="1" customHeight="1" x14ac:dyDescent="0.2"/>
    <row r="44645" ht="12.75" hidden="1" customHeight="1" x14ac:dyDescent="0.2"/>
    <row r="44646" ht="12.75" hidden="1" customHeight="1" x14ac:dyDescent="0.2"/>
    <row r="44647" ht="12.75" hidden="1" customHeight="1" x14ac:dyDescent="0.2"/>
    <row r="44648" ht="12.75" hidden="1" customHeight="1" x14ac:dyDescent="0.2"/>
    <row r="44649" ht="12.75" hidden="1" customHeight="1" x14ac:dyDescent="0.2"/>
    <row r="44650" ht="12.75" hidden="1" customHeight="1" x14ac:dyDescent="0.2"/>
    <row r="44651" ht="12.75" hidden="1" customHeight="1" x14ac:dyDescent="0.2"/>
    <row r="44652" ht="12.75" hidden="1" customHeight="1" x14ac:dyDescent="0.2"/>
    <row r="44653" ht="12.75" hidden="1" customHeight="1" x14ac:dyDescent="0.2"/>
    <row r="44654" ht="12.75" hidden="1" customHeight="1" x14ac:dyDescent="0.2"/>
    <row r="44655" ht="12.75" hidden="1" customHeight="1" x14ac:dyDescent="0.2"/>
    <row r="44656" ht="12.75" hidden="1" customHeight="1" x14ac:dyDescent="0.2"/>
    <row r="44657" ht="12.75" hidden="1" customHeight="1" x14ac:dyDescent="0.2"/>
    <row r="44658" ht="12.75" hidden="1" customHeight="1" x14ac:dyDescent="0.2"/>
    <row r="44659" ht="12.75" hidden="1" customHeight="1" x14ac:dyDescent="0.2"/>
    <row r="44660" ht="12.75" hidden="1" customHeight="1" x14ac:dyDescent="0.2"/>
    <row r="44661" ht="12.75" hidden="1" customHeight="1" x14ac:dyDescent="0.2"/>
    <row r="44662" ht="12.75" hidden="1" customHeight="1" x14ac:dyDescent="0.2"/>
    <row r="44663" ht="12.75" hidden="1" customHeight="1" x14ac:dyDescent="0.2"/>
    <row r="44664" ht="12.75" hidden="1" customHeight="1" x14ac:dyDescent="0.2"/>
    <row r="44665" ht="12.75" hidden="1" customHeight="1" x14ac:dyDescent="0.2"/>
    <row r="44666" ht="12.75" hidden="1" customHeight="1" x14ac:dyDescent="0.2"/>
    <row r="44667" ht="12.75" hidden="1" customHeight="1" x14ac:dyDescent="0.2"/>
    <row r="44668" ht="12.75" hidden="1" customHeight="1" x14ac:dyDescent="0.2"/>
    <row r="44669" ht="12.75" hidden="1" customHeight="1" x14ac:dyDescent="0.2"/>
    <row r="44670" ht="12.75" hidden="1" customHeight="1" x14ac:dyDescent="0.2"/>
    <row r="44671" ht="12.75" hidden="1" customHeight="1" x14ac:dyDescent="0.2"/>
    <row r="44672" ht="12.75" hidden="1" customHeight="1" x14ac:dyDescent="0.2"/>
    <row r="44673" ht="12.75" hidden="1" customHeight="1" x14ac:dyDescent="0.2"/>
    <row r="44674" ht="12.75" hidden="1" customHeight="1" x14ac:dyDescent="0.2"/>
    <row r="44675" ht="12.75" hidden="1" customHeight="1" x14ac:dyDescent="0.2"/>
    <row r="44676" ht="12.75" hidden="1" customHeight="1" x14ac:dyDescent="0.2"/>
    <row r="44677" ht="12.75" hidden="1" customHeight="1" x14ac:dyDescent="0.2"/>
    <row r="44678" ht="12.75" hidden="1" customHeight="1" x14ac:dyDescent="0.2"/>
    <row r="44679" ht="12.75" hidden="1" customHeight="1" x14ac:dyDescent="0.2"/>
    <row r="44680" ht="12.75" hidden="1" customHeight="1" x14ac:dyDescent="0.2"/>
    <row r="44681" ht="12.75" hidden="1" customHeight="1" x14ac:dyDescent="0.2"/>
    <row r="44682" ht="12.75" hidden="1" customHeight="1" x14ac:dyDescent="0.2"/>
    <row r="44683" ht="12.75" hidden="1" customHeight="1" x14ac:dyDescent="0.2"/>
    <row r="44684" ht="12.75" hidden="1" customHeight="1" x14ac:dyDescent="0.2"/>
    <row r="44685" ht="12.75" hidden="1" customHeight="1" x14ac:dyDescent="0.2"/>
    <row r="44686" ht="12.75" hidden="1" customHeight="1" x14ac:dyDescent="0.2"/>
    <row r="44687" ht="12.75" hidden="1" customHeight="1" x14ac:dyDescent="0.2"/>
    <row r="44688" ht="12.75" hidden="1" customHeight="1" x14ac:dyDescent="0.2"/>
    <row r="44689" ht="12.75" hidden="1" customHeight="1" x14ac:dyDescent="0.2"/>
    <row r="44690" ht="12.75" hidden="1" customHeight="1" x14ac:dyDescent="0.2"/>
    <row r="44691" ht="12.75" hidden="1" customHeight="1" x14ac:dyDescent="0.2"/>
    <row r="44692" ht="12.75" hidden="1" customHeight="1" x14ac:dyDescent="0.2"/>
    <row r="44693" ht="12.75" hidden="1" customHeight="1" x14ac:dyDescent="0.2"/>
    <row r="44694" ht="12.75" hidden="1" customHeight="1" x14ac:dyDescent="0.2"/>
    <row r="44695" ht="12.75" hidden="1" customHeight="1" x14ac:dyDescent="0.2"/>
    <row r="44696" ht="12.75" hidden="1" customHeight="1" x14ac:dyDescent="0.2"/>
    <row r="44697" ht="12.75" hidden="1" customHeight="1" x14ac:dyDescent="0.2"/>
    <row r="44698" ht="12.75" hidden="1" customHeight="1" x14ac:dyDescent="0.2"/>
    <row r="44699" ht="12.75" hidden="1" customHeight="1" x14ac:dyDescent="0.2"/>
    <row r="44700" ht="12.75" hidden="1" customHeight="1" x14ac:dyDescent="0.2"/>
    <row r="44701" ht="12.75" hidden="1" customHeight="1" x14ac:dyDescent="0.2"/>
    <row r="44702" ht="12.75" hidden="1" customHeight="1" x14ac:dyDescent="0.2"/>
    <row r="44703" ht="12.75" hidden="1" customHeight="1" x14ac:dyDescent="0.2"/>
    <row r="44704" ht="12.75" hidden="1" customHeight="1" x14ac:dyDescent="0.2"/>
    <row r="44705" ht="12.75" hidden="1" customHeight="1" x14ac:dyDescent="0.2"/>
    <row r="44706" ht="12.75" hidden="1" customHeight="1" x14ac:dyDescent="0.2"/>
    <row r="44707" ht="12.75" hidden="1" customHeight="1" x14ac:dyDescent="0.2"/>
    <row r="44708" ht="12.75" hidden="1" customHeight="1" x14ac:dyDescent="0.2"/>
    <row r="44709" ht="12.75" hidden="1" customHeight="1" x14ac:dyDescent="0.2"/>
    <row r="44710" ht="12.75" hidden="1" customHeight="1" x14ac:dyDescent="0.2"/>
    <row r="44711" ht="12.75" hidden="1" customHeight="1" x14ac:dyDescent="0.2"/>
    <row r="44712" ht="12.75" hidden="1" customHeight="1" x14ac:dyDescent="0.2"/>
    <row r="44713" ht="12.75" hidden="1" customHeight="1" x14ac:dyDescent="0.2"/>
    <row r="44714" ht="12.75" hidden="1" customHeight="1" x14ac:dyDescent="0.2"/>
    <row r="44715" ht="12.75" hidden="1" customHeight="1" x14ac:dyDescent="0.2"/>
    <row r="44716" ht="12.75" hidden="1" customHeight="1" x14ac:dyDescent="0.2"/>
    <row r="44717" ht="12.75" hidden="1" customHeight="1" x14ac:dyDescent="0.2"/>
    <row r="44718" ht="12.75" hidden="1" customHeight="1" x14ac:dyDescent="0.2"/>
    <row r="44719" ht="12.75" hidden="1" customHeight="1" x14ac:dyDescent="0.2"/>
    <row r="44720" ht="12.75" hidden="1" customHeight="1" x14ac:dyDescent="0.2"/>
    <row r="44721" ht="12.75" hidden="1" customHeight="1" x14ac:dyDescent="0.2"/>
    <row r="44722" ht="12.75" hidden="1" customHeight="1" x14ac:dyDescent="0.2"/>
    <row r="44723" ht="12.75" hidden="1" customHeight="1" x14ac:dyDescent="0.2"/>
    <row r="44724" ht="12.75" hidden="1" customHeight="1" x14ac:dyDescent="0.2"/>
    <row r="44725" ht="12.75" hidden="1" customHeight="1" x14ac:dyDescent="0.2"/>
    <row r="44726" ht="12.75" hidden="1" customHeight="1" x14ac:dyDescent="0.2"/>
    <row r="44727" ht="12.75" hidden="1" customHeight="1" x14ac:dyDescent="0.2"/>
    <row r="44728" ht="12.75" hidden="1" customHeight="1" x14ac:dyDescent="0.2"/>
    <row r="44729" ht="12.75" hidden="1" customHeight="1" x14ac:dyDescent="0.2"/>
    <row r="44730" ht="12.75" hidden="1" customHeight="1" x14ac:dyDescent="0.2"/>
    <row r="44731" ht="12.75" hidden="1" customHeight="1" x14ac:dyDescent="0.2"/>
    <row r="44732" ht="12.75" hidden="1" customHeight="1" x14ac:dyDescent="0.2"/>
    <row r="44733" ht="12.75" hidden="1" customHeight="1" x14ac:dyDescent="0.2"/>
    <row r="44734" ht="12.75" hidden="1" customHeight="1" x14ac:dyDescent="0.2"/>
    <row r="44735" ht="12.75" hidden="1" customHeight="1" x14ac:dyDescent="0.2"/>
    <row r="44736" ht="12.75" hidden="1" customHeight="1" x14ac:dyDescent="0.2"/>
    <row r="44737" ht="12.75" hidden="1" customHeight="1" x14ac:dyDescent="0.2"/>
    <row r="44738" ht="12.75" hidden="1" customHeight="1" x14ac:dyDescent="0.2"/>
    <row r="44739" ht="12.75" hidden="1" customHeight="1" x14ac:dyDescent="0.2"/>
    <row r="44740" ht="12.75" hidden="1" customHeight="1" x14ac:dyDescent="0.2"/>
    <row r="44741" ht="12.75" hidden="1" customHeight="1" x14ac:dyDescent="0.2"/>
    <row r="44742" ht="12.75" hidden="1" customHeight="1" x14ac:dyDescent="0.2"/>
    <row r="44743" ht="12.75" hidden="1" customHeight="1" x14ac:dyDescent="0.2"/>
    <row r="44744" ht="12.75" hidden="1" customHeight="1" x14ac:dyDescent="0.2"/>
    <row r="44745" ht="12.75" hidden="1" customHeight="1" x14ac:dyDescent="0.2"/>
    <row r="44746" ht="12.75" hidden="1" customHeight="1" x14ac:dyDescent="0.2"/>
    <row r="44747" ht="12.75" hidden="1" customHeight="1" x14ac:dyDescent="0.2"/>
    <row r="44748" ht="12.75" hidden="1" customHeight="1" x14ac:dyDescent="0.2"/>
    <row r="44749" ht="12.75" hidden="1" customHeight="1" x14ac:dyDescent="0.2"/>
    <row r="44750" ht="12.75" hidden="1" customHeight="1" x14ac:dyDescent="0.2"/>
    <row r="44751" ht="12.75" hidden="1" customHeight="1" x14ac:dyDescent="0.2"/>
    <row r="44752" ht="12.75" hidden="1" customHeight="1" x14ac:dyDescent="0.2"/>
    <row r="44753" ht="12.75" hidden="1" customHeight="1" x14ac:dyDescent="0.2"/>
    <row r="44754" ht="12.75" hidden="1" customHeight="1" x14ac:dyDescent="0.2"/>
    <row r="44755" ht="12.75" hidden="1" customHeight="1" x14ac:dyDescent="0.2"/>
    <row r="44756" ht="12.75" hidden="1" customHeight="1" x14ac:dyDescent="0.2"/>
    <row r="44757" ht="12.75" hidden="1" customHeight="1" x14ac:dyDescent="0.2"/>
    <row r="44758" ht="12.75" hidden="1" customHeight="1" x14ac:dyDescent="0.2"/>
    <row r="44759" ht="12.75" hidden="1" customHeight="1" x14ac:dyDescent="0.2"/>
    <row r="44760" ht="12.75" hidden="1" customHeight="1" x14ac:dyDescent="0.2"/>
    <row r="44761" ht="12.75" hidden="1" customHeight="1" x14ac:dyDescent="0.2"/>
    <row r="44762" ht="12.75" hidden="1" customHeight="1" x14ac:dyDescent="0.2"/>
    <row r="44763" ht="12.75" hidden="1" customHeight="1" x14ac:dyDescent="0.2"/>
    <row r="44764" ht="12.75" hidden="1" customHeight="1" x14ac:dyDescent="0.2"/>
    <row r="44765" ht="12.75" hidden="1" customHeight="1" x14ac:dyDescent="0.2"/>
    <row r="44766" ht="12.75" hidden="1" customHeight="1" x14ac:dyDescent="0.2"/>
    <row r="44767" ht="12.75" hidden="1" customHeight="1" x14ac:dyDescent="0.2"/>
    <row r="44768" ht="12.75" hidden="1" customHeight="1" x14ac:dyDescent="0.2"/>
    <row r="44769" ht="12.75" hidden="1" customHeight="1" x14ac:dyDescent="0.2"/>
    <row r="44770" ht="12.75" hidden="1" customHeight="1" x14ac:dyDescent="0.2"/>
    <row r="44771" ht="12.75" hidden="1" customHeight="1" x14ac:dyDescent="0.2"/>
    <row r="44772" ht="12.75" hidden="1" customHeight="1" x14ac:dyDescent="0.2"/>
    <row r="44773" ht="12.75" hidden="1" customHeight="1" x14ac:dyDescent="0.2"/>
    <row r="44774" ht="12.75" hidden="1" customHeight="1" x14ac:dyDescent="0.2"/>
    <row r="44775" ht="12.75" hidden="1" customHeight="1" x14ac:dyDescent="0.2"/>
    <row r="44776" ht="12.75" hidden="1" customHeight="1" x14ac:dyDescent="0.2"/>
    <row r="44777" ht="12.75" hidden="1" customHeight="1" x14ac:dyDescent="0.2"/>
    <row r="44778" ht="12.75" hidden="1" customHeight="1" x14ac:dyDescent="0.2"/>
    <row r="44779" ht="12.75" hidden="1" customHeight="1" x14ac:dyDescent="0.2"/>
    <row r="44780" ht="12.75" hidden="1" customHeight="1" x14ac:dyDescent="0.2"/>
    <row r="44781" ht="12.75" hidden="1" customHeight="1" x14ac:dyDescent="0.2"/>
    <row r="44782" ht="12.75" hidden="1" customHeight="1" x14ac:dyDescent="0.2"/>
    <row r="44783" ht="12.75" hidden="1" customHeight="1" x14ac:dyDescent="0.2"/>
    <row r="44784" ht="12.75" hidden="1" customHeight="1" x14ac:dyDescent="0.2"/>
    <row r="44785" ht="12.75" hidden="1" customHeight="1" x14ac:dyDescent="0.2"/>
    <row r="44786" ht="12.75" hidden="1" customHeight="1" x14ac:dyDescent="0.2"/>
    <row r="44787" ht="12.75" hidden="1" customHeight="1" x14ac:dyDescent="0.2"/>
    <row r="44788" ht="12.75" hidden="1" customHeight="1" x14ac:dyDescent="0.2"/>
    <row r="44789" ht="12.75" hidden="1" customHeight="1" x14ac:dyDescent="0.2"/>
    <row r="44790" ht="12.75" hidden="1" customHeight="1" x14ac:dyDescent="0.2"/>
    <row r="44791" ht="12.75" hidden="1" customHeight="1" x14ac:dyDescent="0.2"/>
    <row r="44792" ht="12.75" hidden="1" customHeight="1" x14ac:dyDescent="0.2"/>
    <row r="44793" ht="12.75" hidden="1" customHeight="1" x14ac:dyDescent="0.2"/>
    <row r="44794" ht="12.75" hidden="1" customHeight="1" x14ac:dyDescent="0.2"/>
    <row r="44795" ht="12.75" hidden="1" customHeight="1" x14ac:dyDescent="0.2"/>
    <row r="44796" ht="12.75" hidden="1" customHeight="1" x14ac:dyDescent="0.2"/>
    <row r="44797" ht="12.75" hidden="1" customHeight="1" x14ac:dyDescent="0.2"/>
    <row r="44798" ht="12.75" hidden="1" customHeight="1" x14ac:dyDescent="0.2"/>
    <row r="44799" ht="12.75" hidden="1" customHeight="1" x14ac:dyDescent="0.2"/>
    <row r="44800" ht="12.75" hidden="1" customHeight="1" x14ac:dyDescent="0.2"/>
    <row r="44801" ht="12.75" hidden="1" customHeight="1" x14ac:dyDescent="0.2"/>
    <row r="44802" ht="12.75" hidden="1" customHeight="1" x14ac:dyDescent="0.2"/>
    <row r="44803" ht="12.75" hidden="1" customHeight="1" x14ac:dyDescent="0.2"/>
    <row r="44804" ht="12.75" hidden="1" customHeight="1" x14ac:dyDescent="0.2"/>
    <row r="44805" ht="12.75" hidden="1" customHeight="1" x14ac:dyDescent="0.2"/>
    <row r="44806" ht="12.75" hidden="1" customHeight="1" x14ac:dyDescent="0.2"/>
    <row r="44807" ht="12.75" hidden="1" customHeight="1" x14ac:dyDescent="0.2"/>
    <row r="44808" ht="12.75" hidden="1" customHeight="1" x14ac:dyDescent="0.2"/>
    <row r="44809" ht="12.75" hidden="1" customHeight="1" x14ac:dyDescent="0.2"/>
    <row r="44810" ht="12.75" hidden="1" customHeight="1" x14ac:dyDescent="0.2"/>
    <row r="44811" ht="12.75" hidden="1" customHeight="1" x14ac:dyDescent="0.2"/>
    <row r="44812" ht="12.75" hidden="1" customHeight="1" x14ac:dyDescent="0.2"/>
    <row r="44813" ht="12.75" hidden="1" customHeight="1" x14ac:dyDescent="0.2"/>
    <row r="44814" ht="12.75" hidden="1" customHeight="1" x14ac:dyDescent="0.2"/>
    <row r="44815" ht="12.75" hidden="1" customHeight="1" x14ac:dyDescent="0.2"/>
    <row r="44816" ht="12.75" hidden="1" customHeight="1" x14ac:dyDescent="0.2"/>
    <row r="44817" ht="12.75" hidden="1" customHeight="1" x14ac:dyDescent="0.2"/>
    <row r="44818" ht="12.75" hidden="1" customHeight="1" x14ac:dyDescent="0.2"/>
    <row r="44819" ht="12.75" hidden="1" customHeight="1" x14ac:dyDescent="0.2"/>
    <row r="44820" ht="12.75" hidden="1" customHeight="1" x14ac:dyDescent="0.2"/>
    <row r="44821" ht="12.75" hidden="1" customHeight="1" x14ac:dyDescent="0.2"/>
    <row r="44822" ht="12.75" hidden="1" customHeight="1" x14ac:dyDescent="0.2"/>
    <row r="44823" ht="12.75" hidden="1" customHeight="1" x14ac:dyDescent="0.2"/>
    <row r="44824" ht="12.75" hidden="1" customHeight="1" x14ac:dyDescent="0.2"/>
    <row r="44825" ht="12.75" hidden="1" customHeight="1" x14ac:dyDescent="0.2"/>
    <row r="44826" ht="12.75" hidden="1" customHeight="1" x14ac:dyDescent="0.2"/>
    <row r="44827" ht="12.75" hidden="1" customHeight="1" x14ac:dyDescent="0.2"/>
    <row r="44828" ht="12.75" hidden="1" customHeight="1" x14ac:dyDescent="0.2"/>
    <row r="44829" ht="12.75" hidden="1" customHeight="1" x14ac:dyDescent="0.2"/>
    <row r="44830" ht="12.75" hidden="1" customHeight="1" x14ac:dyDescent="0.2"/>
    <row r="44831" ht="12.75" hidden="1" customHeight="1" x14ac:dyDescent="0.2"/>
    <row r="44832" ht="12.75" hidden="1" customHeight="1" x14ac:dyDescent="0.2"/>
    <row r="44833" ht="12.75" hidden="1" customHeight="1" x14ac:dyDescent="0.2"/>
    <row r="44834" ht="12.75" hidden="1" customHeight="1" x14ac:dyDescent="0.2"/>
    <row r="44835" ht="12.75" hidden="1" customHeight="1" x14ac:dyDescent="0.2"/>
    <row r="44836" ht="12.75" hidden="1" customHeight="1" x14ac:dyDescent="0.2"/>
    <row r="44837" ht="12.75" hidden="1" customHeight="1" x14ac:dyDescent="0.2"/>
    <row r="44838" ht="12.75" hidden="1" customHeight="1" x14ac:dyDescent="0.2"/>
    <row r="44839" ht="12.75" hidden="1" customHeight="1" x14ac:dyDescent="0.2"/>
    <row r="44840" ht="12.75" hidden="1" customHeight="1" x14ac:dyDescent="0.2"/>
    <row r="44841" ht="12.75" hidden="1" customHeight="1" x14ac:dyDescent="0.2"/>
    <row r="44842" ht="12.75" hidden="1" customHeight="1" x14ac:dyDescent="0.2"/>
    <row r="44843" ht="12.75" hidden="1" customHeight="1" x14ac:dyDescent="0.2"/>
    <row r="44844" ht="12.75" hidden="1" customHeight="1" x14ac:dyDescent="0.2"/>
    <row r="44845" ht="12.75" hidden="1" customHeight="1" x14ac:dyDescent="0.2"/>
    <row r="44846" ht="12.75" hidden="1" customHeight="1" x14ac:dyDescent="0.2"/>
    <row r="44847" ht="12.75" hidden="1" customHeight="1" x14ac:dyDescent="0.2"/>
    <row r="44848" ht="12.75" hidden="1" customHeight="1" x14ac:dyDescent="0.2"/>
    <row r="44849" ht="12.75" hidden="1" customHeight="1" x14ac:dyDescent="0.2"/>
    <row r="44850" ht="12.75" hidden="1" customHeight="1" x14ac:dyDescent="0.2"/>
    <row r="44851" ht="12.75" hidden="1" customHeight="1" x14ac:dyDescent="0.2"/>
    <row r="44852" ht="12.75" hidden="1" customHeight="1" x14ac:dyDescent="0.2"/>
    <row r="44853" ht="12.75" hidden="1" customHeight="1" x14ac:dyDescent="0.2"/>
    <row r="44854" ht="12.75" hidden="1" customHeight="1" x14ac:dyDescent="0.2"/>
    <row r="44855" ht="12.75" hidden="1" customHeight="1" x14ac:dyDescent="0.2"/>
    <row r="44856" ht="12.75" hidden="1" customHeight="1" x14ac:dyDescent="0.2"/>
    <row r="44857" ht="12.75" hidden="1" customHeight="1" x14ac:dyDescent="0.2"/>
    <row r="44858" ht="12.75" hidden="1" customHeight="1" x14ac:dyDescent="0.2"/>
    <row r="44859" ht="12.75" hidden="1" customHeight="1" x14ac:dyDescent="0.2"/>
    <row r="44860" ht="12.75" hidden="1" customHeight="1" x14ac:dyDescent="0.2"/>
    <row r="44861" ht="12.75" hidden="1" customHeight="1" x14ac:dyDescent="0.2"/>
    <row r="44862" ht="12.75" hidden="1" customHeight="1" x14ac:dyDescent="0.2"/>
    <row r="44863" ht="12.75" hidden="1" customHeight="1" x14ac:dyDescent="0.2"/>
    <row r="44864" ht="12.75" hidden="1" customHeight="1" x14ac:dyDescent="0.2"/>
    <row r="44865" ht="12.75" hidden="1" customHeight="1" x14ac:dyDescent="0.2"/>
    <row r="44866" ht="12.75" hidden="1" customHeight="1" x14ac:dyDescent="0.2"/>
    <row r="44867" ht="12.75" hidden="1" customHeight="1" x14ac:dyDescent="0.2"/>
    <row r="44868" ht="12.75" hidden="1" customHeight="1" x14ac:dyDescent="0.2"/>
    <row r="44869" ht="12.75" hidden="1" customHeight="1" x14ac:dyDescent="0.2"/>
    <row r="44870" ht="12.75" hidden="1" customHeight="1" x14ac:dyDescent="0.2"/>
    <row r="44871" ht="12.75" hidden="1" customHeight="1" x14ac:dyDescent="0.2"/>
    <row r="44872" ht="12.75" hidden="1" customHeight="1" x14ac:dyDescent="0.2"/>
    <row r="44873" ht="12.75" hidden="1" customHeight="1" x14ac:dyDescent="0.2"/>
    <row r="44874" ht="12.75" hidden="1" customHeight="1" x14ac:dyDescent="0.2"/>
    <row r="44875" ht="12.75" hidden="1" customHeight="1" x14ac:dyDescent="0.2"/>
    <row r="44876" ht="12.75" hidden="1" customHeight="1" x14ac:dyDescent="0.2"/>
    <row r="44877" ht="12.75" hidden="1" customHeight="1" x14ac:dyDescent="0.2"/>
    <row r="44878" ht="12.75" hidden="1" customHeight="1" x14ac:dyDescent="0.2"/>
    <row r="44879" ht="12.75" hidden="1" customHeight="1" x14ac:dyDescent="0.2"/>
    <row r="44880" ht="12.75" hidden="1" customHeight="1" x14ac:dyDescent="0.2"/>
    <row r="44881" ht="12.75" hidden="1" customHeight="1" x14ac:dyDescent="0.2"/>
    <row r="44882" ht="12.75" hidden="1" customHeight="1" x14ac:dyDescent="0.2"/>
    <row r="44883" ht="12.75" hidden="1" customHeight="1" x14ac:dyDescent="0.2"/>
    <row r="44884" ht="12.75" hidden="1" customHeight="1" x14ac:dyDescent="0.2"/>
    <row r="44885" ht="12.75" hidden="1" customHeight="1" x14ac:dyDescent="0.2"/>
    <row r="44886" ht="12.75" hidden="1" customHeight="1" x14ac:dyDescent="0.2"/>
    <row r="44887" ht="12.75" hidden="1" customHeight="1" x14ac:dyDescent="0.2"/>
    <row r="44888" ht="12.75" hidden="1" customHeight="1" x14ac:dyDescent="0.2"/>
    <row r="44889" ht="12.75" hidden="1" customHeight="1" x14ac:dyDescent="0.2"/>
    <row r="44890" ht="12.75" hidden="1" customHeight="1" x14ac:dyDescent="0.2"/>
    <row r="44891" ht="12.75" hidden="1" customHeight="1" x14ac:dyDescent="0.2"/>
    <row r="44892" ht="12.75" hidden="1" customHeight="1" x14ac:dyDescent="0.2"/>
    <row r="44893" ht="12.75" hidden="1" customHeight="1" x14ac:dyDescent="0.2"/>
    <row r="44894" ht="12.75" hidden="1" customHeight="1" x14ac:dyDescent="0.2"/>
    <row r="44895" ht="12.75" hidden="1" customHeight="1" x14ac:dyDescent="0.2"/>
    <row r="44896" ht="12.75" hidden="1" customHeight="1" x14ac:dyDescent="0.2"/>
    <row r="44897" ht="12.75" hidden="1" customHeight="1" x14ac:dyDescent="0.2"/>
    <row r="44898" ht="12.75" hidden="1" customHeight="1" x14ac:dyDescent="0.2"/>
    <row r="44899" ht="12.75" hidden="1" customHeight="1" x14ac:dyDescent="0.2"/>
    <row r="44900" ht="12.75" hidden="1" customHeight="1" x14ac:dyDescent="0.2"/>
    <row r="44901" ht="12.75" hidden="1" customHeight="1" x14ac:dyDescent="0.2"/>
    <row r="44902" ht="12.75" hidden="1" customHeight="1" x14ac:dyDescent="0.2"/>
    <row r="44903" ht="12.75" hidden="1" customHeight="1" x14ac:dyDescent="0.2"/>
    <row r="44904" ht="12.75" hidden="1" customHeight="1" x14ac:dyDescent="0.2"/>
    <row r="44905" ht="12.75" hidden="1" customHeight="1" x14ac:dyDescent="0.2"/>
    <row r="44906" ht="12.75" hidden="1" customHeight="1" x14ac:dyDescent="0.2"/>
    <row r="44907" ht="12.75" hidden="1" customHeight="1" x14ac:dyDescent="0.2"/>
    <row r="44908" ht="12.75" hidden="1" customHeight="1" x14ac:dyDescent="0.2"/>
    <row r="44909" ht="12.75" hidden="1" customHeight="1" x14ac:dyDescent="0.2"/>
    <row r="44910" ht="12.75" hidden="1" customHeight="1" x14ac:dyDescent="0.2"/>
    <row r="44911" ht="12.75" hidden="1" customHeight="1" x14ac:dyDescent="0.2"/>
    <row r="44912" ht="12.75" hidden="1" customHeight="1" x14ac:dyDescent="0.2"/>
    <row r="44913" ht="12.75" hidden="1" customHeight="1" x14ac:dyDescent="0.2"/>
    <row r="44914" ht="12.75" hidden="1" customHeight="1" x14ac:dyDescent="0.2"/>
    <row r="44915" ht="12.75" hidden="1" customHeight="1" x14ac:dyDescent="0.2"/>
    <row r="44916" ht="12.75" hidden="1" customHeight="1" x14ac:dyDescent="0.2"/>
    <row r="44917" ht="12.75" hidden="1" customHeight="1" x14ac:dyDescent="0.2"/>
    <row r="44918" ht="12.75" hidden="1" customHeight="1" x14ac:dyDescent="0.2"/>
    <row r="44919" ht="12.75" hidden="1" customHeight="1" x14ac:dyDescent="0.2"/>
    <row r="44920" ht="12.75" hidden="1" customHeight="1" x14ac:dyDescent="0.2"/>
    <row r="44921" ht="12.75" hidden="1" customHeight="1" x14ac:dyDescent="0.2"/>
    <row r="44922" ht="12.75" hidden="1" customHeight="1" x14ac:dyDescent="0.2"/>
    <row r="44923" ht="12.75" hidden="1" customHeight="1" x14ac:dyDescent="0.2"/>
    <row r="44924" ht="12.75" hidden="1" customHeight="1" x14ac:dyDescent="0.2"/>
    <row r="44925" ht="12.75" hidden="1" customHeight="1" x14ac:dyDescent="0.2"/>
    <row r="44926" ht="12.75" hidden="1" customHeight="1" x14ac:dyDescent="0.2"/>
    <row r="44927" ht="12.75" hidden="1" customHeight="1" x14ac:dyDescent="0.2"/>
    <row r="44928" ht="12.75" hidden="1" customHeight="1" x14ac:dyDescent="0.2"/>
    <row r="44929" ht="12.75" hidden="1" customHeight="1" x14ac:dyDescent="0.2"/>
    <row r="44930" ht="12.75" hidden="1" customHeight="1" x14ac:dyDescent="0.2"/>
    <row r="44931" ht="12.75" hidden="1" customHeight="1" x14ac:dyDescent="0.2"/>
    <row r="44932" ht="12.75" hidden="1" customHeight="1" x14ac:dyDescent="0.2"/>
    <row r="44933" ht="12.75" hidden="1" customHeight="1" x14ac:dyDescent="0.2"/>
    <row r="44934" ht="12.75" hidden="1" customHeight="1" x14ac:dyDescent="0.2"/>
    <row r="44935" ht="12.75" hidden="1" customHeight="1" x14ac:dyDescent="0.2"/>
    <row r="44936" ht="12.75" hidden="1" customHeight="1" x14ac:dyDescent="0.2"/>
    <row r="44937" ht="12.75" hidden="1" customHeight="1" x14ac:dyDescent="0.2"/>
    <row r="44938" ht="12.75" hidden="1" customHeight="1" x14ac:dyDescent="0.2"/>
    <row r="44939" ht="12.75" hidden="1" customHeight="1" x14ac:dyDescent="0.2"/>
    <row r="44940" ht="12.75" hidden="1" customHeight="1" x14ac:dyDescent="0.2"/>
    <row r="44941" ht="12.75" hidden="1" customHeight="1" x14ac:dyDescent="0.2"/>
    <row r="44942" ht="12.75" hidden="1" customHeight="1" x14ac:dyDescent="0.2"/>
    <row r="44943" ht="12.75" hidden="1" customHeight="1" x14ac:dyDescent="0.2"/>
    <row r="44944" ht="12.75" hidden="1" customHeight="1" x14ac:dyDescent="0.2"/>
    <row r="44945" ht="12.75" hidden="1" customHeight="1" x14ac:dyDescent="0.2"/>
    <row r="44946" ht="12.75" hidden="1" customHeight="1" x14ac:dyDescent="0.2"/>
    <row r="44947" ht="12.75" hidden="1" customHeight="1" x14ac:dyDescent="0.2"/>
    <row r="44948" ht="12.75" hidden="1" customHeight="1" x14ac:dyDescent="0.2"/>
    <row r="44949" ht="12.75" hidden="1" customHeight="1" x14ac:dyDescent="0.2"/>
    <row r="44950" ht="12.75" hidden="1" customHeight="1" x14ac:dyDescent="0.2"/>
    <row r="44951" ht="12.75" hidden="1" customHeight="1" x14ac:dyDescent="0.2"/>
    <row r="44952" ht="12.75" hidden="1" customHeight="1" x14ac:dyDescent="0.2"/>
    <row r="44953" ht="12.75" hidden="1" customHeight="1" x14ac:dyDescent="0.2"/>
    <row r="44954" ht="12.75" hidden="1" customHeight="1" x14ac:dyDescent="0.2"/>
    <row r="44955" ht="12.75" hidden="1" customHeight="1" x14ac:dyDescent="0.2"/>
    <row r="44956" ht="12.75" hidden="1" customHeight="1" x14ac:dyDescent="0.2"/>
    <row r="44957" ht="12.75" hidden="1" customHeight="1" x14ac:dyDescent="0.2"/>
    <row r="44958" ht="12.75" hidden="1" customHeight="1" x14ac:dyDescent="0.2"/>
    <row r="44959" ht="12.75" hidden="1" customHeight="1" x14ac:dyDescent="0.2"/>
    <row r="44960" ht="12.75" hidden="1" customHeight="1" x14ac:dyDescent="0.2"/>
    <row r="44961" ht="12.75" hidden="1" customHeight="1" x14ac:dyDescent="0.2"/>
    <row r="44962" ht="12.75" hidden="1" customHeight="1" x14ac:dyDescent="0.2"/>
    <row r="44963" ht="12.75" hidden="1" customHeight="1" x14ac:dyDescent="0.2"/>
    <row r="44964" ht="12.75" hidden="1" customHeight="1" x14ac:dyDescent="0.2"/>
    <row r="44965" ht="12.75" hidden="1" customHeight="1" x14ac:dyDescent="0.2"/>
    <row r="44966" ht="12.75" hidden="1" customHeight="1" x14ac:dyDescent="0.2"/>
    <row r="44967" ht="12.75" hidden="1" customHeight="1" x14ac:dyDescent="0.2"/>
    <row r="44968" ht="12.75" hidden="1" customHeight="1" x14ac:dyDescent="0.2"/>
    <row r="44969" ht="12.75" hidden="1" customHeight="1" x14ac:dyDescent="0.2"/>
    <row r="44970" ht="12.75" hidden="1" customHeight="1" x14ac:dyDescent="0.2"/>
    <row r="44971" ht="12.75" hidden="1" customHeight="1" x14ac:dyDescent="0.2"/>
    <row r="44972" ht="12.75" hidden="1" customHeight="1" x14ac:dyDescent="0.2"/>
    <row r="44973" ht="12.75" hidden="1" customHeight="1" x14ac:dyDescent="0.2"/>
    <row r="44974" ht="12.75" hidden="1" customHeight="1" x14ac:dyDescent="0.2"/>
    <row r="44975" ht="12.75" hidden="1" customHeight="1" x14ac:dyDescent="0.2"/>
    <row r="44976" ht="12.75" hidden="1" customHeight="1" x14ac:dyDescent="0.2"/>
    <row r="44977" ht="12.75" hidden="1" customHeight="1" x14ac:dyDescent="0.2"/>
    <row r="44978" ht="12.75" hidden="1" customHeight="1" x14ac:dyDescent="0.2"/>
    <row r="44979" ht="12.75" hidden="1" customHeight="1" x14ac:dyDescent="0.2"/>
    <row r="44980" ht="12.75" hidden="1" customHeight="1" x14ac:dyDescent="0.2"/>
    <row r="44981" ht="12.75" hidden="1" customHeight="1" x14ac:dyDescent="0.2"/>
    <row r="44982" ht="12.75" hidden="1" customHeight="1" x14ac:dyDescent="0.2"/>
    <row r="44983" ht="12.75" hidden="1" customHeight="1" x14ac:dyDescent="0.2"/>
    <row r="44984" ht="12.75" hidden="1" customHeight="1" x14ac:dyDescent="0.2"/>
    <row r="44985" ht="12.75" hidden="1" customHeight="1" x14ac:dyDescent="0.2"/>
    <row r="44986" ht="12.75" hidden="1" customHeight="1" x14ac:dyDescent="0.2"/>
    <row r="44987" ht="12.75" hidden="1" customHeight="1" x14ac:dyDescent="0.2"/>
    <row r="44988" ht="12.75" hidden="1" customHeight="1" x14ac:dyDescent="0.2"/>
    <row r="44989" ht="12.75" hidden="1" customHeight="1" x14ac:dyDescent="0.2"/>
    <row r="44990" ht="12.75" hidden="1" customHeight="1" x14ac:dyDescent="0.2"/>
    <row r="44991" ht="12.75" hidden="1" customHeight="1" x14ac:dyDescent="0.2"/>
    <row r="44992" ht="12.75" hidden="1" customHeight="1" x14ac:dyDescent="0.2"/>
    <row r="44993" ht="12.75" hidden="1" customHeight="1" x14ac:dyDescent="0.2"/>
    <row r="44994" ht="12.75" hidden="1" customHeight="1" x14ac:dyDescent="0.2"/>
    <row r="44995" ht="12.75" hidden="1" customHeight="1" x14ac:dyDescent="0.2"/>
    <row r="44996" ht="12.75" hidden="1" customHeight="1" x14ac:dyDescent="0.2"/>
    <row r="44997" ht="12.75" hidden="1" customHeight="1" x14ac:dyDescent="0.2"/>
    <row r="44998" ht="12.75" hidden="1" customHeight="1" x14ac:dyDescent="0.2"/>
    <row r="44999" ht="12.75" hidden="1" customHeight="1" x14ac:dyDescent="0.2"/>
    <row r="45000" ht="12.75" hidden="1" customHeight="1" x14ac:dyDescent="0.2"/>
    <row r="45001" ht="12.75" hidden="1" customHeight="1" x14ac:dyDescent="0.2"/>
    <row r="45002" ht="12.75" hidden="1" customHeight="1" x14ac:dyDescent="0.2"/>
    <row r="45003" ht="12.75" hidden="1" customHeight="1" x14ac:dyDescent="0.2"/>
    <row r="45004" ht="12.75" hidden="1" customHeight="1" x14ac:dyDescent="0.2"/>
    <row r="45005" ht="12.75" hidden="1" customHeight="1" x14ac:dyDescent="0.2"/>
    <row r="45006" ht="12.75" hidden="1" customHeight="1" x14ac:dyDescent="0.2"/>
    <row r="45007" ht="12.75" hidden="1" customHeight="1" x14ac:dyDescent="0.2"/>
    <row r="45008" ht="12.75" hidden="1" customHeight="1" x14ac:dyDescent="0.2"/>
    <row r="45009" ht="12.75" hidden="1" customHeight="1" x14ac:dyDescent="0.2"/>
    <row r="45010" ht="12.75" hidden="1" customHeight="1" x14ac:dyDescent="0.2"/>
    <row r="45011" ht="12.75" hidden="1" customHeight="1" x14ac:dyDescent="0.2"/>
    <row r="45012" ht="12.75" hidden="1" customHeight="1" x14ac:dyDescent="0.2"/>
    <row r="45013" ht="12.75" hidden="1" customHeight="1" x14ac:dyDescent="0.2"/>
    <row r="45014" ht="12.75" hidden="1" customHeight="1" x14ac:dyDescent="0.2"/>
    <row r="45015" ht="12.75" hidden="1" customHeight="1" x14ac:dyDescent="0.2"/>
    <row r="45016" ht="12.75" hidden="1" customHeight="1" x14ac:dyDescent="0.2"/>
    <row r="45017" ht="12.75" hidden="1" customHeight="1" x14ac:dyDescent="0.2"/>
    <row r="45018" ht="12.75" hidden="1" customHeight="1" x14ac:dyDescent="0.2"/>
    <row r="45019" ht="12.75" hidden="1" customHeight="1" x14ac:dyDescent="0.2"/>
    <row r="45020" ht="12.75" hidden="1" customHeight="1" x14ac:dyDescent="0.2"/>
    <row r="45021" ht="12.75" hidden="1" customHeight="1" x14ac:dyDescent="0.2"/>
    <row r="45022" ht="12.75" hidden="1" customHeight="1" x14ac:dyDescent="0.2"/>
    <row r="45023" ht="12.75" hidden="1" customHeight="1" x14ac:dyDescent="0.2"/>
    <row r="45024" ht="12.75" hidden="1" customHeight="1" x14ac:dyDescent="0.2"/>
    <row r="45025" ht="12.75" hidden="1" customHeight="1" x14ac:dyDescent="0.2"/>
    <row r="45026" ht="12.75" hidden="1" customHeight="1" x14ac:dyDescent="0.2"/>
    <row r="45027" ht="12.75" hidden="1" customHeight="1" x14ac:dyDescent="0.2"/>
    <row r="45028" ht="12.75" hidden="1" customHeight="1" x14ac:dyDescent="0.2"/>
    <row r="45029" ht="12.75" hidden="1" customHeight="1" x14ac:dyDescent="0.2"/>
    <row r="45030" ht="12.75" hidden="1" customHeight="1" x14ac:dyDescent="0.2"/>
    <row r="45031" ht="12.75" hidden="1" customHeight="1" x14ac:dyDescent="0.2"/>
    <row r="45032" ht="12.75" hidden="1" customHeight="1" x14ac:dyDescent="0.2"/>
    <row r="45033" ht="12.75" hidden="1" customHeight="1" x14ac:dyDescent="0.2"/>
    <row r="45034" ht="12.75" hidden="1" customHeight="1" x14ac:dyDescent="0.2"/>
    <row r="45035" ht="12.75" hidden="1" customHeight="1" x14ac:dyDescent="0.2"/>
    <row r="45036" ht="12.75" hidden="1" customHeight="1" x14ac:dyDescent="0.2"/>
    <row r="45037" ht="12.75" hidden="1" customHeight="1" x14ac:dyDescent="0.2"/>
    <row r="45038" ht="12.75" hidden="1" customHeight="1" x14ac:dyDescent="0.2"/>
    <row r="45039" ht="12.75" hidden="1" customHeight="1" x14ac:dyDescent="0.2"/>
    <row r="45040" ht="12.75" hidden="1" customHeight="1" x14ac:dyDescent="0.2"/>
    <row r="45041" ht="12.75" hidden="1" customHeight="1" x14ac:dyDescent="0.2"/>
    <row r="45042" ht="12.75" hidden="1" customHeight="1" x14ac:dyDescent="0.2"/>
    <row r="45043" ht="12.75" hidden="1" customHeight="1" x14ac:dyDescent="0.2"/>
    <row r="45044" ht="12.75" hidden="1" customHeight="1" x14ac:dyDescent="0.2"/>
    <row r="45045" ht="12.75" hidden="1" customHeight="1" x14ac:dyDescent="0.2"/>
    <row r="45046" ht="12.75" hidden="1" customHeight="1" x14ac:dyDescent="0.2"/>
    <row r="45047" ht="12.75" hidden="1" customHeight="1" x14ac:dyDescent="0.2"/>
    <row r="45048" ht="12.75" hidden="1" customHeight="1" x14ac:dyDescent="0.2"/>
    <row r="45049" ht="12.75" hidden="1" customHeight="1" x14ac:dyDescent="0.2"/>
    <row r="45050" ht="12.75" hidden="1" customHeight="1" x14ac:dyDescent="0.2"/>
    <row r="45051" ht="12.75" hidden="1" customHeight="1" x14ac:dyDescent="0.2"/>
    <row r="45052" ht="12.75" hidden="1" customHeight="1" x14ac:dyDescent="0.2"/>
    <row r="45053" ht="12.75" hidden="1" customHeight="1" x14ac:dyDescent="0.2"/>
    <row r="45054" ht="12.75" hidden="1" customHeight="1" x14ac:dyDescent="0.2"/>
    <row r="45055" ht="12.75" hidden="1" customHeight="1" x14ac:dyDescent="0.2"/>
    <row r="45056" ht="12.75" hidden="1" customHeight="1" x14ac:dyDescent="0.2"/>
    <row r="45057" ht="12.75" hidden="1" customHeight="1" x14ac:dyDescent="0.2"/>
    <row r="45058" ht="12.75" hidden="1" customHeight="1" x14ac:dyDescent="0.2"/>
    <row r="45059" ht="12.75" hidden="1" customHeight="1" x14ac:dyDescent="0.2"/>
    <row r="45060" ht="12.75" hidden="1" customHeight="1" x14ac:dyDescent="0.2"/>
    <row r="45061" ht="12.75" hidden="1" customHeight="1" x14ac:dyDescent="0.2"/>
    <row r="45062" ht="12.75" hidden="1" customHeight="1" x14ac:dyDescent="0.2"/>
    <row r="45063" ht="12.75" hidden="1" customHeight="1" x14ac:dyDescent="0.2"/>
    <row r="45064" ht="12.75" hidden="1" customHeight="1" x14ac:dyDescent="0.2"/>
    <row r="45065" ht="12.75" hidden="1" customHeight="1" x14ac:dyDescent="0.2"/>
    <row r="45066" ht="12.75" hidden="1" customHeight="1" x14ac:dyDescent="0.2"/>
    <row r="45067" ht="12.75" hidden="1" customHeight="1" x14ac:dyDescent="0.2"/>
    <row r="45068" ht="12.75" hidden="1" customHeight="1" x14ac:dyDescent="0.2"/>
    <row r="45069" ht="12.75" hidden="1" customHeight="1" x14ac:dyDescent="0.2"/>
    <row r="45070" ht="12.75" hidden="1" customHeight="1" x14ac:dyDescent="0.2"/>
    <row r="45071" ht="12.75" hidden="1" customHeight="1" x14ac:dyDescent="0.2"/>
    <row r="45072" ht="12.75" hidden="1" customHeight="1" x14ac:dyDescent="0.2"/>
    <row r="45073" ht="12.75" hidden="1" customHeight="1" x14ac:dyDescent="0.2"/>
    <row r="45074" ht="12.75" hidden="1" customHeight="1" x14ac:dyDescent="0.2"/>
    <row r="45075" ht="12.75" hidden="1" customHeight="1" x14ac:dyDescent="0.2"/>
    <row r="45076" ht="12.75" hidden="1" customHeight="1" x14ac:dyDescent="0.2"/>
    <row r="45077" ht="12.75" hidden="1" customHeight="1" x14ac:dyDescent="0.2"/>
    <row r="45078" ht="12.75" hidden="1" customHeight="1" x14ac:dyDescent="0.2"/>
    <row r="45079" ht="12.75" hidden="1" customHeight="1" x14ac:dyDescent="0.2"/>
    <row r="45080" ht="12.75" hidden="1" customHeight="1" x14ac:dyDescent="0.2"/>
    <row r="45081" ht="12.75" hidden="1" customHeight="1" x14ac:dyDescent="0.2"/>
    <row r="45082" ht="12.75" hidden="1" customHeight="1" x14ac:dyDescent="0.2"/>
    <row r="45083" ht="12.75" hidden="1" customHeight="1" x14ac:dyDescent="0.2"/>
    <row r="45084" ht="12.75" hidden="1" customHeight="1" x14ac:dyDescent="0.2"/>
    <row r="45085" ht="12.75" hidden="1" customHeight="1" x14ac:dyDescent="0.2"/>
    <row r="45086" ht="12.75" hidden="1" customHeight="1" x14ac:dyDescent="0.2"/>
    <row r="45087" ht="12.75" hidden="1" customHeight="1" x14ac:dyDescent="0.2"/>
    <row r="45088" ht="12.75" hidden="1" customHeight="1" x14ac:dyDescent="0.2"/>
    <row r="45089" ht="12.75" hidden="1" customHeight="1" x14ac:dyDescent="0.2"/>
    <row r="45090" ht="12.75" hidden="1" customHeight="1" x14ac:dyDescent="0.2"/>
    <row r="45091" ht="12.75" hidden="1" customHeight="1" x14ac:dyDescent="0.2"/>
    <row r="45092" ht="12.75" hidden="1" customHeight="1" x14ac:dyDescent="0.2"/>
    <row r="45093" ht="12.75" hidden="1" customHeight="1" x14ac:dyDescent="0.2"/>
    <row r="45094" ht="12.75" hidden="1" customHeight="1" x14ac:dyDescent="0.2"/>
    <row r="45095" ht="12.75" hidden="1" customHeight="1" x14ac:dyDescent="0.2"/>
    <row r="45096" ht="12.75" hidden="1" customHeight="1" x14ac:dyDescent="0.2"/>
    <row r="45097" ht="12.75" hidden="1" customHeight="1" x14ac:dyDescent="0.2"/>
    <row r="45098" ht="12.75" hidden="1" customHeight="1" x14ac:dyDescent="0.2"/>
    <row r="45099" ht="12.75" hidden="1" customHeight="1" x14ac:dyDescent="0.2"/>
    <row r="45100" ht="12.75" hidden="1" customHeight="1" x14ac:dyDescent="0.2"/>
    <row r="45101" ht="12.75" hidden="1" customHeight="1" x14ac:dyDescent="0.2"/>
    <row r="45102" ht="12.75" hidden="1" customHeight="1" x14ac:dyDescent="0.2"/>
    <row r="45103" ht="12.75" hidden="1" customHeight="1" x14ac:dyDescent="0.2"/>
    <row r="45104" ht="12.75" hidden="1" customHeight="1" x14ac:dyDescent="0.2"/>
    <row r="45105" ht="12.75" hidden="1" customHeight="1" x14ac:dyDescent="0.2"/>
    <row r="45106" ht="12.75" hidden="1" customHeight="1" x14ac:dyDescent="0.2"/>
    <row r="45107" ht="12.75" hidden="1" customHeight="1" x14ac:dyDescent="0.2"/>
    <row r="45108" ht="12.75" hidden="1" customHeight="1" x14ac:dyDescent="0.2"/>
    <row r="45109" ht="12.75" hidden="1" customHeight="1" x14ac:dyDescent="0.2"/>
    <row r="45110" ht="12.75" hidden="1" customHeight="1" x14ac:dyDescent="0.2"/>
    <row r="45111" ht="12.75" hidden="1" customHeight="1" x14ac:dyDescent="0.2"/>
    <row r="45112" ht="12.75" hidden="1" customHeight="1" x14ac:dyDescent="0.2"/>
    <row r="45113" ht="12.75" hidden="1" customHeight="1" x14ac:dyDescent="0.2"/>
    <row r="45114" ht="12.75" hidden="1" customHeight="1" x14ac:dyDescent="0.2"/>
    <row r="45115" ht="12.75" hidden="1" customHeight="1" x14ac:dyDescent="0.2"/>
    <row r="45116" ht="12.75" hidden="1" customHeight="1" x14ac:dyDescent="0.2"/>
    <row r="45117" ht="12.75" hidden="1" customHeight="1" x14ac:dyDescent="0.2"/>
    <row r="45118" ht="12.75" hidden="1" customHeight="1" x14ac:dyDescent="0.2"/>
    <row r="45119" ht="12.75" hidden="1" customHeight="1" x14ac:dyDescent="0.2"/>
    <row r="45120" ht="12.75" hidden="1" customHeight="1" x14ac:dyDescent="0.2"/>
    <row r="45121" ht="12.75" hidden="1" customHeight="1" x14ac:dyDescent="0.2"/>
    <row r="45122" ht="12.75" hidden="1" customHeight="1" x14ac:dyDescent="0.2"/>
    <row r="45123" ht="12.75" hidden="1" customHeight="1" x14ac:dyDescent="0.2"/>
    <row r="45124" ht="12.75" hidden="1" customHeight="1" x14ac:dyDescent="0.2"/>
    <row r="45125" ht="12.75" hidden="1" customHeight="1" x14ac:dyDescent="0.2"/>
    <row r="45126" ht="12.75" hidden="1" customHeight="1" x14ac:dyDescent="0.2"/>
    <row r="45127" ht="12.75" hidden="1" customHeight="1" x14ac:dyDescent="0.2"/>
    <row r="45128" ht="12.75" hidden="1" customHeight="1" x14ac:dyDescent="0.2"/>
    <row r="45129" ht="12.75" hidden="1" customHeight="1" x14ac:dyDescent="0.2"/>
    <row r="45130" ht="12.75" hidden="1" customHeight="1" x14ac:dyDescent="0.2"/>
    <row r="45131" ht="12.75" hidden="1" customHeight="1" x14ac:dyDescent="0.2"/>
    <row r="45132" ht="12.75" hidden="1" customHeight="1" x14ac:dyDescent="0.2"/>
    <row r="45133" ht="12.75" hidden="1" customHeight="1" x14ac:dyDescent="0.2"/>
    <row r="45134" ht="12.75" hidden="1" customHeight="1" x14ac:dyDescent="0.2"/>
    <row r="45135" ht="12.75" hidden="1" customHeight="1" x14ac:dyDescent="0.2"/>
    <row r="45136" ht="12.75" hidden="1" customHeight="1" x14ac:dyDescent="0.2"/>
    <row r="45137" ht="12.75" hidden="1" customHeight="1" x14ac:dyDescent="0.2"/>
    <row r="45138" ht="12.75" hidden="1" customHeight="1" x14ac:dyDescent="0.2"/>
    <row r="45139" ht="12.75" hidden="1" customHeight="1" x14ac:dyDescent="0.2"/>
    <row r="45140" ht="12.75" hidden="1" customHeight="1" x14ac:dyDescent="0.2"/>
    <row r="45141" ht="12.75" hidden="1" customHeight="1" x14ac:dyDescent="0.2"/>
    <row r="45142" ht="12.75" hidden="1" customHeight="1" x14ac:dyDescent="0.2"/>
    <row r="45143" ht="12.75" hidden="1" customHeight="1" x14ac:dyDescent="0.2"/>
    <row r="45144" ht="12.75" hidden="1" customHeight="1" x14ac:dyDescent="0.2"/>
    <row r="45145" ht="12.75" hidden="1" customHeight="1" x14ac:dyDescent="0.2"/>
    <row r="45146" ht="12.75" hidden="1" customHeight="1" x14ac:dyDescent="0.2"/>
    <row r="45147" ht="12.75" hidden="1" customHeight="1" x14ac:dyDescent="0.2"/>
    <row r="45148" ht="12.75" hidden="1" customHeight="1" x14ac:dyDescent="0.2"/>
    <row r="45149" ht="12.75" hidden="1" customHeight="1" x14ac:dyDescent="0.2"/>
    <row r="45150" ht="12.75" hidden="1" customHeight="1" x14ac:dyDescent="0.2"/>
    <row r="45151" ht="12.75" hidden="1" customHeight="1" x14ac:dyDescent="0.2"/>
    <row r="45152" ht="12.75" hidden="1" customHeight="1" x14ac:dyDescent="0.2"/>
    <row r="45153" ht="12.75" hidden="1" customHeight="1" x14ac:dyDescent="0.2"/>
    <row r="45154" ht="12.75" hidden="1" customHeight="1" x14ac:dyDescent="0.2"/>
    <row r="45155" ht="12.75" hidden="1" customHeight="1" x14ac:dyDescent="0.2"/>
    <row r="45156" ht="12.75" hidden="1" customHeight="1" x14ac:dyDescent="0.2"/>
    <row r="45157" ht="12.75" hidden="1" customHeight="1" x14ac:dyDescent="0.2"/>
    <row r="45158" ht="12.75" hidden="1" customHeight="1" x14ac:dyDescent="0.2"/>
    <row r="45159" ht="12.75" hidden="1" customHeight="1" x14ac:dyDescent="0.2"/>
    <row r="45160" ht="12.75" hidden="1" customHeight="1" x14ac:dyDescent="0.2"/>
    <row r="45161" ht="12.75" hidden="1" customHeight="1" x14ac:dyDescent="0.2"/>
    <row r="45162" ht="12.75" hidden="1" customHeight="1" x14ac:dyDescent="0.2"/>
    <row r="45163" ht="12.75" hidden="1" customHeight="1" x14ac:dyDescent="0.2"/>
    <row r="45164" ht="12.75" hidden="1" customHeight="1" x14ac:dyDescent="0.2"/>
    <row r="45165" ht="12.75" hidden="1" customHeight="1" x14ac:dyDescent="0.2"/>
    <row r="45166" ht="12.75" hidden="1" customHeight="1" x14ac:dyDescent="0.2"/>
    <row r="45167" ht="12.75" hidden="1" customHeight="1" x14ac:dyDescent="0.2"/>
    <row r="45168" ht="12.75" hidden="1" customHeight="1" x14ac:dyDescent="0.2"/>
    <row r="45169" ht="12.75" hidden="1" customHeight="1" x14ac:dyDescent="0.2"/>
    <row r="45170" ht="12.75" hidden="1" customHeight="1" x14ac:dyDescent="0.2"/>
    <row r="45171" ht="12.75" hidden="1" customHeight="1" x14ac:dyDescent="0.2"/>
    <row r="45172" ht="12.75" hidden="1" customHeight="1" x14ac:dyDescent="0.2"/>
    <row r="45173" ht="12.75" hidden="1" customHeight="1" x14ac:dyDescent="0.2"/>
    <row r="45174" ht="12.75" hidden="1" customHeight="1" x14ac:dyDescent="0.2"/>
    <row r="45175" ht="12.75" hidden="1" customHeight="1" x14ac:dyDescent="0.2"/>
    <row r="45176" ht="12.75" hidden="1" customHeight="1" x14ac:dyDescent="0.2"/>
    <row r="45177" ht="12.75" hidden="1" customHeight="1" x14ac:dyDescent="0.2"/>
    <row r="45178" ht="12.75" hidden="1" customHeight="1" x14ac:dyDescent="0.2"/>
    <row r="45179" ht="12.75" hidden="1" customHeight="1" x14ac:dyDescent="0.2"/>
    <row r="45180" ht="12.75" hidden="1" customHeight="1" x14ac:dyDescent="0.2"/>
    <row r="45181" ht="12.75" hidden="1" customHeight="1" x14ac:dyDescent="0.2"/>
    <row r="45182" ht="12.75" hidden="1" customHeight="1" x14ac:dyDescent="0.2"/>
    <row r="45183" ht="12.75" hidden="1" customHeight="1" x14ac:dyDescent="0.2"/>
    <row r="45184" ht="12.75" hidden="1" customHeight="1" x14ac:dyDescent="0.2"/>
    <row r="45185" ht="12.75" hidden="1" customHeight="1" x14ac:dyDescent="0.2"/>
    <row r="45186" ht="12.75" hidden="1" customHeight="1" x14ac:dyDescent="0.2"/>
    <row r="45187" ht="12.75" hidden="1" customHeight="1" x14ac:dyDescent="0.2"/>
    <row r="45188" ht="12.75" hidden="1" customHeight="1" x14ac:dyDescent="0.2"/>
    <row r="45189" ht="12.75" hidden="1" customHeight="1" x14ac:dyDescent="0.2"/>
    <row r="45190" ht="12.75" hidden="1" customHeight="1" x14ac:dyDescent="0.2"/>
    <row r="45191" ht="12.75" hidden="1" customHeight="1" x14ac:dyDescent="0.2"/>
    <row r="45192" ht="12.75" hidden="1" customHeight="1" x14ac:dyDescent="0.2"/>
    <row r="45193" ht="12.75" hidden="1" customHeight="1" x14ac:dyDescent="0.2"/>
    <row r="45194" ht="12.75" hidden="1" customHeight="1" x14ac:dyDescent="0.2"/>
    <row r="45195" ht="12.75" hidden="1" customHeight="1" x14ac:dyDescent="0.2"/>
    <row r="45196" ht="12.75" hidden="1" customHeight="1" x14ac:dyDescent="0.2"/>
    <row r="45197" ht="12.75" hidden="1" customHeight="1" x14ac:dyDescent="0.2"/>
    <row r="45198" ht="12.75" hidden="1" customHeight="1" x14ac:dyDescent="0.2"/>
    <row r="45199" ht="12.75" hidden="1" customHeight="1" x14ac:dyDescent="0.2"/>
    <row r="45200" ht="12.75" hidden="1" customHeight="1" x14ac:dyDescent="0.2"/>
    <row r="45201" ht="12.75" hidden="1" customHeight="1" x14ac:dyDescent="0.2"/>
    <row r="45202" ht="12.75" hidden="1" customHeight="1" x14ac:dyDescent="0.2"/>
    <row r="45203" ht="12.75" hidden="1" customHeight="1" x14ac:dyDescent="0.2"/>
    <row r="45204" ht="12.75" hidden="1" customHeight="1" x14ac:dyDescent="0.2"/>
    <row r="45205" ht="12.75" hidden="1" customHeight="1" x14ac:dyDescent="0.2"/>
    <row r="45206" ht="12.75" hidden="1" customHeight="1" x14ac:dyDescent="0.2"/>
    <row r="45207" ht="12.75" hidden="1" customHeight="1" x14ac:dyDescent="0.2"/>
    <row r="45208" ht="12.75" hidden="1" customHeight="1" x14ac:dyDescent="0.2"/>
    <row r="45209" ht="12.75" hidden="1" customHeight="1" x14ac:dyDescent="0.2"/>
    <row r="45210" ht="12.75" hidden="1" customHeight="1" x14ac:dyDescent="0.2"/>
    <row r="45211" ht="12.75" hidden="1" customHeight="1" x14ac:dyDescent="0.2"/>
    <row r="45212" ht="12.75" hidden="1" customHeight="1" x14ac:dyDescent="0.2"/>
    <row r="45213" ht="12.75" hidden="1" customHeight="1" x14ac:dyDescent="0.2"/>
    <row r="45214" ht="12.75" hidden="1" customHeight="1" x14ac:dyDescent="0.2"/>
    <row r="45215" ht="12.75" hidden="1" customHeight="1" x14ac:dyDescent="0.2"/>
    <row r="45216" ht="12.75" hidden="1" customHeight="1" x14ac:dyDescent="0.2"/>
    <row r="45217" ht="12.75" hidden="1" customHeight="1" x14ac:dyDescent="0.2"/>
    <row r="45218" ht="12.75" hidden="1" customHeight="1" x14ac:dyDescent="0.2"/>
    <row r="45219" ht="12.75" hidden="1" customHeight="1" x14ac:dyDescent="0.2"/>
    <row r="45220" ht="12.75" hidden="1" customHeight="1" x14ac:dyDescent="0.2"/>
    <row r="45221" ht="12.75" hidden="1" customHeight="1" x14ac:dyDescent="0.2"/>
    <row r="45222" ht="12.75" hidden="1" customHeight="1" x14ac:dyDescent="0.2"/>
    <row r="45223" ht="12.75" hidden="1" customHeight="1" x14ac:dyDescent="0.2"/>
    <row r="45224" ht="12.75" hidden="1" customHeight="1" x14ac:dyDescent="0.2"/>
    <row r="45225" ht="12.75" hidden="1" customHeight="1" x14ac:dyDescent="0.2"/>
    <row r="45226" ht="12.75" hidden="1" customHeight="1" x14ac:dyDescent="0.2"/>
    <row r="45227" ht="12.75" hidden="1" customHeight="1" x14ac:dyDescent="0.2"/>
    <row r="45228" ht="12.75" hidden="1" customHeight="1" x14ac:dyDescent="0.2"/>
    <row r="45229" ht="12.75" hidden="1" customHeight="1" x14ac:dyDescent="0.2"/>
    <row r="45230" ht="12.75" hidden="1" customHeight="1" x14ac:dyDescent="0.2"/>
    <row r="45231" ht="12.75" hidden="1" customHeight="1" x14ac:dyDescent="0.2"/>
    <row r="45232" ht="12.75" hidden="1" customHeight="1" x14ac:dyDescent="0.2"/>
    <row r="45233" ht="12.75" hidden="1" customHeight="1" x14ac:dyDescent="0.2"/>
    <row r="45234" ht="12.75" hidden="1" customHeight="1" x14ac:dyDescent="0.2"/>
    <row r="45235" ht="12.75" hidden="1" customHeight="1" x14ac:dyDescent="0.2"/>
    <row r="45236" ht="12.75" hidden="1" customHeight="1" x14ac:dyDescent="0.2"/>
    <row r="45237" ht="12.75" hidden="1" customHeight="1" x14ac:dyDescent="0.2"/>
    <row r="45238" ht="12.75" hidden="1" customHeight="1" x14ac:dyDescent="0.2"/>
    <row r="45239" ht="12.75" hidden="1" customHeight="1" x14ac:dyDescent="0.2"/>
    <row r="45240" ht="12.75" hidden="1" customHeight="1" x14ac:dyDescent="0.2"/>
    <row r="45241" ht="12.75" hidden="1" customHeight="1" x14ac:dyDescent="0.2"/>
    <row r="45242" ht="12.75" hidden="1" customHeight="1" x14ac:dyDescent="0.2"/>
    <row r="45243" ht="12.75" hidden="1" customHeight="1" x14ac:dyDescent="0.2"/>
    <row r="45244" ht="12.75" hidden="1" customHeight="1" x14ac:dyDescent="0.2"/>
    <row r="45245" ht="12.75" hidden="1" customHeight="1" x14ac:dyDescent="0.2"/>
    <row r="45246" ht="12.75" hidden="1" customHeight="1" x14ac:dyDescent="0.2"/>
    <row r="45247" ht="12.75" hidden="1" customHeight="1" x14ac:dyDescent="0.2"/>
    <row r="45248" ht="12.75" hidden="1" customHeight="1" x14ac:dyDescent="0.2"/>
    <row r="45249" ht="12.75" hidden="1" customHeight="1" x14ac:dyDescent="0.2"/>
    <row r="45250" ht="12.75" hidden="1" customHeight="1" x14ac:dyDescent="0.2"/>
    <row r="45251" ht="12.75" hidden="1" customHeight="1" x14ac:dyDescent="0.2"/>
    <row r="45252" ht="12.75" hidden="1" customHeight="1" x14ac:dyDescent="0.2"/>
    <row r="45253" ht="12.75" hidden="1" customHeight="1" x14ac:dyDescent="0.2"/>
    <row r="45254" ht="12.75" hidden="1" customHeight="1" x14ac:dyDescent="0.2"/>
    <row r="45255" ht="12.75" hidden="1" customHeight="1" x14ac:dyDescent="0.2"/>
    <row r="45256" ht="12.75" hidden="1" customHeight="1" x14ac:dyDescent="0.2"/>
    <row r="45257" ht="12.75" hidden="1" customHeight="1" x14ac:dyDescent="0.2"/>
    <row r="45258" ht="12.75" hidden="1" customHeight="1" x14ac:dyDescent="0.2"/>
    <row r="45259" ht="12.75" hidden="1" customHeight="1" x14ac:dyDescent="0.2"/>
    <row r="45260" ht="12.75" hidden="1" customHeight="1" x14ac:dyDescent="0.2"/>
    <row r="45261" ht="12.75" hidden="1" customHeight="1" x14ac:dyDescent="0.2"/>
    <row r="45262" ht="12.75" hidden="1" customHeight="1" x14ac:dyDescent="0.2"/>
    <row r="45263" ht="12.75" hidden="1" customHeight="1" x14ac:dyDescent="0.2"/>
    <row r="45264" ht="12.75" hidden="1" customHeight="1" x14ac:dyDescent="0.2"/>
    <row r="45265" ht="12.75" hidden="1" customHeight="1" x14ac:dyDescent="0.2"/>
    <row r="45266" ht="12.75" hidden="1" customHeight="1" x14ac:dyDescent="0.2"/>
    <row r="45267" ht="12.75" hidden="1" customHeight="1" x14ac:dyDescent="0.2"/>
    <row r="45268" ht="12.75" hidden="1" customHeight="1" x14ac:dyDescent="0.2"/>
    <row r="45269" ht="12.75" hidden="1" customHeight="1" x14ac:dyDescent="0.2"/>
    <row r="45270" ht="12.75" hidden="1" customHeight="1" x14ac:dyDescent="0.2"/>
    <row r="45271" ht="12.75" hidden="1" customHeight="1" x14ac:dyDescent="0.2"/>
    <row r="45272" ht="12.75" hidden="1" customHeight="1" x14ac:dyDescent="0.2"/>
    <row r="45273" ht="12.75" hidden="1" customHeight="1" x14ac:dyDescent="0.2"/>
    <row r="45274" ht="12.75" hidden="1" customHeight="1" x14ac:dyDescent="0.2"/>
    <row r="45275" ht="12.75" hidden="1" customHeight="1" x14ac:dyDescent="0.2"/>
    <row r="45276" ht="12.75" hidden="1" customHeight="1" x14ac:dyDescent="0.2"/>
    <row r="45277" ht="12.75" hidden="1" customHeight="1" x14ac:dyDescent="0.2"/>
    <row r="45278" ht="12.75" hidden="1" customHeight="1" x14ac:dyDescent="0.2"/>
    <row r="45279" ht="12.75" hidden="1" customHeight="1" x14ac:dyDescent="0.2"/>
    <row r="45280" ht="12.75" hidden="1" customHeight="1" x14ac:dyDescent="0.2"/>
    <row r="45281" ht="12.75" hidden="1" customHeight="1" x14ac:dyDescent="0.2"/>
    <row r="45282" ht="12.75" hidden="1" customHeight="1" x14ac:dyDescent="0.2"/>
    <row r="45283" ht="12.75" hidden="1" customHeight="1" x14ac:dyDescent="0.2"/>
    <row r="45284" ht="12.75" hidden="1" customHeight="1" x14ac:dyDescent="0.2"/>
    <row r="45285" ht="12.75" hidden="1" customHeight="1" x14ac:dyDescent="0.2"/>
    <row r="45286" ht="12.75" hidden="1" customHeight="1" x14ac:dyDescent="0.2"/>
    <row r="45287" ht="12.75" hidden="1" customHeight="1" x14ac:dyDescent="0.2"/>
    <row r="45288" ht="12.75" hidden="1" customHeight="1" x14ac:dyDescent="0.2"/>
    <row r="45289" ht="12.75" hidden="1" customHeight="1" x14ac:dyDescent="0.2"/>
    <row r="45290" ht="12.75" hidden="1" customHeight="1" x14ac:dyDescent="0.2"/>
    <row r="45291" ht="12.75" hidden="1" customHeight="1" x14ac:dyDescent="0.2"/>
    <row r="45292" ht="12.75" hidden="1" customHeight="1" x14ac:dyDescent="0.2"/>
    <row r="45293" ht="12.75" hidden="1" customHeight="1" x14ac:dyDescent="0.2"/>
    <row r="45294" ht="12.75" hidden="1" customHeight="1" x14ac:dyDescent="0.2"/>
    <row r="45295" ht="12.75" hidden="1" customHeight="1" x14ac:dyDescent="0.2"/>
    <row r="45296" ht="12.75" hidden="1" customHeight="1" x14ac:dyDescent="0.2"/>
    <row r="45297" ht="12.75" hidden="1" customHeight="1" x14ac:dyDescent="0.2"/>
    <row r="45298" ht="12.75" hidden="1" customHeight="1" x14ac:dyDescent="0.2"/>
    <row r="45299" ht="12.75" hidden="1" customHeight="1" x14ac:dyDescent="0.2"/>
    <row r="45300" ht="12.75" hidden="1" customHeight="1" x14ac:dyDescent="0.2"/>
    <row r="45301" ht="12.75" hidden="1" customHeight="1" x14ac:dyDescent="0.2"/>
    <row r="45302" ht="12.75" hidden="1" customHeight="1" x14ac:dyDescent="0.2"/>
    <row r="45303" ht="12.75" hidden="1" customHeight="1" x14ac:dyDescent="0.2"/>
    <row r="45304" ht="12.75" hidden="1" customHeight="1" x14ac:dyDescent="0.2"/>
    <row r="45305" ht="12.75" hidden="1" customHeight="1" x14ac:dyDescent="0.2"/>
    <row r="45306" ht="12.75" hidden="1" customHeight="1" x14ac:dyDescent="0.2"/>
    <row r="45307" ht="12.75" hidden="1" customHeight="1" x14ac:dyDescent="0.2"/>
    <row r="45308" ht="12.75" hidden="1" customHeight="1" x14ac:dyDescent="0.2"/>
    <row r="45309" ht="12.75" hidden="1" customHeight="1" x14ac:dyDescent="0.2"/>
    <row r="45310" ht="12.75" hidden="1" customHeight="1" x14ac:dyDescent="0.2"/>
    <row r="45311" ht="12.75" hidden="1" customHeight="1" x14ac:dyDescent="0.2"/>
    <row r="45312" ht="12.75" hidden="1" customHeight="1" x14ac:dyDescent="0.2"/>
    <row r="45313" ht="12.75" hidden="1" customHeight="1" x14ac:dyDescent="0.2"/>
    <row r="45314" ht="12.75" hidden="1" customHeight="1" x14ac:dyDescent="0.2"/>
    <row r="45315" ht="12.75" hidden="1" customHeight="1" x14ac:dyDescent="0.2"/>
    <row r="45316" ht="12.75" hidden="1" customHeight="1" x14ac:dyDescent="0.2"/>
    <row r="45317" ht="12.75" hidden="1" customHeight="1" x14ac:dyDescent="0.2"/>
    <row r="45318" ht="12.75" hidden="1" customHeight="1" x14ac:dyDescent="0.2"/>
    <row r="45319" ht="12.75" hidden="1" customHeight="1" x14ac:dyDescent="0.2"/>
    <row r="45320" ht="12.75" hidden="1" customHeight="1" x14ac:dyDescent="0.2"/>
    <row r="45321" ht="12.75" hidden="1" customHeight="1" x14ac:dyDescent="0.2"/>
    <row r="45322" ht="12.75" hidden="1" customHeight="1" x14ac:dyDescent="0.2"/>
    <row r="45323" ht="12.75" hidden="1" customHeight="1" x14ac:dyDescent="0.2"/>
    <row r="45324" ht="12.75" hidden="1" customHeight="1" x14ac:dyDescent="0.2"/>
    <row r="45325" ht="12.75" hidden="1" customHeight="1" x14ac:dyDescent="0.2"/>
    <row r="45326" ht="12.75" hidden="1" customHeight="1" x14ac:dyDescent="0.2"/>
    <row r="45327" ht="12.75" hidden="1" customHeight="1" x14ac:dyDescent="0.2"/>
    <row r="45328" ht="12.75" hidden="1" customHeight="1" x14ac:dyDescent="0.2"/>
    <row r="45329" ht="12.75" hidden="1" customHeight="1" x14ac:dyDescent="0.2"/>
    <row r="45330" ht="12.75" hidden="1" customHeight="1" x14ac:dyDescent="0.2"/>
    <row r="45331" ht="12.75" hidden="1" customHeight="1" x14ac:dyDescent="0.2"/>
    <row r="45332" ht="12.75" hidden="1" customHeight="1" x14ac:dyDescent="0.2"/>
    <row r="45333" ht="12.75" hidden="1" customHeight="1" x14ac:dyDescent="0.2"/>
    <row r="45334" ht="12.75" hidden="1" customHeight="1" x14ac:dyDescent="0.2"/>
    <row r="45335" ht="12.75" hidden="1" customHeight="1" x14ac:dyDescent="0.2"/>
    <row r="45336" ht="12.75" hidden="1" customHeight="1" x14ac:dyDescent="0.2"/>
    <row r="45337" ht="12.75" hidden="1" customHeight="1" x14ac:dyDescent="0.2"/>
    <row r="45338" ht="12.75" hidden="1" customHeight="1" x14ac:dyDescent="0.2"/>
    <row r="45339" ht="12.75" hidden="1" customHeight="1" x14ac:dyDescent="0.2"/>
    <row r="45340" ht="12.75" hidden="1" customHeight="1" x14ac:dyDescent="0.2"/>
    <row r="45341" ht="12.75" hidden="1" customHeight="1" x14ac:dyDescent="0.2"/>
    <row r="45342" ht="12.75" hidden="1" customHeight="1" x14ac:dyDescent="0.2"/>
    <row r="45343" ht="12.75" hidden="1" customHeight="1" x14ac:dyDescent="0.2"/>
    <row r="45344" ht="12.75" hidden="1" customHeight="1" x14ac:dyDescent="0.2"/>
    <row r="45345" ht="12.75" hidden="1" customHeight="1" x14ac:dyDescent="0.2"/>
    <row r="45346" ht="12.75" hidden="1" customHeight="1" x14ac:dyDescent="0.2"/>
    <row r="45347" ht="12.75" hidden="1" customHeight="1" x14ac:dyDescent="0.2"/>
    <row r="45348" ht="12.75" hidden="1" customHeight="1" x14ac:dyDescent="0.2"/>
    <row r="45349" ht="12.75" hidden="1" customHeight="1" x14ac:dyDescent="0.2"/>
    <row r="45350" ht="12.75" hidden="1" customHeight="1" x14ac:dyDescent="0.2"/>
    <row r="45351" ht="12.75" hidden="1" customHeight="1" x14ac:dyDescent="0.2"/>
    <row r="45352" ht="12.75" hidden="1" customHeight="1" x14ac:dyDescent="0.2"/>
    <row r="45353" ht="12.75" hidden="1" customHeight="1" x14ac:dyDescent="0.2"/>
    <row r="45354" ht="12.75" hidden="1" customHeight="1" x14ac:dyDescent="0.2"/>
    <row r="45355" ht="12.75" hidden="1" customHeight="1" x14ac:dyDescent="0.2"/>
    <row r="45356" ht="12.75" hidden="1" customHeight="1" x14ac:dyDescent="0.2"/>
    <row r="45357" ht="12.75" hidden="1" customHeight="1" x14ac:dyDescent="0.2"/>
    <row r="45358" ht="12.75" hidden="1" customHeight="1" x14ac:dyDescent="0.2"/>
    <row r="45359" ht="12.75" hidden="1" customHeight="1" x14ac:dyDescent="0.2"/>
    <row r="45360" ht="12.75" hidden="1" customHeight="1" x14ac:dyDescent="0.2"/>
    <row r="45361" ht="12.75" hidden="1" customHeight="1" x14ac:dyDescent="0.2"/>
    <row r="45362" ht="12.75" hidden="1" customHeight="1" x14ac:dyDescent="0.2"/>
    <row r="45363" ht="12.75" hidden="1" customHeight="1" x14ac:dyDescent="0.2"/>
    <row r="45364" ht="12.75" hidden="1" customHeight="1" x14ac:dyDescent="0.2"/>
    <row r="45365" ht="12.75" hidden="1" customHeight="1" x14ac:dyDescent="0.2"/>
    <row r="45366" ht="12.75" hidden="1" customHeight="1" x14ac:dyDescent="0.2"/>
    <row r="45367" ht="12.75" hidden="1" customHeight="1" x14ac:dyDescent="0.2"/>
    <row r="45368" ht="12.75" hidden="1" customHeight="1" x14ac:dyDescent="0.2"/>
    <row r="45369" ht="12.75" hidden="1" customHeight="1" x14ac:dyDescent="0.2"/>
    <row r="45370" ht="12.75" hidden="1" customHeight="1" x14ac:dyDescent="0.2"/>
    <row r="45371" ht="12.75" hidden="1" customHeight="1" x14ac:dyDescent="0.2"/>
    <row r="45372" ht="12.75" hidden="1" customHeight="1" x14ac:dyDescent="0.2"/>
    <row r="45373" ht="12.75" hidden="1" customHeight="1" x14ac:dyDescent="0.2"/>
    <row r="45374" ht="12.75" hidden="1" customHeight="1" x14ac:dyDescent="0.2"/>
    <row r="45375" ht="12.75" hidden="1" customHeight="1" x14ac:dyDescent="0.2"/>
    <row r="45376" ht="12.75" hidden="1" customHeight="1" x14ac:dyDescent="0.2"/>
    <row r="45377" ht="12.75" hidden="1" customHeight="1" x14ac:dyDescent="0.2"/>
    <row r="45378" ht="12.75" hidden="1" customHeight="1" x14ac:dyDescent="0.2"/>
    <row r="45379" ht="12.75" hidden="1" customHeight="1" x14ac:dyDescent="0.2"/>
    <row r="45380" ht="12.75" hidden="1" customHeight="1" x14ac:dyDescent="0.2"/>
    <row r="45381" ht="12.75" hidden="1" customHeight="1" x14ac:dyDescent="0.2"/>
    <row r="45382" ht="12.75" hidden="1" customHeight="1" x14ac:dyDescent="0.2"/>
    <row r="45383" ht="12.75" hidden="1" customHeight="1" x14ac:dyDescent="0.2"/>
    <row r="45384" ht="12.75" hidden="1" customHeight="1" x14ac:dyDescent="0.2"/>
    <row r="45385" ht="12.75" hidden="1" customHeight="1" x14ac:dyDescent="0.2"/>
    <row r="45386" ht="12.75" hidden="1" customHeight="1" x14ac:dyDescent="0.2"/>
    <row r="45387" ht="12.75" hidden="1" customHeight="1" x14ac:dyDescent="0.2"/>
    <row r="45388" ht="12.75" hidden="1" customHeight="1" x14ac:dyDescent="0.2"/>
    <row r="45389" ht="12.75" hidden="1" customHeight="1" x14ac:dyDescent="0.2"/>
    <row r="45390" ht="12.75" hidden="1" customHeight="1" x14ac:dyDescent="0.2"/>
    <row r="45391" ht="12.75" hidden="1" customHeight="1" x14ac:dyDescent="0.2"/>
    <row r="45392" ht="12.75" hidden="1" customHeight="1" x14ac:dyDescent="0.2"/>
    <row r="45393" ht="12.75" hidden="1" customHeight="1" x14ac:dyDescent="0.2"/>
    <row r="45394" ht="12.75" hidden="1" customHeight="1" x14ac:dyDescent="0.2"/>
    <row r="45395" ht="12.75" hidden="1" customHeight="1" x14ac:dyDescent="0.2"/>
    <row r="45396" ht="12.75" hidden="1" customHeight="1" x14ac:dyDescent="0.2"/>
    <row r="45397" ht="12.75" hidden="1" customHeight="1" x14ac:dyDescent="0.2"/>
    <row r="45398" ht="12.75" hidden="1" customHeight="1" x14ac:dyDescent="0.2"/>
    <row r="45399" ht="12.75" hidden="1" customHeight="1" x14ac:dyDescent="0.2"/>
    <row r="45400" ht="12.75" hidden="1" customHeight="1" x14ac:dyDescent="0.2"/>
    <row r="45401" ht="12.75" hidden="1" customHeight="1" x14ac:dyDescent="0.2"/>
    <row r="45402" ht="12.75" hidden="1" customHeight="1" x14ac:dyDescent="0.2"/>
    <row r="45403" ht="12.75" hidden="1" customHeight="1" x14ac:dyDescent="0.2"/>
    <row r="45404" ht="12.75" hidden="1" customHeight="1" x14ac:dyDescent="0.2"/>
    <row r="45405" ht="12.75" hidden="1" customHeight="1" x14ac:dyDescent="0.2"/>
    <row r="45406" ht="12.75" hidden="1" customHeight="1" x14ac:dyDescent="0.2"/>
    <row r="45407" ht="12.75" hidden="1" customHeight="1" x14ac:dyDescent="0.2"/>
    <row r="45408" ht="12.75" hidden="1" customHeight="1" x14ac:dyDescent="0.2"/>
    <row r="45409" ht="12.75" hidden="1" customHeight="1" x14ac:dyDescent="0.2"/>
    <row r="45410" ht="12.75" hidden="1" customHeight="1" x14ac:dyDescent="0.2"/>
    <row r="45411" ht="12.75" hidden="1" customHeight="1" x14ac:dyDescent="0.2"/>
    <row r="45412" ht="12.75" hidden="1" customHeight="1" x14ac:dyDescent="0.2"/>
    <row r="45413" ht="12.75" hidden="1" customHeight="1" x14ac:dyDescent="0.2"/>
    <row r="45414" ht="12.75" hidden="1" customHeight="1" x14ac:dyDescent="0.2"/>
    <row r="45415" ht="12.75" hidden="1" customHeight="1" x14ac:dyDescent="0.2"/>
    <row r="45416" ht="12.75" hidden="1" customHeight="1" x14ac:dyDescent="0.2"/>
    <row r="45417" ht="12.75" hidden="1" customHeight="1" x14ac:dyDescent="0.2"/>
    <row r="45418" ht="12.75" hidden="1" customHeight="1" x14ac:dyDescent="0.2"/>
    <row r="45419" ht="12.75" hidden="1" customHeight="1" x14ac:dyDescent="0.2"/>
    <row r="45420" ht="12.75" hidden="1" customHeight="1" x14ac:dyDescent="0.2"/>
    <row r="45421" ht="12.75" hidden="1" customHeight="1" x14ac:dyDescent="0.2"/>
    <row r="45422" ht="12.75" hidden="1" customHeight="1" x14ac:dyDescent="0.2"/>
    <row r="45423" ht="12.75" hidden="1" customHeight="1" x14ac:dyDescent="0.2"/>
    <row r="45424" ht="12.75" hidden="1" customHeight="1" x14ac:dyDescent="0.2"/>
    <row r="45425" ht="12.75" hidden="1" customHeight="1" x14ac:dyDescent="0.2"/>
    <row r="45426" ht="12.75" hidden="1" customHeight="1" x14ac:dyDescent="0.2"/>
    <row r="45427" ht="12.75" hidden="1" customHeight="1" x14ac:dyDescent="0.2"/>
    <row r="45428" ht="12.75" hidden="1" customHeight="1" x14ac:dyDescent="0.2"/>
    <row r="45429" ht="12.75" hidden="1" customHeight="1" x14ac:dyDescent="0.2"/>
    <row r="45430" ht="12.75" hidden="1" customHeight="1" x14ac:dyDescent="0.2"/>
    <row r="45431" ht="12.75" hidden="1" customHeight="1" x14ac:dyDescent="0.2"/>
    <row r="45432" ht="12.75" hidden="1" customHeight="1" x14ac:dyDescent="0.2"/>
    <row r="45433" ht="12.75" hidden="1" customHeight="1" x14ac:dyDescent="0.2"/>
    <row r="45434" ht="12.75" hidden="1" customHeight="1" x14ac:dyDescent="0.2"/>
    <row r="45435" ht="12.75" hidden="1" customHeight="1" x14ac:dyDescent="0.2"/>
    <row r="45436" ht="12.75" hidden="1" customHeight="1" x14ac:dyDescent="0.2"/>
    <row r="45437" ht="12.75" hidden="1" customHeight="1" x14ac:dyDescent="0.2"/>
    <row r="45438" ht="12.75" hidden="1" customHeight="1" x14ac:dyDescent="0.2"/>
    <row r="45439" ht="12.75" hidden="1" customHeight="1" x14ac:dyDescent="0.2"/>
    <row r="45440" ht="12.75" hidden="1" customHeight="1" x14ac:dyDescent="0.2"/>
    <row r="45441" ht="12.75" hidden="1" customHeight="1" x14ac:dyDescent="0.2"/>
    <row r="45442" ht="12.75" hidden="1" customHeight="1" x14ac:dyDescent="0.2"/>
    <row r="45443" ht="12.75" hidden="1" customHeight="1" x14ac:dyDescent="0.2"/>
    <row r="45444" ht="12.75" hidden="1" customHeight="1" x14ac:dyDescent="0.2"/>
    <row r="45445" ht="12.75" hidden="1" customHeight="1" x14ac:dyDescent="0.2"/>
    <row r="45446" ht="12.75" hidden="1" customHeight="1" x14ac:dyDescent="0.2"/>
    <row r="45447" ht="12.75" hidden="1" customHeight="1" x14ac:dyDescent="0.2"/>
    <row r="45448" ht="12.75" hidden="1" customHeight="1" x14ac:dyDescent="0.2"/>
    <row r="45449" ht="12.75" hidden="1" customHeight="1" x14ac:dyDescent="0.2"/>
    <row r="45450" ht="12.75" hidden="1" customHeight="1" x14ac:dyDescent="0.2"/>
    <row r="45451" ht="12.75" hidden="1" customHeight="1" x14ac:dyDescent="0.2"/>
    <row r="45452" ht="12.75" hidden="1" customHeight="1" x14ac:dyDescent="0.2"/>
    <row r="45453" ht="12.75" hidden="1" customHeight="1" x14ac:dyDescent="0.2"/>
    <row r="45454" ht="12.75" hidden="1" customHeight="1" x14ac:dyDescent="0.2"/>
    <row r="45455" ht="12.75" hidden="1" customHeight="1" x14ac:dyDescent="0.2"/>
    <row r="45456" ht="12.75" hidden="1" customHeight="1" x14ac:dyDescent="0.2"/>
    <row r="45457" ht="12.75" hidden="1" customHeight="1" x14ac:dyDescent="0.2"/>
    <row r="45458" ht="12.75" hidden="1" customHeight="1" x14ac:dyDescent="0.2"/>
    <row r="45459" ht="12.75" hidden="1" customHeight="1" x14ac:dyDescent="0.2"/>
    <row r="45460" ht="12.75" hidden="1" customHeight="1" x14ac:dyDescent="0.2"/>
    <row r="45461" ht="12.75" hidden="1" customHeight="1" x14ac:dyDescent="0.2"/>
    <row r="45462" ht="12.75" hidden="1" customHeight="1" x14ac:dyDescent="0.2"/>
    <row r="45463" ht="12.75" hidden="1" customHeight="1" x14ac:dyDescent="0.2"/>
    <row r="45464" ht="12.75" hidden="1" customHeight="1" x14ac:dyDescent="0.2"/>
    <row r="45465" ht="12.75" hidden="1" customHeight="1" x14ac:dyDescent="0.2"/>
    <row r="45466" ht="12.75" hidden="1" customHeight="1" x14ac:dyDescent="0.2"/>
    <row r="45467" ht="12.75" hidden="1" customHeight="1" x14ac:dyDescent="0.2"/>
    <row r="45468" ht="12.75" hidden="1" customHeight="1" x14ac:dyDescent="0.2"/>
    <row r="45469" ht="12.75" hidden="1" customHeight="1" x14ac:dyDescent="0.2"/>
    <row r="45470" ht="12.75" hidden="1" customHeight="1" x14ac:dyDescent="0.2"/>
    <row r="45471" ht="12.75" hidden="1" customHeight="1" x14ac:dyDescent="0.2"/>
    <row r="45472" ht="12.75" hidden="1" customHeight="1" x14ac:dyDescent="0.2"/>
    <row r="45473" ht="12.75" hidden="1" customHeight="1" x14ac:dyDescent="0.2"/>
    <row r="45474" ht="12.75" hidden="1" customHeight="1" x14ac:dyDescent="0.2"/>
    <row r="45475" ht="12.75" hidden="1" customHeight="1" x14ac:dyDescent="0.2"/>
    <row r="45476" ht="12.75" hidden="1" customHeight="1" x14ac:dyDescent="0.2"/>
    <row r="45477" ht="12.75" hidden="1" customHeight="1" x14ac:dyDescent="0.2"/>
    <row r="45478" ht="12.75" hidden="1" customHeight="1" x14ac:dyDescent="0.2"/>
    <row r="45479" ht="12.75" hidden="1" customHeight="1" x14ac:dyDescent="0.2"/>
    <row r="45480" ht="12.75" hidden="1" customHeight="1" x14ac:dyDescent="0.2"/>
    <row r="45481" ht="12.75" hidden="1" customHeight="1" x14ac:dyDescent="0.2"/>
    <row r="45482" ht="12.75" hidden="1" customHeight="1" x14ac:dyDescent="0.2"/>
    <row r="45483" ht="12.75" hidden="1" customHeight="1" x14ac:dyDescent="0.2"/>
    <row r="45484" ht="12.75" hidden="1" customHeight="1" x14ac:dyDescent="0.2"/>
    <row r="45485" ht="12.75" hidden="1" customHeight="1" x14ac:dyDescent="0.2"/>
    <row r="45486" ht="12.75" hidden="1" customHeight="1" x14ac:dyDescent="0.2"/>
    <row r="45487" ht="12.75" hidden="1" customHeight="1" x14ac:dyDescent="0.2"/>
    <row r="45488" ht="12.75" hidden="1" customHeight="1" x14ac:dyDescent="0.2"/>
    <row r="45489" ht="12.75" hidden="1" customHeight="1" x14ac:dyDescent="0.2"/>
    <row r="45490" ht="12.75" hidden="1" customHeight="1" x14ac:dyDescent="0.2"/>
    <row r="45491" ht="12.75" hidden="1" customHeight="1" x14ac:dyDescent="0.2"/>
    <row r="45492" ht="12.75" hidden="1" customHeight="1" x14ac:dyDescent="0.2"/>
    <row r="45493" ht="12.75" hidden="1" customHeight="1" x14ac:dyDescent="0.2"/>
    <row r="45494" ht="12.75" hidden="1" customHeight="1" x14ac:dyDescent="0.2"/>
    <row r="45495" ht="12.75" hidden="1" customHeight="1" x14ac:dyDescent="0.2"/>
    <row r="45496" ht="12.75" hidden="1" customHeight="1" x14ac:dyDescent="0.2"/>
    <row r="45497" ht="12.75" hidden="1" customHeight="1" x14ac:dyDescent="0.2"/>
    <row r="45498" ht="12.75" hidden="1" customHeight="1" x14ac:dyDescent="0.2"/>
    <row r="45499" ht="12.75" hidden="1" customHeight="1" x14ac:dyDescent="0.2"/>
    <row r="45500" ht="12.75" hidden="1" customHeight="1" x14ac:dyDescent="0.2"/>
    <row r="45501" ht="12.75" hidden="1" customHeight="1" x14ac:dyDescent="0.2"/>
    <row r="45502" ht="12.75" hidden="1" customHeight="1" x14ac:dyDescent="0.2"/>
    <row r="45503" ht="12.75" hidden="1" customHeight="1" x14ac:dyDescent="0.2"/>
    <row r="45504" ht="12.75" hidden="1" customHeight="1" x14ac:dyDescent="0.2"/>
    <row r="45505" ht="12.75" hidden="1" customHeight="1" x14ac:dyDescent="0.2"/>
    <row r="45506" ht="12.75" hidden="1" customHeight="1" x14ac:dyDescent="0.2"/>
    <row r="45507" ht="12.75" hidden="1" customHeight="1" x14ac:dyDescent="0.2"/>
    <row r="45508" ht="12.75" hidden="1" customHeight="1" x14ac:dyDescent="0.2"/>
    <row r="45509" ht="12.75" hidden="1" customHeight="1" x14ac:dyDescent="0.2"/>
    <row r="45510" ht="12.75" hidden="1" customHeight="1" x14ac:dyDescent="0.2"/>
    <row r="45511" ht="12.75" hidden="1" customHeight="1" x14ac:dyDescent="0.2"/>
    <row r="45512" ht="12.75" hidden="1" customHeight="1" x14ac:dyDescent="0.2"/>
    <row r="45513" ht="12.75" hidden="1" customHeight="1" x14ac:dyDescent="0.2"/>
    <row r="45514" ht="12.75" hidden="1" customHeight="1" x14ac:dyDescent="0.2"/>
    <row r="45515" ht="12.75" hidden="1" customHeight="1" x14ac:dyDescent="0.2"/>
    <row r="45516" ht="12.75" hidden="1" customHeight="1" x14ac:dyDescent="0.2"/>
    <row r="45517" ht="12.75" hidden="1" customHeight="1" x14ac:dyDescent="0.2"/>
    <row r="45518" ht="12.75" hidden="1" customHeight="1" x14ac:dyDescent="0.2"/>
    <row r="45519" ht="12.75" hidden="1" customHeight="1" x14ac:dyDescent="0.2"/>
    <row r="45520" ht="12.75" hidden="1" customHeight="1" x14ac:dyDescent="0.2"/>
    <row r="45521" ht="12.75" hidden="1" customHeight="1" x14ac:dyDescent="0.2"/>
    <row r="45522" ht="12.75" hidden="1" customHeight="1" x14ac:dyDescent="0.2"/>
    <row r="45523" ht="12.75" hidden="1" customHeight="1" x14ac:dyDescent="0.2"/>
    <row r="45524" ht="12.75" hidden="1" customHeight="1" x14ac:dyDescent="0.2"/>
    <row r="45525" ht="12.75" hidden="1" customHeight="1" x14ac:dyDescent="0.2"/>
    <row r="45526" ht="12.75" hidden="1" customHeight="1" x14ac:dyDescent="0.2"/>
    <row r="45527" ht="12.75" hidden="1" customHeight="1" x14ac:dyDescent="0.2"/>
    <row r="45528" ht="12.75" hidden="1" customHeight="1" x14ac:dyDescent="0.2"/>
    <row r="45529" ht="12.75" hidden="1" customHeight="1" x14ac:dyDescent="0.2"/>
    <row r="45530" ht="12.75" hidden="1" customHeight="1" x14ac:dyDescent="0.2"/>
    <row r="45531" ht="12.75" hidden="1" customHeight="1" x14ac:dyDescent="0.2"/>
    <row r="45532" ht="12.75" hidden="1" customHeight="1" x14ac:dyDescent="0.2"/>
    <row r="45533" ht="12.75" hidden="1" customHeight="1" x14ac:dyDescent="0.2"/>
    <row r="45534" ht="12.75" hidden="1" customHeight="1" x14ac:dyDescent="0.2"/>
    <row r="45535" ht="12.75" hidden="1" customHeight="1" x14ac:dyDescent="0.2"/>
    <row r="45536" ht="12.75" hidden="1" customHeight="1" x14ac:dyDescent="0.2"/>
    <row r="45537" ht="12.75" hidden="1" customHeight="1" x14ac:dyDescent="0.2"/>
    <row r="45538" ht="12.75" hidden="1" customHeight="1" x14ac:dyDescent="0.2"/>
    <row r="45539" ht="12.75" hidden="1" customHeight="1" x14ac:dyDescent="0.2"/>
    <row r="45540" ht="12.75" hidden="1" customHeight="1" x14ac:dyDescent="0.2"/>
    <row r="45541" ht="12.75" hidden="1" customHeight="1" x14ac:dyDescent="0.2"/>
    <row r="45542" ht="12.75" hidden="1" customHeight="1" x14ac:dyDescent="0.2"/>
    <row r="45543" ht="12.75" hidden="1" customHeight="1" x14ac:dyDescent="0.2"/>
    <row r="45544" ht="12.75" hidden="1" customHeight="1" x14ac:dyDescent="0.2"/>
    <row r="45545" ht="12.75" hidden="1" customHeight="1" x14ac:dyDescent="0.2"/>
    <row r="45546" ht="12.75" hidden="1" customHeight="1" x14ac:dyDescent="0.2"/>
    <row r="45547" ht="12.75" hidden="1" customHeight="1" x14ac:dyDescent="0.2"/>
    <row r="45548" ht="12.75" hidden="1" customHeight="1" x14ac:dyDescent="0.2"/>
    <row r="45549" ht="12.75" hidden="1" customHeight="1" x14ac:dyDescent="0.2"/>
    <row r="45550" ht="12.75" hidden="1" customHeight="1" x14ac:dyDescent="0.2"/>
    <row r="45551" ht="12.75" hidden="1" customHeight="1" x14ac:dyDescent="0.2"/>
    <row r="45552" ht="12.75" hidden="1" customHeight="1" x14ac:dyDescent="0.2"/>
    <row r="45553" ht="12.75" hidden="1" customHeight="1" x14ac:dyDescent="0.2"/>
    <row r="45554" ht="12.75" hidden="1" customHeight="1" x14ac:dyDescent="0.2"/>
    <row r="45555" ht="12.75" hidden="1" customHeight="1" x14ac:dyDescent="0.2"/>
    <row r="45556" ht="12.75" hidden="1" customHeight="1" x14ac:dyDescent="0.2"/>
    <row r="45557" ht="12.75" hidden="1" customHeight="1" x14ac:dyDescent="0.2"/>
    <row r="45558" ht="12.75" hidden="1" customHeight="1" x14ac:dyDescent="0.2"/>
    <row r="45559" ht="12.75" hidden="1" customHeight="1" x14ac:dyDescent="0.2"/>
    <row r="45560" ht="12.75" hidden="1" customHeight="1" x14ac:dyDescent="0.2"/>
    <row r="45561" ht="12.75" hidden="1" customHeight="1" x14ac:dyDescent="0.2"/>
    <row r="45562" ht="12.75" hidden="1" customHeight="1" x14ac:dyDescent="0.2"/>
    <row r="45563" ht="12.75" hidden="1" customHeight="1" x14ac:dyDescent="0.2"/>
    <row r="45564" ht="12.75" hidden="1" customHeight="1" x14ac:dyDescent="0.2"/>
    <row r="45565" ht="12.75" hidden="1" customHeight="1" x14ac:dyDescent="0.2"/>
    <row r="45566" ht="12.75" hidden="1" customHeight="1" x14ac:dyDescent="0.2"/>
    <row r="45567" ht="12.75" hidden="1" customHeight="1" x14ac:dyDescent="0.2"/>
    <row r="45568" ht="12.75" hidden="1" customHeight="1" x14ac:dyDescent="0.2"/>
    <row r="45569" ht="12.75" hidden="1" customHeight="1" x14ac:dyDescent="0.2"/>
    <row r="45570" ht="12.75" hidden="1" customHeight="1" x14ac:dyDescent="0.2"/>
    <row r="45571" ht="12.75" hidden="1" customHeight="1" x14ac:dyDescent="0.2"/>
    <row r="45572" ht="12.75" hidden="1" customHeight="1" x14ac:dyDescent="0.2"/>
    <row r="45573" ht="12.75" hidden="1" customHeight="1" x14ac:dyDescent="0.2"/>
    <row r="45574" ht="12.75" hidden="1" customHeight="1" x14ac:dyDescent="0.2"/>
    <row r="45575" ht="12.75" hidden="1" customHeight="1" x14ac:dyDescent="0.2"/>
    <row r="45576" ht="12.75" hidden="1" customHeight="1" x14ac:dyDescent="0.2"/>
    <row r="45577" ht="12.75" hidden="1" customHeight="1" x14ac:dyDescent="0.2"/>
    <row r="45578" ht="12.75" hidden="1" customHeight="1" x14ac:dyDescent="0.2"/>
    <row r="45579" ht="12.75" hidden="1" customHeight="1" x14ac:dyDescent="0.2"/>
    <row r="45580" ht="12.75" hidden="1" customHeight="1" x14ac:dyDescent="0.2"/>
    <row r="45581" ht="12.75" hidden="1" customHeight="1" x14ac:dyDescent="0.2"/>
    <row r="45582" ht="12.75" hidden="1" customHeight="1" x14ac:dyDescent="0.2"/>
    <row r="45583" ht="12.75" hidden="1" customHeight="1" x14ac:dyDescent="0.2"/>
    <row r="45584" ht="12.75" hidden="1" customHeight="1" x14ac:dyDescent="0.2"/>
    <row r="45585" ht="12.75" hidden="1" customHeight="1" x14ac:dyDescent="0.2"/>
    <row r="45586" ht="12.75" hidden="1" customHeight="1" x14ac:dyDescent="0.2"/>
    <row r="45587" ht="12.75" hidden="1" customHeight="1" x14ac:dyDescent="0.2"/>
    <row r="45588" ht="12.75" hidden="1" customHeight="1" x14ac:dyDescent="0.2"/>
    <row r="45589" ht="12.75" hidden="1" customHeight="1" x14ac:dyDescent="0.2"/>
    <row r="45590" ht="12.75" hidden="1" customHeight="1" x14ac:dyDescent="0.2"/>
    <row r="45591" ht="12.75" hidden="1" customHeight="1" x14ac:dyDescent="0.2"/>
    <row r="45592" ht="12.75" hidden="1" customHeight="1" x14ac:dyDescent="0.2"/>
    <row r="45593" ht="12.75" hidden="1" customHeight="1" x14ac:dyDescent="0.2"/>
    <row r="45594" ht="12.75" hidden="1" customHeight="1" x14ac:dyDescent="0.2"/>
    <row r="45595" ht="12.75" hidden="1" customHeight="1" x14ac:dyDescent="0.2"/>
    <row r="45596" ht="12.75" hidden="1" customHeight="1" x14ac:dyDescent="0.2"/>
    <row r="45597" ht="12.75" hidden="1" customHeight="1" x14ac:dyDescent="0.2"/>
    <row r="45598" ht="12.75" hidden="1" customHeight="1" x14ac:dyDescent="0.2"/>
    <row r="45599" ht="12.75" hidden="1" customHeight="1" x14ac:dyDescent="0.2"/>
    <row r="45600" ht="12.75" hidden="1" customHeight="1" x14ac:dyDescent="0.2"/>
    <row r="45601" ht="12.75" hidden="1" customHeight="1" x14ac:dyDescent="0.2"/>
    <row r="45602" ht="12.75" hidden="1" customHeight="1" x14ac:dyDescent="0.2"/>
    <row r="45603" ht="12.75" hidden="1" customHeight="1" x14ac:dyDescent="0.2"/>
    <row r="45604" ht="12.75" hidden="1" customHeight="1" x14ac:dyDescent="0.2"/>
    <row r="45605" ht="12.75" hidden="1" customHeight="1" x14ac:dyDescent="0.2"/>
    <row r="45606" ht="12.75" hidden="1" customHeight="1" x14ac:dyDescent="0.2"/>
    <row r="45607" ht="12.75" hidden="1" customHeight="1" x14ac:dyDescent="0.2"/>
    <row r="45608" ht="12.75" hidden="1" customHeight="1" x14ac:dyDescent="0.2"/>
    <row r="45609" ht="12.75" hidden="1" customHeight="1" x14ac:dyDescent="0.2"/>
    <row r="45610" ht="12.75" hidden="1" customHeight="1" x14ac:dyDescent="0.2"/>
    <row r="45611" ht="12.75" hidden="1" customHeight="1" x14ac:dyDescent="0.2"/>
    <row r="45612" ht="12.75" hidden="1" customHeight="1" x14ac:dyDescent="0.2"/>
    <row r="45613" ht="12.75" hidden="1" customHeight="1" x14ac:dyDescent="0.2"/>
    <row r="45614" ht="12.75" hidden="1" customHeight="1" x14ac:dyDescent="0.2"/>
    <row r="45615" ht="12.75" hidden="1" customHeight="1" x14ac:dyDescent="0.2"/>
    <row r="45616" ht="12.75" hidden="1" customHeight="1" x14ac:dyDescent="0.2"/>
    <row r="45617" ht="12.75" hidden="1" customHeight="1" x14ac:dyDescent="0.2"/>
    <row r="45618" ht="12.75" hidden="1" customHeight="1" x14ac:dyDescent="0.2"/>
    <row r="45619" ht="12.75" hidden="1" customHeight="1" x14ac:dyDescent="0.2"/>
    <row r="45620" ht="12.75" hidden="1" customHeight="1" x14ac:dyDescent="0.2"/>
    <row r="45621" ht="12.75" hidden="1" customHeight="1" x14ac:dyDescent="0.2"/>
    <row r="45622" ht="12.75" hidden="1" customHeight="1" x14ac:dyDescent="0.2"/>
    <row r="45623" ht="12.75" hidden="1" customHeight="1" x14ac:dyDescent="0.2"/>
    <row r="45624" ht="12.75" hidden="1" customHeight="1" x14ac:dyDescent="0.2"/>
    <row r="45625" ht="12.75" hidden="1" customHeight="1" x14ac:dyDescent="0.2"/>
    <row r="45626" ht="12.75" hidden="1" customHeight="1" x14ac:dyDescent="0.2"/>
    <row r="45627" ht="12.75" hidden="1" customHeight="1" x14ac:dyDescent="0.2"/>
    <row r="45628" ht="12.75" hidden="1" customHeight="1" x14ac:dyDescent="0.2"/>
    <row r="45629" ht="12.75" hidden="1" customHeight="1" x14ac:dyDescent="0.2"/>
    <row r="45630" ht="12.75" hidden="1" customHeight="1" x14ac:dyDescent="0.2"/>
    <row r="45631" ht="12.75" hidden="1" customHeight="1" x14ac:dyDescent="0.2"/>
    <row r="45632" ht="12.75" hidden="1" customHeight="1" x14ac:dyDescent="0.2"/>
    <row r="45633" ht="12.75" hidden="1" customHeight="1" x14ac:dyDescent="0.2"/>
    <row r="45634" ht="12.75" hidden="1" customHeight="1" x14ac:dyDescent="0.2"/>
    <row r="45635" ht="12.75" hidden="1" customHeight="1" x14ac:dyDescent="0.2"/>
    <row r="45636" ht="12.75" hidden="1" customHeight="1" x14ac:dyDescent="0.2"/>
    <row r="45637" ht="12.75" hidden="1" customHeight="1" x14ac:dyDescent="0.2"/>
    <row r="45638" ht="12.75" hidden="1" customHeight="1" x14ac:dyDescent="0.2"/>
    <row r="45639" ht="12.75" hidden="1" customHeight="1" x14ac:dyDescent="0.2"/>
    <row r="45640" ht="12.75" hidden="1" customHeight="1" x14ac:dyDescent="0.2"/>
    <row r="45641" ht="12.75" hidden="1" customHeight="1" x14ac:dyDescent="0.2"/>
    <row r="45642" ht="12.75" hidden="1" customHeight="1" x14ac:dyDescent="0.2"/>
    <row r="45643" ht="12.75" hidden="1" customHeight="1" x14ac:dyDescent="0.2"/>
    <row r="45644" ht="12.75" hidden="1" customHeight="1" x14ac:dyDescent="0.2"/>
    <row r="45645" ht="12.75" hidden="1" customHeight="1" x14ac:dyDescent="0.2"/>
    <row r="45646" ht="12.75" hidden="1" customHeight="1" x14ac:dyDescent="0.2"/>
    <row r="45647" ht="12.75" hidden="1" customHeight="1" x14ac:dyDescent="0.2"/>
    <row r="45648" ht="12.75" hidden="1" customHeight="1" x14ac:dyDescent="0.2"/>
    <row r="45649" ht="12.75" hidden="1" customHeight="1" x14ac:dyDescent="0.2"/>
    <row r="45650" ht="12.75" hidden="1" customHeight="1" x14ac:dyDescent="0.2"/>
    <row r="45651" ht="12.75" hidden="1" customHeight="1" x14ac:dyDescent="0.2"/>
    <row r="45652" ht="12.75" hidden="1" customHeight="1" x14ac:dyDescent="0.2"/>
    <row r="45653" ht="12.75" hidden="1" customHeight="1" x14ac:dyDescent="0.2"/>
    <row r="45654" ht="12.75" hidden="1" customHeight="1" x14ac:dyDescent="0.2"/>
    <row r="45655" ht="12.75" hidden="1" customHeight="1" x14ac:dyDescent="0.2"/>
    <row r="45656" ht="12.75" hidden="1" customHeight="1" x14ac:dyDescent="0.2"/>
    <row r="45657" ht="12.75" hidden="1" customHeight="1" x14ac:dyDescent="0.2"/>
    <row r="45658" ht="12.75" hidden="1" customHeight="1" x14ac:dyDescent="0.2"/>
    <row r="45659" ht="12.75" hidden="1" customHeight="1" x14ac:dyDescent="0.2"/>
    <row r="45660" ht="12.75" hidden="1" customHeight="1" x14ac:dyDescent="0.2"/>
    <row r="45661" ht="12.75" hidden="1" customHeight="1" x14ac:dyDescent="0.2"/>
    <row r="45662" ht="12.75" hidden="1" customHeight="1" x14ac:dyDescent="0.2"/>
    <row r="45663" ht="12.75" hidden="1" customHeight="1" x14ac:dyDescent="0.2"/>
    <row r="45664" ht="12.75" hidden="1" customHeight="1" x14ac:dyDescent="0.2"/>
    <row r="45665" ht="12.75" hidden="1" customHeight="1" x14ac:dyDescent="0.2"/>
    <row r="45666" ht="12.75" hidden="1" customHeight="1" x14ac:dyDescent="0.2"/>
    <row r="45667" ht="12.75" hidden="1" customHeight="1" x14ac:dyDescent="0.2"/>
    <row r="45668" ht="12.75" hidden="1" customHeight="1" x14ac:dyDescent="0.2"/>
    <row r="45669" ht="12.75" hidden="1" customHeight="1" x14ac:dyDescent="0.2"/>
    <row r="45670" ht="12.75" hidden="1" customHeight="1" x14ac:dyDescent="0.2"/>
    <row r="45671" ht="12.75" hidden="1" customHeight="1" x14ac:dyDescent="0.2"/>
    <row r="45672" ht="12.75" hidden="1" customHeight="1" x14ac:dyDescent="0.2"/>
    <row r="45673" ht="12.75" hidden="1" customHeight="1" x14ac:dyDescent="0.2"/>
    <row r="45674" ht="12.75" hidden="1" customHeight="1" x14ac:dyDescent="0.2"/>
    <row r="45675" ht="12.75" hidden="1" customHeight="1" x14ac:dyDescent="0.2"/>
    <row r="45676" ht="12.75" hidden="1" customHeight="1" x14ac:dyDescent="0.2"/>
    <row r="45677" ht="12.75" hidden="1" customHeight="1" x14ac:dyDescent="0.2"/>
    <row r="45678" ht="12.75" hidden="1" customHeight="1" x14ac:dyDescent="0.2"/>
    <row r="45679" ht="12.75" hidden="1" customHeight="1" x14ac:dyDescent="0.2"/>
    <row r="45680" ht="12.75" hidden="1" customHeight="1" x14ac:dyDescent="0.2"/>
    <row r="45681" ht="12.75" hidden="1" customHeight="1" x14ac:dyDescent="0.2"/>
    <row r="45682" ht="12.75" hidden="1" customHeight="1" x14ac:dyDescent="0.2"/>
    <row r="45683" ht="12.75" hidden="1" customHeight="1" x14ac:dyDescent="0.2"/>
    <row r="45684" ht="12.75" hidden="1" customHeight="1" x14ac:dyDescent="0.2"/>
    <row r="45685" ht="12.75" hidden="1" customHeight="1" x14ac:dyDescent="0.2"/>
    <row r="45686" ht="12.75" hidden="1" customHeight="1" x14ac:dyDescent="0.2"/>
    <row r="45687" ht="12.75" hidden="1" customHeight="1" x14ac:dyDescent="0.2"/>
    <row r="45688" ht="12.75" hidden="1" customHeight="1" x14ac:dyDescent="0.2"/>
    <row r="45689" ht="12.75" hidden="1" customHeight="1" x14ac:dyDescent="0.2"/>
    <row r="45690" ht="12.75" hidden="1" customHeight="1" x14ac:dyDescent="0.2"/>
    <row r="45691" ht="12.75" hidden="1" customHeight="1" x14ac:dyDescent="0.2"/>
    <row r="45692" ht="12.75" hidden="1" customHeight="1" x14ac:dyDescent="0.2"/>
    <row r="45693" ht="12.75" hidden="1" customHeight="1" x14ac:dyDescent="0.2"/>
    <row r="45694" ht="12.75" hidden="1" customHeight="1" x14ac:dyDescent="0.2"/>
    <row r="45695" ht="12.75" hidden="1" customHeight="1" x14ac:dyDescent="0.2"/>
    <row r="45696" ht="12.75" hidden="1" customHeight="1" x14ac:dyDescent="0.2"/>
    <row r="45697" ht="12.75" hidden="1" customHeight="1" x14ac:dyDescent="0.2"/>
    <row r="45698" ht="12.75" hidden="1" customHeight="1" x14ac:dyDescent="0.2"/>
    <row r="45699" ht="12.75" hidden="1" customHeight="1" x14ac:dyDescent="0.2"/>
    <row r="45700" ht="12.75" hidden="1" customHeight="1" x14ac:dyDescent="0.2"/>
    <row r="45701" ht="12.75" hidden="1" customHeight="1" x14ac:dyDescent="0.2"/>
    <row r="45702" ht="12.75" hidden="1" customHeight="1" x14ac:dyDescent="0.2"/>
    <row r="45703" ht="12.75" hidden="1" customHeight="1" x14ac:dyDescent="0.2"/>
    <row r="45704" ht="12.75" hidden="1" customHeight="1" x14ac:dyDescent="0.2"/>
    <row r="45705" ht="12.75" hidden="1" customHeight="1" x14ac:dyDescent="0.2"/>
    <row r="45706" ht="12.75" hidden="1" customHeight="1" x14ac:dyDescent="0.2"/>
    <row r="45707" ht="12.75" hidden="1" customHeight="1" x14ac:dyDescent="0.2"/>
    <row r="45708" ht="12.75" hidden="1" customHeight="1" x14ac:dyDescent="0.2"/>
    <row r="45709" ht="12.75" hidden="1" customHeight="1" x14ac:dyDescent="0.2"/>
    <row r="45710" ht="12.75" hidden="1" customHeight="1" x14ac:dyDescent="0.2"/>
    <row r="45711" ht="12.75" hidden="1" customHeight="1" x14ac:dyDescent="0.2"/>
    <row r="45712" ht="12.75" hidden="1" customHeight="1" x14ac:dyDescent="0.2"/>
    <row r="45713" ht="12.75" hidden="1" customHeight="1" x14ac:dyDescent="0.2"/>
    <row r="45714" ht="12.75" hidden="1" customHeight="1" x14ac:dyDescent="0.2"/>
    <row r="45715" ht="12.75" hidden="1" customHeight="1" x14ac:dyDescent="0.2"/>
    <row r="45716" ht="12.75" hidden="1" customHeight="1" x14ac:dyDescent="0.2"/>
    <row r="45717" ht="12.75" hidden="1" customHeight="1" x14ac:dyDescent="0.2"/>
    <row r="45718" ht="12.75" hidden="1" customHeight="1" x14ac:dyDescent="0.2"/>
    <row r="45719" ht="12.75" hidden="1" customHeight="1" x14ac:dyDescent="0.2"/>
    <row r="45720" ht="12.75" hidden="1" customHeight="1" x14ac:dyDescent="0.2"/>
    <row r="45721" ht="12.75" hidden="1" customHeight="1" x14ac:dyDescent="0.2"/>
    <row r="45722" ht="12.75" hidden="1" customHeight="1" x14ac:dyDescent="0.2"/>
    <row r="45723" ht="12.75" hidden="1" customHeight="1" x14ac:dyDescent="0.2"/>
    <row r="45724" ht="12.75" hidden="1" customHeight="1" x14ac:dyDescent="0.2"/>
    <row r="45725" ht="12.75" hidden="1" customHeight="1" x14ac:dyDescent="0.2"/>
    <row r="45726" ht="12.75" hidden="1" customHeight="1" x14ac:dyDescent="0.2"/>
    <row r="45727" ht="12.75" hidden="1" customHeight="1" x14ac:dyDescent="0.2"/>
    <row r="45728" ht="12.75" hidden="1" customHeight="1" x14ac:dyDescent="0.2"/>
    <row r="45729" ht="12.75" hidden="1" customHeight="1" x14ac:dyDescent="0.2"/>
    <row r="45730" ht="12.75" hidden="1" customHeight="1" x14ac:dyDescent="0.2"/>
    <row r="45731" ht="12.75" hidden="1" customHeight="1" x14ac:dyDescent="0.2"/>
    <row r="45732" ht="12.75" hidden="1" customHeight="1" x14ac:dyDescent="0.2"/>
    <row r="45733" ht="12.75" hidden="1" customHeight="1" x14ac:dyDescent="0.2"/>
    <row r="45734" ht="12.75" hidden="1" customHeight="1" x14ac:dyDescent="0.2"/>
    <row r="45735" ht="12.75" hidden="1" customHeight="1" x14ac:dyDescent="0.2"/>
    <row r="45736" ht="12.75" hidden="1" customHeight="1" x14ac:dyDescent="0.2"/>
    <row r="45737" ht="12.75" hidden="1" customHeight="1" x14ac:dyDescent="0.2"/>
    <row r="45738" ht="12.75" hidden="1" customHeight="1" x14ac:dyDescent="0.2"/>
    <row r="45739" ht="12.75" hidden="1" customHeight="1" x14ac:dyDescent="0.2"/>
    <row r="45740" ht="12.75" hidden="1" customHeight="1" x14ac:dyDescent="0.2"/>
    <row r="45741" ht="12.75" hidden="1" customHeight="1" x14ac:dyDescent="0.2"/>
    <row r="45742" ht="12.75" hidden="1" customHeight="1" x14ac:dyDescent="0.2"/>
    <row r="45743" ht="12.75" hidden="1" customHeight="1" x14ac:dyDescent="0.2"/>
    <row r="45744" ht="12.75" hidden="1" customHeight="1" x14ac:dyDescent="0.2"/>
    <row r="45745" ht="12.75" hidden="1" customHeight="1" x14ac:dyDescent="0.2"/>
    <row r="45746" ht="12.75" hidden="1" customHeight="1" x14ac:dyDescent="0.2"/>
    <row r="45747" ht="12.75" hidden="1" customHeight="1" x14ac:dyDescent="0.2"/>
    <row r="45748" ht="12.75" hidden="1" customHeight="1" x14ac:dyDescent="0.2"/>
    <row r="45749" ht="12.75" hidden="1" customHeight="1" x14ac:dyDescent="0.2"/>
    <row r="45750" ht="12.75" hidden="1" customHeight="1" x14ac:dyDescent="0.2"/>
    <row r="45751" ht="12.75" hidden="1" customHeight="1" x14ac:dyDescent="0.2"/>
    <row r="45752" ht="12.75" hidden="1" customHeight="1" x14ac:dyDescent="0.2"/>
    <row r="45753" ht="12.75" hidden="1" customHeight="1" x14ac:dyDescent="0.2"/>
    <row r="45754" ht="12.75" hidden="1" customHeight="1" x14ac:dyDescent="0.2"/>
    <row r="45755" ht="12.75" hidden="1" customHeight="1" x14ac:dyDescent="0.2"/>
    <row r="45756" ht="12.75" hidden="1" customHeight="1" x14ac:dyDescent="0.2"/>
    <row r="45757" ht="12.75" hidden="1" customHeight="1" x14ac:dyDescent="0.2"/>
    <row r="45758" ht="12.75" hidden="1" customHeight="1" x14ac:dyDescent="0.2"/>
    <row r="45759" ht="12.75" hidden="1" customHeight="1" x14ac:dyDescent="0.2"/>
    <row r="45760" ht="12.75" hidden="1" customHeight="1" x14ac:dyDescent="0.2"/>
    <row r="45761" ht="12.75" hidden="1" customHeight="1" x14ac:dyDescent="0.2"/>
    <row r="45762" ht="12.75" hidden="1" customHeight="1" x14ac:dyDescent="0.2"/>
    <row r="45763" ht="12.75" hidden="1" customHeight="1" x14ac:dyDescent="0.2"/>
    <row r="45764" ht="12.75" hidden="1" customHeight="1" x14ac:dyDescent="0.2"/>
    <row r="45765" ht="12.75" hidden="1" customHeight="1" x14ac:dyDescent="0.2"/>
    <row r="45766" ht="12.75" hidden="1" customHeight="1" x14ac:dyDescent="0.2"/>
    <row r="45767" ht="12.75" hidden="1" customHeight="1" x14ac:dyDescent="0.2"/>
    <row r="45768" ht="12.75" hidden="1" customHeight="1" x14ac:dyDescent="0.2"/>
    <row r="45769" ht="12.75" hidden="1" customHeight="1" x14ac:dyDescent="0.2"/>
    <row r="45770" ht="12.75" hidden="1" customHeight="1" x14ac:dyDescent="0.2"/>
    <row r="45771" ht="12.75" hidden="1" customHeight="1" x14ac:dyDescent="0.2"/>
    <row r="45772" ht="12.75" hidden="1" customHeight="1" x14ac:dyDescent="0.2"/>
    <row r="45773" ht="12.75" hidden="1" customHeight="1" x14ac:dyDescent="0.2"/>
    <row r="45774" ht="12.75" hidden="1" customHeight="1" x14ac:dyDescent="0.2"/>
    <row r="45775" ht="12.75" hidden="1" customHeight="1" x14ac:dyDescent="0.2"/>
    <row r="45776" ht="12.75" hidden="1" customHeight="1" x14ac:dyDescent="0.2"/>
    <row r="45777" ht="12.75" hidden="1" customHeight="1" x14ac:dyDescent="0.2"/>
    <row r="45778" ht="12.75" hidden="1" customHeight="1" x14ac:dyDescent="0.2"/>
    <row r="45779" ht="12.75" hidden="1" customHeight="1" x14ac:dyDescent="0.2"/>
    <row r="45780" ht="12.75" hidden="1" customHeight="1" x14ac:dyDescent="0.2"/>
    <row r="45781" ht="12.75" hidden="1" customHeight="1" x14ac:dyDescent="0.2"/>
    <row r="45782" ht="12.75" hidden="1" customHeight="1" x14ac:dyDescent="0.2"/>
    <row r="45783" ht="12.75" hidden="1" customHeight="1" x14ac:dyDescent="0.2"/>
    <row r="45784" ht="12.75" hidden="1" customHeight="1" x14ac:dyDescent="0.2"/>
    <row r="45785" ht="12.75" hidden="1" customHeight="1" x14ac:dyDescent="0.2"/>
    <row r="45786" ht="12.75" hidden="1" customHeight="1" x14ac:dyDescent="0.2"/>
    <row r="45787" ht="12.75" hidden="1" customHeight="1" x14ac:dyDescent="0.2"/>
    <row r="45788" ht="12.75" hidden="1" customHeight="1" x14ac:dyDescent="0.2"/>
    <row r="45789" ht="12.75" hidden="1" customHeight="1" x14ac:dyDescent="0.2"/>
    <row r="45790" ht="12.75" hidden="1" customHeight="1" x14ac:dyDescent="0.2"/>
    <row r="45791" ht="12.75" hidden="1" customHeight="1" x14ac:dyDescent="0.2"/>
    <row r="45792" ht="12.75" hidden="1" customHeight="1" x14ac:dyDescent="0.2"/>
    <row r="45793" ht="12.75" hidden="1" customHeight="1" x14ac:dyDescent="0.2"/>
    <row r="45794" ht="12.75" hidden="1" customHeight="1" x14ac:dyDescent="0.2"/>
    <row r="45795" ht="12.75" hidden="1" customHeight="1" x14ac:dyDescent="0.2"/>
    <row r="45796" ht="12.75" hidden="1" customHeight="1" x14ac:dyDescent="0.2"/>
    <row r="45797" ht="12.75" hidden="1" customHeight="1" x14ac:dyDescent="0.2"/>
    <row r="45798" ht="12.75" hidden="1" customHeight="1" x14ac:dyDescent="0.2"/>
    <row r="45799" ht="12.75" hidden="1" customHeight="1" x14ac:dyDescent="0.2"/>
    <row r="45800" ht="12.75" hidden="1" customHeight="1" x14ac:dyDescent="0.2"/>
    <row r="45801" ht="12.75" hidden="1" customHeight="1" x14ac:dyDescent="0.2"/>
    <row r="45802" ht="12.75" hidden="1" customHeight="1" x14ac:dyDescent="0.2"/>
    <row r="45803" ht="12.75" hidden="1" customHeight="1" x14ac:dyDescent="0.2"/>
    <row r="45804" ht="12.75" hidden="1" customHeight="1" x14ac:dyDescent="0.2"/>
    <row r="45805" ht="12.75" hidden="1" customHeight="1" x14ac:dyDescent="0.2"/>
    <row r="45806" ht="12.75" hidden="1" customHeight="1" x14ac:dyDescent="0.2"/>
    <row r="45807" ht="12.75" hidden="1" customHeight="1" x14ac:dyDescent="0.2"/>
    <row r="45808" ht="12.75" hidden="1" customHeight="1" x14ac:dyDescent="0.2"/>
    <row r="45809" ht="12.75" hidden="1" customHeight="1" x14ac:dyDescent="0.2"/>
    <row r="45810" ht="12.75" hidden="1" customHeight="1" x14ac:dyDescent="0.2"/>
    <row r="45811" ht="12.75" hidden="1" customHeight="1" x14ac:dyDescent="0.2"/>
    <row r="45812" ht="12.75" hidden="1" customHeight="1" x14ac:dyDescent="0.2"/>
    <row r="45813" ht="12.75" hidden="1" customHeight="1" x14ac:dyDescent="0.2"/>
    <row r="45814" ht="12.75" hidden="1" customHeight="1" x14ac:dyDescent="0.2"/>
    <row r="45815" ht="12.75" hidden="1" customHeight="1" x14ac:dyDescent="0.2"/>
    <row r="45816" ht="12.75" hidden="1" customHeight="1" x14ac:dyDescent="0.2"/>
    <row r="45817" ht="12.75" hidden="1" customHeight="1" x14ac:dyDescent="0.2"/>
    <row r="45818" ht="12.75" hidden="1" customHeight="1" x14ac:dyDescent="0.2"/>
    <row r="45819" ht="12.75" hidden="1" customHeight="1" x14ac:dyDescent="0.2"/>
    <row r="45820" ht="12.75" hidden="1" customHeight="1" x14ac:dyDescent="0.2"/>
    <row r="45821" ht="12.75" hidden="1" customHeight="1" x14ac:dyDescent="0.2"/>
    <row r="45822" ht="12.75" hidden="1" customHeight="1" x14ac:dyDescent="0.2"/>
    <row r="45823" ht="12.75" hidden="1" customHeight="1" x14ac:dyDescent="0.2"/>
    <row r="45824" ht="12.75" hidden="1" customHeight="1" x14ac:dyDescent="0.2"/>
    <row r="45825" ht="12.75" hidden="1" customHeight="1" x14ac:dyDescent="0.2"/>
    <row r="45826" ht="12.75" hidden="1" customHeight="1" x14ac:dyDescent="0.2"/>
    <row r="45827" ht="12.75" hidden="1" customHeight="1" x14ac:dyDescent="0.2"/>
    <row r="45828" ht="12.75" hidden="1" customHeight="1" x14ac:dyDescent="0.2"/>
    <row r="45829" ht="12.75" hidden="1" customHeight="1" x14ac:dyDescent="0.2"/>
    <row r="45830" ht="12.75" hidden="1" customHeight="1" x14ac:dyDescent="0.2"/>
    <row r="45831" ht="12.75" hidden="1" customHeight="1" x14ac:dyDescent="0.2"/>
    <row r="45832" ht="12.75" hidden="1" customHeight="1" x14ac:dyDescent="0.2"/>
    <row r="45833" ht="12.75" hidden="1" customHeight="1" x14ac:dyDescent="0.2"/>
    <row r="45834" ht="12.75" hidden="1" customHeight="1" x14ac:dyDescent="0.2"/>
    <row r="45835" ht="12.75" hidden="1" customHeight="1" x14ac:dyDescent="0.2"/>
    <row r="45836" ht="12.75" hidden="1" customHeight="1" x14ac:dyDescent="0.2"/>
    <row r="45837" ht="12.75" hidden="1" customHeight="1" x14ac:dyDescent="0.2"/>
    <row r="45838" ht="12.75" hidden="1" customHeight="1" x14ac:dyDescent="0.2"/>
    <row r="45839" ht="12.75" hidden="1" customHeight="1" x14ac:dyDescent="0.2"/>
    <row r="45840" ht="12.75" hidden="1" customHeight="1" x14ac:dyDescent="0.2"/>
    <row r="45841" ht="12.75" hidden="1" customHeight="1" x14ac:dyDescent="0.2"/>
    <row r="45842" ht="12.75" hidden="1" customHeight="1" x14ac:dyDescent="0.2"/>
    <row r="45843" ht="12.75" hidden="1" customHeight="1" x14ac:dyDescent="0.2"/>
    <row r="45844" ht="12.75" hidden="1" customHeight="1" x14ac:dyDescent="0.2"/>
    <row r="45845" ht="12.75" hidden="1" customHeight="1" x14ac:dyDescent="0.2"/>
    <row r="45846" ht="12.75" hidden="1" customHeight="1" x14ac:dyDescent="0.2"/>
    <row r="45847" ht="12.75" hidden="1" customHeight="1" x14ac:dyDescent="0.2"/>
    <row r="45848" ht="12.75" hidden="1" customHeight="1" x14ac:dyDescent="0.2"/>
    <row r="45849" ht="12.75" hidden="1" customHeight="1" x14ac:dyDescent="0.2"/>
    <row r="45850" ht="12.75" hidden="1" customHeight="1" x14ac:dyDescent="0.2"/>
    <row r="45851" ht="12.75" hidden="1" customHeight="1" x14ac:dyDescent="0.2"/>
    <row r="45852" ht="12.75" hidden="1" customHeight="1" x14ac:dyDescent="0.2"/>
    <row r="45853" ht="12.75" hidden="1" customHeight="1" x14ac:dyDescent="0.2"/>
    <row r="45854" ht="12.75" hidden="1" customHeight="1" x14ac:dyDescent="0.2"/>
    <row r="45855" ht="12.75" hidden="1" customHeight="1" x14ac:dyDescent="0.2"/>
    <row r="45856" ht="12.75" hidden="1" customHeight="1" x14ac:dyDescent="0.2"/>
    <row r="45857" ht="12.75" hidden="1" customHeight="1" x14ac:dyDescent="0.2"/>
    <row r="45858" ht="12.75" hidden="1" customHeight="1" x14ac:dyDescent="0.2"/>
    <row r="45859" ht="12.75" hidden="1" customHeight="1" x14ac:dyDescent="0.2"/>
    <row r="45860" ht="12.75" hidden="1" customHeight="1" x14ac:dyDescent="0.2"/>
    <row r="45861" ht="12.75" hidden="1" customHeight="1" x14ac:dyDescent="0.2"/>
    <row r="45862" ht="12.75" hidden="1" customHeight="1" x14ac:dyDescent="0.2"/>
    <row r="45863" ht="12.75" hidden="1" customHeight="1" x14ac:dyDescent="0.2"/>
    <row r="45864" ht="12.75" hidden="1" customHeight="1" x14ac:dyDescent="0.2"/>
    <row r="45865" ht="12.75" hidden="1" customHeight="1" x14ac:dyDescent="0.2"/>
    <row r="45866" ht="12.75" hidden="1" customHeight="1" x14ac:dyDescent="0.2"/>
    <row r="45867" ht="12.75" hidden="1" customHeight="1" x14ac:dyDescent="0.2"/>
    <row r="45868" ht="12.75" hidden="1" customHeight="1" x14ac:dyDescent="0.2"/>
    <row r="45869" ht="12.75" hidden="1" customHeight="1" x14ac:dyDescent="0.2"/>
    <row r="45870" ht="12.75" hidden="1" customHeight="1" x14ac:dyDescent="0.2"/>
    <row r="45871" ht="12.75" hidden="1" customHeight="1" x14ac:dyDescent="0.2"/>
    <row r="45872" ht="12.75" hidden="1" customHeight="1" x14ac:dyDescent="0.2"/>
    <row r="45873" ht="12.75" hidden="1" customHeight="1" x14ac:dyDescent="0.2"/>
    <row r="45874" ht="12.75" hidden="1" customHeight="1" x14ac:dyDescent="0.2"/>
    <row r="45875" ht="12.75" hidden="1" customHeight="1" x14ac:dyDescent="0.2"/>
    <row r="45876" ht="12.75" hidden="1" customHeight="1" x14ac:dyDescent="0.2"/>
    <row r="45877" ht="12.75" hidden="1" customHeight="1" x14ac:dyDescent="0.2"/>
    <row r="45878" ht="12.75" hidden="1" customHeight="1" x14ac:dyDescent="0.2"/>
    <row r="45879" ht="12.75" hidden="1" customHeight="1" x14ac:dyDescent="0.2"/>
    <row r="45880" ht="12.75" hidden="1" customHeight="1" x14ac:dyDescent="0.2"/>
    <row r="45881" ht="12.75" hidden="1" customHeight="1" x14ac:dyDescent="0.2"/>
    <row r="45882" ht="12.75" hidden="1" customHeight="1" x14ac:dyDescent="0.2"/>
    <row r="45883" ht="12.75" hidden="1" customHeight="1" x14ac:dyDescent="0.2"/>
    <row r="45884" ht="12.75" hidden="1" customHeight="1" x14ac:dyDescent="0.2"/>
    <row r="45885" ht="12.75" hidden="1" customHeight="1" x14ac:dyDescent="0.2"/>
    <row r="45886" ht="12.75" hidden="1" customHeight="1" x14ac:dyDescent="0.2"/>
    <row r="45887" ht="12.75" hidden="1" customHeight="1" x14ac:dyDescent="0.2"/>
    <row r="45888" ht="12.75" hidden="1" customHeight="1" x14ac:dyDescent="0.2"/>
    <row r="45889" ht="12.75" hidden="1" customHeight="1" x14ac:dyDescent="0.2"/>
    <row r="45890" ht="12.75" hidden="1" customHeight="1" x14ac:dyDescent="0.2"/>
    <row r="45891" ht="12.75" hidden="1" customHeight="1" x14ac:dyDescent="0.2"/>
    <row r="45892" ht="12.75" hidden="1" customHeight="1" x14ac:dyDescent="0.2"/>
    <row r="45893" ht="12.75" hidden="1" customHeight="1" x14ac:dyDescent="0.2"/>
    <row r="45894" ht="12.75" hidden="1" customHeight="1" x14ac:dyDescent="0.2"/>
    <row r="45895" ht="12.75" hidden="1" customHeight="1" x14ac:dyDescent="0.2"/>
    <row r="45896" ht="12.75" hidden="1" customHeight="1" x14ac:dyDescent="0.2"/>
    <row r="45897" ht="12.75" hidden="1" customHeight="1" x14ac:dyDescent="0.2"/>
    <row r="45898" ht="12.75" hidden="1" customHeight="1" x14ac:dyDescent="0.2"/>
    <row r="45899" ht="12.75" hidden="1" customHeight="1" x14ac:dyDescent="0.2"/>
    <row r="45900" ht="12.75" hidden="1" customHeight="1" x14ac:dyDescent="0.2"/>
    <row r="45901" ht="12.75" hidden="1" customHeight="1" x14ac:dyDescent="0.2"/>
    <row r="45902" ht="12.75" hidden="1" customHeight="1" x14ac:dyDescent="0.2"/>
    <row r="45903" ht="12.75" hidden="1" customHeight="1" x14ac:dyDescent="0.2"/>
    <row r="45904" ht="12.75" hidden="1" customHeight="1" x14ac:dyDescent="0.2"/>
    <row r="45905" ht="12.75" hidden="1" customHeight="1" x14ac:dyDescent="0.2"/>
    <row r="45906" ht="12.75" hidden="1" customHeight="1" x14ac:dyDescent="0.2"/>
    <row r="45907" ht="12.75" hidden="1" customHeight="1" x14ac:dyDescent="0.2"/>
    <row r="45908" ht="12.75" hidden="1" customHeight="1" x14ac:dyDescent="0.2"/>
    <row r="45909" ht="12.75" hidden="1" customHeight="1" x14ac:dyDescent="0.2"/>
    <row r="45910" ht="12.75" hidden="1" customHeight="1" x14ac:dyDescent="0.2"/>
    <row r="45911" ht="12.75" hidden="1" customHeight="1" x14ac:dyDescent="0.2"/>
    <row r="45912" ht="12.75" hidden="1" customHeight="1" x14ac:dyDescent="0.2"/>
    <row r="45913" ht="12.75" hidden="1" customHeight="1" x14ac:dyDescent="0.2"/>
    <row r="45914" ht="12.75" hidden="1" customHeight="1" x14ac:dyDescent="0.2"/>
    <row r="45915" ht="12.75" hidden="1" customHeight="1" x14ac:dyDescent="0.2"/>
    <row r="45916" ht="12.75" hidden="1" customHeight="1" x14ac:dyDescent="0.2"/>
    <row r="45917" ht="12.75" hidden="1" customHeight="1" x14ac:dyDescent="0.2"/>
    <row r="45918" ht="12.75" hidden="1" customHeight="1" x14ac:dyDescent="0.2"/>
    <row r="45919" ht="12.75" hidden="1" customHeight="1" x14ac:dyDescent="0.2"/>
    <row r="45920" ht="12.75" hidden="1" customHeight="1" x14ac:dyDescent="0.2"/>
    <row r="45921" ht="12.75" hidden="1" customHeight="1" x14ac:dyDescent="0.2"/>
    <row r="45922" ht="12.75" hidden="1" customHeight="1" x14ac:dyDescent="0.2"/>
    <row r="45923" ht="12.75" hidden="1" customHeight="1" x14ac:dyDescent="0.2"/>
    <row r="45924" ht="12.75" hidden="1" customHeight="1" x14ac:dyDescent="0.2"/>
    <row r="45925" ht="12.75" hidden="1" customHeight="1" x14ac:dyDescent="0.2"/>
    <row r="45926" ht="12.75" hidden="1" customHeight="1" x14ac:dyDescent="0.2"/>
    <row r="45927" ht="12.75" hidden="1" customHeight="1" x14ac:dyDescent="0.2"/>
    <row r="45928" ht="12.75" hidden="1" customHeight="1" x14ac:dyDescent="0.2"/>
    <row r="45929" ht="12.75" hidden="1" customHeight="1" x14ac:dyDescent="0.2"/>
    <row r="45930" ht="12.75" hidden="1" customHeight="1" x14ac:dyDescent="0.2"/>
    <row r="45931" ht="12.75" hidden="1" customHeight="1" x14ac:dyDescent="0.2"/>
    <row r="45932" ht="12.75" hidden="1" customHeight="1" x14ac:dyDescent="0.2"/>
    <row r="45933" ht="12.75" hidden="1" customHeight="1" x14ac:dyDescent="0.2"/>
    <row r="45934" ht="12.75" hidden="1" customHeight="1" x14ac:dyDescent="0.2"/>
    <row r="45935" ht="12.75" hidden="1" customHeight="1" x14ac:dyDescent="0.2"/>
    <row r="45936" ht="12.75" hidden="1" customHeight="1" x14ac:dyDescent="0.2"/>
    <row r="45937" ht="12.75" hidden="1" customHeight="1" x14ac:dyDescent="0.2"/>
    <row r="45938" ht="12.75" hidden="1" customHeight="1" x14ac:dyDescent="0.2"/>
    <row r="45939" ht="12.75" hidden="1" customHeight="1" x14ac:dyDescent="0.2"/>
    <row r="45940" ht="12.75" hidden="1" customHeight="1" x14ac:dyDescent="0.2"/>
    <row r="45941" ht="12.75" hidden="1" customHeight="1" x14ac:dyDescent="0.2"/>
    <row r="45942" ht="12.75" hidden="1" customHeight="1" x14ac:dyDescent="0.2"/>
    <row r="45943" ht="12.75" hidden="1" customHeight="1" x14ac:dyDescent="0.2"/>
    <row r="45944" ht="12.75" hidden="1" customHeight="1" x14ac:dyDescent="0.2"/>
    <row r="45945" ht="12.75" hidden="1" customHeight="1" x14ac:dyDescent="0.2"/>
    <row r="45946" ht="12.75" hidden="1" customHeight="1" x14ac:dyDescent="0.2"/>
    <row r="45947" ht="12.75" hidden="1" customHeight="1" x14ac:dyDescent="0.2"/>
    <row r="45948" ht="12.75" hidden="1" customHeight="1" x14ac:dyDescent="0.2"/>
    <row r="45949" ht="12.75" hidden="1" customHeight="1" x14ac:dyDescent="0.2"/>
    <row r="45950" ht="12.75" hidden="1" customHeight="1" x14ac:dyDescent="0.2"/>
    <row r="45951" ht="12.75" hidden="1" customHeight="1" x14ac:dyDescent="0.2"/>
    <row r="45952" ht="12.75" hidden="1" customHeight="1" x14ac:dyDescent="0.2"/>
    <row r="45953" ht="12.75" hidden="1" customHeight="1" x14ac:dyDescent="0.2"/>
    <row r="45954" ht="12.75" hidden="1" customHeight="1" x14ac:dyDescent="0.2"/>
    <row r="45955" ht="12.75" hidden="1" customHeight="1" x14ac:dyDescent="0.2"/>
    <row r="45956" ht="12.75" hidden="1" customHeight="1" x14ac:dyDescent="0.2"/>
    <row r="45957" ht="12.75" hidden="1" customHeight="1" x14ac:dyDescent="0.2"/>
    <row r="45958" ht="12.75" hidden="1" customHeight="1" x14ac:dyDescent="0.2"/>
    <row r="45959" ht="12.75" hidden="1" customHeight="1" x14ac:dyDescent="0.2"/>
    <row r="45960" ht="12.75" hidden="1" customHeight="1" x14ac:dyDescent="0.2"/>
    <row r="45961" ht="12.75" hidden="1" customHeight="1" x14ac:dyDescent="0.2"/>
    <row r="45962" ht="12.75" hidden="1" customHeight="1" x14ac:dyDescent="0.2"/>
    <row r="45963" ht="12.75" hidden="1" customHeight="1" x14ac:dyDescent="0.2"/>
    <row r="45964" ht="12.75" hidden="1" customHeight="1" x14ac:dyDescent="0.2"/>
    <row r="45965" ht="12.75" hidden="1" customHeight="1" x14ac:dyDescent="0.2"/>
    <row r="45966" ht="12.75" hidden="1" customHeight="1" x14ac:dyDescent="0.2"/>
    <row r="45967" ht="12.75" hidden="1" customHeight="1" x14ac:dyDescent="0.2"/>
    <row r="45968" ht="12.75" hidden="1" customHeight="1" x14ac:dyDescent="0.2"/>
    <row r="45969" ht="12.75" hidden="1" customHeight="1" x14ac:dyDescent="0.2"/>
    <row r="45970" ht="12.75" hidden="1" customHeight="1" x14ac:dyDescent="0.2"/>
    <row r="45971" ht="12.75" hidden="1" customHeight="1" x14ac:dyDescent="0.2"/>
    <row r="45972" ht="12.75" hidden="1" customHeight="1" x14ac:dyDescent="0.2"/>
    <row r="45973" ht="12.75" hidden="1" customHeight="1" x14ac:dyDescent="0.2"/>
    <row r="45974" ht="12.75" hidden="1" customHeight="1" x14ac:dyDescent="0.2"/>
    <row r="45975" ht="12.75" hidden="1" customHeight="1" x14ac:dyDescent="0.2"/>
    <row r="45976" ht="12.75" hidden="1" customHeight="1" x14ac:dyDescent="0.2"/>
    <row r="45977" ht="12.75" hidden="1" customHeight="1" x14ac:dyDescent="0.2"/>
    <row r="45978" ht="12.75" hidden="1" customHeight="1" x14ac:dyDescent="0.2"/>
    <row r="45979" ht="12.75" hidden="1" customHeight="1" x14ac:dyDescent="0.2"/>
    <row r="45980" ht="12.75" hidden="1" customHeight="1" x14ac:dyDescent="0.2"/>
    <row r="45981" ht="12.75" hidden="1" customHeight="1" x14ac:dyDescent="0.2"/>
    <row r="45982" ht="12.75" hidden="1" customHeight="1" x14ac:dyDescent="0.2"/>
    <row r="45983" ht="12.75" hidden="1" customHeight="1" x14ac:dyDescent="0.2"/>
    <row r="45984" ht="12.75" hidden="1" customHeight="1" x14ac:dyDescent="0.2"/>
    <row r="45985" ht="12.75" hidden="1" customHeight="1" x14ac:dyDescent="0.2"/>
    <row r="45986" ht="12.75" hidden="1" customHeight="1" x14ac:dyDescent="0.2"/>
    <row r="45987" ht="12.75" hidden="1" customHeight="1" x14ac:dyDescent="0.2"/>
    <row r="45988" ht="12.75" hidden="1" customHeight="1" x14ac:dyDescent="0.2"/>
    <row r="45989" ht="12.75" hidden="1" customHeight="1" x14ac:dyDescent="0.2"/>
    <row r="45990" ht="12.75" hidden="1" customHeight="1" x14ac:dyDescent="0.2"/>
    <row r="45991" ht="12.75" hidden="1" customHeight="1" x14ac:dyDescent="0.2"/>
    <row r="45992" ht="12.75" hidden="1" customHeight="1" x14ac:dyDescent="0.2"/>
    <row r="45993" ht="12.75" hidden="1" customHeight="1" x14ac:dyDescent="0.2"/>
    <row r="45994" ht="12.75" hidden="1" customHeight="1" x14ac:dyDescent="0.2"/>
    <row r="45995" ht="12.75" hidden="1" customHeight="1" x14ac:dyDescent="0.2"/>
    <row r="45996" ht="12.75" hidden="1" customHeight="1" x14ac:dyDescent="0.2"/>
    <row r="45997" ht="12.75" hidden="1" customHeight="1" x14ac:dyDescent="0.2"/>
    <row r="45998" ht="12.75" hidden="1" customHeight="1" x14ac:dyDescent="0.2"/>
    <row r="45999" ht="12.75" hidden="1" customHeight="1" x14ac:dyDescent="0.2"/>
    <row r="46000" ht="12.75" hidden="1" customHeight="1" x14ac:dyDescent="0.2"/>
    <row r="46001" ht="12.75" hidden="1" customHeight="1" x14ac:dyDescent="0.2"/>
    <row r="46002" ht="12.75" hidden="1" customHeight="1" x14ac:dyDescent="0.2"/>
    <row r="46003" ht="12.75" hidden="1" customHeight="1" x14ac:dyDescent="0.2"/>
    <row r="46004" ht="12.75" hidden="1" customHeight="1" x14ac:dyDescent="0.2"/>
    <row r="46005" ht="12.75" hidden="1" customHeight="1" x14ac:dyDescent="0.2"/>
    <row r="46006" ht="12.75" hidden="1" customHeight="1" x14ac:dyDescent="0.2"/>
    <row r="46007" ht="12.75" hidden="1" customHeight="1" x14ac:dyDescent="0.2"/>
    <row r="46008" ht="12.75" hidden="1" customHeight="1" x14ac:dyDescent="0.2"/>
    <row r="46009" ht="12.75" hidden="1" customHeight="1" x14ac:dyDescent="0.2"/>
    <row r="46010" ht="12.75" hidden="1" customHeight="1" x14ac:dyDescent="0.2"/>
    <row r="46011" ht="12.75" hidden="1" customHeight="1" x14ac:dyDescent="0.2"/>
    <row r="46012" ht="12.75" hidden="1" customHeight="1" x14ac:dyDescent="0.2"/>
    <row r="46013" ht="12.75" hidden="1" customHeight="1" x14ac:dyDescent="0.2"/>
    <row r="46014" ht="12.75" hidden="1" customHeight="1" x14ac:dyDescent="0.2"/>
    <row r="46015" ht="12.75" hidden="1" customHeight="1" x14ac:dyDescent="0.2"/>
    <row r="46016" ht="12.75" hidden="1" customHeight="1" x14ac:dyDescent="0.2"/>
    <row r="46017" ht="12.75" hidden="1" customHeight="1" x14ac:dyDescent="0.2"/>
    <row r="46018" ht="12.75" hidden="1" customHeight="1" x14ac:dyDescent="0.2"/>
    <row r="46019" ht="12.75" hidden="1" customHeight="1" x14ac:dyDescent="0.2"/>
    <row r="46020" ht="12.75" hidden="1" customHeight="1" x14ac:dyDescent="0.2"/>
    <row r="46021" ht="12.75" hidden="1" customHeight="1" x14ac:dyDescent="0.2"/>
    <row r="46022" ht="12.75" hidden="1" customHeight="1" x14ac:dyDescent="0.2"/>
    <row r="46023" ht="12.75" hidden="1" customHeight="1" x14ac:dyDescent="0.2"/>
    <row r="46024" ht="12.75" hidden="1" customHeight="1" x14ac:dyDescent="0.2"/>
    <row r="46025" ht="12.75" hidden="1" customHeight="1" x14ac:dyDescent="0.2"/>
    <row r="46026" ht="12.75" hidden="1" customHeight="1" x14ac:dyDescent="0.2"/>
    <row r="46027" ht="12.75" hidden="1" customHeight="1" x14ac:dyDescent="0.2"/>
    <row r="46028" ht="12.75" hidden="1" customHeight="1" x14ac:dyDescent="0.2"/>
    <row r="46029" ht="12.75" hidden="1" customHeight="1" x14ac:dyDescent="0.2"/>
    <row r="46030" ht="12.75" hidden="1" customHeight="1" x14ac:dyDescent="0.2"/>
    <row r="46031" ht="12.75" hidden="1" customHeight="1" x14ac:dyDescent="0.2"/>
    <row r="46032" ht="12.75" hidden="1" customHeight="1" x14ac:dyDescent="0.2"/>
    <row r="46033" ht="12.75" hidden="1" customHeight="1" x14ac:dyDescent="0.2"/>
    <row r="46034" ht="12.75" hidden="1" customHeight="1" x14ac:dyDescent="0.2"/>
    <row r="46035" ht="12.75" hidden="1" customHeight="1" x14ac:dyDescent="0.2"/>
    <row r="46036" ht="12.75" hidden="1" customHeight="1" x14ac:dyDescent="0.2"/>
    <row r="46037" ht="12.75" hidden="1" customHeight="1" x14ac:dyDescent="0.2"/>
    <row r="46038" ht="12.75" hidden="1" customHeight="1" x14ac:dyDescent="0.2"/>
    <row r="46039" ht="12.75" hidden="1" customHeight="1" x14ac:dyDescent="0.2"/>
    <row r="46040" ht="12.75" hidden="1" customHeight="1" x14ac:dyDescent="0.2"/>
    <row r="46041" ht="12.75" hidden="1" customHeight="1" x14ac:dyDescent="0.2"/>
    <row r="46042" ht="12.75" hidden="1" customHeight="1" x14ac:dyDescent="0.2"/>
    <row r="46043" ht="12.75" hidden="1" customHeight="1" x14ac:dyDescent="0.2"/>
    <row r="46044" ht="12.75" hidden="1" customHeight="1" x14ac:dyDescent="0.2"/>
    <row r="46045" ht="12.75" hidden="1" customHeight="1" x14ac:dyDescent="0.2"/>
    <row r="46046" ht="12.75" hidden="1" customHeight="1" x14ac:dyDescent="0.2"/>
    <row r="46047" ht="12.75" hidden="1" customHeight="1" x14ac:dyDescent="0.2"/>
    <row r="46048" ht="12.75" hidden="1" customHeight="1" x14ac:dyDescent="0.2"/>
    <row r="46049" ht="12.75" hidden="1" customHeight="1" x14ac:dyDescent="0.2"/>
    <row r="46050" ht="12.75" hidden="1" customHeight="1" x14ac:dyDescent="0.2"/>
    <row r="46051" ht="12.75" hidden="1" customHeight="1" x14ac:dyDescent="0.2"/>
    <row r="46052" ht="12.75" hidden="1" customHeight="1" x14ac:dyDescent="0.2"/>
    <row r="46053" ht="12.75" hidden="1" customHeight="1" x14ac:dyDescent="0.2"/>
    <row r="46054" ht="12.75" hidden="1" customHeight="1" x14ac:dyDescent="0.2"/>
    <row r="46055" ht="12.75" hidden="1" customHeight="1" x14ac:dyDescent="0.2"/>
    <row r="46056" ht="12.75" hidden="1" customHeight="1" x14ac:dyDescent="0.2"/>
    <row r="46057" ht="12.75" hidden="1" customHeight="1" x14ac:dyDescent="0.2"/>
    <row r="46058" ht="12.75" hidden="1" customHeight="1" x14ac:dyDescent="0.2"/>
    <row r="46059" ht="12.75" hidden="1" customHeight="1" x14ac:dyDescent="0.2"/>
    <row r="46060" ht="12.75" hidden="1" customHeight="1" x14ac:dyDescent="0.2"/>
    <row r="46061" ht="12.75" hidden="1" customHeight="1" x14ac:dyDescent="0.2"/>
    <row r="46062" ht="12.75" hidden="1" customHeight="1" x14ac:dyDescent="0.2"/>
    <row r="46063" ht="12.75" hidden="1" customHeight="1" x14ac:dyDescent="0.2"/>
    <row r="46064" ht="12.75" hidden="1" customHeight="1" x14ac:dyDescent="0.2"/>
    <row r="46065" ht="12.75" hidden="1" customHeight="1" x14ac:dyDescent="0.2"/>
    <row r="46066" ht="12.75" hidden="1" customHeight="1" x14ac:dyDescent="0.2"/>
    <row r="46067" ht="12.75" hidden="1" customHeight="1" x14ac:dyDescent="0.2"/>
    <row r="46068" ht="12.75" hidden="1" customHeight="1" x14ac:dyDescent="0.2"/>
    <row r="46069" ht="12.75" hidden="1" customHeight="1" x14ac:dyDescent="0.2"/>
    <row r="46070" ht="12.75" hidden="1" customHeight="1" x14ac:dyDescent="0.2"/>
    <row r="46071" ht="12.75" hidden="1" customHeight="1" x14ac:dyDescent="0.2"/>
    <row r="46072" ht="12.75" hidden="1" customHeight="1" x14ac:dyDescent="0.2"/>
    <row r="46073" ht="12.75" hidden="1" customHeight="1" x14ac:dyDescent="0.2"/>
    <row r="46074" ht="12.75" hidden="1" customHeight="1" x14ac:dyDescent="0.2"/>
    <row r="46075" ht="12.75" hidden="1" customHeight="1" x14ac:dyDescent="0.2"/>
    <row r="46076" ht="12.75" hidden="1" customHeight="1" x14ac:dyDescent="0.2"/>
    <row r="46077" ht="12.75" hidden="1" customHeight="1" x14ac:dyDescent="0.2"/>
    <row r="46078" ht="12.75" hidden="1" customHeight="1" x14ac:dyDescent="0.2"/>
    <row r="46079" ht="12.75" hidden="1" customHeight="1" x14ac:dyDescent="0.2"/>
    <row r="46080" ht="12.75" hidden="1" customHeight="1" x14ac:dyDescent="0.2"/>
    <row r="46081" ht="12.75" hidden="1" customHeight="1" x14ac:dyDescent="0.2"/>
    <row r="46082" ht="12.75" hidden="1" customHeight="1" x14ac:dyDescent="0.2"/>
    <row r="46083" ht="12.75" hidden="1" customHeight="1" x14ac:dyDescent="0.2"/>
    <row r="46084" ht="12.75" hidden="1" customHeight="1" x14ac:dyDescent="0.2"/>
    <row r="46085" ht="12.75" hidden="1" customHeight="1" x14ac:dyDescent="0.2"/>
    <row r="46086" ht="12.75" hidden="1" customHeight="1" x14ac:dyDescent="0.2"/>
    <row r="46087" ht="12.75" hidden="1" customHeight="1" x14ac:dyDescent="0.2"/>
    <row r="46088" ht="12.75" hidden="1" customHeight="1" x14ac:dyDescent="0.2"/>
    <row r="46089" ht="12.75" hidden="1" customHeight="1" x14ac:dyDescent="0.2"/>
    <row r="46090" ht="12.75" hidden="1" customHeight="1" x14ac:dyDescent="0.2"/>
    <row r="46091" ht="12.75" hidden="1" customHeight="1" x14ac:dyDescent="0.2"/>
    <row r="46092" ht="12.75" hidden="1" customHeight="1" x14ac:dyDescent="0.2"/>
    <row r="46093" ht="12.75" hidden="1" customHeight="1" x14ac:dyDescent="0.2"/>
    <row r="46094" ht="12.75" hidden="1" customHeight="1" x14ac:dyDescent="0.2"/>
    <row r="46095" ht="12.75" hidden="1" customHeight="1" x14ac:dyDescent="0.2"/>
    <row r="46096" ht="12.75" hidden="1" customHeight="1" x14ac:dyDescent="0.2"/>
    <row r="46097" ht="12.75" hidden="1" customHeight="1" x14ac:dyDescent="0.2"/>
    <row r="46098" ht="12.75" hidden="1" customHeight="1" x14ac:dyDescent="0.2"/>
    <row r="46099" ht="12.75" hidden="1" customHeight="1" x14ac:dyDescent="0.2"/>
    <row r="46100" ht="12.75" hidden="1" customHeight="1" x14ac:dyDescent="0.2"/>
    <row r="46101" ht="12.75" hidden="1" customHeight="1" x14ac:dyDescent="0.2"/>
    <row r="46102" ht="12.75" hidden="1" customHeight="1" x14ac:dyDescent="0.2"/>
    <row r="46103" ht="12.75" hidden="1" customHeight="1" x14ac:dyDescent="0.2"/>
    <row r="46104" ht="12.75" hidden="1" customHeight="1" x14ac:dyDescent="0.2"/>
    <row r="46105" ht="12.75" hidden="1" customHeight="1" x14ac:dyDescent="0.2"/>
    <row r="46106" ht="12.75" hidden="1" customHeight="1" x14ac:dyDescent="0.2"/>
    <row r="46107" ht="12.75" hidden="1" customHeight="1" x14ac:dyDescent="0.2"/>
    <row r="46108" ht="12.75" hidden="1" customHeight="1" x14ac:dyDescent="0.2"/>
    <row r="46109" ht="12.75" hidden="1" customHeight="1" x14ac:dyDescent="0.2"/>
    <row r="46110" ht="12.75" hidden="1" customHeight="1" x14ac:dyDescent="0.2"/>
    <row r="46111" ht="12.75" hidden="1" customHeight="1" x14ac:dyDescent="0.2"/>
    <row r="46112" ht="12.75" hidden="1" customHeight="1" x14ac:dyDescent="0.2"/>
    <row r="46113" ht="12.75" hidden="1" customHeight="1" x14ac:dyDescent="0.2"/>
    <row r="46114" ht="12.75" hidden="1" customHeight="1" x14ac:dyDescent="0.2"/>
    <row r="46115" ht="12.75" hidden="1" customHeight="1" x14ac:dyDescent="0.2"/>
    <row r="46116" ht="12.75" hidden="1" customHeight="1" x14ac:dyDescent="0.2"/>
    <row r="46117" ht="12.75" hidden="1" customHeight="1" x14ac:dyDescent="0.2"/>
    <row r="46118" ht="12.75" hidden="1" customHeight="1" x14ac:dyDescent="0.2"/>
    <row r="46119" ht="12.75" hidden="1" customHeight="1" x14ac:dyDescent="0.2"/>
    <row r="46120" ht="12.75" hidden="1" customHeight="1" x14ac:dyDescent="0.2"/>
    <row r="46121" ht="12.75" hidden="1" customHeight="1" x14ac:dyDescent="0.2"/>
    <row r="46122" ht="12.75" hidden="1" customHeight="1" x14ac:dyDescent="0.2"/>
    <row r="46123" ht="12.75" hidden="1" customHeight="1" x14ac:dyDescent="0.2"/>
    <row r="46124" ht="12.75" hidden="1" customHeight="1" x14ac:dyDescent="0.2"/>
    <row r="46125" ht="12.75" hidden="1" customHeight="1" x14ac:dyDescent="0.2"/>
    <row r="46126" ht="12.75" hidden="1" customHeight="1" x14ac:dyDescent="0.2"/>
    <row r="46127" ht="12.75" hidden="1" customHeight="1" x14ac:dyDescent="0.2"/>
    <row r="46128" ht="12.75" hidden="1" customHeight="1" x14ac:dyDescent="0.2"/>
    <row r="46129" ht="12.75" hidden="1" customHeight="1" x14ac:dyDescent="0.2"/>
    <row r="46130" ht="12.75" hidden="1" customHeight="1" x14ac:dyDescent="0.2"/>
    <row r="46131" ht="12.75" hidden="1" customHeight="1" x14ac:dyDescent="0.2"/>
    <row r="46132" ht="12.75" hidden="1" customHeight="1" x14ac:dyDescent="0.2"/>
    <row r="46133" ht="12.75" hidden="1" customHeight="1" x14ac:dyDescent="0.2"/>
    <row r="46134" ht="12.75" hidden="1" customHeight="1" x14ac:dyDescent="0.2"/>
    <row r="46135" ht="12.75" hidden="1" customHeight="1" x14ac:dyDescent="0.2"/>
    <row r="46136" ht="12.75" hidden="1" customHeight="1" x14ac:dyDescent="0.2"/>
    <row r="46137" ht="12.75" hidden="1" customHeight="1" x14ac:dyDescent="0.2"/>
    <row r="46138" ht="12.75" hidden="1" customHeight="1" x14ac:dyDescent="0.2"/>
    <row r="46139" ht="12.75" hidden="1" customHeight="1" x14ac:dyDescent="0.2"/>
    <row r="46140" ht="12.75" hidden="1" customHeight="1" x14ac:dyDescent="0.2"/>
    <row r="46141" ht="12.75" hidden="1" customHeight="1" x14ac:dyDescent="0.2"/>
    <row r="46142" ht="12.75" hidden="1" customHeight="1" x14ac:dyDescent="0.2"/>
    <row r="46143" ht="12.75" hidden="1" customHeight="1" x14ac:dyDescent="0.2"/>
    <row r="46144" ht="12.75" hidden="1" customHeight="1" x14ac:dyDescent="0.2"/>
    <row r="46145" ht="12.75" hidden="1" customHeight="1" x14ac:dyDescent="0.2"/>
    <row r="46146" ht="12.75" hidden="1" customHeight="1" x14ac:dyDescent="0.2"/>
    <row r="46147" ht="12.75" hidden="1" customHeight="1" x14ac:dyDescent="0.2"/>
    <row r="46148" ht="12.75" hidden="1" customHeight="1" x14ac:dyDescent="0.2"/>
    <row r="46149" ht="12.75" hidden="1" customHeight="1" x14ac:dyDescent="0.2"/>
    <row r="46150" ht="12.75" hidden="1" customHeight="1" x14ac:dyDescent="0.2"/>
    <row r="46151" ht="12.75" hidden="1" customHeight="1" x14ac:dyDescent="0.2"/>
    <row r="46152" ht="12.75" hidden="1" customHeight="1" x14ac:dyDescent="0.2"/>
    <row r="46153" ht="12.75" hidden="1" customHeight="1" x14ac:dyDescent="0.2"/>
    <row r="46154" ht="12.75" hidden="1" customHeight="1" x14ac:dyDescent="0.2"/>
    <row r="46155" ht="12.75" hidden="1" customHeight="1" x14ac:dyDescent="0.2"/>
    <row r="46156" ht="12.75" hidden="1" customHeight="1" x14ac:dyDescent="0.2"/>
    <row r="46157" ht="12.75" hidden="1" customHeight="1" x14ac:dyDescent="0.2"/>
    <row r="46158" ht="12.75" hidden="1" customHeight="1" x14ac:dyDescent="0.2"/>
    <row r="46159" ht="12.75" hidden="1" customHeight="1" x14ac:dyDescent="0.2"/>
    <row r="46160" ht="12.75" hidden="1" customHeight="1" x14ac:dyDescent="0.2"/>
    <row r="46161" ht="12.75" hidden="1" customHeight="1" x14ac:dyDescent="0.2"/>
    <row r="46162" ht="12.75" hidden="1" customHeight="1" x14ac:dyDescent="0.2"/>
    <row r="46163" ht="12.75" hidden="1" customHeight="1" x14ac:dyDescent="0.2"/>
    <row r="46164" ht="12.75" hidden="1" customHeight="1" x14ac:dyDescent="0.2"/>
    <row r="46165" ht="12.75" hidden="1" customHeight="1" x14ac:dyDescent="0.2"/>
    <row r="46166" ht="12.75" hidden="1" customHeight="1" x14ac:dyDescent="0.2"/>
    <row r="46167" ht="12.75" hidden="1" customHeight="1" x14ac:dyDescent="0.2"/>
    <row r="46168" ht="12.75" hidden="1" customHeight="1" x14ac:dyDescent="0.2"/>
    <row r="46169" ht="12.75" hidden="1" customHeight="1" x14ac:dyDescent="0.2"/>
    <row r="46170" ht="12.75" hidden="1" customHeight="1" x14ac:dyDescent="0.2"/>
    <row r="46171" ht="12.75" hidden="1" customHeight="1" x14ac:dyDescent="0.2"/>
    <row r="46172" ht="12.75" hidden="1" customHeight="1" x14ac:dyDescent="0.2"/>
    <row r="46173" ht="12.75" hidden="1" customHeight="1" x14ac:dyDescent="0.2"/>
    <row r="46174" ht="12.75" hidden="1" customHeight="1" x14ac:dyDescent="0.2"/>
    <row r="46175" ht="12.75" hidden="1" customHeight="1" x14ac:dyDescent="0.2"/>
    <row r="46176" ht="12.75" hidden="1" customHeight="1" x14ac:dyDescent="0.2"/>
    <row r="46177" ht="12.75" hidden="1" customHeight="1" x14ac:dyDescent="0.2"/>
    <row r="46178" ht="12.75" hidden="1" customHeight="1" x14ac:dyDescent="0.2"/>
    <row r="46179" ht="12.75" hidden="1" customHeight="1" x14ac:dyDescent="0.2"/>
    <row r="46180" ht="12.75" hidden="1" customHeight="1" x14ac:dyDescent="0.2"/>
    <row r="46181" ht="12.75" hidden="1" customHeight="1" x14ac:dyDescent="0.2"/>
    <row r="46182" ht="12.75" hidden="1" customHeight="1" x14ac:dyDescent="0.2"/>
    <row r="46183" ht="12.75" hidden="1" customHeight="1" x14ac:dyDescent="0.2"/>
    <row r="46184" ht="12.75" hidden="1" customHeight="1" x14ac:dyDescent="0.2"/>
    <row r="46185" ht="12.75" hidden="1" customHeight="1" x14ac:dyDescent="0.2"/>
    <row r="46186" ht="12.75" hidden="1" customHeight="1" x14ac:dyDescent="0.2"/>
    <row r="46187" ht="12.75" hidden="1" customHeight="1" x14ac:dyDescent="0.2"/>
    <row r="46188" ht="12.75" hidden="1" customHeight="1" x14ac:dyDescent="0.2"/>
    <row r="46189" ht="12.75" hidden="1" customHeight="1" x14ac:dyDescent="0.2"/>
    <row r="46190" ht="12.75" hidden="1" customHeight="1" x14ac:dyDescent="0.2"/>
    <row r="46191" ht="12.75" hidden="1" customHeight="1" x14ac:dyDescent="0.2"/>
    <row r="46192" ht="12.75" hidden="1" customHeight="1" x14ac:dyDescent="0.2"/>
    <row r="46193" ht="12.75" hidden="1" customHeight="1" x14ac:dyDescent="0.2"/>
    <row r="46194" ht="12.75" hidden="1" customHeight="1" x14ac:dyDescent="0.2"/>
    <row r="46195" ht="12.75" hidden="1" customHeight="1" x14ac:dyDescent="0.2"/>
    <row r="46196" ht="12.75" hidden="1" customHeight="1" x14ac:dyDescent="0.2"/>
    <row r="46197" ht="12.75" hidden="1" customHeight="1" x14ac:dyDescent="0.2"/>
    <row r="46198" ht="12.75" hidden="1" customHeight="1" x14ac:dyDescent="0.2"/>
    <row r="46199" ht="12.75" hidden="1" customHeight="1" x14ac:dyDescent="0.2"/>
    <row r="46200" ht="12.75" hidden="1" customHeight="1" x14ac:dyDescent="0.2"/>
    <row r="46201" ht="12.75" hidden="1" customHeight="1" x14ac:dyDescent="0.2"/>
    <row r="46202" ht="12.75" hidden="1" customHeight="1" x14ac:dyDescent="0.2"/>
    <row r="46203" ht="12.75" hidden="1" customHeight="1" x14ac:dyDescent="0.2"/>
    <row r="46204" ht="12.75" hidden="1" customHeight="1" x14ac:dyDescent="0.2"/>
    <row r="46205" ht="12.75" hidden="1" customHeight="1" x14ac:dyDescent="0.2"/>
    <row r="46206" ht="12.75" hidden="1" customHeight="1" x14ac:dyDescent="0.2"/>
    <row r="46207" ht="12.75" hidden="1" customHeight="1" x14ac:dyDescent="0.2"/>
    <row r="46208" ht="12.75" hidden="1" customHeight="1" x14ac:dyDescent="0.2"/>
    <row r="46209" ht="12.75" hidden="1" customHeight="1" x14ac:dyDescent="0.2"/>
    <row r="46210" ht="12.75" hidden="1" customHeight="1" x14ac:dyDescent="0.2"/>
    <row r="46211" ht="12.75" hidden="1" customHeight="1" x14ac:dyDescent="0.2"/>
    <row r="46212" ht="12.75" hidden="1" customHeight="1" x14ac:dyDescent="0.2"/>
    <row r="46213" ht="12.75" hidden="1" customHeight="1" x14ac:dyDescent="0.2"/>
    <row r="46214" ht="12.75" hidden="1" customHeight="1" x14ac:dyDescent="0.2"/>
    <row r="46215" ht="12.75" hidden="1" customHeight="1" x14ac:dyDescent="0.2"/>
    <row r="46216" ht="12.75" hidden="1" customHeight="1" x14ac:dyDescent="0.2"/>
    <row r="46217" ht="12.75" hidden="1" customHeight="1" x14ac:dyDescent="0.2"/>
    <row r="46218" ht="12.75" hidden="1" customHeight="1" x14ac:dyDescent="0.2"/>
    <row r="46219" ht="12.75" hidden="1" customHeight="1" x14ac:dyDescent="0.2"/>
    <row r="46220" ht="12.75" hidden="1" customHeight="1" x14ac:dyDescent="0.2"/>
    <row r="46221" ht="12.75" hidden="1" customHeight="1" x14ac:dyDescent="0.2"/>
    <row r="46222" ht="12.75" hidden="1" customHeight="1" x14ac:dyDescent="0.2"/>
    <row r="46223" ht="12.75" hidden="1" customHeight="1" x14ac:dyDescent="0.2"/>
    <row r="46224" ht="12.75" hidden="1" customHeight="1" x14ac:dyDescent="0.2"/>
    <row r="46225" ht="12.75" hidden="1" customHeight="1" x14ac:dyDescent="0.2"/>
    <row r="46226" ht="12.75" hidden="1" customHeight="1" x14ac:dyDescent="0.2"/>
    <row r="46227" ht="12.75" hidden="1" customHeight="1" x14ac:dyDescent="0.2"/>
    <row r="46228" ht="12.75" hidden="1" customHeight="1" x14ac:dyDescent="0.2"/>
    <row r="46229" ht="12.75" hidden="1" customHeight="1" x14ac:dyDescent="0.2"/>
    <row r="46230" ht="12.75" hidden="1" customHeight="1" x14ac:dyDescent="0.2"/>
    <row r="46231" ht="12.75" hidden="1" customHeight="1" x14ac:dyDescent="0.2"/>
    <row r="46232" ht="12.75" hidden="1" customHeight="1" x14ac:dyDescent="0.2"/>
    <row r="46233" ht="12.75" hidden="1" customHeight="1" x14ac:dyDescent="0.2"/>
    <row r="46234" ht="12.75" hidden="1" customHeight="1" x14ac:dyDescent="0.2"/>
    <row r="46235" ht="12.75" hidden="1" customHeight="1" x14ac:dyDescent="0.2"/>
    <row r="46236" ht="12.75" hidden="1" customHeight="1" x14ac:dyDescent="0.2"/>
    <row r="46237" ht="12.75" hidden="1" customHeight="1" x14ac:dyDescent="0.2"/>
    <row r="46238" ht="12.75" hidden="1" customHeight="1" x14ac:dyDescent="0.2"/>
    <row r="46239" ht="12.75" hidden="1" customHeight="1" x14ac:dyDescent="0.2"/>
    <row r="46240" ht="12.75" hidden="1" customHeight="1" x14ac:dyDescent="0.2"/>
    <row r="46241" ht="12.75" hidden="1" customHeight="1" x14ac:dyDescent="0.2"/>
    <row r="46242" ht="12.75" hidden="1" customHeight="1" x14ac:dyDescent="0.2"/>
    <row r="46243" ht="12.75" hidden="1" customHeight="1" x14ac:dyDescent="0.2"/>
    <row r="46244" ht="12.75" hidden="1" customHeight="1" x14ac:dyDescent="0.2"/>
    <row r="46245" ht="12.75" hidden="1" customHeight="1" x14ac:dyDescent="0.2"/>
    <row r="46246" ht="12.75" hidden="1" customHeight="1" x14ac:dyDescent="0.2"/>
    <row r="46247" ht="12.75" hidden="1" customHeight="1" x14ac:dyDescent="0.2"/>
    <row r="46248" ht="12.75" hidden="1" customHeight="1" x14ac:dyDescent="0.2"/>
    <row r="46249" ht="12.75" hidden="1" customHeight="1" x14ac:dyDescent="0.2"/>
    <row r="46250" ht="12.75" hidden="1" customHeight="1" x14ac:dyDescent="0.2"/>
    <row r="46251" ht="12.75" hidden="1" customHeight="1" x14ac:dyDescent="0.2"/>
    <row r="46252" ht="12.75" hidden="1" customHeight="1" x14ac:dyDescent="0.2"/>
    <row r="46253" ht="12.75" hidden="1" customHeight="1" x14ac:dyDescent="0.2"/>
    <row r="46254" ht="12.75" hidden="1" customHeight="1" x14ac:dyDescent="0.2"/>
    <row r="46255" ht="12.75" hidden="1" customHeight="1" x14ac:dyDescent="0.2"/>
    <row r="46256" ht="12.75" hidden="1" customHeight="1" x14ac:dyDescent="0.2"/>
    <row r="46257" ht="12.75" hidden="1" customHeight="1" x14ac:dyDescent="0.2"/>
    <row r="46258" ht="12.75" hidden="1" customHeight="1" x14ac:dyDescent="0.2"/>
    <row r="46259" ht="12.75" hidden="1" customHeight="1" x14ac:dyDescent="0.2"/>
    <row r="46260" ht="12.75" hidden="1" customHeight="1" x14ac:dyDescent="0.2"/>
    <row r="46261" ht="12.75" hidden="1" customHeight="1" x14ac:dyDescent="0.2"/>
    <row r="46262" ht="12.75" hidden="1" customHeight="1" x14ac:dyDescent="0.2"/>
    <row r="46263" ht="12.75" hidden="1" customHeight="1" x14ac:dyDescent="0.2"/>
    <row r="46264" ht="12.75" hidden="1" customHeight="1" x14ac:dyDescent="0.2"/>
    <row r="46265" ht="12.75" hidden="1" customHeight="1" x14ac:dyDescent="0.2"/>
    <row r="46266" ht="12.75" hidden="1" customHeight="1" x14ac:dyDescent="0.2"/>
    <row r="46267" ht="12.75" hidden="1" customHeight="1" x14ac:dyDescent="0.2"/>
    <row r="46268" ht="12.75" hidden="1" customHeight="1" x14ac:dyDescent="0.2"/>
    <row r="46269" ht="12.75" hidden="1" customHeight="1" x14ac:dyDescent="0.2"/>
    <row r="46270" ht="12.75" hidden="1" customHeight="1" x14ac:dyDescent="0.2"/>
    <row r="46271" ht="12.75" hidden="1" customHeight="1" x14ac:dyDescent="0.2"/>
    <row r="46272" ht="12.75" hidden="1" customHeight="1" x14ac:dyDescent="0.2"/>
    <row r="46273" ht="12.75" hidden="1" customHeight="1" x14ac:dyDescent="0.2"/>
    <row r="46274" ht="12.75" hidden="1" customHeight="1" x14ac:dyDescent="0.2"/>
    <row r="46275" ht="12.75" hidden="1" customHeight="1" x14ac:dyDescent="0.2"/>
    <row r="46276" ht="12.75" hidden="1" customHeight="1" x14ac:dyDescent="0.2"/>
    <row r="46277" ht="12.75" hidden="1" customHeight="1" x14ac:dyDescent="0.2"/>
    <row r="46278" ht="12.75" hidden="1" customHeight="1" x14ac:dyDescent="0.2"/>
    <row r="46279" ht="12.75" hidden="1" customHeight="1" x14ac:dyDescent="0.2"/>
    <row r="46280" ht="12.75" hidden="1" customHeight="1" x14ac:dyDescent="0.2"/>
    <row r="46281" ht="12.75" hidden="1" customHeight="1" x14ac:dyDescent="0.2"/>
    <row r="46282" ht="12.75" hidden="1" customHeight="1" x14ac:dyDescent="0.2"/>
    <row r="46283" ht="12.75" hidden="1" customHeight="1" x14ac:dyDescent="0.2"/>
    <row r="46284" ht="12.75" hidden="1" customHeight="1" x14ac:dyDescent="0.2"/>
    <row r="46285" ht="12.75" hidden="1" customHeight="1" x14ac:dyDescent="0.2"/>
    <row r="46286" ht="12.75" hidden="1" customHeight="1" x14ac:dyDescent="0.2"/>
    <row r="46287" ht="12.75" hidden="1" customHeight="1" x14ac:dyDescent="0.2"/>
    <row r="46288" ht="12.75" hidden="1" customHeight="1" x14ac:dyDescent="0.2"/>
    <row r="46289" ht="12.75" hidden="1" customHeight="1" x14ac:dyDescent="0.2"/>
    <row r="46290" ht="12.75" hidden="1" customHeight="1" x14ac:dyDescent="0.2"/>
    <row r="46291" ht="12.75" hidden="1" customHeight="1" x14ac:dyDescent="0.2"/>
    <row r="46292" ht="12.75" hidden="1" customHeight="1" x14ac:dyDescent="0.2"/>
    <row r="46293" ht="12.75" hidden="1" customHeight="1" x14ac:dyDescent="0.2"/>
    <row r="46294" ht="12.75" hidden="1" customHeight="1" x14ac:dyDescent="0.2"/>
    <row r="46295" ht="12.75" hidden="1" customHeight="1" x14ac:dyDescent="0.2"/>
    <row r="46296" ht="12.75" hidden="1" customHeight="1" x14ac:dyDescent="0.2"/>
    <row r="46297" ht="12.75" hidden="1" customHeight="1" x14ac:dyDescent="0.2"/>
    <row r="46298" ht="12.75" hidden="1" customHeight="1" x14ac:dyDescent="0.2"/>
    <row r="46299" ht="12.75" hidden="1" customHeight="1" x14ac:dyDescent="0.2"/>
    <row r="46300" ht="12.75" hidden="1" customHeight="1" x14ac:dyDescent="0.2"/>
    <row r="46301" ht="12.75" hidden="1" customHeight="1" x14ac:dyDescent="0.2"/>
    <row r="46302" ht="12.75" hidden="1" customHeight="1" x14ac:dyDescent="0.2"/>
    <row r="46303" ht="12.75" hidden="1" customHeight="1" x14ac:dyDescent="0.2"/>
    <row r="46304" ht="12.75" hidden="1" customHeight="1" x14ac:dyDescent="0.2"/>
    <row r="46305" ht="12.75" hidden="1" customHeight="1" x14ac:dyDescent="0.2"/>
    <row r="46306" ht="12.75" hidden="1" customHeight="1" x14ac:dyDescent="0.2"/>
    <row r="46307" ht="12.75" hidden="1" customHeight="1" x14ac:dyDescent="0.2"/>
    <row r="46308" ht="12.75" hidden="1" customHeight="1" x14ac:dyDescent="0.2"/>
    <row r="46309" ht="12.75" hidden="1" customHeight="1" x14ac:dyDescent="0.2"/>
    <row r="46310" ht="12.75" hidden="1" customHeight="1" x14ac:dyDescent="0.2"/>
    <row r="46311" ht="12.75" hidden="1" customHeight="1" x14ac:dyDescent="0.2"/>
    <row r="46312" ht="12.75" hidden="1" customHeight="1" x14ac:dyDescent="0.2"/>
    <row r="46313" ht="12.75" hidden="1" customHeight="1" x14ac:dyDescent="0.2"/>
    <row r="46314" ht="12.75" hidden="1" customHeight="1" x14ac:dyDescent="0.2"/>
    <row r="46315" ht="12.75" hidden="1" customHeight="1" x14ac:dyDescent="0.2"/>
    <row r="46316" ht="12.75" hidden="1" customHeight="1" x14ac:dyDescent="0.2"/>
    <row r="46317" ht="12.75" hidden="1" customHeight="1" x14ac:dyDescent="0.2"/>
    <row r="46318" ht="12.75" hidden="1" customHeight="1" x14ac:dyDescent="0.2"/>
    <row r="46319" ht="12.75" hidden="1" customHeight="1" x14ac:dyDescent="0.2"/>
    <row r="46320" ht="12.75" hidden="1" customHeight="1" x14ac:dyDescent="0.2"/>
    <row r="46321" ht="12.75" hidden="1" customHeight="1" x14ac:dyDescent="0.2"/>
    <row r="46322" ht="12.75" hidden="1" customHeight="1" x14ac:dyDescent="0.2"/>
    <row r="46323" ht="12.75" hidden="1" customHeight="1" x14ac:dyDescent="0.2"/>
    <row r="46324" ht="12.75" hidden="1" customHeight="1" x14ac:dyDescent="0.2"/>
    <row r="46325" ht="12.75" hidden="1" customHeight="1" x14ac:dyDescent="0.2"/>
    <row r="46326" ht="12.75" hidden="1" customHeight="1" x14ac:dyDescent="0.2"/>
    <row r="46327" ht="12.75" hidden="1" customHeight="1" x14ac:dyDescent="0.2"/>
    <row r="46328" ht="12.75" hidden="1" customHeight="1" x14ac:dyDescent="0.2"/>
    <row r="46329" ht="12.75" hidden="1" customHeight="1" x14ac:dyDescent="0.2"/>
    <row r="46330" ht="12.75" hidden="1" customHeight="1" x14ac:dyDescent="0.2"/>
    <row r="46331" ht="12.75" hidden="1" customHeight="1" x14ac:dyDescent="0.2"/>
    <row r="46332" ht="12.75" hidden="1" customHeight="1" x14ac:dyDescent="0.2"/>
    <row r="46333" ht="12.75" hidden="1" customHeight="1" x14ac:dyDescent="0.2"/>
    <row r="46334" ht="12.75" hidden="1" customHeight="1" x14ac:dyDescent="0.2"/>
    <row r="46335" ht="12.75" hidden="1" customHeight="1" x14ac:dyDescent="0.2"/>
    <row r="46336" ht="12.75" hidden="1" customHeight="1" x14ac:dyDescent="0.2"/>
    <row r="46337" ht="12.75" hidden="1" customHeight="1" x14ac:dyDescent="0.2"/>
    <row r="46338" ht="12.75" hidden="1" customHeight="1" x14ac:dyDescent="0.2"/>
    <row r="46339" ht="12.75" hidden="1" customHeight="1" x14ac:dyDescent="0.2"/>
    <row r="46340" ht="12.75" hidden="1" customHeight="1" x14ac:dyDescent="0.2"/>
    <row r="46341" ht="12.75" hidden="1" customHeight="1" x14ac:dyDescent="0.2"/>
    <row r="46342" ht="12.75" hidden="1" customHeight="1" x14ac:dyDescent="0.2"/>
    <row r="46343" ht="12.75" hidden="1" customHeight="1" x14ac:dyDescent="0.2"/>
    <row r="46344" ht="12.75" hidden="1" customHeight="1" x14ac:dyDescent="0.2"/>
    <row r="46345" ht="12.75" hidden="1" customHeight="1" x14ac:dyDescent="0.2"/>
    <row r="46346" ht="12.75" hidden="1" customHeight="1" x14ac:dyDescent="0.2"/>
    <row r="46347" ht="12.75" hidden="1" customHeight="1" x14ac:dyDescent="0.2"/>
    <row r="46348" ht="12.75" hidden="1" customHeight="1" x14ac:dyDescent="0.2"/>
    <row r="46349" ht="12.75" hidden="1" customHeight="1" x14ac:dyDescent="0.2"/>
    <row r="46350" ht="12.75" hidden="1" customHeight="1" x14ac:dyDescent="0.2"/>
    <row r="46351" ht="12.75" hidden="1" customHeight="1" x14ac:dyDescent="0.2"/>
    <row r="46352" ht="12.75" hidden="1" customHeight="1" x14ac:dyDescent="0.2"/>
    <row r="46353" ht="12.75" hidden="1" customHeight="1" x14ac:dyDescent="0.2"/>
    <row r="46354" ht="12.75" hidden="1" customHeight="1" x14ac:dyDescent="0.2"/>
    <row r="46355" ht="12.75" hidden="1" customHeight="1" x14ac:dyDescent="0.2"/>
    <row r="46356" ht="12.75" hidden="1" customHeight="1" x14ac:dyDescent="0.2"/>
    <row r="46357" ht="12.75" hidden="1" customHeight="1" x14ac:dyDescent="0.2"/>
    <row r="46358" ht="12.75" hidden="1" customHeight="1" x14ac:dyDescent="0.2"/>
    <row r="46359" ht="12.75" hidden="1" customHeight="1" x14ac:dyDescent="0.2"/>
    <row r="46360" ht="12.75" hidden="1" customHeight="1" x14ac:dyDescent="0.2"/>
    <row r="46361" ht="12.75" hidden="1" customHeight="1" x14ac:dyDescent="0.2"/>
    <row r="46362" ht="12.75" hidden="1" customHeight="1" x14ac:dyDescent="0.2"/>
    <row r="46363" ht="12.75" hidden="1" customHeight="1" x14ac:dyDescent="0.2"/>
    <row r="46364" ht="12.75" hidden="1" customHeight="1" x14ac:dyDescent="0.2"/>
    <row r="46365" ht="12.75" hidden="1" customHeight="1" x14ac:dyDescent="0.2"/>
    <row r="46366" ht="12.75" hidden="1" customHeight="1" x14ac:dyDescent="0.2"/>
    <row r="46367" ht="12.75" hidden="1" customHeight="1" x14ac:dyDescent="0.2"/>
    <row r="46368" ht="12.75" hidden="1" customHeight="1" x14ac:dyDescent="0.2"/>
    <row r="46369" ht="12.75" hidden="1" customHeight="1" x14ac:dyDescent="0.2"/>
    <row r="46370" ht="12.75" hidden="1" customHeight="1" x14ac:dyDescent="0.2"/>
    <row r="46371" ht="12.75" hidden="1" customHeight="1" x14ac:dyDescent="0.2"/>
    <row r="46372" ht="12.75" hidden="1" customHeight="1" x14ac:dyDescent="0.2"/>
    <row r="46373" ht="12.75" hidden="1" customHeight="1" x14ac:dyDescent="0.2"/>
    <row r="46374" ht="12.75" hidden="1" customHeight="1" x14ac:dyDescent="0.2"/>
    <row r="46375" ht="12.75" hidden="1" customHeight="1" x14ac:dyDescent="0.2"/>
    <row r="46376" ht="12.75" hidden="1" customHeight="1" x14ac:dyDescent="0.2"/>
    <row r="46377" ht="12.75" hidden="1" customHeight="1" x14ac:dyDescent="0.2"/>
    <row r="46378" ht="12.75" hidden="1" customHeight="1" x14ac:dyDescent="0.2"/>
    <row r="46379" ht="12.75" hidden="1" customHeight="1" x14ac:dyDescent="0.2"/>
    <row r="46380" ht="12.75" hidden="1" customHeight="1" x14ac:dyDescent="0.2"/>
    <row r="46381" ht="12.75" hidden="1" customHeight="1" x14ac:dyDescent="0.2"/>
    <row r="46382" ht="12.75" hidden="1" customHeight="1" x14ac:dyDescent="0.2"/>
    <row r="46383" ht="12.75" hidden="1" customHeight="1" x14ac:dyDescent="0.2"/>
    <row r="46384" ht="12.75" hidden="1" customHeight="1" x14ac:dyDescent="0.2"/>
    <row r="46385" ht="12.75" hidden="1" customHeight="1" x14ac:dyDescent="0.2"/>
    <row r="46386" ht="12.75" hidden="1" customHeight="1" x14ac:dyDescent="0.2"/>
    <row r="46387" ht="12.75" hidden="1" customHeight="1" x14ac:dyDescent="0.2"/>
    <row r="46388" ht="12.75" hidden="1" customHeight="1" x14ac:dyDescent="0.2"/>
    <row r="46389" ht="12.75" hidden="1" customHeight="1" x14ac:dyDescent="0.2"/>
    <row r="46390" ht="12.75" hidden="1" customHeight="1" x14ac:dyDescent="0.2"/>
    <row r="46391" ht="12.75" hidden="1" customHeight="1" x14ac:dyDescent="0.2"/>
    <row r="46392" ht="12.75" hidden="1" customHeight="1" x14ac:dyDescent="0.2"/>
    <row r="46393" ht="12.75" hidden="1" customHeight="1" x14ac:dyDescent="0.2"/>
    <row r="46394" ht="12.75" hidden="1" customHeight="1" x14ac:dyDescent="0.2"/>
    <row r="46395" ht="12.75" hidden="1" customHeight="1" x14ac:dyDescent="0.2"/>
    <row r="46396" ht="12.75" hidden="1" customHeight="1" x14ac:dyDescent="0.2"/>
    <row r="46397" ht="12.75" hidden="1" customHeight="1" x14ac:dyDescent="0.2"/>
    <row r="46398" ht="12.75" hidden="1" customHeight="1" x14ac:dyDescent="0.2"/>
    <row r="46399" ht="12.75" hidden="1" customHeight="1" x14ac:dyDescent="0.2"/>
    <row r="46400" ht="12.75" hidden="1" customHeight="1" x14ac:dyDescent="0.2"/>
    <row r="46401" ht="12.75" hidden="1" customHeight="1" x14ac:dyDescent="0.2"/>
    <row r="46402" ht="12.75" hidden="1" customHeight="1" x14ac:dyDescent="0.2"/>
    <row r="46403" ht="12.75" hidden="1" customHeight="1" x14ac:dyDescent="0.2"/>
    <row r="46404" ht="12.75" hidden="1" customHeight="1" x14ac:dyDescent="0.2"/>
    <row r="46405" ht="12.75" hidden="1" customHeight="1" x14ac:dyDescent="0.2"/>
    <row r="46406" ht="12.75" hidden="1" customHeight="1" x14ac:dyDescent="0.2"/>
    <row r="46407" ht="12.75" hidden="1" customHeight="1" x14ac:dyDescent="0.2"/>
    <row r="46408" ht="12.75" hidden="1" customHeight="1" x14ac:dyDescent="0.2"/>
    <row r="46409" ht="12.75" hidden="1" customHeight="1" x14ac:dyDescent="0.2"/>
    <row r="46410" ht="12.75" hidden="1" customHeight="1" x14ac:dyDescent="0.2"/>
    <row r="46411" ht="12.75" hidden="1" customHeight="1" x14ac:dyDescent="0.2"/>
    <row r="46412" ht="12.75" hidden="1" customHeight="1" x14ac:dyDescent="0.2"/>
    <row r="46413" ht="12.75" hidden="1" customHeight="1" x14ac:dyDescent="0.2"/>
    <row r="46414" ht="12.75" hidden="1" customHeight="1" x14ac:dyDescent="0.2"/>
    <row r="46415" ht="12.75" hidden="1" customHeight="1" x14ac:dyDescent="0.2"/>
    <row r="46416" ht="12.75" hidden="1" customHeight="1" x14ac:dyDescent="0.2"/>
    <row r="46417" ht="12.75" hidden="1" customHeight="1" x14ac:dyDescent="0.2"/>
    <row r="46418" ht="12.75" hidden="1" customHeight="1" x14ac:dyDescent="0.2"/>
    <row r="46419" ht="12.75" hidden="1" customHeight="1" x14ac:dyDescent="0.2"/>
    <row r="46420" ht="12.75" hidden="1" customHeight="1" x14ac:dyDescent="0.2"/>
    <row r="46421" ht="12.75" hidden="1" customHeight="1" x14ac:dyDescent="0.2"/>
    <row r="46422" ht="12.75" hidden="1" customHeight="1" x14ac:dyDescent="0.2"/>
    <row r="46423" ht="12.75" hidden="1" customHeight="1" x14ac:dyDescent="0.2"/>
    <row r="46424" ht="12.75" hidden="1" customHeight="1" x14ac:dyDescent="0.2"/>
    <row r="46425" ht="12.75" hidden="1" customHeight="1" x14ac:dyDescent="0.2"/>
    <row r="46426" ht="12.75" hidden="1" customHeight="1" x14ac:dyDescent="0.2"/>
    <row r="46427" ht="12.75" hidden="1" customHeight="1" x14ac:dyDescent="0.2"/>
    <row r="46428" ht="12.75" hidden="1" customHeight="1" x14ac:dyDescent="0.2"/>
    <row r="46429" ht="12.75" hidden="1" customHeight="1" x14ac:dyDescent="0.2"/>
    <row r="46430" ht="12.75" hidden="1" customHeight="1" x14ac:dyDescent="0.2"/>
    <row r="46431" ht="12.75" hidden="1" customHeight="1" x14ac:dyDescent="0.2"/>
    <row r="46432" ht="12.75" hidden="1" customHeight="1" x14ac:dyDescent="0.2"/>
    <row r="46433" ht="12.75" hidden="1" customHeight="1" x14ac:dyDescent="0.2"/>
    <row r="46434" ht="12.75" hidden="1" customHeight="1" x14ac:dyDescent="0.2"/>
    <row r="46435" ht="12.75" hidden="1" customHeight="1" x14ac:dyDescent="0.2"/>
    <row r="46436" ht="12.75" hidden="1" customHeight="1" x14ac:dyDescent="0.2"/>
    <row r="46437" ht="12.75" hidden="1" customHeight="1" x14ac:dyDescent="0.2"/>
    <row r="46438" ht="12.75" hidden="1" customHeight="1" x14ac:dyDescent="0.2"/>
    <row r="46439" ht="12.75" hidden="1" customHeight="1" x14ac:dyDescent="0.2"/>
    <row r="46440" ht="12.75" hidden="1" customHeight="1" x14ac:dyDescent="0.2"/>
    <row r="46441" ht="12.75" hidden="1" customHeight="1" x14ac:dyDescent="0.2"/>
    <row r="46442" ht="12.75" hidden="1" customHeight="1" x14ac:dyDescent="0.2"/>
    <row r="46443" ht="12.75" hidden="1" customHeight="1" x14ac:dyDescent="0.2"/>
    <row r="46444" ht="12.75" hidden="1" customHeight="1" x14ac:dyDescent="0.2"/>
    <row r="46445" ht="12.75" hidden="1" customHeight="1" x14ac:dyDescent="0.2"/>
    <row r="46446" ht="12.75" hidden="1" customHeight="1" x14ac:dyDescent="0.2"/>
    <row r="46447" ht="12.75" hidden="1" customHeight="1" x14ac:dyDescent="0.2"/>
    <row r="46448" ht="12.75" hidden="1" customHeight="1" x14ac:dyDescent="0.2"/>
    <row r="46449" ht="12.75" hidden="1" customHeight="1" x14ac:dyDescent="0.2"/>
    <row r="46450" ht="12.75" hidden="1" customHeight="1" x14ac:dyDescent="0.2"/>
    <row r="46451" ht="12.75" hidden="1" customHeight="1" x14ac:dyDescent="0.2"/>
    <row r="46452" ht="12.75" hidden="1" customHeight="1" x14ac:dyDescent="0.2"/>
    <row r="46453" ht="12.75" hidden="1" customHeight="1" x14ac:dyDescent="0.2"/>
    <row r="46454" ht="12.75" hidden="1" customHeight="1" x14ac:dyDescent="0.2"/>
    <row r="46455" ht="12.75" hidden="1" customHeight="1" x14ac:dyDescent="0.2"/>
    <row r="46456" ht="12.75" hidden="1" customHeight="1" x14ac:dyDescent="0.2"/>
    <row r="46457" ht="12.75" hidden="1" customHeight="1" x14ac:dyDescent="0.2"/>
    <row r="46458" ht="12.75" hidden="1" customHeight="1" x14ac:dyDescent="0.2"/>
    <row r="46459" ht="12.75" hidden="1" customHeight="1" x14ac:dyDescent="0.2"/>
    <row r="46460" ht="12.75" hidden="1" customHeight="1" x14ac:dyDescent="0.2"/>
    <row r="46461" ht="12.75" hidden="1" customHeight="1" x14ac:dyDescent="0.2"/>
    <row r="46462" ht="12.75" hidden="1" customHeight="1" x14ac:dyDescent="0.2"/>
    <row r="46463" ht="12.75" hidden="1" customHeight="1" x14ac:dyDescent="0.2"/>
    <row r="46464" ht="12.75" hidden="1" customHeight="1" x14ac:dyDescent="0.2"/>
    <row r="46465" ht="12.75" hidden="1" customHeight="1" x14ac:dyDescent="0.2"/>
    <row r="46466" ht="12.75" hidden="1" customHeight="1" x14ac:dyDescent="0.2"/>
    <row r="46467" ht="12.75" hidden="1" customHeight="1" x14ac:dyDescent="0.2"/>
    <row r="46468" ht="12.75" hidden="1" customHeight="1" x14ac:dyDescent="0.2"/>
    <row r="46469" ht="12.75" hidden="1" customHeight="1" x14ac:dyDescent="0.2"/>
    <row r="46470" ht="12.75" hidden="1" customHeight="1" x14ac:dyDescent="0.2"/>
    <row r="46471" ht="12.75" hidden="1" customHeight="1" x14ac:dyDescent="0.2"/>
    <row r="46472" ht="12.75" hidden="1" customHeight="1" x14ac:dyDescent="0.2"/>
    <row r="46473" ht="12.75" hidden="1" customHeight="1" x14ac:dyDescent="0.2"/>
    <row r="46474" ht="12.75" hidden="1" customHeight="1" x14ac:dyDescent="0.2"/>
    <row r="46475" ht="12.75" hidden="1" customHeight="1" x14ac:dyDescent="0.2"/>
    <row r="46476" ht="12.75" hidden="1" customHeight="1" x14ac:dyDescent="0.2"/>
    <row r="46477" ht="12.75" hidden="1" customHeight="1" x14ac:dyDescent="0.2"/>
    <row r="46478" ht="12.75" hidden="1" customHeight="1" x14ac:dyDescent="0.2"/>
    <row r="46479" ht="12.75" hidden="1" customHeight="1" x14ac:dyDescent="0.2"/>
    <row r="46480" ht="12.75" hidden="1" customHeight="1" x14ac:dyDescent="0.2"/>
    <row r="46481" ht="12.75" hidden="1" customHeight="1" x14ac:dyDescent="0.2"/>
    <row r="46482" ht="12.75" hidden="1" customHeight="1" x14ac:dyDescent="0.2"/>
    <row r="46483" ht="12.75" hidden="1" customHeight="1" x14ac:dyDescent="0.2"/>
    <row r="46484" ht="12.75" hidden="1" customHeight="1" x14ac:dyDescent="0.2"/>
    <row r="46485" ht="12.75" hidden="1" customHeight="1" x14ac:dyDescent="0.2"/>
    <row r="46486" ht="12.75" hidden="1" customHeight="1" x14ac:dyDescent="0.2"/>
    <row r="46487" ht="12.75" hidden="1" customHeight="1" x14ac:dyDescent="0.2"/>
    <row r="46488" ht="12.75" hidden="1" customHeight="1" x14ac:dyDescent="0.2"/>
    <row r="46489" ht="12.75" hidden="1" customHeight="1" x14ac:dyDescent="0.2"/>
    <row r="46490" ht="12.75" hidden="1" customHeight="1" x14ac:dyDescent="0.2"/>
    <row r="46491" ht="12.75" hidden="1" customHeight="1" x14ac:dyDescent="0.2"/>
    <row r="46492" ht="12.75" hidden="1" customHeight="1" x14ac:dyDescent="0.2"/>
    <row r="46493" ht="12.75" hidden="1" customHeight="1" x14ac:dyDescent="0.2"/>
    <row r="46494" ht="12.75" hidden="1" customHeight="1" x14ac:dyDescent="0.2"/>
    <row r="46495" ht="12.75" hidden="1" customHeight="1" x14ac:dyDescent="0.2"/>
    <row r="46496" ht="12.75" hidden="1" customHeight="1" x14ac:dyDescent="0.2"/>
    <row r="46497" ht="12.75" hidden="1" customHeight="1" x14ac:dyDescent="0.2"/>
    <row r="46498" ht="12.75" hidden="1" customHeight="1" x14ac:dyDescent="0.2"/>
    <row r="46499" ht="12.75" hidden="1" customHeight="1" x14ac:dyDescent="0.2"/>
    <row r="46500" ht="12.75" hidden="1" customHeight="1" x14ac:dyDescent="0.2"/>
    <row r="46501" ht="12.75" hidden="1" customHeight="1" x14ac:dyDescent="0.2"/>
    <row r="46502" ht="12.75" hidden="1" customHeight="1" x14ac:dyDescent="0.2"/>
    <row r="46503" ht="12.75" hidden="1" customHeight="1" x14ac:dyDescent="0.2"/>
    <row r="46504" ht="12.75" hidden="1" customHeight="1" x14ac:dyDescent="0.2"/>
    <row r="46505" ht="12.75" hidden="1" customHeight="1" x14ac:dyDescent="0.2"/>
    <row r="46506" ht="12.75" hidden="1" customHeight="1" x14ac:dyDescent="0.2"/>
    <row r="46507" ht="12.75" hidden="1" customHeight="1" x14ac:dyDescent="0.2"/>
    <row r="46508" ht="12.75" hidden="1" customHeight="1" x14ac:dyDescent="0.2"/>
    <row r="46509" ht="12.75" hidden="1" customHeight="1" x14ac:dyDescent="0.2"/>
    <row r="46510" ht="12.75" hidden="1" customHeight="1" x14ac:dyDescent="0.2"/>
    <row r="46511" ht="12.75" hidden="1" customHeight="1" x14ac:dyDescent="0.2"/>
    <row r="46512" ht="12.75" hidden="1" customHeight="1" x14ac:dyDescent="0.2"/>
    <row r="46513" ht="12.75" hidden="1" customHeight="1" x14ac:dyDescent="0.2"/>
    <row r="46514" ht="12.75" hidden="1" customHeight="1" x14ac:dyDescent="0.2"/>
    <row r="46515" ht="12.75" hidden="1" customHeight="1" x14ac:dyDescent="0.2"/>
    <row r="46516" ht="12.75" hidden="1" customHeight="1" x14ac:dyDescent="0.2"/>
    <row r="46517" ht="12.75" hidden="1" customHeight="1" x14ac:dyDescent="0.2"/>
    <row r="46518" ht="12.75" hidden="1" customHeight="1" x14ac:dyDescent="0.2"/>
    <row r="46519" ht="12.75" hidden="1" customHeight="1" x14ac:dyDescent="0.2"/>
    <row r="46520" ht="12.75" hidden="1" customHeight="1" x14ac:dyDescent="0.2"/>
    <row r="46521" ht="12.75" hidden="1" customHeight="1" x14ac:dyDescent="0.2"/>
    <row r="46522" ht="12.75" hidden="1" customHeight="1" x14ac:dyDescent="0.2"/>
    <row r="46523" ht="12.75" hidden="1" customHeight="1" x14ac:dyDescent="0.2"/>
    <row r="46524" ht="12.75" hidden="1" customHeight="1" x14ac:dyDescent="0.2"/>
    <row r="46525" ht="12.75" hidden="1" customHeight="1" x14ac:dyDescent="0.2"/>
    <row r="46526" ht="12.75" hidden="1" customHeight="1" x14ac:dyDescent="0.2"/>
    <row r="46527" ht="12.75" hidden="1" customHeight="1" x14ac:dyDescent="0.2"/>
    <row r="46528" ht="12.75" hidden="1" customHeight="1" x14ac:dyDescent="0.2"/>
    <row r="46529" ht="12.75" hidden="1" customHeight="1" x14ac:dyDescent="0.2"/>
    <row r="46530" ht="12.75" hidden="1" customHeight="1" x14ac:dyDescent="0.2"/>
    <row r="46531" ht="12.75" hidden="1" customHeight="1" x14ac:dyDescent="0.2"/>
    <row r="46532" ht="12.75" hidden="1" customHeight="1" x14ac:dyDescent="0.2"/>
    <row r="46533" ht="12.75" hidden="1" customHeight="1" x14ac:dyDescent="0.2"/>
    <row r="46534" ht="12.75" hidden="1" customHeight="1" x14ac:dyDescent="0.2"/>
    <row r="46535" ht="12.75" hidden="1" customHeight="1" x14ac:dyDescent="0.2"/>
    <row r="46536" ht="12.75" hidden="1" customHeight="1" x14ac:dyDescent="0.2"/>
    <row r="46537" ht="12.75" hidden="1" customHeight="1" x14ac:dyDescent="0.2"/>
    <row r="46538" ht="12.75" hidden="1" customHeight="1" x14ac:dyDescent="0.2"/>
    <row r="46539" ht="12.75" hidden="1" customHeight="1" x14ac:dyDescent="0.2"/>
    <row r="46540" ht="12.75" hidden="1" customHeight="1" x14ac:dyDescent="0.2"/>
    <row r="46541" ht="12.75" hidden="1" customHeight="1" x14ac:dyDescent="0.2"/>
    <row r="46542" ht="12.75" hidden="1" customHeight="1" x14ac:dyDescent="0.2"/>
    <row r="46543" ht="12.75" hidden="1" customHeight="1" x14ac:dyDescent="0.2"/>
    <row r="46544" ht="12.75" hidden="1" customHeight="1" x14ac:dyDescent="0.2"/>
    <row r="46545" ht="12.75" hidden="1" customHeight="1" x14ac:dyDescent="0.2"/>
    <row r="46546" ht="12.75" hidden="1" customHeight="1" x14ac:dyDescent="0.2"/>
    <row r="46547" ht="12.75" hidden="1" customHeight="1" x14ac:dyDescent="0.2"/>
    <row r="46548" ht="12.75" hidden="1" customHeight="1" x14ac:dyDescent="0.2"/>
    <row r="46549" ht="12.75" hidden="1" customHeight="1" x14ac:dyDescent="0.2"/>
    <row r="46550" ht="12.75" hidden="1" customHeight="1" x14ac:dyDescent="0.2"/>
    <row r="46551" ht="12.75" hidden="1" customHeight="1" x14ac:dyDescent="0.2"/>
    <row r="46552" ht="12.75" hidden="1" customHeight="1" x14ac:dyDescent="0.2"/>
    <row r="46553" ht="12.75" hidden="1" customHeight="1" x14ac:dyDescent="0.2"/>
    <row r="46554" ht="12.75" hidden="1" customHeight="1" x14ac:dyDescent="0.2"/>
    <row r="46555" ht="12.75" hidden="1" customHeight="1" x14ac:dyDescent="0.2"/>
    <row r="46556" ht="12.75" hidden="1" customHeight="1" x14ac:dyDescent="0.2"/>
    <row r="46557" ht="12.75" hidden="1" customHeight="1" x14ac:dyDescent="0.2"/>
    <row r="46558" ht="12.75" hidden="1" customHeight="1" x14ac:dyDescent="0.2"/>
    <row r="46559" ht="12.75" hidden="1" customHeight="1" x14ac:dyDescent="0.2"/>
    <row r="46560" ht="12.75" hidden="1" customHeight="1" x14ac:dyDescent="0.2"/>
    <row r="46561" ht="12.75" hidden="1" customHeight="1" x14ac:dyDescent="0.2"/>
    <row r="46562" ht="12.75" hidden="1" customHeight="1" x14ac:dyDescent="0.2"/>
    <row r="46563" ht="12.75" hidden="1" customHeight="1" x14ac:dyDescent="0.2"/>
    <row r="46564" ht="12.75" hidden="1" customHeight="1" x14ac:dyDescent="0.2"/>
    <row r="46565" ht="12.75" hidden="1" customHeight="1" x14ac:dyDescent="0.2"/>
    <row r="46566" ht="12.75" hidden="1" customHeight="1" x14ac:dyDescent="0.2"/>
    <row r="46567" ht="12.75" hidden="1" customHeight="1" x14ac:dyDescent="0.2"/>
    <row r="46568" ht="12.75" hidden="1" customHeight="1" x14ac:dyDescent="0.2"/>
    <row r="46569" ht="12.75" hidden="1" customHeight="1" x14ac:dyDescent="0.2"/>
    <row r="46570" ht="12.75" hidden="1" customHeight="1" x14ac:dyDescent="0.2"/>
    <row r="46571" ht="12.75" hidden="1" customHeight="1" x14ac:dyDescent="0.2"/>
    <row r="46572" ht="12.75" hidden="1" customHeight="1" x14ac:dyDescent="0.2"/>
    <row r="46573" ht="12.75" hidden="1" customHeight="1" x14ac:dyDescent="0.2"/>
    <row r="46574" ht="12.75" hidden="1" customHeight="1" x14ac:dyDescent="0.2"/>
    <row r="46575" ht="12.75" hidden="1" customHeight="1" x14ac:dyDescent="0.2"/>
    <row r="46576" ht="12.75" hidden="1" customHeight="1" x14ac:dyDescent="0.2"/>
    <row r="46577" ht="12.75" hidden="1" customHeight="1" x14ac:dyDescent="0.2"/>
    <row r="46578" ht="12.75" hidden="1" customHeight="1" x14ac:dyDescent="0.2"/>
    <row r="46579" ht="12.75" hidden="1" customHeight="1" x14ac:dyDescent="0.2"/>
    <row r="46580" ht="12.75" hidden="1" customHeight="1" x14ac:dyDescent="0.2"/>
    <row r="46581" ht="12.75" hidden="1" customHeight="1" x14ac:dyDescent="0.2"/>
    <row r="46582" ht="12.75" hidden="1" customHeight="1" x14ac:dyDescent="0.2"/>
    <row r="46583" ht="12.75" hidden="1" customHeight="1" x14ac:dyDescent="0.2"/>
    <row r="46584" ht="12.75" hidden="1" customHeight="1" x14ac:dyDescent="0.2"/>
    <row r="46585" ht="12.75" hidden="1" customHeight="1" x14ac:dyDescent="0.2"/>
    <row r="46586" ht="12.75" hidden="1" customHeight="1" x14ac:dyDescent="0.2"/>
    <row r="46587" ht="12.75" hidden="1" customHeight="1" x14ac:dyDescent="0.2"/>
    <row r="46588" ht="12.75" hidden="1" customHeight="1" x14ac:dyDescent="0.2"/>
    <row r="46589" ht="12.75" hidden="1" customHeight="1" x14ac:dyDescent="0.2"/>
    <row r="46590" ht="12.75" hidden="1" customHeight="1" x14ac:dyDescent="0.2"/>
    <row r="46591" ht="12.75" hidden="1" customHeight="1" x14ac:dyDescent="0.2"/>
    <row r="46592" ht="12.75" hidden="1" customHeight="1" x14ac:dyDescent="0.2"/>
    <row r="46593" ht="12.75" hidden="1" customHeight="1" x14ac:dyDescent="0.2"/>
    <row r="46594" ht="12.75" hidden="1" customHeight="1" x14ac:dyDescent="0.2"/>
    <row r="46595" ht="12.75" hidden="1" customHeight="1" x14ac:dyDescent="0.2"/>
    <row r="46596" ht="12.75" hidden="1" customHeight="1" x14ac:dyDescent="0.2"/>
    <row r="46597" ht="12.75" hidden="1" customHeight="1" x14ac:dyDescent="0.2"/>
    <row r="46598" ht="12.75" hidden="1" customHeight="1" x14ac:dyDescent="0.2"/>
    <row r="46599" ht="12.75" hidden="1" customHeight="1" x14ac:dyDescent="0.2"/>
    <row r="46600" ht="12.75" hidden="1" customHeight="1" x14ac:dyDescent="0.2"/>
    <row r="46601" ht="12.75" hidden="1" customHeight="1" x14ac:dyDescent="0.2"/>
    <row r="46602" ht="12.75" hidden="1" customHeight="1" x14ac:dyDescent="0.2"/>
    <row r="46603" ht="12.75" hidden="1" customHeight="1" x14ac:dyDescent="0.2"/>
    <row r="46604" ht="12.75" hidden="1" customHeight="1" x14ac:dyDescent="0.2"/>
    <row r="46605" ht="12.75" hidden="1" customHeight="1" x14ac:dyDescent="0.2"/>
    <row r="46606" ht="12.75" hidden="1" customHeight="1" x14ac:dyDescent="0.2"/>
    <row r="46607" ht="12.75" hidden="1" customHeight="1" x14ac:dyDescent="0.2"/>
    <row r="46608" ht="12.75" hidden="1" customHeight="1" x14ac:dyDescent="0.2"/>
    <row r="46609" ht="12.75" hidden="1" customHeight="1" x14ac:dyDescent="0.2"/>
    <row r="46610" ht="12.75" hidden="1" customHeight="1" x14ac:dyDescent="0.2"/>
    <row r="46611" ht="12.75" hidden="1" customHeight="1" x14ac:dyDescent="0.2"/>
    <row r="46612" ht="12.75" hidden="1" customHeight="1" x14ac:dyDescent="0.2"/>
    <row r="46613" ht="12.75" hidden="1" customHeight="1" x14ac:dyDescent="0.2"/>
    <row r="46614" ht="12.75" hidden="1" customHeight="1" x14ac:dyDescent="0.2"/>
    <row r="46615" ht="12.75" hidden="1" customHeight="1" x14ac:dyDescent="0.2"/>
    <row r="46616" ht="12.75" hidden="1" customHeight="1" x14ac:dyDescent="0.2"/>
    <row r="46617" ht="12.75" hidden="1" customHeight="1" x14ac:dyDescent="0.2"/>
    <row r="46618" ht="12.75" hidden="1" customHeight="1" x14ac:dyDescent="0.2"/>
    <row r="46619" ht="12.75" hidden="1" customHeight="1" x14ac:dyDescent="0.2"/>
    <row r="46620" ht="12.75" hidden="1" customHeight="1" x14ac:dyDescent="0.2"/>
    <row r="46621" ht="12.75" hidden="1" customHeight="1" x14ac:dyDescent="0.2"/>
    <row r="46622" ht="12.75" hidden="1" customHeight="1" x14ac:dyDescent="0.2"/>
    <row r="46623" ht="12.75" hidden="1" customHeight="1" x14ac:dyDescent="0.2"/>
    <row r="46624" ht="12.75" hidden="1" customHeight="1" x14ac:dyDescent="0.2"/>
    <row r="46625" ht="12.75" hidden="1" customHeight="1" x14ac:dyDescent="0.2"/>
    <row r="46626" ht="12.75" hidden="1" customHeight="1" x14ac:dyDescent="0.2"/>
    <row r="46627" ht="12.75" hidden="1" customHeight="1" x14ac:dyDescent="0.2"/>
    <row r="46628" ht="12.75" hidden="1" customHeight="1" x14ac:dyDescent="0.2"/>
    <row r="46629" ht="12.75" hidden="1" customHeight="1" x14ac:dyDescent="0.2"/>
    <row r="46630" ht="12.75" hidden="1" customHeight="1" x14ac:dyDescent="0.2"/>
    <row r="46631" ht="12.75" hidden="1" customHeight="1" x14ac:dyDescent="0.2"/>
    <row r="46632" ht="12.75" hidden="1" customHeight="1" x14ac:dyDescent="0.2"/>
    <row r="46633" ht="12.75" hidden="1" customHeight="1" x14ac:dyDescent="0.2"/>
    <row r="46634" ht="12.75" hidden="1" customHeight="1" x14ac:dyDescent="0.2"/>
    <row r="46635" ht="12.75" hidden="1" customHeight="1" x14ac:dyDescent="0.2"/>
    <row r="46636" ht="12.75" hidden="1" customHeight="1" x14ac:dyDescent="0.2"/>
    <row r="46637" ht="12.75" hidden="1" customHeight="1" x14ac:dyDescent="0.2"/>
    <row r="46638" ht="12.75" hidden="1" customHeight="1" x14ac:dyDescent="0.2"/>
    <row r="46639" ht="12.75" hidden="1" customHeight="1" x14ac:dyDescent="0.2"/>
    <row r="46640" ht="12.75" hidden="1" customHeight="1" x14ac:dyDescent="0.2"/>
    <row r="46641" ht="12.75" hidden="1" customHeight="1" x14ac:dyDescent="0.2"/>
    <row r="46642" ht="12.75" hidden="1" customHeight="1" x14ac:dyDescent="0.2"/>
    <row r="46643" ht="12.75" hidden="1" customHeight="1" x14ac:dyDescent="0.2"/>
    <row r="46644" ht="12.75" hidden="1" customHeight="1" x14ac:dyDescent="0.2"/>
    <row r="46645" ht="12.75" hidden="1" customHeight="1" x14ac:dyDescent="0.2"/>
    <row r="46646" ht="12.75" hidden="1" customHeight="1" x14ac:dyDescent="0.2"/>
    <row r="46647" ht="12.75" hidden="1" customHeight="1" x14ac:dyDescent="0.2"/>
    <row r="46648" ht="12.75" hidden="1" customHeight="1" x14ac:dyDescent="0.2"/>
    <row r="46649" ht="12.75" hidden="1" customHeight="1" x14ac:dyDescent="0.2"/>
    <row r="46650" ht="12.75" hidden="1" customHeight="1" x14ac:dyDescent="0.2"/>
    <row r="46651" ht="12.75" hidden="1" customHeight="1" x14ac:dyDescent="0.2"/>
    <row r="46652" ht="12.75" hidden="1" customHeight="1" x14ac:dyDescent="0.2"/>
    <row r="46653" ht="12.75" hidden="1" customHeight="1" x14ac:dyDescent="0.2"/>
    <row r="46654" ht="12.75" hidden="1" customHeight="1" x14ac:dyDescent="0.2"/>
    <row r="46655" ht="12.75" hidden="1" customHeight="1" x14ac:dyDescent="0.2"/>
    <row r="46656" ht="12.75" hidden="1" customHeight="1" x14ac:dyDescent="0.2"/>
    <row r="46657" ht="12.75" hidden="1" customHeight="1" x14ac:dyDescent="0.2"/>
    <row r="46658" ht="12.75" hidden="1" customHeight="1" x14ac:dyDescent="0.2"/>
    <row r="46659" ht="12.75" hidden="1" customHeight="1" x14ac:dyDescent="0.2"/>
    <row r="46660" ht="12.75" hidden="1" customHeight="1" x14ac:dyDescent="0.2"/>
    <row r="46661" ht="12.75" hidden="1" customHeight="1" x14ac:dyDescent="0.2"/>
    <row r="46662" ht="12.75" hidden="1" customHeight="1" x14ac:dyDescent="0.2"/>
    <row r="46663" ht="12.75" hidden="1" customHeight="1" x14ac:dyDescent="0.2"/>
    <row r="46664" ht="12.75" hidden="1" customHeight="1" x14ac:dyDescent="0.2"/>
    <row r="46665" ht="12.75" hidden="1" customHeight="1" x14ac:dyDescent="0.2"/>
    <row r="46666" ht="12.75" hidden="1" customHeight="1" x14ac:dyDescent="0.2"/>
    <row r="46667" ht="12.75" hidden="1" customHeight="1" x14ac:dyDescent="0.2"/>
    <row r="46668" ht="12.75" hidden="1" customHeight="1" x14ac:dyDescent="0.2"/>
    <row r="46669" ht="12.75" hidden="1" customHeight="1" x14ac:dyDescent="0.2"/>
    <row r="46670" ht="12.75" hidden="1" customHeight="1" x14ac:dyDescent="0.2"/>
    <row r="46671" ht="12.75" hidden="1" customHeight="1" x14ac:dyDescent="0.2"/>
    <row r="46672" ht="12.75" hidden="1" customHeight="1" x14ac:dyDescent="0.2"/>
    <row r="46673" ht="12.75" hidden="1" customHeight="1" x14ac:dyDescent="0.2"/>
    <row r="46674" ht="12.75" hidden="1" customHeight="1" x14ac:dyDescent="0.2"/>
    <row r="46675" ht="12.75" hidden="1" customHeight="1" x14ac:dyDescent="0.2"/>
    <row r="46676" ht="12.75" hidden="1" customHeight="1" x14ac:dyDescent="0.2"/>
    <row r="46677" ht="12.75" hidden="1" customHeight="1" x14ac:dyDescent="0.2"/>
    <row r="46678" ht="12.75" hidden="1" customHeight="1" x14ac:dyDescent="0.2"/>
    <row r="46679" ht="12.75" hidden="1" customHeight="1" x14ac:dyDescent="0.2"/>
    <row r="46680" ht="12.75" hidden="1" customHeight="1" x14ac:dyDescent="0.2"/>
    <row r="46681" ht="12.75" hidden="1" customHeight="1" x14ac:dyDescent="0.2"/>
    <row r="46682" ht="12.75" hidden="1" customHeight="1" x14ac:dyDescent="0.2"/>
    <row r="46683" ht="12.75" hidden="1" customHeight="1" x14ac:dyDescent="0.2"/>
    <row r="46684" ht="12.75" hidden="1" customHeight="1" x14ac:dyDescent="0.2"/>
    <row r="46685" ht="12.75" hidden="1" customHeight="1" x14ac:dyDescent="0.2"/>
    <row r="46686" ht="12.75" hidden="1" customHeight="1" x14ac:dyDescent="0.2"/>
    <row r="46687" ht="12.75" hidden="1" customHeight="1" x14ac:dyDescent="0.2"/>
    <row r="46688" ht="12.75" hidden="1" customHeight="1" x14ac:dyDescent="0.2"/>
    <row r="46689" ht="12.75" hidden="1" customHeight="1" x14ac:dyDescent="0.2"/>
    <row r="46690" ht="12.75" hidden="1" customHeight="1" x14ac:dyDescent="0.2"/>
    <row r="46691" ht="12.75" hidden="1" customHeight="1" x14ac:dyDescent="0.2"/>
    <row r="46692" ht="12.75" hidden="1" customHeight="1" x14ac:dyDescent="0.2"/>
    <row r="46693" ht="12.75" hidden="1" customHeight="1" x14ac:dyDescent="0.2"/>
    <row r="46694" ht="12.75" hidden="1" customHeight="1" x14ac:dyDescent="0.2"/>
    <row r="46695" ht="12.75" hidden="1" customHeight="1" x14ac:dyDescent="0.2"/>
    <row r="46696" ht="12.75" hidden="1" customHeight="1" x14ac:dyDescent="0.2"/>
    <row r="46697" ht="12.75" hidden="1" customHeight="1" x14ac:dyDescent="0.2"/>
    <row r="46698" ht="12.75" hidden="1" customHeight="1" x14ac:dyDescent="0.2"/>
    <row r="46699" ht="12.75" hidden="1" customHeight="1" x14ac:dyDescent="0.2"/>
    <row r="46700" ht="12.75" hidden="1" customHeight="1" x14ac:dyDescent="0.2"/>
    <row r="46701" ht="12.75" hidden="1" customHeight="1" x14ac:dyDescent="0.2"/>
    <row r="46702" ht="12.75" hidden="1" customHeight="1" x14ac:dyDescent="0.2"/>
    <row r="46703" ht="12.75" hidden="1" customHeight="1" x14ac:dyDescent="0.2"/>
    <row r="46704" ht="12.75" hidden="1" customHeight="1" x14ac:dyDescent="0.2"/>
    <row r="46705" ht="12.75" hidden="1" customHeight="1" x14ac:dyDescent="0.2"/>
    <row r="46706" ht="12.75" hidden="1" customHeight="1" x14ac:dyDescent="0.2"/>
    <row r="46707" ht="12.75" hidden="1" customHeight="1" x14ac:dyDescent="0.2"/>
    <row r="46708" ht="12.75" hidden="1" customHeight="1" x14ac:dyDescent="0.2"/>
    <row r="46709" ht="12.75" hidden="1" customHeight="1" x14ac:dyDescent="0.2"/>
    <row r="46710" ht="12.75" hidden="1" customHeight="1" x14ac:dyDescent="0.2"/>
    <row r="46711" ht="12.75" hidden="1" customHeight="1" x14ac:dyDescent="0.2"/>
    <row r="46712" ht="12.75" hidden="1" customHeight="1" x14ac:dyDescent="0.2"/>
    <row r="46713" ht="12.75" hidden="1" customHeight="1" x14ac:dyDescent="0.2"/>
    <row r="46714" ht="12.75" hidden="1" customHeight="1" x14ac:dyDescent="0.2"/>
    <row r="46715" ht="12.75" hidden="1" customHeight="1" x14ac:dyDescent="0.2"/>
    <row r="46716" ht="12.75" hidden="1" customHeight="1" x14ac:dyDescent="0.2"/>
    <row r="46717" ht="12.75" hidden="1" customHeight="1" x14ac:dyDescent="0.2"/>
    <row r="46718" ht="12.75" hidden="1" customHeight="1" x14ac:dyDescent="0.2"/>
    <row r="46719" ht="12.75" hidden="1" customHeight="1" x14ac:dyDescent="0.2"/>
    <row r="46720" ht="12.75" hidden="1" customHeight="1" x14ac:dyDescent="0.2"/>
    <row r="46721" ht="12.75" hidden="1" customHeight="1" x14ac:dyDescent="0.2"/>
    <row r="46722" ht="12.75" hidden="1" customHeight="1" x14ac:dyDescent="0.2"/>
    <row r="46723" ht="12.75" hidden="1" customHeight="1" x14ac:dyDescent="0.2"/>
    <row r="46724" ht="12.75" hidden="1" customHeight="1" x14ac:dyDescent="0.2"/>
    <row r="46725" ht="12.75" hidden="1" customHeight="1" x14ac:dyDescent="0.2"/>
    <row r="46726" ht="12.75" hidden="1" customHeight="1" x14ac:dyDescent="0.2"/>
    <row r="46727" ht="12.75" hidden="1" customHeight="1" x14ac:dyDescent="0.2"/>
    <row r="46728" ht="12.75" hidden="1" customHeight="1" x14ac:dyDescent="0.2"/>
    <row r="46729" ht="12.75" hidden="1" customHeight="1" x14ac:dyDescent="0.2"/>
    <row r="46730" ht="12.75" hidden="1" customHeight="1" x14ac:dyDescent="0.2"/>
    <row r="46731" ht="12.75" hidden="1" customHeight="1" x14ac:dyDescent="0.2"/>
    <row r="46732" ht="12.75" hidden="1" customHeight="1" x14ac:dyDescent="0.2"/>
    <row r="46733" ht="12.75" hidden="1" customHeight="1" x14ac:dyDescent="0.2"/>
    <row r="46734" ht="12.75" hidden="1" customHeight="1" x14ac:dyDescent="0.2"/>
    <row r="46735" ht="12.75" hidden="1" customHeight="1" x14ac:dyDescent="0.2"/>
    <row r="46736" ht="12.75" hidden="1" customHeight="1" x14ac:dyDescent="0.2"/>
    <row r="46737" ht="12.75" hidden="1" customHeight="1" x14ac:dyDescent="0.2"/>
    <row r="46738" ht="12.75" hidden="1" customHeight="1" x14ac:dyDescent="0.2"/>
    <row r="46739" ht="12.75" hidden="1" customHeight="1" x14ac:dyDescent="0.2"/>
    <row r="46740" ht="12.75" hidden="1" customHeight="1" x14ac:dyDescent="0.2"/>
    <row r="46741" ht="12.75" hidden="1" customHeight="1" x14ac:dyDescent="0.2"/>
    <row r="46742" ht="12.75" hidden="1" customHeight="1" x14ac:dyDescent="0.2"/>
    <row r="46743" ht="12.75" hidden="1" customHeight="1" x14ac:dyDescent="0.2"/>
    <row r="46744" ht="12.75" hidden="1" customHeight="1" x14ac:dyDescent="0.2"/>
    <row r="46745" ht="12.75" hidden="1" customHeight="1" x14ac:dyDescent="0.2"/>
    <row r="46746" ht="12.75" hidden="1" customHeight="1" x14ac:dyDescent="0.2"/>
    <row r="46747" ht="12.75" hidden="1" customHeight="1" x14ac:dyDescent="0.2"/>
    <row r="46748" ht="12.75" hidden="1" customHeight="1" x14ac:dyDescent="0.2"/>
    <row r="46749" ht="12.75" hidden="1" customHeight="1" x14ac:dyDescent="0.2"/>
    <row r="46750" ht="12.75" hidden="1" customHeight="1" x14ac:dyDescent="0.2"/>
    <row r="46751" ht="12.75" hidden="1" customHeight="1" x14ac:dyDescent="0.2"/>
    <row r="46752" ht="12.75" hidden="1" customHeight="1" x14ac:dyDescent="0.2"/>
    <row r="46753" ht="12.75" hidden="1" customHeight="1" x14ac:dyDescent="0.2"/>
    <row r="46754" ht="12.75" hidden="1" customHeight="1" x14ac:dyDescent="0.2"/>
    <row r="46755" ht="12.75" hidden="1" customHeight="1" x14ac:dyDescent="0.2"/>
    <row r="46756" ht="12.75" hidden="1" customHeight="1" x14ac:dyDescent="0.2"/>
    <row r="46757" ht="12.75" hidden="1" customHeight="1" x14ac:dyDescent="0.2"/>
    <row r="46758" ht="12.75" hidden="1" customHeight="1" x14ac:dyDescent="0.2"/>
    <row r="46759" ht="12.75" hidden="1" customHeight="1" x14ac:dyDescent="0.2"/>
    <row r="46760" ht="12.75" hidden="1" customHeight="1" x14ac:dyDescent="0.2"/>
    <row r="46761" ht="12.75" hidden="1" customHeight="1" x14ac:dyDescent="0.2"/>
    <row r="46762" ht="12.75" hidden="1" customHeight="1" x14ac:dyDescent="0.2"/>
    <row r="46763" ht="12.75" hidden="1" customHeight="1" x14ac:dyDescent="0.2"/>
    <row r="46764" ht="12.75" hidden="1" customHeight="1" x14ac:dyDescent="0.2"/>
    <row r="46765" ht="12.75" hidden="1" customHeight="1" x14ac:dyDescent="0.2"/>
    <row r="46766" ht="12.75" hidden="1" customHeight="1" x14ac:dyDescent="0.2"/>
    <row r="46767" ht="12.75" hidden="1" customHeight="1" x14ac:dyDescent="0.2"/>
    <row r="46768" ht="12.75" hidden="1" customHeight="1" x14ac:dyDescent="0.2"/>
    <row r="46769" ht="12.75" hidden="1" customHeight="1" x14ac:dyDescent="0.2"/>
    <row r="46770" ht="12.75" hidden="1" customHeight="1" x14ac:dyDescent="0.2"/>
    <row r="46771" ht="12.75" hidden="1" customHeight="1" x14ac:dyDescent="0.2"/>
    <row r="46772" ht="12.75" hidden="1" customHeight="1" x14ac:dyDescent="0.2"/>
    <row r="46773" ht="12.75" hidden="1" customHeight="1" x14ac:dyDescent="0.2"/>
    <row r="46774" ht="12.75" hidden="1" customHeight="1" x14ac:dyDescent="0.2"/>
    <row r="46775" ht="12.75" hidden="1" customHeight="1" x14ac:dyDescent="0.2"/>
    <row r="46776" ht="12.75" hidden="1" customHeight="1" x14ac:dyDescent="0.2"/>
    <row r="46777" ht="12.75" hidden="1" customHeight="1" x14ac:dyDescent="0.2"/>
    <row r="46778" ht="12.75" hidden="1" customHeight="1" x14ac:dyDescent="0.2"/>
    <row r="46779" ht="12.75" hidden="1" customHeight="1" x14ac:dyDescent="0.2"/>
    <row r="46780" ht="12.75" hidden="1" customHeight="1" x14ac:dyDescent="0.2"/>
    <row r="46781" ht="12.75" hidden="1" customHeight="1" x14ac:dyDescent="0.2"/>
    <row r="46782" ht="12.75" hidden="1" customHeight="1" x14ac:dyDescent="0.2"/>
    <row r="46783" ht="12.75" hidden="1" customHeight="1" x14ac:dyDescent="0.2"/>
    <row r="46784" ht="12.75" hidden="1" customHeight="1" x14ac:dyDescent="0.2"/>
    <row r="46785" ht="12.75" hidden="1" customHeight="1" x14ac:dyDescent="0.2"/>
    <row r="46786" ht="12.75" hidden="1" customHeight="1" x14ac:dyDescent="0.2"/>
    <row r="46787" ht="12.75" hidden="1" customHeight="1" x14ac:dyDescent="0.2"/>
    <row r="46788" ht="12.75" hidden="1" customHeight="1" x14ac:dyDescent="0.2"/>
    <row r="46789" ht="12.75" hidden="1" customHeight="1" x14ac:dyDescent="0.2"/>
    <row r="46790" ht="12.75" hidden="1" customHeight="1" x14ac:dyDescent="0.2"/>
    <row r="46791" ht="12.75" hidden="1" customHeight="1" x14ac:dyDescent="0.2"/>
    <row r="46792" ht="12.75" hidden="1" customHeight="1" x14ac:dyDescent="0.2"/>
    <row r="46793" ht="12.75" hidden="1" customHeight="1" x14ac:dyDescent="0.2"/>
    <row r="46794" ht="12.75" hidden="1" customHeight="1" x14ac:dyDescent="0.2"/>
    <row r="46795" ht="12.75" hidden="1" customHeight="1" x14ac:dyDescent="0.2"/>
    <row r="46796" ht="12.75" hidden="1" customHeight="1" x14ac:dyDescent="0.2"/>
    <row r="46797" ht="12.75" hidden="1" customHeight="1" x14ac:dyDescent="0.2"/>
    <row r="46798" ht="12.75" hidden="1" customHeight="1" x14ac:dyDescent="0.2"/>
    <row r="46799" ht="12.75" hidden="1" customHeight="1" x14ac:dyDescent="0.2"/>
    <row r="46800" ht="12.75" hidden="1" customHeight="1" x14ac:dyDescent="0.2"/>
    <row r="46801" ht="12.75" hidden="1" customHeight="1" x14ac:dyDescent="0.2"/>
    <row r="46802" ht="12.75" hidden="1" customHeight="1" x14ac:dyDescent="0.2"/>
    <row r="46803" ht="12.75" hidden="1" customHeight="1" x14ac:dyDescent="0.2"/>
    <row r="46804" ht="12.75" hidden="1" customHeight="1" x14ac:dyDescent="0.2"/>
    <row r="46805" ht="12.75" hidden="1" customHeight="1" x14ac:dyDescent="0.2"/>
    <row r="46806" ht="12.75" hidden="1" customHeight="1" x14ac:dyDescent="0.2"/>
    <row r="46807" ht="12.75" hidden="1" customHeight="1" x14ac:dyDescent="0.2"/>
    <row r="46808" ht="12.75" hidden="1" customHeight="1" x14ac:dyDescent="0.2"/>
    <row r="46809" ht="12.75" hidden="1" customHeight="1" x14ac:dyDescent="0.2"/>
    <row r="46810" ht="12.75" hidden="1" customHeight="1" x14ac:dyDescent="0.2"/>
    <row r="46811" ht="12.75" hidden="1" customHeight="1" x14ac:dyDescent="0.2"/>
    <row r="46812" ht="12.75" hidden="1" customHeight="1" x14ac:dyDescent="0.2"/>
    <row r="46813" ht="12.75" hidden="1" customHeight="1" x14ac:dyDescent="0.2"/>
    <row r="46814" ht="12.75" hidden="1" customHeight="1" x14ac:dyDescent="0.2"/>
    <row r="46815" ht="12.75" hidden="1" customHeight="1" x14ac:dyDescent="0.2"/>
    <row r="46816" ht="12.75" hidden="1" customHeight="1" x14ac:dyDescent="0.2"/>
    <row r="46817" ht="12.75" hidden="1" customHeight="1" x14ac:dyDescent="0.2"/>
    <row r="46818" ht="12.75" hidden="1" customHeight="1" x14ac:dyDescent="0.2"/>
    <row r="46819" ht="12.75" hidden="1" customHeight="1" x14ac:dyDescent="0.2"/>
    <row r="46820" ht="12.75" hidden="1" customHeight="1" x14ac:dyDescent="0.2"/>
    <row r="46821" ht="12.75" hidden="1" customHeight="1" x14ac:dyDescent="0.2"/>
    <row r="46822" ht="12.75" hidden="1" customHeight="1" x14ac:dyDescent="0.2"/>
    <row r="46823" ht="12.75" hidden="1" customHeight="1" x14ac:dyDescent="0.2"/>
    <row r="46824" ht="12.75" hidden="1" customHeight="1" x14ac:dyDescent="0.2"/>
    <row r="46825" ht="12.75" hidden="1" customHeight="1" x14ac:dyDescent="0.2"/>
    <row r="46826" ht="12.75" hidden="1" customHeight="1" x14ac:dyDescent="0.2"/>
    <row r="46827" ht="12.75" hidden="1" customHeight="1" x14ac:dyDescent="0.2"/>
    <row r="46828" ht="12.75" hidden="1" customHeight="1" x14ac:dyDescent="0.2"/>
    <row r="46829" ht="12.75" hidden="1" customHeight="1" x14ac:dyDescent="0.2"/>
    <row r="46830" ht="12.75" hidden="1" customHeight="1" x14ac:dyDescent="0.2"/>
    <row r="46831" ht="12.75" hidden="1" customHeight="1" x14ac:dyDescent="0.2"/>
    <row r="46832" ht="12.75" hidden="1" customHeight="1" x14ac:dyDescent="0.2"/>
    <row r="46833" ht="12.75" hidden="1" customHeight="1" x14ac:dyDescent="0.2"/>
    <row r="46834" ht="12.75" hidden="1" customHeight="1" x14ac:dyDescent="0.2"/>
    <row r="46835" ht="12.75" hidden="1" customHeight="1" x14ac:dyDescent="0.2"/>
    <row r="46836" ht="12.75" hidden="1" customHeight="1" x14ac:dyDescent="0.2"/>
    <row r="46837" ht="12.75" hidden="1" customHeight="1" x14ac:dyDescent="0.2"/>
    <row r="46838" ht="12.75" hidden="1" customHeight="1" x14ac:dyDescent="0.2"/>
    <row r="46839" ht="12.75" hidden="1" customHeight="1" x14ac:dyDescent="0.2"/>
    <row r="46840" ht="12.75" hidden="1" customHeight="1" x14ac:dyDescent="0.2"/>
    <row r="46841" ht="12.75" hidden="1" customHeight="1" x14ac:dyDescent="0.2"/>
    <row r="46842" ht="12.75" hidden="1" customHeight="1" x14ac:dyDescent="0.2"/>
    <row r="46843" ht="12.75" hidden="1" customHeight="1" x14ac:dyDescent="0.2"/>
    <row r="46844" ht="12.75" hidden="1" customHeight="1" x14ac:dyDescent="0.2"/>
    <row r="46845" ht="12.75" hidden="1" customHeight="1" x14ac:dyDescent="0.2"/>
    <row r="46846" ht="12.75" hidden="1" customHeight="1" x14ac:dyDescent="0.2"/>
    <row r="46847" ht="12.75" hidden="1" customHeight="1" x14ac:dyDescent="0.2"/>
    <row r="46848" ht="12.75" hidden="1" customHeight="1" x14ac:dyDescent="0.2"/>
    <row r="46849" ht="12.75" hidden="1" customHeight="1" x14ac:dyDescent="0.2"/>
    <row r="46850" ht="12.75" hidden="1" customHeight="1" x14ac:dyDescent="0.2"/>
    <row r="46851" ht="12.75" hidden="1" customHeight="1" x14ac:dyDescent="0.2"/>
    <row r="46852" ht="12.75" hidden="1" customHeight="1" x14ac:dyDescent="0.2"/>
    <row r="46853" ht="12.75" hidden="1" customHeight="1" x14ac:dyDescent="0.2"/>
    <row r="46854" ht="12.75" hidden="1" customHeight="1" x14ac:dyDescent="0.2"/>
    <row r="46855" ht="12.75" hidden="1" customHeight="1" x14ac:dyDescent="0.2"/>
    <row r="46856" ht="12.75" hidden="1" customHeight="1" x14ac:dyDescent="0.2"/>
    <row r="46857" ht="12.75" hidden="1" customHeight="1" x14ac:dyDescent="0.2"/>
    <row r="46858" ht="12.75" hidden="1" customHeight="1" x14ac:dyDescent="0.2"/>
    <row r="46859" ht="12.75" hidden="1" customHeight="1" x14ac:dyDescent="0.2"/>
    <row r="46860" ht="12.75" hidden="1" customHeight="1" x14ac:dyDescent="0.2"/>
    <row r="46861" ht="12.75" hidden="1" customHeight="1" x14ac:dyDescent="0.2"/>
    <row r="46862" ht="12.75" hidden="1" customHeight="1" x14ac:dyDescent="0.2"/>
    <row r="46863" ht="12.75" hidden="1" customHeight="1" x14ac:dyDescent="0.2"/>
    <row r="46864" ht="12.75" hidden="1" customHeight="1" x14ac:dyDescent="0.2"/>
    <row r="46865" ht="12.75" hidden="1" customHeight="1" x14ac:dyDescent="0.2"/>
    <row r="46866" ht="12.75" hidden="1" customHeight="1" x14ac:dyDescent="0.2"/>
    <row r="46867" ht="12.75" hidden="1" customHeight="1" x14ac:dyDescent="0.2"/>
    <row r="46868" ht="12.75" hidden="1" customHeight="1" x14ac:dyDescent="0.2"/>
    <row r="46869" ht="12.75" hidden="1" customHeight="1" x14ac:dyDescent="0.2"/>
    <row r="46870" ht="12.75" hidden="1" customHeight="1" x14ac:dyDescent="0.2"/>
    <row r="46871" ht="12.75" hidden="1" customHeight="1" x14ac:dyDescent="0.2"/>
    <row r="46872" ht="12.75" hidden="1" customHeight="1" x14ac:dyDescent="0.2"/>
    <row r="46873" ht="12.75" hidden="1" customHeight="1" x14ac:dyDescent="0.2"/>
    <row r="46874" ht="12.75" hidden="1" customHeight="1" x14ac:dyDescent="0.2"/>
    <row r="46875" ht="12.75" hidden="1" customHeight="1" x14ac:dyDescent="0.2"/>
    <row r="46876" ht="12.75" hidden="1" customHeight="1" x14ac:dyDescent="0.2"/>
    <row r="46877" ht="12.75" hidden="1" customHeight="1" x14ac:dyDescent="0.2"/>
    <row r="46878" ht="12.75" hidden="1" customHeight="1" x14ac:dyDescent="0.2"/>
    <row r="46879" ht="12.75" hidden="1" customHeight="1" x14ac:dyDescent="0.2"/>
    <row r="46880" ht="12.75" hidden="1" customHeight="1" x14ac:dyDescent="0.2"/>
    <row r="46881" ht="12.75" hidden="1" customHeight="1" x14ac:dyDescent="0.2"/>
    <row r="46882" ht="12.75" hidden="1" customHeight="1" x14ac:dyDescent="0.2"/>
    <row r="46883" ht="12.75" hidden="1" customHeight="1" x14ac:dyDescent="0.2"/>
    <row r="46884" ht="12.75" hidden="1" customHeight="1" x14ac:dyDescent="0.2"/>
    <row r="46885" ht="12.75" hidden="1" customHeight="1" x14ac:dyDescent="0.2"/>
    <row r="46886" ht="12.75" hidden="1" customHeight="1" x14ac:dyDescent="0.2"/>
    <row r="46887" ht="12.75" hidden="1" customHeight="1" x14ac:dyDescent="0.2"/>
    <row r="46888" ht="12.75" hidden="1" customHeight="1" x14ac:dyDescent="0.2"/>
    <row r="46889" ht="12.75" hidden="1" customHeight="1" x14ac:dyDescent="0.2"/>
    <row r="46890" ht="12.75" hidden="1" customHeight="1" x14ac:dyDescent="0.2"/>
    <row r="46891" ht="12.75" hidden="1" customHeight="1" x14ac:dyDescent="0.2"/>
    <row r="46892" ht="12.75" hidden="1" customHeight="1" x14ac:dyDescent="0.2"/>
    <row r="46893" ht="12.75" hidden="1" customHeight="1" x14ac:dyDescent="0.2"/>
    <row r="46894" ht="12.75" hidden="1" customHeight="1" x14ac:dyDescent="0.2"/>
    <row r="46895" ht="12.75" hidden="1" customHeight="1" x14ac:dyDescent="0.2"/>
    <row r="46896" ht="12.75" hidden="1" customHeight="1" x14ac:dyDescent="0.2"/>
    <row r="46897" ht="12.75" hidden="1" customHeight="1" x14ac:dyDescent="0.2"/>
    <row r="46898" ht="12.75" hidden="1" customHeight="1" x14ac:dyDescent="0.2"/>
    <row r="46899" ht="12.75" hidden="1" customHeight="1" x14ac:dyDescent="0.2"/>
    <row r="46900" ht="12.75" hidden="1" customHeight="1" x14ac:dyDescent="0.2"/>
    <row r="46901" ht="12.75" hidden="1" customHeight="1" x14ac:dyDescent="0.2"/>
    <row r="46902" ht="12.75" hidden="1" customHeight="1" x14ac:dyDescent="0.2"/>
    <row r="46903" ht="12.75" hidden="1" customHeight="1" x14ac:dyDescent="0.2"/>
    <row r="46904" ht="12.75" hidden="1" customHeight="1" x14ac:dyDescent="0.2"/>
    <row r="46905" ht="12.75" hidden="1" customHeight="1" x14ac:dyDescent="0.2"/>
    <row r="46906" ht="12.75" hidden="1" customHeight="1" x14ac:dyDescent="0.2"/>
    <row r="46907" ht="12.75" hidden="1" customHeight="1" x14ac:dyDescent="0.2"/>
    <row r="46908" ht="12.75" hidden="1" customHeight="1" x14ac:dyDescent="0.2"/>
    <row r="46909" ht="12.75" hidden="1" customHeight="1" x14ac:dyDescent="0.2"/>
    <row r="46910" ht="12.75" hidden="1" customHeight="1" x14ac:dyDescent="0.2"/>
    <row r="46911" ht="12.75" hidden="1" customHeight="1" x14ac:dyDescent="0.2"/>
    <row r="46912" ht="12.75" hidden="1" customHeight="1" x14ac:dyDescent="0.2"/>
    <row r="46913" ht="12.75" hidden="1" customHeight="1" x14ac:dyDescent="0.2"/>
    <row r="46914" ht="12.75" hidden="1" customHeight="1" x14ac:dyDescent="0.2"/>
    <row r="46915" ht="12.75" hidden="1" customHeight="1" x14ac:dyDescent="0.2"/>
    <row r="46916" ht="12.75" hidden="1" customHeight="1" x14ac:dyDescent="0.2"/>
    <row r="46917" ht="12.75" hidden="1" customHeight="1" x14ac:dyDescent="0.2"/>
    <row r="46918" ht="12.75" hidden="1" customHeight="1" x14ac:dyDescent="0.2"/>
    <row r="46919" ht="12.75" hidden="1" customHeight="1" x14ac:dyDescent="0.2"/>
    <row r="46920" ht="12.75" hidden="1" customHeight="1" x14ac:dyDescent="0.2"/>
    <row r="46921" ht="12.75" hidden="1" customHeight="1" x14ac:dyDescent="0.2"/>
    <row r="46922" ht="12.75" hidden="1" customHeight="1" x14ac:dyDescent="0.2"/>
    <row r="46923" ht="12.75" hidden="1" customHeight="1" x14ac:dyDescent="0.2"/>
    <row r="46924" ht="12.75" hidden="1" customHeight="1" x14ac:dyDescent="0.2"/>
    <row r="46925" ht="12.75" hidden="1" customHeight="1" x14ac:dyDescent="0.2"/>
    <row r="46926" ht="12.75" hidden="1" customHeight="1" x14ac:dyDescent="0.2"/>
    <row r="46927" ht="12.75" hidden="1" customHeight="1" x14ac:dyDescent="0.2"/>
    <row r="46928" ht="12.75" hidden="1" customHeight="1" x14ac:dyDescent="0.2"/>
    <row r="46929" ht="12.75" hidden="1" customHeight="1" x14ac:dyDescent="0.2"/>
    <row r="46930" ht="12.75" hidden="1" customHeight="1" x14ac:dyDescent="0.2"/>
    <row r="46931" ht="12.75" hidden="1" customHeight="1" x14ac:dyDescent="0.2"/>
    <row r="46932" ht="12.75" hidden="1" customHeight="1" x14ac:dyDescent="0.2"/>
    <row r="46933" ht="12.75" hidden="1" customHeight="1" x14ac:dyDescent="0.2"/>
    <row r="46934" ht="12.75" hidden="1" customHeight="1" x14ac:dyDescent="0.2"/>
    <row r="46935" ht="12.75" hidden="1" customHeight="1" x14ac:dyDescent="0.2"/>
    <row r="46936" ht="12.75" hidden="1" customHeight="1" x14ac:dyDescent="0.2"/>
    <row r="46937" ht="12.75" hidden="1" customHeight="1" x14ac:dyDescent="0.2"/>
    <row r="46938" ht="12.75" hidden="1" customHeight="1" x14ac:dyDescent="0.2"/>
    <row r="46939" ht="12.75" hidden="1" customHeight="1" x14ac:dyDescent="0.2"/>
    <row r="46940" ht="12.75" hidden="1" customHeight="1" x14ac:dyDescent="0.2"/>
    <row r="46941" ht="12.75" hidden="1" customHeight="1" x14ac:dyDescent="0.2"/>
    <row r="46942" ht="12.75" hidden="1" customHeight="1" x14ac:dyDescent="0.2"/>
    <row r="46943" ht="12.75" hidden="1" customHeight="1" x14ac:dyDescent="0.2"/>
    <row r="46944" ht="12.75" hidden="1" customHeight="1" x14ac:dyDescent="0.2"/>
    <row r="46945" ht="12.75" hidden="1" customHeight="1" x14ac:dyDescent="0.2"/>
    <row r="46946" ht="12.75" hidden="1" customHeight="1" x14ac:dyDescent="0.2"/>
    <row r="46947" ht="12.75" hidden="1" customHeight="1" x14ac:dyDescent="0.2"/>
    <row r="46948" ht="12.75" hidden="1" customHeight="1" x14ac:dyDescent="0.2"/>
    <row r="46949" ht="12.75" hidden="1" customHeight="1" x14ac:dyDescent="0.2"/>
    <row r="46950" ht="12.75" hidden="1" customHeight="1" x14ac:dyDescent="0.2"/>
    <row r="46951" ht="12.75" hidden="1" customHeight="1" x14ac:dyDescent="0.2"/>
    <row r="46952" ht="12.75" hidden="1" customHeight="1" x14ac:dyDescent="0.2"/>
    <row r="46953" ht="12.75" hidden="1" customHeight="1" x14ac:dyDescent="0.2"/>
    <row r="46954" ht="12.75" hidden="1" customHeight="1" x14ac:dyDescent="0.2"/>
    <row r="46955" ht="12.75" hidden="1" customHeight="1" x14ac:dyDescent="0.2"/>
    <row r="46956" ht="12.75" hidden="1" customHeight="1" x14ac:dyDescent="0.2"/>
    <row r="46957" ht="12.75" hidden="1" customHeight="1" x14ac:dyDescent="0.2"/>
    <row r="46958" ht="12.75" hidden="1" customHeight="1" x14ac:dyDescent="0.2"/>
    <row r="46959" ht="12.75" hidden="1" customHeight="1" x14ac:dyDescent="0.2"/>
    <row r="46960" ht="12.75" hidden="1" customHeight="1" x14ac:dyDescent="0.2"/>
    <row r="46961" ht="12.75" hidden="1" customHeight="1" x14ac:dyDescent="0.2"/>
    <row r="46962" ht="12.75" hidden="1" customHeight="1" x14ac:dyDescent="0.2"/>
    <row r="46963" ht="12.75" hidden="1" customHeight="1" x14ac:dyDescent="0.2"/>
    <row r="46964" ht="12.75" hidden="1" customHeight="1" x14ac:dyDescent="0.2"/>
    <row r="46965" ht="12.75" hidden="1" customHeight="1" x14ac:dyDescent="0.2"/>
    <row r="46966" ht="12.75" hidden="1" customHeight="1" x14ac:dyDescent="0.2"/>
    <row r="46967" ht="12.75" hidden="1" customHeight="1" x14ac:dyDescent="0.2"/>
    <row r="46968" ht="12.75" hidden="1" customHeight="1" x14ac:dyDescent="0.2"/>
    <row r="46969" ht="12.75" hidden="1" customHeight="1" x14ac:dyDescent="0.2"/>
    <row r="46970" ht="12.75" hidden="1" customHeight="1" x14ac:dyDescent="0.2"/>
    <row r="46971" ht="12.75" hidden="1" customHeight="1" x14ac:dyDescent="0.2"/>
    <row r="46972" ht="12.75" hidden="1" customHeight="1" x14ac:dyDescent="0.2"/>
    <row r="46973" ht="12.75" hidden="1" customHeight="1" x14ac:dyDescent="0.2"/>
    <row r="46974" ht="12.75" hidden="1" customHeight="1" x14ac:dyDescent="0.2"/>
    <row r="46975" ht="12.75" hidden="1" customHeight="1" x14ac:dyDescent="0.2"/>
    <row r="46976" ht="12.75" hidden="1" customHeight="1" x14ac:dyDescent="0.2"/>
    <row r="46977" ht="12.75" hidden="1" customHeight="1" x14ac:dyDescent="0.2"/>
    <row r="46978" ht="12.75" hidden="1" customHeight="1" x14ac:dyDescent="0.2"/>
    <row r="46979" ht="12.75" hidden="1" customHeight="1" x14ac:dyDescent="0.2"/>
    <row r="46980" ht="12.75" hidden="1" customHeight="1" x14ac:dyDescent="0.2"/>
    <row r="46981" ht="12.75" hidden="1" customHeight="1" x14ac:dyDescent="0.2"/>
    <row r="46982" ht="12.75" hidden="1" customHeight="1" x14ac:dyDescent="0.2"/>
    <row r="46983" ht="12.75" hidden="1" customHeight="1" x14ac:dyDescent="0.2"/>
    <row r="46984" ht="12.75" hidden="1" customHeight="1" x14ac:dyDescent="0.2"/>
    <row r="46985" ht="12.75" hidden="1" customHeight="1" x14ac:dyDescent="0.2"/>
    <row r="46986" ht="12.75" hidden="1" customHeight="1" x14ac:dyDescent="0.2"/>
    <row r="46987" ht="12.75" hidden="1" customHeight="1" x14ac:dyDescent="0.2"/>
    <row r="46988" ht="12.75" hidden="1" customHeight="1" x14ac:dyDescent="0.2"/>
    <row r="46989" ht="12.75" hidden="1" customHeight="1" x14ac:dyDescent="0.2"/>
    <row r="46990" ht="12.75" hidden="1" customHeight="1" x14ac:dyDescent="0.2"/>
    <row r="46991" ht="12.75" hidden="1" customHeight="1" x14ac:dyDescent="0.2"/>
    <row r="46992" ht="12.75" hidden="1" customHeight="1" x14ac:dyDescent="0.2"/>
    <row r="46993" ht="12.75" hidden="1" customHeight="1" x14ac:dyDescent="0.2"/>
    <row r="46994" ht="12.75" hidden="1" customHeight="1" x14ac:dyDescent="0.2"/>
    <row r="46995" ht="12.75" hidden="1" customHeight="1" x14ac:dyDescent="0.2"/>
    <row r="46996" ht="12.75" hidden="1" customHeight="1" x14ac:dyDescent="0.2"/>
    <row r="46997" ht="12.75" hidden="1" customHeight="1" x14ac:dyDescent="0.2"/>
    <row r="46998" ht="12.75" hidden="1" customHeight="1" x14ac:dyDescent="0.2"/>
    <row r="46999" ht="12.75" hidden="1" customHeight="1" x14ac:dyDescent="0.2"/>
    <row r="47000" ht="12.75" hidden="1" customHeight="1" x14ac:dyDescent="0.2"/>
    <row r="47001" ht="12.75" hidden="1" customHeight="1" x14ac:dyDescent="0.2"/>
    <row r="47002" ht="12.75" hidden="1" customHeight="1" x14ac:dyDescent="0.2"/>
    <row r="47003" ht="12.75" hidden="1" customHeight="1" x14ac:dyDescent="0.2"/>
    <row r="47004" ht="12.75" hidden="1" customHeight="1" x14ac:dyDescent="0.2"/>
    <row r="47005" ht="12.75" hidden="1" customHeight="1" x14ac:dyDescent="0.2"/>
    <row r="47006" ht="12.75" hidden="1" customHeight="1" x14ac:dyDescent="0.2"/>
    <row r="47007" ht="12.75" hidden="1" customHeight="1" x14ac:dyDescent="0.2"/>
    <row r="47008" ht="12.75" hidden="1" customHeight="1" x14ac:dyDescent="0.2"/>
    <row r="47009" ht="12.75" hidden="1" customHeight="1" x14ac:dyDescent="0.2"/>
    <row r="47010" ht="12.75" hidden="1" customHeight="1" x14ac:dyDescent="0.2"/>
    <row r="47011" ht="12.75" hidden="1" customHeight="1" x14ac:dyDescent="0.2"/>
    <row r="47012" ht="12.75" hidden="1" customHeight="1" x14ac:dyDescent="0.2"/>
    <row r="47013" ht="12.75" hidden="1" customHeight="1" x14ac:dyDescent="0.2"/>
    <row r="47014" ht="12.75" hidden="1" customHeight="1" x14ac:dyDescent="0.2"/>
    <row r="47015" ht="12.75" hidden="1" customHeight="1" x14ac:dyDescent="0.2"/>
    <row r="47016" ht="12.75" hidden="1" customHeight="1" x14ac:dyDescent="0.2"/>
    <row r="47017" ht="12.75" hidden="1" customHeight="1" x14ac:dyDescent="0.2"/>
    <row r="47018" ht="12.75" hidden="1" customHeight="1" x14ac:dyDescent="0.2"/>
    <row r="47019" ht="12.75" hidden="1" customHeight="1" x14ac:dyDescent="0.2"/>
    <row r="47020" ht="12.75" hidden="1" customHeight="1" x14ac:dyDescent="0.2"/>
    <row r="47021" ht="12.75" hidden="1" customHeight="1" x14ac:dyDescent="0.2"/>
    <row r="47022" ht="12.75" hidden="1" customHeight="1" x14ac:dyDescent="0.2"/>
    <row r="47023" ht="12.75" hidden="1" customHeight="1" x14ac:dyDescent="0.2"/>
    <row r="47024" ht="12.75" hidden="1" customHeight="1" x14ac:dyDescent="0.2"/>
    <row r="47025" ht="12.75" hidden="1" customHeight="1" x14ac:dyDescent="0.2"/>
    <row r="47026" ht="12.75" hidden="1" customHeight="1" x14ac:dyDescent="0.2"/>
    <row r="47027" ht="12.75" hidden="1" customHeight="1" x14ac:dyDescent="0.2"/>
    <row r="47028" ht="12.75" hidden="1" customHeight="1" x14ac:dyDescent="0.2"/>
    <row r="47029" ht="12.75" hidden="1" customHeight="1" x14ac:dyDescent="0.2"/>
    <row r="47030" ht="12.75" hidden="1" customHeight="1" x14ac:dyDescent="0.2"/>
    <row r="47031" ht="12.75" hidden="1" customHeight="1" x14ac:dyDescent="0.2"/>
    <row r="47032" ht="12.75" hidden="1" customHeight="1" x14ac:dyDescent="0.2"/>
    <row r="47033" ht="12.75" hidden="1" customHeight="1" x14ac:dyDescent="0.2"/>
    <row r="47034" ht="12.75" hidden="1" customHeight="1" x14ac:dyDescent="0.2"/>
    <row r="47035" ht="12.75" hidden="1" customHeight="1" x14ac:dyDescent="0.2"/>
    <row r="47036" ht="12.75" hidden="1" customHeight="1" x14ac:dyDescent="0.2"/>
    <row r="47037" ht="12.75" hidden="1" customHeight="1" x14ac:dyDescent="0.2"/>
    <row r="47038" ht="12.75" hidden="1" customHeight="1" x14ac:dyDescent="0.2"/>
    <row r="47039" ht="12.75" hidden="1" customHeight="1" x14ac:dyDescent="0.2"/>
    <row r="47040" ht="12.75" hidden="1" customHeight="1" x14ac:dyDescent="0.2"/>
    <row r="47041" ht="12.75" hidden="1" customHeight="1" x14ac:dyDescent="0.2"/>
    <row r="47042" ht="12.75" hidden="1" customHeight="1" x14ac:dyDescent="0.2"/>
    <row r="47043" ht="12.75" hidden="1" customHeight="1" x14ac:dyDescent="0.2"/>
    <row r="47044" ht="12.75" hidden="1" customHeight="1" x14ac:dyDescent="0.2"/>
    <row r="47045" ht="12.75" hidden="1" customHeight="1" x14ac:dyDescent="0.2"/>
    <row r="47046" ht="12.75" hidden="1" customHeight="1" x14ac:dyDescent="0.2"/>
    <row r="47047" ht="12.75" hidden="1" customHeight="1" x14ac:dyDescent="0.2"/>
    <row r="47048" ht="12.75" hidden="1" customHeight="1" x14ac:dyDescent="0.2"/>
    <row r="47049" ht="12.75" hidden="1" customHeight="1" x14ac:dyDescent="0.2"/>
    <row r="47050" ht="12.75" hidden="1" customHeight="1" x14ac:dyDescent="0.2"/>
    <row r="47051" ht="12.75" hidden="1" customHeight="1" x14ac:dyDescent="0.2"/>
    <row r="47052" ht="12.75" hidden="1" customHeight="1" x14ac:dyDescent="0.2"/>
    <row r="47053" ht="12.75" hidden="1" customHeight="1" x14ac:dyDescent="0.2"/>
    <row r="47054" ht="12.75" hidden="1" customHeight="1" x14ac:dyDescent="0.2"/>
    <row r="47055" ht="12.75" hidden="1" customHeight="1" x14ac:dyDescent="0.2"/>
    <row r="47056" ht="12.75" hidden="1" customHeight="1" x14ac:dyDescent="0.2"/>
    <row r="47057" ht="12.75" hidden="1" customHeight="1" x14ac:dyDescent="0.2"/>
    <row r="47058" ht="12.75" hidden="1" customHeight="1" x14ac:dyDescent="0.2"/>
    <row r="47059" ht="12.75" hidden="1" customHeight="1" x14ac:dyDescent="0.2"/>
    <row r="47060" ht="12.75" hidden="1" customHeight="1" x14ac:dyDescent="0.2"/>
    <row r="47061" ht="12.75" hidden="1" customHeight="1" x14ac:dyDescent="0.2"/>
    <row r="47062" ht="12.75" hidden="1" customHeight="1" x14ac:dyDescent="0.2"/>
    <row r="47063" ht="12.75" hidden="1" customHeight="1" x14ac:dyDescent="0.2"/>
    <row r="47064" ht="12.75" hidden="1" customHeight="1" x14ac:dyDescent="0.2"/>
    <row r="47065" ht="12.75" hidden="1" customHeight="1" x14ac:dyDescent="0.2"/>
    <row r="47066" ht="12.75" hidden="1" customHeight="1" x14ac:dyDescent="0.2"/>
    <row r="47067" ht="12.75" hidden="1" customHeight="1" x14ac:dyDescent="0.2"/>
    <row r="47068" ht="12.75" hidden="1" customHeight="1" x14ac:dyDescent="0.2"/>
    <row r="47069" ht="12.75" hidden="1" customHeight="1" x14ac:dyDescent="0.2"/>
    <row r="47070" ht="12.75" hidden="1" customHeight="1" x14ac:dyDescent="0.2"/>
    <row r="47071" ht="12.75" hidden="1" customHeight="1" x14ac:dyDescent="0.2"/>
    <row r="47072" ht="12.75" hidden="1" customHeight="1" x14ac:dyDescent="0.2"/>
    <row r="47073" ht="12.75" hidden="1" customHeight="1" x14ac:dyDescent="0.2"/>
    <row r="47074" ht="12.75" hidden="1" customHeight="1" x14ac:dyDescent="0.2"/>
    <row r="47075" ht="12.75" hidden="1" customHeight="1" x14ac:dyDescent="0.2"/>
    <row r="47076" ht="12.75" hidden="1" customHeight="1" x14ac:dyDescent="0.2"/>
    <row r="47077" ht="12.75" hidden="1" customHeight="1" x14ac:dyDescent="0.2"/>
    <row r="47078" ht="12.75" hidden="1" customHeight="1" x14ac:dyDescent="0.2"/>
    <row r="47079" ht="12.75" hidden="1" customHeight="1" x14ac:dyDescent="0.2"/>
    <row r="47080" ht="12.75" hidden="1" customHeight="1" x14ac:dyDescent="0.2"/>
    <row r="47081" ht="12.75" hidden="1" customHeight="1" x14ac:dyDescent="0.2"/>
    <row r="47082" ht="12.75" hidden="1" customHeight="1" x14ac:dyDescent="0.2"/>
    <row r="47083" ht="12.75" hidden="1" customHeight="1" x14ac:dyDescent="0.2"/>
    <row r="47084" ht="12.75" hidden="1" customHeight="1" x14ac:dyDescent="0.2"/>
    <row r="47085" ht="12.75" hidden="1" customHeight="1" x14ac:dyDescent="0.2"/>
    <row r="47086" ht="12.75" hidden="1" customHeight="1" x14ac:dyDescent="0.2"/>
    <row r="47087" ht="12.75" hidden="1" customHeight="1" x14ac:dyDescent="0.2"/>
    <row r="47088" ht="12.75" hidden="1" customHeight="1" x14ac:dyDescent="0.2"/>
    <row r="47089" ht="12.75" hidden="1" customHeight="1" x14ac:dyDescent="0.2"/>
    <row r="47090" ht="12.75" hidden="1" customHeight="1" x14ac:dyDescent="0.2"/>
    <row r="47091" ht="12.75" hidden="1" customHeight="1" x14ac:dyDescent="0.2"/>
    <row r="47092" ht="12.75" hidden="1" customHeight="1" x14ac:dyDescent="0.2"/>
    <row r="47093" ht="12.75" hidden="1" customHeight="1" x14ac:dyDescent="0.2"/>
    <row r="47094" ht="12.75" hidden="1" customHeight="1" x14ac:dyDescent="0.2"/>
    <row r="47095" ht="12.75" hidden="1" customHeight="1" x14ac:dyDescent="0.2"/>
    <row r="47096" ht="12.75" hidden="1" customHeight="1" x14ac:dyDescent="0.2"/>
    <row r="47097" ht="12.75" hidden="1" customHeight="1" x14ac:dyDescent="0.2"/>
    <row r="47098" ht="12.75" hidden="1" customHeight="1" x14ac:dyDescent="0.2"/>
    <row r="47099" ht="12.75" hidden="1" customHeight="1" x14ac:dyDescent="0.2"/>
    <row r="47100" ht="12.75" hidden="1" customHeight="1" x14ac:dyDescent="0.2"/>
    <row r="47101" ht="12.75" hidden="1" customHeight="1" x14ac:dyDescent="0.2"/>
    <row r="47102" ht="12.75" hidden="1" customHeight="1" x14ac:dyDescent="0.2"/>
    <row r="47103" ht="12.75" hidden="1" customHeight="1" x14ac:dyDescent="0.2"/>
    <row r="47104" ht="12.75" hidden="1" customHeight="1" x14ac:dyDescent="0.2"/>
    <row r="47105" ht="12.75" hidden="1" customHeight="1" x14ac:dyDescent="0.2"/>
    <row r="47106" ht="12.75" hidden="1" customHeight="1" x14ac:dyDescent="0.2"/>
    <row r="47107" ht="12.75" hidden="1" customHeight="1" x14ac:dyDescent="0.2"/>
    <row r="47108" ht="12.75" hidden="1" customHeight="1" x14ac:dyDescent="0.2"/>
    <row r="47109" ht="12.75" hidden="1" customHeight="1" x14ac:dyDescent="0.2"/>
    <row r="47110" ht="12.75" hidden="1" customHeight="1" x14ac:dyDescent="0.2"/>
    <row r="47111" ht="12.75" hidden="1" customHeight="1" x14ac:dyDescent="0.2"/>
    <row r="47112" ht="12.75" hidden="1" customHeight="1" x14ac:dyDescent="0.2"/>
    <row r="47113" ht="12.75" hidden="1" customHeight="1" x14ac:dyDescent="0.2"/>
    <row r="47114" ht="12.75" hidden="1" customHeight="1" x14ac:dyDescent="0.2"/>
    <row r="47115" ht="12.75" hidden="1" customHeight="1" x14ac:dyDescent="0.2"/>
    <row r="47116" ht="12.75" hidden="1" customHeight="1" x14ac:dyDescent="0.2"/>
    <row r="47117" ht="12.75" hidden="1" customHeight="1" x14ac:dyDescent="0.2"/>
    <row r="47118" ht="12.75" hidden="1" customHeight="1" x14ac:dyDescent="0.2"/>
    <row r="47119" ht="12.75" hidden="1" customHeight="1" x14ac:dyDescent="0.2"/>
    <row r="47120" ht="12.75" hidden="1" customHeight="1" x14ac:dyDescent="0.2"/>
    <row r="47121" ht="12.75" hidden="1" customHeight="1" x14ac:dyDescent="0.2"/>
    <row r="47122" ht="12.75" hidden="1" customHeight="1" x14ac:dyDescent="0.2"/>
    <row r="47123" ht="12.75" hidden="1" customHeight="1" x14ac:dyDescent="0.2"/>
    <row r="47124" ht="12.75" hidden="1" customHeight="1" x14ac:dyDescent="0.2"/>
    <row r="47125" ht="12.75" hidden="1" customHeight="1" x14ac:dyDescent="0.2"/>
    <row r="47126" ht="12.75" hidden="1" customHeight="1" x14ac:dyDescent="0.2"/>
    <row r="47127" ht="12.75" hidden="1" customHeight="1" x14ac:dyDescent="0.2"/>
    <row r="47128" ht="12.75" hidden="1" customHeight="1" x14ac:dyDescent="0.2"/>
    <row r="47129" ht="12.75" hidden="1" customHeight="1" x14ac:dyDescent="0.2"/>
    <row r="47130" ht="12.75" hidden="1" customHeight="1" x14ac:dyDescent="0.2"/>
    <row r="47131" ht="12.75" hidden="1" customHeight="1" x14ac:dyDescent="0.2"/>
    <row r="47132" ht="12.75" hidden="1" customHeight="1" x14ac:dyDescent="0.2"/>
    <row r="47133" ht="12.75" hidden="1" customHeight="1" x14ac:dyDescent="0.2"/>
    <row r="47134" ht="12.75" hidden="1" customHeight="1" x14ac:dyDescent="0.2"/>
    <row r="47135" ht="12.75" hidden="1" customHeight="1" x14ac:dyDescent="0.2"/>
    <row r="47136" ht="12.75" hidden="1" customHeight="1" x14ac:dyDescent="0.2"/>
    <row r="47137" ht="12.75" hidden="1" customHeight="1" x14ac:dyDescent="0.2"/>
    <row r="47138" ht="12.75" hidden="1" customHeight="1" x14ac:dyDescent="0.2"/>
    <row r="47139" ht="12.75" hidden="1" customHeight="1" x14ac:dyDescent="0.2"/>
    <row r="47140" ht="12.75" hidden="1" customHeight="1" x14ac:dyDescent="0.2"/>
    <row r="47141" ht="12.75" hidden="1" customHeight="1" x14ac:dyDescent="0.2"/>
    <row r="47142" ht="12.75" hidden="1" customHeight="1" x14ac:dyDescent="0.2"/>
    <row r="47143" ht="12.75" hidden="1" customHeight="1" x14ac:dyDescent="0.2"/>
    <row r="47144" ht="12.75" hidden="1" customHeight="1" x14ac:dyDescent="0.2"/>
    <row r="47145" ht="12.75" hidden="1" customHeight="1" x14ac:dyDescent="0.2"/>
    <row r="47146" ht="12.75" hidden="1" customHeight="1" x14ac:dyDescent="0.2"/>
    <row r="47147" ht="12.75" hidden="1" customHeight="1" x14ac:dyDescent="0.2"/>
    <row r="47148" ht="12.75" hidden="1" customHeight="1" x14ac:dyDescent="0.2"/>
    <row r="47149" ht="12.75" hidden="1" customHeight="1" x14ac:dyDescent="0.2"/>
    <row r="47150" ht="12.75" hidden="1" customHeight="1" x14ac:dyDescent="0.2"/>
    <row r="47151" ht="12.75" hidden="1" customHeight="1" x14ac:dyDescent="0.2"/>
    <row r="47152" ht="12.75" hidden="1" customHeight="1" x14ac:dyDescent="0.2"/>
    <row r="47153" ht="12.75" hidden="1" customHeight="1" x14ac:dyDescent="0.2"/>
    <row r="47154" ht="12.75" hidden="1" customHeight="1" x14ac:dyDescent="0.2"/>
    <row r="47155" ht="12.75" hidden="1" customHeight="1" x14ac:dyDescent="0.2"/>
    <row r="47156" ht="12.75" hidden="1" customHeight="1" x14ac:dyDescent="0.2"/>
    <row r="47157" ht="12.75" hidden="1" customHeight="1" x14ac:dyDescent="0.2"/>
    <row r="47158" ht="12.75" hidden="1" customHeight="1" x14ac:dyDescent="0.2"/>
    <row r="47159" ht="12.75" hidden="1" customHeight="1" x14ac:dyDescent="0.2"/>
    <row r="47160" ht="12.75" hidden="1" customHeight="1" x14ac:dyDescent="0.2"/>
    <row r="47161" ht="12.75" hidden="1" customHeight="1" x14ac:dyDescent="0.2"/>
    <row r="47162" ht="12.75" hidden="1" customHeight="1" x14ac:dyDescent="0.2"/>
    <row r="47163" ht="12.75" hidden="1" customHeight="1" x14ac:dyDescent="0.2"/>
    <row r="47164" ht="12.75" hidden="1" customHeight="1" x14ac:dyDescent="0.2"/>
    <row r="47165" ht="12.75" hidden="1" customHeight="1" x14ac:dyDescent="0.2"/>
    <row r="47166" ht="12.75" hidden="1" customHeight="1" x14ac:dyDescent="0.2"/>
    <row r="47167" ht="12.75" hidden="1" customHeight="1" x14ac:dyDescent="0.2"/>
    <row r="47168" ht="12.75" hidden="1" customHeight="1" x14ac:dyDescent="0.2"/>
    <row r="47169" ht="12.75" hidden="1" customHeight="1" x14ac:dyDescent="0.2"/>
    <row r="47170" ht="12.75" hidden="1" customHeight="1" x14ac:dyDescent="0.2"/>
    <row r="47171" ht="12.75" hidden="1" customHeight="1" x14ac:dyDescent="0.2"/>
    <row r="47172" ht="12.75" hidden="1" customHeight="1" x14ac:dyDescent="0.2"/>
    <row r="47173" ht="12.75" hidden="1" customHeight="1" x14ac:dyDescent="0.2"/>
    <row r="47174" ht="12.75" hidden="1" customHeight="1" x14ac:dyDescent="0.2"/>
    <row r="47175" ht="12.75" hidden="1" customHeight="1" x14ac:dyDescent="0.2"/>
    <row r="47176" ht="12.75" hidden="1" customHeight="1" x14ac:dyDescent="0.2"/>
    <row r="47177" ht="12.75" hidden="1" customHeight="1" x14ac:dyDescent="0.2"/>
    <row r="47178" ht="12.75" hidden="1" customHeight="1" x14ac:dyDescent="0.2"/>
    <row r="47179" ht="12.75" hidden="1" customHeight="1" x14ac:dyDescent="0.2"/>
    <row r="47180" ht="12.75" hidden="1" customHeight="1" x14ac:dyDescent="0.2"/>
    <row r="47181" ht="12.75" hidden="1" customHeight="1" x14ac:dyDescent="0.2"/>
    <row r="47182" ht="12.75" hidden="1" customHeight="1" x14ac:dyDescent="0.2"/>
    <row r="47183" ht="12.75" hidden="1" customHeight="1" x14ac:dyDescent="0.2"/>
    <row r="47184" ht="12.75" hidden="1" customHeight="1" x14ac:dyDescent="0.2"/>
    <row r="47185" ht="12.75" hidden="1" customHeight="1" x14ac:dyDescent="0.2"/>
    <row r="47186" ht="12.75" hidden="1" customHeight="1" x14ac:dyDescent="0.2"/>
    <row r="47187" ht="12.75" hidden="1" customHeight="1" x14ac:dyDescent="0.2"/>
    <row r="47188" ht="12.75" hidden="1" customHeight="1" x14ac:dyDescent="0.2"/>
    <row r="47189" ht="12.75" hidden="1" customHeight="1" x14ac:dyDescent="0.2"/>
    <row r="47190" ht="12.75" hidden="1" customHeight="1" x14ac:dyDescent="0.2"/>
    <row r="47191" ht="12.75" hidden="1" customHeight="1" x14ac:dyDescent="0.2"/>
    <row r="47192" ht="12.75" hidden="1" customHeight="1" x14ac:dyDescent="0.2"/>
    <row r="47193" ht="12.75" hidden="1" customHeight="1" x14ac:dyDescent="0.2"/>
    <row r="47194" ht="12.75" hidden="1" customHeight="1" x14ac:dyDescent="0.2"/>
    <row r="47195" ht="12.75" hidden="1" customHeight="1" x14ac:dyDescent="0.2"/>
    <row r="47196" ht="12.75" hidden="1" customHeight="1" x14ac:dyDescent="0.2"/>
    <row r="47197" ht="12.75" hidden="1" customHeight="1" x14ac:dyDescent="0.2"/>
    <row r="47198" ht="12.75" hidden="1" customHeight="1" x14ac:dyDescent="0.2"/>
    <row r="47199" ht="12.75" hidden="1" customHeight="1" x14ac:dyDescent="0.2"/>
    <row r="47200" ht="12.75" hidden="1" customHeight="1" x14ac:dyDescent="0.2"/>
    <row r="47201" ht="12.75" hidden="1" customHeight="1" x14ac:dyDescent="0.2"/>
    <row r="47202" ht="12.75" hidden="1" customHeight="1" x14ac:dyDescent="0.2"/>
    <row r="47203" ht="12.75" hidden="1" customHeight="1" x14ac:dyDescent="0.2"/>
    <row r="47204" ht="12.75" hidden="1" customHeight="1" x14ac:dyDescent="0.2"/>
    <row r="47205" ht="12.75" hidden="1" customHeight="1" x14ac:dyDescent="0.2"/>
    <row r="47206" ht="12.75" hidden="1" customHeight="1" x14ac:dyDescent="0.2"/>
    <row r="47207" ht="12.75" hidden="1" customHeight="1" x14ac:dyDescent="0.2"/>
    <row r="47208" ht="12.75" hidden="1" customHeight="1" x14ac:dyDescent="0.2"/>
    <row r="47209" ht="12.75" hidden="1" customHeight="1" x14ac:dyDescent="0.2"/>
    <row r="47210" ht="12.75" hidden="1" customHeight="1" x14ac:dyDescent="0.2"/>
    <row r="47211" ht="12.75" hidden="1" customHeight="1" x14ac:dyDescent="0.2"/>
    <row r="47212" ht="12.75" hidden="1" customHeight="1" x14ac:dyDescent="0.2"/>
    <row r="47213" ht="12.75" hidden="1" customHeight="1" x14ac:dyDescent="0.2"/>
    <row r="47214" ht="12.75" hidden="1" customHeight="1" x14ac:dyDescent="0.2"/>
    <row r="47215" ht="12.75" hidden="1" customHeight="1" x14ac:dyDescent="0.2"/>
    <row r="47216" ht="12.75" hidden="1" customHeight="1" x14ac:dyDescent="0.2"/>
    <row r="47217" ht="12.75" hidden="1" customHeight="1" x14ac:dyDescent="0.2"/>
    <row r="47218" ht="12.75" hidden="1" customHeight="1" x14ac:dyDescent="0.2"/>
    <row r="47219" ht="12.75" hidden="1" customHeight="1" x14ac:dyDescent="0.2"/>
    <row r="47220" ht="12.75" hidden="1" customHeight="1" x14ac:dyDescent="0.2"/>
    <row r="47221" ht="12.75" hidden="1" customHeight="1" x14ac:dyDescent="0.2"/>
    <row r="47222" ht="12.75" hidden="1" customHeight="1" x14ac:dyDescent="0.2"/>
    <row r="47223" ht="12.75" hidden="1" customHeight="1" x14ac:dyDescent="0.2"/>
    <row r="47224" ht="12.75" hidden="1" customHeight="1" x14ac:dyDescent="0.2"/>
    <row r="47225" ht="12.75" hidden="1" customHeight="1" x14ac:dyDescent="0.2"/>
    <row r="47226" ht="12.75" hidden="1" customHeight="1" x14ac:dyDescent="0.2"/>
    <row r="47227" ht="12.75" hidden="1" customHeight="1" x14ac:dyDescent="0.2"/>
    <row r="47228" ht="12.75" hidden="1" customHeight="1" x14ac:dyDescent="0.2"/>
    <row r="47229" ht="12.75" hidden="1" customHeight="1" x14ac:dyDescent="0.2"/>
    <row r="47230" ht="12.75" hidden="1" customHeight="1" x14ac:dyDescent="0.2"/>
    <row r="47231" ht="12.75" hidden="1" customHeight="1" x14ac:dyDescent="0.2"/>
    <row r="47232" ht="12.75" hidden="1" customHeight="1" x14ac:dyDescent="0.2"/>
    <row r="47233" ht="12.75" hidden="1" customHeight="1" x14ac:dyDescent="0.2"/>
    <row r="47234" ht="12.75" hidden="1" customHeight="1" x14ac:dyDescent="0.2"/>
    <row r="47235" ht="12.75" hidden="1" customHeight="1" x14ac:dyDescent="0.2"/>
    <row r="47236" ht="12.75" hidden="1" customHeight="1" x14ac:dyDescent="0.2"/>
    <row r="47237" ht="12.75" hidden="1" customHeight="1" x14ac:dyDescent="0.2"/>
    <row r="47238" ht="12.75" hidden="1" customHeight="1" x14ac:dyDescent="0.2"/>
    <row r="47239" ht="12.75" hidden="1" customHeight="1" x14ac:dyDescent="0.2"/>
    <row r="47240" ht="12.75" hidden="1" customHeight="1" x14ac:dyDescent="0.2"/>
    <row r="47241" ht="12.75" hidden="1" customHeight="1" x14ac:dyDescent="0.2"/>
    <row r="47242" ht="12.75" hidden="1" customHeight="1" x14ac:dyDescent="0.2"/>
    <row r="47243" ht="12.75" hidden="1" customHeight="1" x14ac:dyDescent="0.2"/>
    <row r="47244" ht="12.75" hidden="1" customHeight="1" x14ac:dyDescent="0.2"/>
    <row r="47245" ht="12.75" hidden="1" customHeight="1" x14ac:dyDescent="0.2"/>
    <row r="47246" ht="12.75" hidden="1" customHeight="1" x14ac:dyDescent="0.2"/>
    <row r="47247" ht="12.75" hidden="1" customHeight="1" x14ac:dyDescent="0.2"/>
    <row r="47248" ht="12.75" hidden="1" customHeight="1" x14ac:dyDescent="0.2"/>
    <row r="47249" ht="12.75" hidden="1" customHeight="1" x14ac:dyDescent="0.2"/>
    <row r="47250" ht="12.75" hidden="1" customHeight="1" x14ac:dyDescent="0.2"/>
    <row r="47251" ht="12.75" hidden="1" customHeight="1" x14ac:dyDescent="0.2"/>
    <row r="47252" ht="12.75" hidden="1" customHeight="1" x14ac:dyDescent="0.2"/>
    <row r="47253" ht="12.75" hidden="1" customHeight="1" x14ac:dyDescent="0.2"/>
    <row r="47254" ht="12.75" hidden="1" customHeight="1" x14ac:dyDescent="0.2"/>
    <row r="47255" ht="12.75" hidden="1" customHeight="1" x14ac:dyDescent="0.2"/>
    <row r="47256" ht="12.75" hidden="1" customHeight="1" x14ac:dyDescent="0.2"/>
    <row r="47257" ht="12.75" hidden="1" customHeight="1" x14ac:dyDescent="0.2"/>
    <row r="47258" ht="12.75" hidden="1" customHeight="1" x14ac:dyDescent="0.2"/>
    <row r="47259" ht="12.75" hidden="1" customHeight="1" x14ac:dyDescent="0.2"/>
    <row r="47260" ht="12.75" hidden="1" customHeight="1" x14ac:dyDescent="0.2"/>
    <row r="47261" ht="12.75" hidden="1" customHeight="1" x14ac:dyDescent="0.2"/>
    <row r="47262" ht="12.75" hidden="1" customHeight="1" x14ac:dyDescent="0.2"/>
    <row r="47263" ht="12.75" hidden="1" customHeight="1" x14ac:dyDescent="0.2"/>
    <row r="47264" ht="12.75" hidden="1" customHeight="1" x14ac:dyDescent="0.2"/>
    <row r="47265" ht="12.75" hidden="1" customHeight="1" x14ac:dyDescent="0.2"/>
    <row r="47266" ht="12.75" hidden="1" customHeight="1" x14ac:dyDescent="0.2"/>
    <row r="47267" ht="12.75" hidden="1" customHeight="1" x14ac:dyDescent="0.2"/>
    <row r="47268" ht="12.75" hidden="1" customHeight="1" x14ac:dyDescent="0.2"/>
    <row r="47269" ht="12.75" hidden="1" customHeight="1" x14ac:dyDescent="0.2"/>
    <row r="47270" ht="12.75" hidden="1" customHeight="1" x14ac:dyDescent="0.2"/>
    <row r="47271" ht="12.75" hidden="1" customHeight="1" x14ac:dyDescent="0.2"/>
    <row r="47272" ht="12.75" hidden="1" customHeight="1" x14ac:dyDescent="0.2"/>
    <row r="47273" ht="12.75" hidden="1" customHeight="1" x14ac:dyDescent="0.2"/>
    <row r="47274" ht="12.75" hidden="1" customHeight="1" x14ac:dyDescent="0.2"/>
    <row r="47275" ht="12.75" hidden="1" customHeight="1" x14ac:dyDescent="0.2"/>
    <row r="47276" ht="12.75" hidden="1" customHeight="1" x14ac:dyDescent="0.2"/>
    <row r="47277" ht="12.75" hidden="1" customHeight="1" x14ac:dyDescent="0.2"/>
    <row r="47278" ht="12.75" hidden="1" customHeight="1" x14ac:dyDescent="0.2"/>
    <row r="47279" ht="12.75" hidden="1" customHeight="1" x14ac:dyDescent="0.2"/>
    <row r="47280" ht="12.75" hidden="1" customHeight="1" x14ac:dyDescent="0.2"/>
    <row r="47281" ht="12.75" hidden="1" customHeight="1" x14ac:dyDescent="0.2"/>
    <row r="47282" ht="12.75" hidden="1" customHeight="1" x14ac:dyDescent="0.2"/>
    <row r="47283" ht="12.75" hidden="1" customHeight="1" x14ac:dyDescent="0.2"/>
    <row r="47284" ht="12.75" hidden="1" customHeight="1" x14ac:dyDescent="0.2"/>
    <row r="47285" ht="12.75" hidden="1" customHeight="1" x14ac:dyDescent="0.2"/>
    <row r="47286" ht="12.75" hidden="1" customHeight="1" x14ac:dyDescent="0.2"/>
    <row r="47287" ht="12.75" hidden="1" customHeight="1" x14ac:dyDescent="0.2"/>
    <row r="47288" ht="12.75" hidden="1" customHeight="1" x14ac:dyDescent="0.2"/>
    <row r="47289" ht="12.75" hidden="1" customHeight="1" x14ac:dyDescent="0.2"/>
    <row r="47290" ht="12.75" hidden="1" customHeight="1" x14ac:dyDescent="0.2"/>
    <row r="47291" ht="12.75" hidden="1" customHeight="1" x14ac:dyDescent="0.2"/>
    <row r="47292" ht="12.75" hidden="1" customHeight="1" x14ac:dyDescent="0.2"/>
    <row r="47293" ht="12.75" hidden="1" customHeight="1" x14ac:dyDescent="0.2"/>
    <row r="47294" ht="12.75" hidden="1" customHeight="1" x14ac:dyDescent="0.2"/>
    <row r="47295" ht="12.75" hidden="1" customHeight="1" x14ac:dyDescent="0.2"/>
    <row r="47296" ht="12.75" hidden="1" customHeight="1" x14ac:dyDescent="0.2"/>
    <row r="47297" ht="12.75" hidden="1" customHeight="1" x14ac:dyDescent="0.2"/>
    <row r="47298" ht="12.75" hidden="1" customHeight="1" x14ac:dyDescent="0.2"/>
    <row r="47299" ht="12.75" hidden="1" customHeight="1" x14ac:dyDescent="0.2"/>
    <row r="47300" ht="12.75" hidden="1" customHeight="1" x14ac:dyDescent="0.2"/>
    <row r="47301" ht="12.75" hidden="1" customHeight="1" x14ac:dyDescent="0.2"/>
    <row r="47302" ht="12.75" hidden="1" customHeight="1" x14ac:dyDescent="0.2"/>
    <row r="47303" ht="12.75" hidden="1" customHeight="1" x14ac:dyDescent="0.2"/>
    <row r="47304" ht="12.75" hidden="1" customHeight="1" x14ac:dyDescent="0.2"/>
    <row r="47305" ht="12.75" hidden="1" customHeight="1" x14ac:dyDescent="0.2"/>
    <row r="47306" ht="12.75" hidden="1" customHeight="1" x14ac:dyDescent="0.2"/>
    <row r="47307" ht="12.75" hidden="1" customHeight="1" x14ac:dyDescent="0.2"/>
    <row r="47308" ht="12.75" hidden="1" customHeight="1" x14ac:dyDescent="0.2"/>
    <row r="47309" ht="12.75" hidden="1" customHeight="1" x14ac:dyDescent="0.2"/>
    <row r="47310" ht="12.75" hidden="1" customHeight="1" x14ac:dyDescent="0.2"/>
    <row r="47311" ht="12.75" hidden="1" customHeight="1" x14ac:dyDescent="0.2"/>
    <row r="47312" ht="12.75" hidden="1" customHeight="1" x14ac:dyDescent="0.2"/>
    <row r="47313" ht="12.75" hidden="1" customHeight="1" x14ac:dyDescent="0.2"/>
    <row r="47314" ht="12.75" hidden="1" customHeight="1" x14ac:dyDescent="0.2"/>
    <row r="47315" ht="12.75" hidden="1" customHeight="1" x14ac:dyDescent="0.2"/>
    <row r="47316" ht="12.75" hidden="1" customHeight="1" x14ac:dyDescent="0.2"/>
    <row r="47317" ht="12.75" hidden="1" customHeight="1" x14ac:dyDescent="0.2"/>
    <row r="47318" ht="12.75" hidden="1" customHeight="1" x14ac:dyDescent="0.2"/>
    <row r="47319" ht="12.75" hidden="1" customHeight="1" x14ac:dyDescent="0.2"/>
    <row r="47320" ht="12.75" hidden="1" customHeight="1" x14ac:dyDescent="0.2"/>
    <row r="47321" ht="12.75" hidden="1" customHeight="1" x14ac:dyDescent="0.2"/>
    <row r="47322" ht="12.75" hidden="1" customHeight="1" x14ac:dyDescent="0.2"/>
    <row r="47323" ht="12.75" hidden="1" customHeight="1" x14ac:dyDescent="0.2"/>
    <row r="47324" ht="12.75" hidden="1" customHeight="1" x14ac:dyDescent="0.2"/>
    <row r="47325" ht="12.75" hidden="1" customHeight="1" x14ac:dyDescent="0.2"/>
    <row r="47326" ht="12.75" hidden="1" customHeight="1" x14ac:dyDescent="0.2"/>
    <row r="47327" ht="12.75" hidden="1" customHeight="1" x14ac:dyDescent="0.2"/>
    <row r="47328" ht="12.75" hidden="1" customHeight="1" x14ac:dyDescent="0.2"/>
    <row r="47329" ht="12.75" hidden="1" customHeight="1" x14ac:dyDescent="0.2"/>
    <row r="47330" ht="12.75" hidden="1" customHeight="1" x14ac:dyDescent="0.2"/>
    <row r="47331" ht="12.75" hidden="1" customHeight="1" x14ac:dyDescent="0.2"/>
    <row r="47332" ht="12.75" hidden="1" customHeight="1" x14ac:dyDescent="0.2"/>
    <row r="47333" ht="12.75" hidden="1" customHeight="1" x14ac:dyDescent="0.2"/>
    <row r="47334" ht="12.75" hidden="1" customHeight="1" x14ac:dyDescent="0.2"/>
    <row r="47335" ht="12.75" hidden="1" customHeight="1" x14ac:dyDescent="0.2"/>
    <row r="47336" ht="12.75" hidden="1" customHeight="1" x14ac:dyDescent="0.2"/>
    <row r="47337" ht="12.75" hidden="1" customHeight="1" x14ac:dyDescent="0.2"/>
    <row r="47338" ht="12.75" hidden="1" customHeight="1" x14ac:dyDescent="0.2"/>
    <row r="47339" ht="12.75" hidden="1" customHeight="1" x14ac:dyDescent="0.2"/>
    <row r="47340" ht="12.75" hidden="1" customHeight="1" x14ac:dyDescent="0.2"/>
    <row r="47341" ht="12.75" hidden="1" customHeight="1" x14ac:dyDescent="0.2"/>
    <row r="47342" ht="12.75" hidden="1" customHeight="1" x14ac:dyDescent="0.2"/>
    <row r="47343" ht="12.75" hidden="1" customHeight="1" x14ac:dyDescent="0.2"/>
    <row r="47344" ht="12.75" hidden="1" customHeight="1" x14ac:dyDescent="0.2"/>
    <row r="47345" ht="12.75" hidden="1" customHeight="1" x14ac:dyDescent="0.2"/>
    <row r="47346" ht="12.75" hidden="1" customHeight="1" x14ac:dyDescent="0.2"/>
    <row r="47347" ht="12.75" hidden="1" customHeight="1" x14ac:dyDescent="0.2"/>
    <row r="47348" ht="12.75" hidden="1" customHeight="1" x14ac:dyDescent="0.2"/>
    <row r="47349" ht="12.75" hidden="1" customHeight="1" x14ac:dyDescent="0.2"/>
    <row r="47350" ht="12.75" hidden="1" customHeight="1" x14ac:dyDescent="0.2"/>
    <row r="47351" ht="12.75" hidden="1" customHeight="1" x14ac:dyDescent="0.2"/>
    <row r="47352" ht="12.75" hidden="1" customHeight="1" x14ac:dyDescent="0.2"/>
    <row r="47353" ht="12.75" hidden="1" customHeight="1" x14ac:dyDescent="0.2"/>
    <row r="47354" ht="12.75" hidden="1" customHeight="1" x14ac:dyDescent="0.2"/>
    <row r="47355" ht="12.75" hidden="1" customHeight="1" x14ac:dyDescent="0.2"/>
    <row r="47356" ht="12.75" hidden="1" customHeight="1" x14ac:dyDescent="0.2"/>
    <row r="47357" ht="12.75" hidden="1" customHeight="1" x14ac:dyDescent="0.2"/>
    <row r="47358" ht="12.75" hidden="1" customHeight="1" x14ac:dyDescent="0.2"/>
    <row r="47359" ht="12.75" hidden="1" customHeight="1" x14ac:dyDescent="0.2"/>
    <row r="47360" ht="12.75" hidden="1" customHeight="1" x14ac:dyDescent="0.2"/>
    <row r="47361" ht="12.75" hidden="1" customHeight="1" x14ac:dyDescent="0.2"/>
    <row r="47362" ht="12.75" hidden="1" customHeight="1" x14ac:dyDescent="0.2"/>
    <row r="47363" ht="12.75" hidden="1" customHeight="1" x14ac:dyDescent="0.2"/>
    <row r="47364" ht="12.75" hidden="1" customHeight="1" x14ac:dyDescent="0.2"/>
    <row r="47365" ht="12.75" hidden="1" customHeight="1" x14ac:dyDescent="0.2"/>
    <row r="47366" ht="12.75" hidden="1" customHeight="1" x14ac:dyDescent="0.2"/>
    <row r="47367" ht="12.75" hidden="1" customHeight="1" x14ac:dyDescent="0.2"/>
    <row r="47368" ht="12.75" hidden="1" customHeight="1" x14ac:dyDescent="0.2"/>
    <row r="47369" ht="12.75" hidden="1" customHeight="1" x14ac:dyDescent="0.2"/>
    <row r="47370" ht="12.75" hidden="1" customHeight="1" x14ac:dyDescent="0.2"/>
    <row r="47371" ht="12.75" hidden="1" customHeight="1" x14ac:dyDescent="0.2"/>
    <row r="47372" ht="12.75" hidden="1" customHeight="1" x14ac:dyDescent="0.2"/>
    <row r="47373" ht="12.75" hidden="1" customHeight="1" x14ac:dyDescent="0.2"/>
    <row r="47374" ht="12.75" hidden="1" customHeight="1" x14ac:dyDescent="0.2"/>
    <row r="47375" ht="12.75" hidden="1" customHeight="1" x14ac:dyDescent="0.2"/>
    <row r="47376" ht="12.75" hidden="1" customHeight="1" x14ac:dyDescent="0.2"/>
    <row r="47377" ht="12.75" hidden="1" customHeight="1" x14ac:dyDescent="0.2"/>
    <row r="47378" ht="12.75" hidden="1" customHeight="1" x14ac:dyDescent="0.2"/>
    <row r="47379" ht="12.75" hidden="1" customHeight="1" x14ac:dyDescent="0.2"/>
    <row r="47380" ht="12.75" hidden="1" customHeight="1" x14ac:dyDescent="0.2"/>
    <row r="47381" ht="12.75" hidden="1" customHeight="1" x14ac:dyDescent="0.2"/>
    <row r="47382" ht="12.75" hidden="1" customHeight="1" x14ac:dyDescent="0.2"/>
    <row r="47383" ht="12.75" hidden="1" customHeight="1" x14ac:dyDescent="0.2"/>
    <row r="47384" ht="12.75" hidden="1" customHeight="1" x14ac:dyDescent="0.2"/>
    <row r="47385" ht="12.75" hidden="1" customHeight="1" x14ac:dyDescent="0.2"/>
    <row r="47386" ht="12.75" hidden="1" customHeight="1" x14ac:dyDescent="0.2"/>
    <row r="47387" ht="12.75" hidden="1" customHeight="1" x14ac:dyDescent="0.2"/>
    <row r="47388" ht="12.75" hidden="1" customHeight="1" x14ac:dyDescent="0.2"/>
    <row r="47389" ht="12.75" hidden="1" customHeight="1" x14ac:dyDescent="0.2"/>
    <row r="47390" ht="12.75" hidden="1" customHeight="1" x14ac:dyDescent="0.2"/>
    <row r="47391" ht="12.75" hidden="1" customHeight="1" x14ac:dyDescent="0.2"/>
    <row r="47392" ht="12.75" hidden="1" customHeight="1" x14ac:dyDescent="0.2"/>
    <row r="47393" ht="12.75" hidden="1" customHeight="1" x14ac:dyDescent="0.2"/>
    <row r="47394" ht="12.75" hidden="1" customHeight="1" x14ac:dyDescent="0.2"/>
    <row r="47395" ht="12.75" hidden="1" customHeight="1" x14ac:dyDescent="0.2"/>
    <row r="47396" ht="12.75" hidden="1" customHeight="1" x14ac:dyDescent="0.2"/>
    <row r="47397" ht="12.75" hidden="1" customHeight="1" x14ac:dyDescent="0.2"/>
    <row r="47398" ht="12.75" hidden="1" customHeight="1" x14ac:dyDescent="0.2"/>
    <row r="47399" ht="12.75" hidden="1" customHeight="1" x14ac:dyDescent="0.2"/>
    <row r="47400" ht="12.75" hidden="1" customHeight="1" x14ac:dyDescent="0.2"/>
    <row r="47401" ht="12.75" hidden="1" customHeight="1" x14ac:dyDescent="0.2"/>
    <row r="47402" ht="12.75" hidden="1" customHeight="1" x14ac:dyDescent="0.2"/>
    <row r="47403" ht="12.75" hidden="1" customHeight="1" x14ac:dyDescent="0.2"/>
    <row r="47404" ht="12.75" hidden="1" customHeight="1" x14ac:dyDescent="0.2"/>
    <row r="47405" ht="12.75" hidden="1" customHeight="1" x14ac:dyDescent="0.2"/>
    <row r="47406" ht="12.75" hidden="1" customHeight="1" x14ac:dyDescent="0.2"/>
    <row r="47407" ht="12.75" hidden="1" customHeight="1" x14ac:dyDescent="0.2"/>
    <row r="47408" ht="12.75" hidden="1" customHeight="1" x14ac:dyDescent="0.2"/>
    <row r="47409" ht="12.75" hidden="1" customHeight="1" x14ac:dyDescent="0.2"/>
    <row r="47410" ht="12.75" hidden="1" customHeight="1" x14ac:dyDescent="0.2"/>
    <row r="47411" ht="12.75" hidden="1" customHeight="1" x14ac:dyDescent="0.2"/>
    <row r="47412" ht="12.75" hidden="1" customHeight="1" x14ac:dyDescent="0.2"/>
    <row r="47413" ht="12.75" hidden="1" customHeight="1" x14ac:dyDescent="0.2"/>
    <row r="47414" ht="12.75" hidden="1" customHeight="1" x14ac:dyDescent="0.2"/>
    <row r="47415" ht="12.75" hidden="1" customHeight="1" x14ac:dyDescent="0.2"/>
    <row r="47416" ht="12.75" hidden="1" customHeight="1" x14ac:dyDescent="0.2"/>
    <row r="47417" ht="12.75" hidden="1" customHeight="1" x14ac:dyDescent="0.2"/>
    <row r="47418" ht="12.75" hidden="1" customHeight="1" x14ac:dyDescent="0.2"/>
    <row r="47419" ht="12.75" hidden="1" customHeight="1" x14ac:dyDescent="0.2"/>
    <row r="47420" ht="12.75" hidden="1" customHeight="1" x14ac:dyDescent="0.2"/>
    <row r="47421" ht="12.75" hidden="1" customHeight="1" x14ac:dyDescent="0.2"/>
    <row r="47422" ht="12.75" hidden="1" customHeight="1" x14ac:dyDescent="0.2"/>
    <row r="47423" ht="12.75" hidden="1" customHeight="1" x14ac:dyDescent="0.2"/>
    <row r="47424" ht="12.75" hidden="1" customHeight="1" x14ac:dyDescent="0.2"/>
    <row r="47425" ht="12.75" hidden="1" customHeight="1" x14ac:dyDescent="0.2"/>
    <row r="47426" ht="12.75" hidden="1" customHeight="1" x14ac:dyDescent="0.2"/>
    <row r="47427" ht="12.75" hidden="1" customHeight="1" x14ac:dyDescent="0.2"/>
    <row r="47428" ht="12.75" hidden="1" customHeight="1" x14ac:dyDescent="0.2"/>
    <row r="47429" ht="12.75" hidden="1" customHeight="1" x14ac:dyDescent="0.2"/>
    <row r="47430" ht="12.75" hidden="1" customHeight="1" x14ac:dyDescent="0.2"/>
    <row r="47431" ht="12.75" hidden="1" customHeight="1" x14ac:dyDescent="0.2"/>
    <row r="47432" ht="12.75" hidden="1" customHeight="1" x14ac:dyDescent="0.2"/>
    <row r="47433" ht="12.75" hidden="1" customHeight="1" x14ac:dyDescent="0.2"/>
    <row r="47434" ht="12.75" hidden="1" customHeight="1" x14ac:dyDescent="0.2"/>
    <row r="47435" ht="12.75" hidden="1" customHeight="1" x14ac:dyDescent="0.2"/>
    <row r="47436" ht="12.75" hidden="1" customHeight="1" x14ac:dyDescent="0.2"/>
    <row r="47437" ht="12.75" hidden="1" customHeight="1" x14ac:dyDescent="0.2"/>
    <row r="47438" ht="12.75" hidden="1" customHeight="1" x14ac:dyDescent="0.2"/>
    <row r="47439" ht="12.75" hidden="1" customHeight="1" x14ac:dyDescent="0.2"/>
    <row r="47440" ht="12.75" hidden="1" customHeight="1" x14ac:dyDescent="0.2"/>
    <row r="47441" ht="12.75" hidden="1" customHeight="1" x14ac:dyDescent="0.2"/>
    <row r="47442" ht="12.75" hidden="1" customHeight="1" x14ac:dyDescent="0.2"/>
    <row r="47443" ht="12.75" hidden="1" customHeight="1" x14ac:dyDescent="0.2"/>
    <row r="47444" ht="12.75" hidden="1" customHeight="1" x14ac:dyDescent="0.2"/>
    <row r="47445" ht="12.75" hidden="1" customHeight="1" x14ac:dyDescent="0.2"/>
    <row r="47446" ht="12.75" hidden="1" customHeight="1" x14ac:dyDescent="0.2"/>
    <row r="47447" ht="12.75" hidden="1" customHeight="1" x14ac:dyDescent="0.2"/>
    <row r="47448" ht="12.75" hidden="1" customHeight="1" x14ac:dyDescent="0.2"/>
    <row r="47449" ht="12.75" hidden="1" customHeight="1" x14ac:dyDescent="0.2"/>
    <row r="47450" ht="12.75" hidden="1" customHeight="1" x14ac:dyDescent="0.2"/>
    <row r="47451" ht="12.75" hidden="1" customHeight="1" x14ac:dyDescent="0.2"/>
    <row r="47452" ht="12.75" hidden="1" customHeight="1" x14ac:dyDescent="0.2"/>
    <row r="47453" ht="12.75" hidden="1" customHeight="1" x14ac:dyDescent="0.2"/>
    <row r="47454" ht="12.75" hidden="1" customHeight="1" x14ac:dyDescent="0.2"/>
    <row r="47455" ht="12.75" hidden="1" customHeight="1" x14ac:dyDescent="0.2"/>
    <row r="47456" ht="12.75" hidden="1" customHeight="1" x14ac:dyDescent="0.2"/>
    <row r="47457" ht="12.75" hidden="1" customHeight="1" x14ac:dyDescent="0.2"/>
    <row r="47458" ht="12.75" hidden="1" customHeight="1" x14ac:dyDescent="0.2"/>
    <row r="47459" ht="12.75" hidden="1" customHeight="1" x14ac:dyDescent="0.2"/>
    <row r="47460" ht="12.75" hidden="1" customHeight="1" x14ac:dyDescent="0.2"/>
    <row r="47461" ht="12.75" hidden="1" customHeight="1" x14ac:dyDescent="0.2"/>
    <row r="47462" ht="12.75" hidden="1" customHeight="1" x14ac:dyDescent="0.2"/>
    <row r="47463" ht="12.75" hidden="1" customHeight="1" x14ac:dyDescent="0.2"/>
    <row r="47464" ht="12.75" hidden="1" customHeight="1" x14ac:dyDescent="0.2"/>
    <row r="47465" ht="12.75" hidden="1" customHeight="1" x14ac:dyDescent="0.2"/>
    <row r="47466" ht="12.75" hidden="1" customHeight="1" x14ac:dyDescent="0.2"/>
    <row r="47467" ht="12.75" hidden="1" customHeight="1" x14ac:dyDescent="0.2"/>
    <row r="47468" ht="12.75" hidden="1" customHeight="1" x14ac:dyDescent="0.2"/>
    <row r="47469" ht="12.75" hidden="1" customHeight="1" x14ac:dyDescent="0.2"/>
    <row r="47470" ht="12.75" hidden="1" customHeight="1" x14ac:dyDescent="0.2"/>
    <row r="47471" ht="12.75" hidden="1" customHeight="1" x14ac:dyDescent="0.2"/>
    <row r="47472" ht="12.75" hidden="1" customHeight="1" x14ac:dyDescent="0.2"/>
    <row r="47473" ht="12.75" hidden="1" customHeight="1" x14ac:dyDescent="0.2"/>
    <row r="47474" ht="12.75" hidden="1" customHeight="1" x14ac:dyDescent="0.2"/>
    <row r="47475" ht="12.75" hidden="1" customHeight="1" x14ac:dyDescent="0.2"/>
    <row r="47476" ht="12.75" hidden="1" customHeight="1" x14ac:dyDescent="0.2"/>
    <row r="47477" ht="12.75" hidden="1" customHeight="1" x14ac:dyDescent="0.2"/>
    <row r="47478" ht="12.75" hidden="1" customHeight="1" x14ac:dyDescent="0.2"/>
    <row r="47479" ht="12.75" hidden="1" customHeight="1" x14ac:dyDescent="0.2"/>
    <row r="47480" ht="12.75" hidden="1" customHeight="1" x14ac:dyDescent="0.2"/>
    <row r="47481" ht="12.75" hidden="1" customHeight="1" x14ac:dyDescent="0.2"/>
    <row r="47482" ht="12.75" hidden="1" customHeight="1" x14ac:dyDescent="0.2"/>
    <row r="47483" ht="12.75" hidden="1" customHeight="1" x14ac:dyDescent="0.2"/>
    <row r="47484" ht="12.75" hidden="1" customHeight="1" x14ac:dyDescent="0.2"/>
    <row r="47485" ht="12.75" hidden="1" customHeight="1" x14ac:dyDescent="0.2"/>
    <row r="47486" ht="12.75" hidden="1" customHeight="1" x14ac:dyDescent="0.2"/>
    <row r="47487" ht="12.75" hidden="1" customHeight="1" x14ac:dyDescent="0.2"/>
    <row r="47488" ht="12.75" hidden="1" customHeight="1" x14ac:dyDescent="0.2"/>
    <row r="47489" ht="12.75" hidden="1" customHeight="1" x14ac:dyDescent="0.2"/>
    <row r="47490" ht="12.75" hidden="1" customHeight="1" x14ac:dyDescent="0.2"/>
    <row r="47491" ht="12.75" hidden="1" customHeight="1" x14ac:dyDescent="0.2"/>
    <row r="47492" ht="12.75" hidden="1" customHeight="1" x14ac:dyDescent="0.2"/>
    <row r="47493" ht="12.75" hidden="1" customHeight="1" x14ac:dyDescent="0.2"/>
    <row r="47494" ht="12.75" hidden="1" customHeight="1" x14ac:dyDescent="0.2"/>
    <row r="47495" ht="12.75" hidden="1" customHeight="1" x14ac:dyDescent="0.2"/>
    <row r="47496" ht="12.75" hidden="1" customHeight="1" x14ac:dyDescent="0.2"/>
    <row r="47497" ht="12.75" hidden="1" customHeight="1" x14ac:dyDescent="0.2"/>
    <row r="47498" ht="12.75" hidden="1" customHeight="1" x14ac:dyDescent="0.2"/>
    <row r="47499" ht="12.75" hidden="1" customHeight="1" x14ac:dyDescent="0.2"/>
    <row r="47500" ht="12.75" hidden="1" customHeight="1" x14ac:dyDescent="0.2"/>
    <row r="47501" ht="12.75" hidden="1" customHeight="1" x14ac:dyDescent="0.2"/>
    <row r="47502" ht="12.75" hidden="1" customHeight="1" x14ac:dyDescent="0.2"/>
    <row r="47503" ht="12.75" hidden="1" customHeight="1" x14ac:dyDescent="0.2"/>
    <row r="47504" ht="12.75" hidden="1" customHeight="1" x14ac:dyDescent="0.2"/>
    <row r="47505" ht="12.75" hidden="1" customHeight="1" x14ac:dyDescent="0.2"/>
    <row r="47506" ht="12.75" hidden="1" customHeight="1" x14ac:dyDescent="0.2"/>
    <row r="47507" ht="12.75" hidden="1" customHeight="1" x14ac:dyDescent="0.2"/>
    <row r="47508" ht="12.75" hidden="1" customHeight="1" x14ac:dyDescent="0.2"/>
    <row r="47509" ht="12.75" hidden="1" customHeight="1" x14ac:dyDescent="0.2"/>
    <row r="47510" ht="12.75" hidden="1" customHeight="1" x14ac:dyDescent="0.2"/>
    <row r="47511" ht="12.75" hidden="1" customHeight="1" x14ac:dyDescent="0.2"/>
    <row r="47512" ht="12.75" hidden="1" customHeight="1" x14ac:dyDescent="0.2"/>
    <row r="47513" ht="12.75" hidden="1" customHeight="1" x14ac:dyDescent="0.2"/>
    <row r="47514" ht="12.75" hidden="1" customHeight="1" x14ac:dyDescent="0.2"/>
    <row r="47515" ht="12.75" hidden="1" customHeight="1" x14ac:dyDescent="0.2"/>
    <row r="47516" ht="12.75" hidden="1" customHeight="1" x14ac:dyDescent="0.2"/>
    <row r="47517" ht="12.75" hidden="1" customHeight="1" x14ac:dyDescent="0.2"/>
    <row r="47518" ht="12.75" hidden="1" customHeight="1" x14ac:dyDescent="0.2"/>
    <row r="47519" ht="12.75" hidden="1" customHeight="1" x14ac:dyDescent="0.2"/>
    <row r="47520" ht="12.75" hidden="1" customHeight="1" x14ac:dyDescent="0.2"/>
    <row r="47521" ht="12.75" hidden="1" customHeight="1" x14ac:dyDescent="0.2"/>
    <row r="47522" ht="12.75" hidden="1" customHeight="1" x14ac:dyDescent="0.2"/>
    <row r="47523" ht="12.75" hidden="1" customHeight="1" x14ac:dyDescent="0.2"/>
    <row r="47524" ht="12.75" hidden="1" customHeight="1" x14ac:dyDescent="0.2"/>
    <row r="47525" ht="12.75" hidden="1" customHeight="1" x14ac:dyDescent="0.2"/>
    <row r="47526" ht="12.75" hidden="1" customHeight="1" x14ac:dyDescent="0.2"/>
    <row r="47527" ht="12.75" hidden="1" customHeight="1" x14ac:dyDescent="0.2"/>
    <row r="47528" ht="12.75" hidden="1" customHeight="1" x14ac:dyDescent="0.2"/>
    <row r="47529" ht="12.75" hidden="1" customHeight="1" x14ac:dyDescent="0.2"/>
    <row r="47530" ht="12.75" hidden="1" customHeight="1" x14ac:dyDescent="0.2"/>
    <row r="47531" ht="12.75" hidden="1" customHeight="1" x14ac:dyDescent="0.2"/>
    <row r="47532" ht="12.75" hidden="1" customHeight="1" x14ac:dyDescent="0.2"/>
    <row r="47533" ht="12.75" hidden="1" customHeight="1" x14ac:dyDescent="0.2"/>
    <row r="47534" ht="12.75" hidden="1" customHeight="1" x14ac:dyDescent="0.2"/>
    <row r="47535" ht="12.75" hidden="1" customHeight="1" x14ac:dyDescent="0.2"/>
    <row r="47536" ht="12.75" hidden="1" customHeight="1" x14ac:dyDescent="0.2"/>
    <row r="47537" ht="12.75" hidden="1" customHeight="1" x14ac:dyDescent="0.2"/>
    <row r="47538" ht="12.75" hidden="1" customHeight="1" x14ac:dyDescent="0.2"/>
    <row r="47539" ht="12.75" hidden="1" customHeight="1" x14ac:dyDescent="0.2"/>
    <row r="47540" ht="12.75" hidden="1" customHeight="1" x14ac:dyDescent="0.2"/>
    <row r="47541" ht="12.75" hidden="1" customHeight="1" x14ac:dyDescent="0.2"/>
    <row r="47542" ht="12.75" hidden="1" customHeight="1" x14ac:dyDescent="0.2"/>
    <row r="47543" ht="12.75" hidden="1" customHeight="1" x14ac:dyDescent="0.2"/>
    <row r="47544" ht="12.75" hidden="1" customHeight="1" x14ac:dyDescent="0.2"/>
    <row r="47545" ht="12.75" hidden="1" customHeight="1" x14ac:dyDescent="0.2"/>
    <row r="47546" ht="12.75" hidden="1" customHeight="1" x14ac:dyDescent="0.2"/>
    <row r="47547" ht="12.75" hidden="1" customHeight="1" x14ac:dyDescent="0.2"/>
    <row r="47548" ht="12.75" hidden="1" customHeight="1" x14ac:dyDescent="0.2"/>
    <row r="47549" ht="12.75" hidden="1" customHeight="1" x14ac:dyDescent="0.2"/>
    <row r="47550" ht="12.75" hidden="1" customHeight="1" x14ac:dyDescent="0.2"/>
    <row r="47551" ht="12.75" hidden="1" customHeight="1" x14ac:dyDescent="0.2"/>
    <row r="47552" ht="12.75" hidden="1" customHeight="1" x14ac:dyDescent="0.2"/>
    <row r="47553" ht="12.75" hidden="1" customHeight="1" x14ac:dyDescent="0.2"/>
    <row r="47554" ht="12.75" hidden="1" customHeight="1" x14ac:dyDescent="0.2"/>
    <row r="47555" ht="12.75" hidden="1" customHeight="1" x14ac:dyDescent="0.2"/>
    <row r="47556" ht="12.75" hidden="1" customHeight="1" x14ac:dyDescent="0.2"/>
    <row r="47557" ht="12.75" hidden="1" customHeight="1" x14ac:dyDescent="0.2"/>
    <row r="47558" ht="12.75" hidden="1" customHeight="1" x14ac:dyDescent="0.2"/>
    <row r="47559" ht="12.75" hidden="1" customHeight="1" x14ac:dyDescent="0.2"/>
    <row r="47560" ht="12.75" hidden="1" customHeight="1" x14ac:dyDescent="0.2"/>
    <row r="47561" ht="12.75" hidden="1" customHeight="1" x14ac:dyDescent="0.2"/>
    <row r="47562" ht="12.75" hidden="1" customHeight="1" x14ac:dyDescent="0.2"/>
    <row r="47563" ht="12.75" hidden="1" customHeight="1" x14ac:dyDescent="0.2"/>
    <row r="47564" ht="12.75" hidden="1" customHeight="1" x14ac:dyDescent="0.2"/>
    <row r="47565" ht="12.75" hidden="1" customHeight="1" x14ac:dyDescent="0.2"/>
    <row r="47566" ht="12.75" hidden="1" customHeight="1" x14ac:dyDescent="0.2"/>
    <row r="47567" ht="12.75" hidden="1" customHeight="1" x14ac:dyDescent="0.2"/>
    <row r="47568" ht="12.75" hidden="1" customHeight="1" x14ac:dyDescent="0.2"/>
    <row r="47569" ht="12.75" hidden="1" customHeight="1" x14ac:dyDescent="0.2"/>
    <row r="47570" ht="12.75" hidden="1" customHeight="1" x14ac:dyDescent="0.2"/>
    <row r="47571" ht="12.75" hidden="1" customHeight="1" x14ac:dyDescent="0.2"/>
    <row r="47572" ht="12.75" hidden="1" customHeight="1" x14ac:dyDescent="0.2"/>
    <row r="47573" ht="12.75" hidden="1" customHeight="1" x14ac:dyDescent="0.2"/>
    <row r="47574" ht="12.75" hidden="1" customHeight="1" x14ac:dyDescent="0.2"/>
    <row r="47575" ht="12.75" hidden="1" customHeight="1" x14ac:dyDescent="0.2"/>
    <row r="47576" ht="12.75" hidden="1" customHeight="1" x14ac:dyDescent="0.2"/>
    <row r="47577" ht="12.75" hidden="1" customHeight="1" x14ac:dyDescent="0.2"/>
    <row r="47578" ht="12.75" hidden="1" customHeight="1" x14ac:dyDescent="0.2"/>
    <row r="47579" ht="12.75" hidden="1" customHeight="1" x14ac:dyDescent="0.2"/>
    <row r="47580" ht="12.75" hidden="1" customHeight="1" x14ac:dyDescent="0.2"/>
    <row r="47581" ht="12.75" hidden="1" customHeight="1" x14ac:dyDescent="0.2"/>
    <row r="47582" ht="12.75" hidden="1" customHeight="1" x14ac:dyDescent="0.2"/>
    <row r="47583" ht="12.75" hidden="1" customHeight="1" x14ac:dyDescent="0.2"/>
    <row r="47584" ht="12.75" hidden="1" customHeight="1" x14ac:dyDescent="0.2"/>
    <row r="47585" ht="12.75" hidden="1" customHeight="1" x14ac:dyDescent="0.2"/>
    <row r="47586" ht="12.75" hidden="1" customHeight="1" x14ac:dyDescent="0.2"/>
    <row r="47587" ht="12.75" hidden="1" customHeight="1" x14ac:dyDescent="0.2"/>
    <row r="47588" ht="12.75" hidden="1" customHeight="1" x14ac:dyDescent="0.2"/>
    <row r="47589" ht="12.75" hidden="1" customHeight="1" x14ac:dyDescent="0.2"/>
    <row r="47590" ht="12.75" hidden="1" customHeight="1" x14ac:dyDescent="0.2"/>
    <row r="47591" ht="12.75" hidden="1" customHeight="1" x14ac:dyDescent="0.2"/>
    <row r="47592" ht="12.75" hidden="1" customHeight="1" x14ac:dyDescent="0.2"/>
    <row r="47593" ht="12.75" hidden="1" customHeight="1" x14ac:dyDescent="0.2"/>
    <row r="47594" ht="12.75" hidden="1" customHeight="1" x14ac:dyDescent="0.2"/>
    <row r="47595" ht="12.75" hidden="1" customHeight="1" x14ac:dyDescent="0.2"/>
    <row r="47596" ht="12.75" hidden="1" customHeight="1" x14ac:dyDescent="0.2"/>
    <row r="47597" ht="12.75" hidden="1" customHeight="1" x14ac:dyDescent="0.2"/>
    <row r="47598" ht="12.75" hidden="1" customHeight="1" x14ac:dyDescent="0.2"/>
    <row r="47599" ht="12.75" hidden="1" customHeight="1" x14ac:dyDescent="0.2"/>
    <row r="47600" ht="12.75" hidden="1" customHeight="1" x14ac:dyDescent="0.2"/>
    <row r="47601" ht="12.75" hidden="1" customHeight="1" x14ac:dyDescent="0.2"/>
    <row r="47602" ht="12.75" hidden="1" customHeight="1" x14ac:dyDescent="0.2"/>
    <row r="47603" ht="12.75" hidden="1" customHeight="1" x14ac:dyDescent="0.2"/>
    <row r="47604" ht="12.75" hidden="1" customHeight="1" x14ac:dyDescent="0.2"/>
    <row r="47605" ht="12.75" hidden="1" customHeight="1" x14ac:dyDescent="0.2"/>
    <row r="47606" ht="12.75" hidden="1" customHeight="1" x14ac:dyDescent="0.2"/>
    <row r="47607" ht="12.75" hidden="1" customHeight="1" x14ac:dyDescent="0.2"/>
    <row r="47608" ht="12.75" hidden="1" customHeight="1" x14ac:dyDescent="0.2"/>
    <row r="47609" ht="12.75" hidden="1" customHeight="1" x14ac:dyDescent="0.2"/>
    <row r="47610" ht="12.75" hidden="1" customHeight="1" x14ac:dyDescent="0.2"/>
    <row r="47611" ht="12.75" hidden="1" customHeight="1" x14ac:dyDescent="0.2"/>
    <row r="47612" ht="12.75" hidden="1" customHeight="1" x14ac:dyDescent="0.2"/>
    <row r="47613" ht="12.75" hidden="1" customHeight="1" x14ac:dyDescent="0.2"/>
    <row r="47614" ht="12.75" hidden="1" customHeight="1" x14ac:dyDescent="0.2"/>
    <row r="47615" ht="12.75" hidden="1" customHeight="1" x14ac:dyDescent="0.2"/>
    <row r="47616" ht="12.75" hidden="1" customHeight="1" x14ac:dyDescent="0.2"/>
    <row r="47617" ht="12.75" hidden="1" customHeight="1" x14ac:dyDescent="0.2"/>
    <row r="47618" ht="12.75" hidden="1" customHeight="1" x14ac:dyDescent="0.2"/>
    <row r="47619" ht="12.75" hidden="1" customHeight="1" x14ac:dyDescent="0.2"/>
    <row r="47620" ht="12.75" hidden="1" customHeight="1" x14ac:dyDescent="0.2"/>
    <row r="47621" ht="12.75" hidden="1" customHeight="1" x14ac:dyDescent="0.2"/>
    <row r="47622" ht="12.75" hidden="1" customHeight="1" x14ac:dyDescent="0.2"/>
    <row r="47623" ht="12.75" hidden="1" customHeight="1" x14ac:dyDescent="0.2"/>
    <row r="47624" ht="12.75" hidden="1" customHeight="1" x14ac:dyDescent="0.2"/>
    <row r="47625" ht="12.75" hidden="1" customHeight="1" x14ac:dyDescent="0.2"/>
    <row r="47626" ht="12.75" hidden="1" customHeight="1" x14ac:dyDescent="0.2"/>
    <row r="47627" ht="12.75" hidden="1" customHeight="1" x14ac:dyDescent="0.2"/>
    <row r="47628" ht="12.75" hidden="1" customHeight="1" x14ac:dyDescent="0.2"/>
    <row r="47629" ht="12.75" hidden="1" customHeight="1" x14ac:dyDescent="0.2"/>
    <row r="47630" ht="12.75" hidden="1" customHeight="1" x14ac:dyDescent="0.2"/>
    <row r="47631" ht="12.75" hidden="1" customHeight="1" x14ac:dyDescent="0.2"/>
    <row r="47632" ht="12.75" hidden="1" customHeight="1" x14ac:dyDescent="0.2"/>
    <row r="47633" ht="12.75" hidden="1" customHeight="1" x14ac:dyDescent="0.2"/>
    <row r="47634" ht="12.75" hidden="1" customHeight="1" x14ac:dyDescent="0.2"/>
    <row r="47635" ht="12.75" hidden="1" customHeight="1" x14ac:dyDescent="0.2"/>
    <row r="47636" ht="12.75" hidden="1" customHeight="1" x14ac:dyDescent="0.2"/>
    <row r="47637" ht="12.75" hidden="1" customHeight="1" x14ac:dyDescent="0.2"/>
    <row r="47638" ht="12.75" hidden="1" customHeight="1" x14ac:dyDescent="0.2"/>
    <row r="47639" ht="12.75" hidden="1" customHeight="1" x14ac:dyDescent="0.2"/>
    <row r="47640" ht="12.75" hidden="1" customHeight="1" x14ac:dyDescent="0.2"/>
    <row r="47641" ht="12.75" hidden="1" customHeight="1" x14ac:dyDescent="0.2"/>
    <row r="47642" ht="12.75" hidden="1" customHeight="1" x14ac:dyDescent="0.2"/>
    <row r="47643" ht="12.75" hidden="1" customHeight="1" x14ac:dyDescent="0.2"/>
    <row r="47644" ht="12.75" hidden="1" customHeight="1" x14ac:dyDescent="0.2"/>
    <row r="47645" ht="12.75" hidden="1" customHeight="1" x14ac:dyDescent="0.2"/>
    <row r="47646" ht="12.75" hidden="1" customHeight="1" x14ac:dyDescent="0.2"/>
    <row r="47647" ht="12.75" hidden="1" customHeight="1" x14ac:dyDescent="0.2"/>
    <row r="47648" ht="12.75" hidden="1" customHeight="1" x14ac:dyDescent="0.2"/>
    <row r="47649" ht="12.75" hidden="1" customHeight="1" x14ac:dyDescent="0.2"/>
    <row r="47650" ht="12.75" hidden="1" customHeight="1" x14ac:dyDescent="0.2"/>
    <row r="47651" ht="12.75" hidden="1" customHeight="1" x14ac:dyDescent="0.2"/>
    <row r="47652" ht="12.75" hidden="1" customHeight="1" x14ac:dyDescent="0.2"/>
    <row r="47653" ht="12.75" hidden="1" customHeight="1" x14ac:dyDescent="0.2"/>
    <row r="47654" ht="12.75" hidden="1" customHeight="1" x14ac:dyDescent="0.2"/>
    <row r="47655" ht="12.75" hidden="1" customHeight="1" x14ac:dyDescent="0.2"/>
    <row r="47656" ht="12.75" hidden="1" customHeight="1" x14ac:dyDescent="0.2"/>
    <row r="47657" ht="12.75" hidden="1" customHeight="1" x14ac:dyDescent="0.2"/>
    <row r="47658" ht="12.75" hidden="1" customHeight="1" x14ac:dyDescent="0.2"/>
    <row r="47659" ht="12.75" hidden="1" customHeight="1" x14ac:dyDescent="0.2"/>
    <row r="47660" ht="12.75" hidden="1" customHeight="1" x14ac:dyDescent="0.2"/>
    <row r="47661" ht="12.75" hidden="1" customHeight="1" x14ac:dyDescent="0.2"/>
    <row r="47662" ht="12.75" hidden="1" customHeight="1" x14ac:dyDescent="0.2"/>
    <row r="47663" ht="12.75" hidden="1" customHeight="1" x14ac:dyDescent="0.2"/>
    <row r="47664" ht="12.75" hidden="1" customHeight="1" x14ac:dyDescent="0.2"/>
    <row r="47665" ht="12.75" hidden="1" customHeight="1" x14ac:dyDescent="0.2"/>
    <row r="47666" ht="12.75" hidden="1" customHeight="1" x14ac:dyDescent="0.2"/>
    <row r="47667" ht="12.75" hidden="1" customHeight="1" x14ac:dyDescent="0.2"/>
    <row r="47668" ht="12.75" hidden="1" customHeight="1" x14ac:dyDescent="0.2"/>
    <row r="47669" ht="12.75" hidden="1" customHeight="1" x14ac:dyDescent="0.2"/>
    <row r="47670" ht="12.75" hidden="1" customHeight="1" x14ac:dyDescent="0.2"/>
    <row r="47671" ht="12.75" hidden="1" customHeight="1" x14ac:dyDescent="0.2"/>
    <row r="47672" ht="12.75" hidden="1" customHeight="1" x14ac:dyDescent="0.2"/>
    <row r="47673" ht="12.75" hidden="1" customHeight="1" x14ac:dyDescent="0.2"/>
    <row r="47674" ht="12.75" hidden="1" customHeight="1" x14ac:dyDescent="0.2"/>
    <row r="47675" ht="12.75" hidden="1" customHeight="1" x14ac:dyDescent="0.2"/>
    <row r="47676" ht="12.75" hidden="1" customHeight="1" x14ac:dyDescent="0.2"/>
    <row r="47677" ht="12.75" hidden="1" customHeight="1" x14ac:dyDescent="0.2"/>
    <row r="47678" ht="12.75" hidden="1" customHeight="1" x14ac:dyDescent="0.2"/>
    <row r="47679" ht="12.75" hidden="1" customHeight="1" x14ac:dyDescent="0.2"/>
    <row r="47680" ht="12.75" hidden="1" customHeight="1" x14ac:dyDescent="0.2"/>
    <row r="47681" ht="12.75" hidden="1" customHeight="1" x14ac:dyDescent="0.2"/>
    <row r="47682" ht="12.75" hidden="1" customHeight="1" x14ac:dyDescent="0.2"/>
    <row r="47683" ht="12.75" hidden="1" customHeight="1" x14ac:dyDescent="0.2"/>
    <row r="47684" ht="12.75" hidden="1" customHeight="1" x14ac:dyDescent="0.2"/>
    <row r="47685" ht="12.75" hidden="1" customHeight="1" x14ac:dyDescent="0.2"/>
    <row r="47686" ht="12.75" hidden="1" customHeight="1" x14ac:dyDescent="0.2"/>
    <row r="47687" ht="12.75" hidden="1" customHeight="1" x14ac:dyDescent="0.2"/>
    <row r="47688" ht="12.75" hidden="1" customHeight="1" x14ac:dyDescent="0.2"/>
    <row r="47689" ht="12.75" hidden="1" customHeight="1" x14ac:dyDescent="0.2"/>
    <row r="47690" ht="12.75" hidden="1" customHeight="1" x14ac:dyDescent="0.2"/>
    <row r="47691" ht="12.75" hidden="1" customHeight="1" x14ac:dyDescent="0.2"/>
    <row r="47692" ht="12.75" hidden="1" customHeight="1" x14ac:dyDescent="0.2"/>
    <row r="47693" ht="12.75" hidden="1" customHeight="1" x14ac:dyDescent="0.2"/>
    <row r="47694" ht="12.75" hidden="1" customHeight="1" x14ac:dyDescent="0.2"/>
    <row r="47695" ht="12.75" hidden="1" customHeight="1" x14ac:dyDescent="0.2"/>
    <row r="47696" ht="12.75" hidden="1" customHeight="1" x14ac:dyDescent="0.2"/>
    <row r="47697" ht="12.75" hidden="1" customHeight="1" x14ac:dyDescent="0.2"/>
    <row r="47698" ht="12.75" hidden="1" customHeight="1" x14ac:dyDescent="0.2"/>
    <row r="47699" ht="12.75" hidden="1" customHeight="1" x14ac:dyDescent="0.2"/>
    <row r="47700" ht="12.75" hidden="1" customHeight="1" x14ac:dyDescent="0.2"/>
    <row r="47701" ht="12.75" hidden="1" customHeight="1" x14ac:dyDescent="0.2"/>
    <row r="47702" ht="12.75" hidden="1" customHeight="1" x14ac:dyDescent="0.2"/>
    <row r="47703" ht="12.75" hidden="1" customHeight="1" x14ac:dyDescent="0.2"/>
    <row r="47704" ht="12.75" hidden="1" customHeight="1" x14ac:dyDescent="0.2"/>
    <row r="47705" ht="12.75" hidden="1" customHeight="1" x14ac:dyDescent="0.2"/>
    <row r="47706" ht="12.75" hidden="1" customHeight="1" x14ac:dyDescent="0.2"/>
    <row r="47707" ht="12.75" hidden="1" customHeight="1" x14ac:dyDescent="0.2"/>
    <row r="47708" ht="12.75" hidden="1" customHeight="1" x14ac:dyDescent="0.2"/>
    <row r="47709" ht="12.75" hidden="1" customHeight="1" x14ac:dyDescent="0.2"/>
    <row r="47710" ht="12.75" hidden="1" customHeight="1" x14ac:dyDescent="0.2"/>
    <row r="47711" ht="12.75" hidden="1" customHeight="1" x14ac:dyDescent="0.2"/>
    <row r="47712" ht="12.75" hidden="1" customHeight="1" x14ac:dyDescent="0.2"/>
    <row r="47713" ht="12.75" hidden="1" customHeight="1" x14ac:dyDescent="0.2"/>
    <row r="47714" ht="12.75" hidden="1" customHeight="1" x14ac:dyDescent="0.2"/>
    <row r="47715" ht="12.75" hidden="1" customHeight="1" x14ac:dyDescent="0.2"/>
    <row r="47716" ht="12.75" hidden="1" customHeight="1" x14ac:dyDescent="0.2"/>
    <row r="47717" ht="12.75" hidden="1" customHeight="1" x14ac:dyDescent="0.2"/>
    <row r="47718" ht="12.75" hidden="1" customHeight="1" x14ac:dyDescent="0.2"/>
    <row r="47719" ht="12.75" hidden="1" customHeight="1" x14ac:dyDescent="0.2"/>
    <row r="47720" ht="12.75" hidden="1" customHeight="1" x14ac:dyDescent="0.2"/>
    <row r="47721" ht="12.75" hidden="1" customHeight="1" x14ac:dyDescent="0.2"/>
    <row r="47722" ht="12.75" hidden="1" customHeight="1" x14ac:dyDescent="0.2"/>
    <row r="47723" ht="12.75" hidden="1" customHeight="1" x14ac:dyDescent="0.2"/>
    <row r="47724" ht="12.75" hidden="1" customHeight="1" x14ac:dyDescent="0.2"/>
    <row r="47725" ht="12.75" hidden="1" customHeight="1" x14ac:dyDescent="0.2"/>
    <row r="47726" ht="12.75" hidden="1" customHeight="1" x14ac:dyDescent="0.2"/>
    <row r="47727" ht="12.75" hidden="1" customHeight="1" x14ac:dyDescent="0.2"/>
    <row r="47728" ht="12.75" hidden="1" customHeight="1" x14ac:dyDescent="0.2"/>
    <row r="47729" ht="12.75" hidden="1" customHeight="1" x14ac:dyDescent="0.2"/>
    <row r="47730" ht="12.75" hidden="1" customHeight="1" x14ac:dyDescent="0.2"/>
    <row r="47731" ht="12.75" hidden="1" customHeight="1" x14ac:dyDescent="0.2"/>
    <row r="47732" ht="12.75" hidden="1" customHeight="1" x14ac:dyDescent="0.2"/>
    <row r="47733" ht="12.75" hidden="1" customHeight="1" x14ac:dyDescent="0.2"/>
    <row r="47734" ht="12.75" hidden="1" customHeight="1" x14ac:dyDescent="0.2"/>
    <row r="47735" ht="12.75" hidden="1" customHeight="1" x14ac:dyDescent="0.2"/>
    <row r="47736" ht="12.75" hidden="1" customHeight="1" x14ac:dyDescent="0.2"/>
    <row r="47737" ht="12.75" hidden="1" customHeight="1" x14ac:dyDescent="0.2"/>
    <row r="47738" ht="12.75" hidden="1" customHeight="1" x14ac:dyDescent="0.2"/>
    <row r="47739" ht="12.75" hidden="1" customHeight="1" x14ac:dyDescent="0.2"/>
    <row r="47740" ht="12.75" hidden="1" customHeight="1" x14ac:dyDescent="0.2"/>
    <row r="47741" ht="12.75" hidden="1" customHeight="1" x14ac:dyDescent="0.2"/>
    <row r="47742" ht="12.75" hidden="1" customHeight="1" x14ac:dyDescent="0.2"/>
    <row r="47743" ht="12.75" hidden="1" customHeight="1" x14ac:dyDescent="0.2"/>
    <row r="47744" ht="12.75" hidden="1" customHeight="1" x14ac:dyDescent="0.2"/>
    <row r="47745" ht="12.75" hidden="1" customHeight="1" x14ac:dyDescent="0.2"/>
    <row r="47746" ht="12.75" hidden="1" customHeight="1" x14ac:dyDescent="0.2"/>
    <row r="47747" ht="12.75" hidden="1" customHeight="1" x14ac:dyDescent="0.2"/>
    <row r="47748" ht="12.75" hidden="1" customHeight="1" x14ac:dyDescent="0.2"/>
    <row r="47749" ht="12.75" hidden="1" customHeight="1" x14ac:dyDescent="0.2"/>
    <row r="47750" ht="12.75" hidden="1" customHeight="1" x14ac:dyDescent="0.2"/>
    <row r="47751" ht="12.75" hidden="1" customHeight="1" x14ac:dyDescent="0.2"/>
    <row r="47752" ht="12.75" hidden="1" customHeight="1" x14ac:dyDescent="0.2"/>
    <row r="47753" ht="12.75" hidden="1" customHeight="1" x14ac:dyDescent="0.2"/>
    <row r="47754" ht="12.75" hidden="1" customHeight="1" x14ac:dyDescent="0.2"/>
    <row r="47755" ht="12.75" hidden="1" customHeight="1" x14ac:dyDescent="0.2"/>
    <row r="47756" ht="12.75" hidden="1" customHeight="1" x14ac:dyDescent="0.2"/>
    <row r="47757" ht="12.75" hidden="1" customHeight="1" x14ac:dyDescent="0.2"/>
    <row r="47758" ht="12.75" hidden="1" customHeight="1" x14ac:dyDescent="0.2"/>
    <row r="47759" ht="12.75" hidden="1" customHeight="1" x14ac:dyDescent="0.2"/>
    <row r="47760" ht="12.75" hidden="1" customHeight="1" x14ac:dyDescent="0.2"/>
    <row r="47761" ht="12.75" hidden="1" customHeight="1" x14ac:dyDescent="0.2"/>
    <row r="47762" ht="12.75" hidden="1" customHeight="1" x14ac:dyDescent="0.2"/>
    <row r="47763" ht="12.75" hidden="1" customHeight="1" x14ac:dyDescent="0.2"/>
    <row r="47764" ht="12.75" hidden="1" customHeight="1" x14ac:dyDescent="0.2"/>
    <row r="47765" ht="12.75" hidden="1" customHeight="1" x14ac:dyDescent="0.2"/>
    <row r="47766" ht="12.75" hidden="1" customHeight="1" x14ac:dyDescent="0.2"/>
    <row r="47767" ht="12.75" hidden="1" customHeight="1" x14ac:dyDescent="0.2"/>
    <row r="47768" ht="12.75" hidden="1" customHeight="1" x14ac:dyDescent="0.2"/>
    <row r="47769" ht="12.75" hidden="1" customHeight="1" x14ac:dyDescent="0.2"/>
    <row r="47770" ht="12.75" hidden="1" customHeight="1" x14ac:dyDescent="0.2"/>
    <row r="47771" ht="12.75" hidden="1" customHeight="1" x14ac:dyDescent="0.2"/>
    <row r="47772" ht="12.75" hidden="1" customHeight="1" x14ac:dyDescent="0.2"/>
    <row r="47773" ht="12.75" hidden="1" customHeight="1" x14ac:dyDescent="0.2"/>
    <row r="47774" ht="12.75" hidden="1" customHeight="1" x14ac:dyDescent="0.2"/>
    <row r="47775" ht="12.75" hidden="1" customHeight="1" x14ac:dyDescent="0.2"/>
    <row r="47776" ht="12.75" hidden="1" customHeight="1" x14ac:dyDescent="0.2"/>
    <row r="47777" ht="12.75" hidden="1" customHeight="1" x14ac:dyDescent="0.2"/>
    <row r="47778" ht="12.75" hidden="1" customHeight="1" x14ac:dyDescent="0.2"/>
    <row r="47779" ht="12.75" hidden="1" customHeight="1" x14ac:dyDescent="0.2"/>
    <row r="47780" ht="12.75" hidden="1" customHeight="1" x14ac:dyDescent="0.2"/>
    <row r="47781" ht="12.75" hidden="1" customHeight="1" x14ac:dyDescent="0.2"/>
    <row r="47782" ht="12.75" hidden="1" customHeight="1" x14ac:dyDescent="0.2"/>
    <row r="47783" ht="12.75" hidden="1" customHeight="1" x14ac:dyDescent="0.2"/>
    <row r="47784" ht="12.75" hidden="1" customHeight="1" x14ac:dyDescent="0.2"/>
    <row r="47785" ht="12.75" hidden="1" customHeight="1" x14ac:dyDescent="0.2"/>
    <row r="47786" ht="12.75" hidden="1" customHeight="1" x14ac:dyDescent="0.2"/>
    <row r="47787" ht="12.75" hidden="1" customHeight="1" x14ac:dyDescent="0.2"/>
    <row r="47788" ht="12.75" hidden="1" customHeight="1" x14ac:dyDescent="0.2"/>
    <row r="47789" ht="12.75" hidden="1" customHeight="1" x14ac:dyDescent="0.2"/>
    <row r="47790" ht="12.75" hidden="1" customHeight="1" x14ac:dyDescent="0.2"/>
    <row r="47791" ht="12.75" hidden="1" customHeight="1" x14ac:dyDescent="0.2"/>
    <row r="47792" ht="12.75" hidden="1" customHeight="1" x14ac:dyDescent="0.2"/>
    <row r="47793" ht="12.75" hidden="1" customHeight="1" x14ac:dyDescent="0.2"/>
    <row r="47794" ht="12.75" hidden="1" customHeight="1" x14ac:dyDescent="0.2"/>
    <row r="47795" ht="12.75" hidden="1" customHeight="1" x14ac:dyDescent="0.2"/>
    <row r="47796" ht="12.75" hidden="1" customHeight="1" x14ac:dyDescent="0.2"/>
    <row r="47797" ht="12.75" hidden="1" customHeight="1" x14ac:dyDescent="0.2"/>
    <row r="47798" ht="12.75" hidden="1" customHeight="1" x14ac:dyDescent="0.2"/>
    <row r="47799" ht="12.75" hidden="1" customHeight="1" x14ac:dyDescent="0.2"/>
    <row r="47800" ht="12.75" hidden="1" customHeight="1" x14ac:dyDescent="0.2"/>
    <row r="47801" ht="12.75" hidden="1" customHeight="1" x14ac:dyDescent="0.2"/>
    <row r="47802" ht="12.75" hidden="1" customHeight="1" x14ac:dyDescent="0.2"/>
    <row r="47803" ht="12.75" hidden="1" customHeight="1" x14ac:dyDescent="0.2"/>
    <row r="47804" ht="12.75" hidden="1" customHeight="1" x14ac:dyDescent="0.2"/>
    <row r="47805" ht="12.75" hidden="1" customHeight="1" x14ac:dyDescent="0.2"/>
    <row r="47806" ht="12.75" hidden="1" customHeight="1" x14ac:dyDescent="0.2"/>
    <row r="47807" ht="12.75" hidden="1" customHeight="1" x14ac:dyDescent="0.2"/>
    <row r="47808" ht="12.75" hidden="1" customHeight="1" x14ac:dyDescent="0.2"/>
    <row r="47809" ht="12.75" hidden="1" customHeight="1" x14ac:dyDescent="0.2"/>
    <row r="47810" ht="12.75" hidden="1" customHeight="1" x14ac:dyDescent="0.2"/>
    <row r="47811" ht="12.75" hidden="1" customHeight="1" x14ac:dyDescent="0.2"/>
    <row r="47812" ht="12.75" hidden="1" customHeight="1" x14ac:dyDescent="0.2"/>
    <row r="47813" ht="12.75" hidden="1" customHeight="1" x14ac:dyDescent="0.2"/>
    <row r="47814" ht="12.75" hidden="1" customHeight="1" x14ac:dyDescent="0.2"/>
    <row r="47815" ht="12.75" hidden="1" customHeight="1" x14ac:dyDescent="0.2"/>
    <row r="47816" ht="12.75" hidden="1" customHeight="1" x14ac:dyDescent="0.2"/>
    <row r="47817" ht="12.75" hidden="1" customHeight="1" x14ac:dyDescent="0.2"/>
    <row r="47818" ht="12.75" hidden="1" customHeight="1" x14ac:dyDescent="0.2"/>
    <row r="47819" ht="12.75" hidden="1" customHeight="1" x14ac:dyDescent="0.2"/>
    <row r="47820" ht="12.75" hidden="1" customHeight="1" x14ac:dyDescent="0.2"/>
    <row r="47821" ht="12.75" hidden="1" customHeight="1" x14ac:dyDescent="0.2"/>
    <row r="47822" ht="12.75" hidden="1" customHeight="1" x14ac:dyDescent="0.2"/>
    <row r="47823" ht="12.75" hidden="1" customHeight="1" x14ac:dyDescent="0.2"/>
    <row r="47824" ht="12.75" hidden="1" customHeight="1" x14ac:dyDescent="0.2"/>
    <row r="47825" ht="12.75" hidden="1" customHeight="1" x14ac:dyDescent="0.2"/>
    <row r="47826" ht="12.75" hidden="1" customHeight="1" x14ac:dyDescent="0.2"/>
    <row r="47827" ht="12.75" hidden="1" customHeight="1" x14ac:dyDescent="0.2"/>
    <row r="47828" ht="12.75" hidden="1" customHeight="1" x14ac:dyDescent="0.2"/>
    <row r="47829" ht="12.75" hidden="1" customHeight="1" x14ac:dyDescent="0.2"/>
    <row r="47830" ht="12.75" hidden="1" customHeight="1" x14ac:dyDescent="0.2"/>
    <row r="47831" ht="12.75" hidden="1" customHeight="1" x14ac:dyDescent="0.2"/>
    <row r="47832" ht="12.75" hidden="1" customHeight="1" x14ac:dyDescent="0.2"/>
    <row r="47833" ht="12.75" hidden="1" customHeight="1" x14ac:dyDescent="0.2"/>
    <row r="47834" ht="12.75" hidden="1" customHeight="1" x14ac:dyDescent="0.2"/>
    <row r="47835" ht="12.75" hidden="1" customHeight="1" x14ac:dyDescent="0.2"/>
    <row r="47836" ht="12.75" hidden="1" customHeight="1" x14ac:dyDescent="0.2"/>
    <row r="47837" ht="12.75" hidden="1" customHeight="1" x14ac:dyDescent="0.2"/>
    <row r="47838" ht="12.75" hidden="1" customHeight="1" x14ac:dyDescent="0.2"/>
    <row r="47839" ht="12.75" hidden="1" customHeight="1" x14ac:dyDescent="0.2"/>
    <row r="47840" ht="12.75" hidden="1" customHeight="1" x14ac:dyDescent="0.2"/>
    <row r="47841" ht="12.75" hidden="1" customHeight="1" x14ac:dyDescent="0.2"/>
    <row r="47842" ht="12.75" hidden="1" customHeight="1" x14ac:dyDescent="0.2"/>
    <row r="47843" ht="12.75" hidden="1" customHeight="1" x14ac:dyDescent="0.2"/>
    <row r="47844" ht="12.75" hidden="1" customHeight="1" x14ac:dyDescent="0.2"/>
    <row r="47845" ht="12.75" hidden="1" customHeight="1" x14ac:dyDescent="0.2"/>
    <row r="47846" ht="12.75" hidden="1" customHeight="1" x14ac:dyDescent="0.2"/>
    <row r="47847" ht="12.75" hidden="1" customHeight="1" x14ac:dyDescent="0.2"/>
    <row r="47848" ht="12.75" hidden="1" customHeight="1" x14ac:dyDescent="0.2"/>
    <row r="47849" ht="12.75" hidden="1" customHeight="1" x14ac:dyDescent="0.2"/>
    <row r="47850" ht="12.75" hidden="1" customHeight="1" x14ac:dyDescent="0.2"/>
    <row r="47851" ht="12.75" hidden="1" customHeight="1" x14ac:dyDescent="0.2"/>
    <row r="47852" ht="12.75" hidden="1" customHeight="1" x14ac:dyDescent="0.2"/>
    <row r="47853" ht="12.75" hidden="1" customHeight="1" x14ac:dyDescent="0.2"/>
    <row r="47854" ht="12.75" hidden="1" customHeight="1" x14ac:dyDescent="0.2"/>
    <row r="47855" ht="12.75" hidden="1" customHeight="1" x14ac:dyDescent="0.2"/>
    <row r="47856" ht="12.75" hidden="1" customHeight="1" x14ac:dyDescent="0.2"/>
    <row r="47857" ht="12.75" hidden="1" customHeight="1" x14ac:dyDescent="0.2"/>
    <row r="47858" ht="12.75" hidden="1" customHeight="1" x14ac:dyDescent="0.2"/>
    <row r="47859" ht="12.75" hidden="1" customHeight="1" x14ac:dyDescent="0.2"/>
    <row r="47860" ht="12.75" hidden="1" customHeight="1" x14ac:dyDescent="0.2"/>
    <row r="47861" ht="12.75" hidden="1" customHeight="1" x14ac:dyDescent="0.2"/>
    <row r="47862" ht="12.75" hidden="1" customHeight="1" x14ac:dyDescent="0.2"/>
    <row r="47863" ht="12.75" hidden="1" customHeight="1" x14ac:dyDescent="0.2"/>
    <row r="47864" ht="12.75" hidden="1" customHeight="1" x14ac:dyDescent="0.2"/>
    <row r="47865" ht="12.75" hidden="1" customHeight="1" x14ac:dyDescent="0.2"/>
    <row r="47866" ht="12.75" hidden="1" customHeight="1" x14ac:dyDescent="0.2"/>
    <row r="47867" ht="12.75" hidden="1" customHeight="1" x14ac:dyDescent="0.2"/>
    <row r="47868" ht="12.75" hidden="1" customHeight="1" x14ac:dyDescent="0.2"/>
    <row r="47869" ht="12.75" hidden="1" customHeight="1" x14ac:dyDescent="0.2"/>
    <row r="47870" ht="12.75" hidden="1" customHeight="1" x14ac:dyDescent="0.2"/>
    <row r="47871" ht="12.75" hidden="1" customHeight="1" x14ac:dyDescent="0.2"/>
    <row r="47872" ht="12.75" hidden="1" customHeight="1" x14ac:dyDescent="0.2"/>
    <row r="47873" ht="12.75" hidden="1" customHeight="1" x14ac:dyDescent="0.2"/>
    <row r="47874" ht="12.75" hidden="1" customHeight="1" x14ac:dyDescent="0.2"/>
    <row r="47875" ht="12.75" hidden="1" customHeight="1" x14ac:dyDescent="0.2"/>
    <row r="47876" ht="12.75" hidden="1" customHeight="1" x14ac:dyDescent="0.2"/>
    <row r="47877" ht="12.75" hidden="1" customHeight="1" x14ac:dyDescent="0.2"/>
    <row r="47878" ht="12.75" hidden="1" customHeight="1" x14ac:dyDescent="0.2"/>
    <row r="47879" ht="12.75" hidden="1" customHeight="1" x14ac:dyDescent="0.2"/>
    <row r="47880" ht="12.75" hidden="1" customHeight="1" x14ac:dyDescent="0.2"/>
    <row r="47881" ht="12.75" hidden="1" customHeight="1" x14ac:dyDescent="0.2"/>
    <row r="47882" ht="12.75" hidden="1" customHeight="1" x14ac:dyDescent="0.2"/>
    <row r="47883" ht="12.75" hidden="1" customHeight="1" x14ac:dyDescent="0.2"/>
    <row r="47884" ht="12.75" hidden="1" customHeight="1" x14ac:dyDescent="0.2"/>
    <row r="47885" ht="12.75" hidden="1" customHeight="1" x14ac:dyDescent="0.2"/>
    <row r="47886" ht="12.75" hidden="1" customHeight="1" x14ac:dyDescent="0.2"/>
    <row r="47887" ht="12.75" hidden="1" customHeight="1" x14ac:dyDescent="0.2"/>
    <row r="47888" ht="12.75" hidden="1" customHeight="1" x14ac:dyDescent="0.2"/>
    <row r="47889" ht="12.75" hidden="1" customHeight="1" x14ac:dyDescent="0.2"/>
    <row r="47890" ht="12.75" hidden="1" customHeight="1" x14ac:dyDescent="0.2"/>
    <row r="47891" ht="12.75" hidden="1" customHeight="1" x14ac:dyDescent="0.2"/>
    <row r="47892" ht="12.75" hidden="1" customHeight="1" x14ac:dyDescent="0.2"/>
    <row r="47893" ht="12.75" hidden="1" customHeight="1" x14ac:dyDescent="0.2"/>
    <row r="47894" ht="12.75" hidden="1" customHeight="1" x14ac:dyDescent="0.2"/>
    <row r="47895" ht="12.75" hidden="1" customHeight="1" x14ac:dyDescent="0.2"/>
    <row r="47896" ht="12.75" hidden="1" customHeight="1" x14ac:dyDescent="0.2"/>
    <row r="47897" ht="12.75" hidden="1" customHeight="1" x14ac:dyDescent="0.2"/>
    <row r="47898" ht="12.75" hidden="1" customHeight="1" x14ac:dyDescent="0.2"/>
    <row r="47899" ht="12.75" hidden="1" customHeight="1" x14ac:dyDescent="0.2"/>
    <row r="47900" ht="12.75" hidden="1" customHeight="1" x14ac:dyDescent="0.2"/>
    <row r="47901" ht="12.75" hidden="1" customHeight="1" x14ac:dyDescent="0.2"/>
    <row r="47902" ht="12.75" hidden="1" customHeight="1" x14ac:dyDescent="0.2"/>
    <row r="47903" ht="12.75" hidden="1" customHeight="1" x14ac:dyDescent="0.2"/>
    <row r="47904" ht="12.75" hidden="1" customHeight="1" x14ac:dyDescent="0.2"/>
    <row r="47905" ht="12.75" hidden="1" customHeight="1" x14ac:dyDescent="0.2"/>
    <row r="47906" ht="12.75" hidden="1" customHeight="1" x14ac:dyDescent="0.2"/>
    <row r="47907" ht="12.75" hidden="1" customHeight="1" x14ac:dyDescent="0.2"/>
    <row r="47908" ht="12.75" hidden="1" customHeight="1" x14ac:dyDescent="0.2"/>
    <row r="47909" ht="12.75" hidden="1" customHeight="1" x14ac:dyDescent="0.2"/>
    <row r="47910" ht="12.75" hidden="1" customHeight="1" x14ac:dyDescent="0.2"/>
    <row r="47911" ht="12.75" hidden="1" customHeight="1" x14ac:dyDescent="0.2"/>
    <row r="47912" ht="12.75" hidden="1" customHeight="1" x14ac:dyDescent="0.2"/>
    <row r="47913" ht="12.75" hidden="1" customHeight="1" x14ac:dyDescent="0.2"/>
    <row r="47914" ht="12.75" hidden="1" customHeight="1" x14ac:dyDescent="0.2"/>
    <row r="47915" ht="12.75" hidden="1" customHeight="1" x14ac:dyDescent="0.2"/>
    <row r="47916" ht="12.75" hidden="1" customHeight="1" x14ac:dyDescent="0.2"/>
    <row r="47917" ht="12.75" hidden="1" customHeight="1" x14ac:dyDescent="0.2"/>
    <row r="47918" ht="12.75" hidden="1" customHeight="1" x14ac:dyDescent="0.2"/>
    <row r="47919" ht="12.75" hidden="1" customHeight="1" x14ac:dyDescent="0.2"/>
    <row r="47920" ht="12.75" hidden="1" customHeight="1" x14ac:dyDescent="0.2"/>
    <row r="47921" ht="12.75" hidden="1" customHeight="1" x14ac:dyDescent="0.2"/>
    <row r="47922" ht="12.75" hidden="1" customHeight="1" x14ac:dyDescent="0.2"/>
    <row r="47923" ht="12.75" hidden="1" customHeight="1" x14ac:dyDescent="0.2"/>
    <row r="47924" ht="12.75" hidden="1" customHeight="1" x14ac:dyDescent="0.2"/>
    <row r="47925" ht="12.75" hidden="1" customHeight="1" x14ac:dyDescent="0.2"/>
    <row r="47926" ht="12.75" hidden="1" customHeight="1" x14ac:dyDescent="0.2"/>
    <row r="47927" ht="12.75" hidden="1" customHeight="1" x14ac:dyDescent="0.2"/>
    <row r="47928" ht="12.75" hidden="1" customHeight="1" x14ac:dyDescent="0.2"/>
    <row r="47929" ht="12.75" hidden="1" customHeight="1" x14ac:dyDescent="0.2"/>
    <row r="47930" ht="12.75" hidden="1" customHeight="1" x14ac:dyDescent="0.2"/>
    <row r="47931" ht="12.75" hidden="1" customHeight="1" x14ac:dyDescent="0.2"/>
    <row r="47932" ht="12.75" hidden="1" customHeight="1" x14ac:dyDescent="0.2"/>
    <row r="47933" ht="12.75" hidden="1" customHeight="1" x14ac:dyDescent="0.2"/>
    <row r="47934" ht="12.75" hidden="1" customHeight="1" x14ac:dyDescent="0.2"/>
    <row r="47935" ht="12.75" hidden="1" customHeight="1" x14ac:dyDescent="0.2"/>
    <row r="47936" ht="12.75" hidden="1" customHeight="1" x14ac:dyDescent="0.2"/>
    <row r="47937" ht="12.75" hidden="1" customHeight="1" x14ac:dyDescent="0.2"/>
    <row r="47938" ht="12.75" hidden="1" customHeight="1" x14ac:dyDescent="0.2"/>
    <row r="47939" ht="12.75" hidden="1" customHeight="1" x14ac:dyDescent="0.2"/>
    <row r="47940" ht="12.75" hidden="1" customHeight="1" x14ac:dyDescent="0.2"/>
    <row r="47941" ht="12.75" hidden="1" customHeight="1" x14ac:dyDescent="0.2"/>
    <row r="47942" ht="12.75" hidden="1" customHeight="1" x14ac:dyDescent="0.2"/>
    <row r="47943" ht="12.75" hidden="1" customHeight="1" x14ac:dyDescent="0.2"/>
    <row r="47944" ht="12.75" hidden="1" customHeight="1" x14ac:dyDescent="0.2"/>
    <row r="47945" ht="12.75" hidden="1" customHeight="1" x14ac:dyDescent="0.2"/>
    <row r="47946" ht="12.75" hidden="1" customHeight="1" x14ac:dyDescent="0.2"/>
    <row r="47947" ht="12.75" hidden="1" customHeight="1" x14ac:dyDescent="0.2"/>
    <row r="47948" ht="12.75" hidden="1" customHeight="1" x14ac:dyDescent="0.2"/>
    <row r="47949" ht="12.75" hidden="1" customHeight="1" x14ac:dyDescent="0.2"/>
    <row r="47950" ht="12.75" hidden="1" customHeight="1" x14ac:dyDescent="0.2"/>
    <row r="47951" ht="12.75" hidden="1" customHeight="1" x14ac:dyDescent="0.2"/>
    <row r="47952" ht="12.75" hidden="1" customHeight="1" x14ac:dyDescent="0.2"/>
    <row r="47953" ht="12.75" hidden="1" customHeight="1" x14ac:dyDescent="0.2"/>
    <row r="47954" ht="12.75" hidden="1" customHeight="1" x14ac:dyDescent="0.2"/>
    <row r="47955" ht="12.75" hidden="1" customHeight="1" x14ac:dyDescent="0.2"/>
    <row r="47956" ht="12.75" hidden="1" customHeight="1" x14ac:dyDescent="0.2"/>
    <row r="47957" ht="12.75" hidden="1" customHeight="1" x14ac:dyDescent="0.2"/>
    <row r="47958" ht="12.75" hidden="1" customHeight="1" x14ac:dyDescent="0.2"/>
    <row r="47959" ht="12.75" hidden="1" customHeight="1" x14ac:dyDescent="0.2"/>
    <row r="47960" ht="12.75" hidden="1" customHeight="1" x14ac:dyDescent="0.2"/>
    <row r="47961" ht="12.75" hidden="1" customHeight="1" x14ac:dyDescent="0.2"/>
    <row r="47962" ht="12.75" hidden="1" customHeight="1" x14ac:dyDescent="0.2"/>
    <row r="47963" ht="12.75" hidden="1" customHeight="1" x14ac:dyDescent="0.2"/>
    <row r="47964" ht="12.75" hidden="1" customHeight="1" x14ac:dyDescent="0.2"/>
    <row r="47965" ht="12.75" hidden="1" customHeight="1" x14ac:dyDescent="0.2"/>
    <row r="47966" ht="12.75" hidden="1" customHeight="1" x14ac:dyDescent="0.2"/>
    <row r="47967" ht="12.75" hidden="1" customHeight="1" x14ac:dyDescent="0.2"/>
    <row r="47968" ht="12.75" hidden="1" customHeight="1" x14ac:dyDescent="0.2"/>
    <row r="47969" ht="12.75" hidden="1" customHeight="1" x14ac:dyDescent="0.2"/>
    <row r="47970" ht="12.75" hidden="1" customHeight="1" x14ac:dyDescent="0.2"/>
    <row r="47971" ht="12.75" hidden="1" customHeight="1" x14ac:dyDescent="0.2"/>
    <row r="47972" ht="12.75" hidden="1" customHeight="1" x14ac:dyDescent="0.2"/>
    <row r="47973" ht="12.75" hidden="1" customHeight="1" x14ac:dyDescent="0.2"/>
    <row r="47974" ht="12.75" hidden="1" customHeight="1" x14ac:dyDescent="0.2"/>
    <row r="47975" ht="12.75" hidden="1" customHeight="1" x14ac:dyDescent="0.2"/>
    <row r="47976" ht="12.75" hidden="1" customHeight="1" x14ac:dyDescent="0.2"/>
    <row r="47977" ht="12.75" hidden="1" customHeight="1" x14ac:dyDescent="0.2"/>
    <row r="47978" ht="12.75" hidden="1" customHeight="1" x14ac:dyDescent="0.2"/>
    <row r="47979" ht="12.75" hidden="1" customHeight="1" x14ac:dyDescent="0.2"/>
    <row r="47980" ht="12.75" hidden="1" customHeight="1" x14ac:dyDescent="0.2"/>
    <row r="47981" ht="12.75" hidden="1" customHeight="1" x14ac:dyDescent="0.2"/>
    <row r="47982" ht="12.75" hidden="1" customHeight="1" x14ac:dyDescent="0.2"/>
    <row r="47983" ht="12.75" hidden="1" customHeight="1" x14ac:dyDescent="0.2"/>
    <row r="47984" ht="12.75" hidden="1" customHeight="1" x14ac:dyDescent="0.2"/>
    <row r="47985" ht="12.75" hidden="1" customHeight="1" x14ac:dyDescent="0.2"/>
    <row r="47986" ht="12.75" hidden="1" customHeight="1" x14ac:dyDescent="0.2"/>
    <row r="47987" ht="12.75" hidden="1" customHeight="1" x14ac:dyDescent="0.2"/>
    <row r="47988" ht="12.75" hidden="1" customHeight="1" x14ac:dyDescent="0.2"/>
    <row r="47989" ht="12.75" hidden="1" customHeight="1" x14ac:dyDescent="0.2"/>
    <row r="47990" ht="12.75" hidden="1" customHeight="1" x14ac:dyDescent="0.2"/>
    <row r="47991" ht="12.75" hidden="1" customHeight="1" x14ac:dyDescent="0.2"/>
    <row r="47992" ht="12.75" hidden="1" customHeight="1" x14ac:dyDescent="0.2"/>
    <row r="47993" ht="12.75" hidden="1" customHeight="1" x14ac:dyDescent="0.2"/>
    <row r="47994" ht="12.75" hidden="1" customHeight="1" x14ac:dyDescent="0.2"/>
    <row r="47995" ht="12.75" hidden="1" customHeight="1" x14ac:dyDescent="0.2"/>
    <row r="47996" ht="12.75" hidden="1" customHeight="1" x14ac:dyDescent="0.2"/>
    <row r="47997" ht="12.75" hidden="1" customHeight="1" x14ac:dyDescent="0.2"/>
    <row r="47998" ht="12.75" hidden="1" customHeight="1" x14ac:dyDescent="0.2"/>
    <row r="47999" ht="12.75" hidden="1" customHeight="1" x14ac:dyDescent="0.2"/>
    <row r="48000" ht="12.75" hidden="1" customHeight="1" x14ac:dyDescent="0.2"/>
    <row r="48001" ht="12.75" hidden="1" customHeight="1" x14ac:dyDescent="0.2"/>
    <row r="48002" ht="12.75" hidden="1" customHeight="1" x14ac:dyDescent="0.2"/>
    <row r="48003" ht="12.75" hidden="1" customHeight="1" x14ac:dyDescent="0.2"/>
    <row r="48004" ht="12.75" hidden="1" customHeight="1" x14ac:dyDescent="0.2"/>
    <row r="48005" ht="12.75" hidden="1" customHeight="1" x14ac:dyDescent="0.2"/>
    <row r="48006" ht="12.75" hidden="1" customHeight="1" x14ac:dyDescent="0.2"/>
    <row r="48007" ht="12.75" hidden="1" customHeight="1" x14ac:dyDescent="0.2"/>
    <row r="48008" ht="12.75" hidden="1" customHeight="1" x14ac:dyDescent="0.2"/>
    <row r="48009" ht="12.75" hidden="1" customHeight="1" x14ac:dyDescent="0.2"/>
    <row r="48010" ht="12.75" hidden="1" customHeight="1" x14ac:dyDescent="0.2"/>
    <row r="48011" ht="12.75" hidden="1" customHeight="1" x14ac:dyDescent="0.2"/>
    <row r="48012" ht="12.75" hidden="1" customHeight="1" x14ac:dyDescent="0.2"/>
    <row r="48013" ht="12.75" hidden="1" customHeight="1" x14ac:dyDescent="0.2"/>
    <row r="48014" ht="12.75" hidden="1" customHeight="1" x14ac:dyDescent="0.2"/>
    <row r="48015" ht="12.75" hidden="1" customHeight="1" x14ac:dyDescent="0.2"/>
    <row r="48016" ht="12.75" hidden="1" customHeight="1" x14ac:dyDescent="0.2"/>
    <row r="48017" ht="12.75" hidden="1" customHeight="1" x14ac:dyDescent="0.2"/>
    <row r="48018" ht="12.75" hidden="1" customHeight="1" x14ac:dyDescent="0.2"/>
    <row r="48019" ht="12.75" hidden="1" customHeight="1" x14ac:dyDescent="0.2"/>
    <row r="48020" ht="12.75" hidden="1" customHeight="1" x14ac:dyDescent="0.2"/>
    <row r="48021" ht="12.75" hidden="1" customHeight="1" x14ac:dyDescent="0.2"/>
    <row r="48022" ht="12.75" hidden="1" customHeight="1" x14ac:dyDescent="0.2"/>
    <row r="48023" ht="12.75" hidden="1" customHeight="1" x14ac:dyDescent="0.2"/>
    <row r="48024" ht="12.75" hidden="1" customHeight="1" x14ac:dyDescent="0.2"/>
    <row r="48025" ht="12.75" hidden="1" customHeight="1" x14ac:dyDescent="0.2"/>
    <row r="48026" ht="12.75" hidden="1" customHeight="1" x14ac:dyDescent="0.2"/>
    <row r="48027" ht="12.75" hidden="1" customHeight="1" x14ac:dyDescent="0.2"/>
    <row r="48028" ht="12.75" hidden="1" customHeight="1" x14ac:dyDescent="0.2"/>
    <row r="48029" ht="12.75" hidden="1" customHeight="1" x14ac:dyDescent="0.2"/>
    <row r="48030" ht="12.75" hidden="1" customHeight="1" x14ac:dyDescent="0.2"/>
    <row r="48031" ht="12.75" hidden="1" customHeight="1" x14ac:dyDescent="0.2"/>
    <row r="48032" ht="12.75" hidden="1" customHeight="1" x14ac:dyDescent="0.2"/>
    <row r="48033" ht="12.75" hidden="1" customHeight="1" x14ac:dyDescent="0.2"/>
    <row r="48034" ht="12.75" hidden="1" customHeight="1" x14ac:dyDescent="0.2"/>
    <row r="48035" ht="12.75" hidden="1" customHeight="1" x14ac:dyDescent="0.2"/>
    <row r="48036" ht="12.75" hidden="1" customHeight="1" x14ac:dyDescent="0.2"/>
    <row r="48037" ht="12.75" hidden="1" customHeight="1" x14ac:dyDescent="0.2"/>
    <row r="48038" ht="12.75" hidden="1" customHeight="1" x14ac:dyDescent="0.2"/>
    <row r="48039" ht="12.75" hidden="1" customHeight="1" x14ac:dyDescent="0.2"/>
    <row r="48040" ht="12.75" hidden="1" customHeight="1" x14ac:dyDescent="0.2"/>
    <row r="48041" ht="12.75" hidden="1" customHeight="1" x14ac:dyDescent="0.2"/>
    <row r="48042" ht="12.75" hidden="1" customHeight="1" x14ac:dyDescent="0.2"/>
    <row r="48043" ht="12.75" hidden="1" customHeight="1" x14ac:dyDescent="0.2"/>
    <row r="48044" ht="12.75" hidden="1" customHeight="1" x14ac:dyDescent="0.2"/>
    <row r="48045" ht="12.75" hidden="1" customHeight="1" x14ac:dyDescent="0.2"/>
    <row r="48046" ht="12.75" hidden="1" customHeight="1" x14ac:dyDescent="0.2"/>
    <row r="48047" ht="12.75" hidden="1" customHeight="1" x14ac:dyDescent="0.2"/>
    <row r="48048" ht="12.75" hidden="1" customHeight="1" x14ac:dyDescent="0.2"/>
    <row r="48049" ht="12.75" hidden="1" customHeight="1" x14ac:dyDescent="0.2"/>
    <row r="48050" ht="12.75" hidden="1" customHeight="1" x14ac:dyDescent="0.2"/>
    <row r="48051" ht="12.75" hidden="1" customHeight="1" x14ac:dyDescent="0.2"/>
    <row r="48052" ht="12.75" hidden="1" customHeight="1" x14ac:dyDescent="0.2"/>
    <row r="48053" ht="12.75" hidden="1" customHeight="1" x14ac:dyDescent="0.2"/>
    <row r="48054" ht="12.75" hidden="1" customHeight="1" x14ac:dyDescent="0.2"/>
    <row r="48055" ht="12.75" hidden="1" customHeight="1" x14ac:dyDescent="0.2"/>
    <row r="48056" ht="12.75" hidden="1" customHeight="1" x14ac:dyDescent="0.2"/>
    <row r="48057" ht="12.75" hidden="1" customHeight="1" x14ac:dyDescent="0.2"/>
    <row r="48058" ht="12.75" hidden="1" customHeight="1" x14ac:dyDescent="0.2"/>
    <row r="48059" ht="12.75" hidden="1" customHeight="1" x14ac:dyDescent="0.2"/>
    <row r="48060" ht="12.75" hidden="1" customHeight="1" x14ac:dyDescent="0.2"/>
    <row r="48061" ht="12.75" hidden="1" customHeight="1" x14ac:dyDescent="0.2"/>
    <row r="48062" ht="12.75" hidden="1" customHeight="1" x14ac:dyDescent="0.2"/>
    <row r="48063" ht="12.75" hidden="1" customHeight="1" x14ac:dyDescent="0.2"/>
    <row r="48064" ht="12.75" hidden="1" customHeight="1" x14ac:dyDescent="0.2"/>
    <row r="48065" ht="12.75" hidden="1" customHeight="1" x14ac:dyDescent="0.2"/>
    <row r="48066" ht="12.75" hidden="1" customHeight="1" x14ac:dyDescent="0.2"/>
    <row r="48067" ht="12.75" hidden="1" customHeight="1" x14ac:dyDescent="0.2"/>
    <row r="48068" ht="12.75" hidden="1" customHeight="1" x14ac:dyDescent="0.2"/>
    <row r="48069" ht="12.75" hidden="1" customHeight="1" x14ac:dyDescent="0.2"/>
    <row r="48070" ht="12.75" hidden="1" customHeight="1" x14ac:dyDescent="0.2"/>
    <row r="48071" ht="12.75" hidden="1" customHeight="1" x14ac:dyDescent="0.2"/>
    <row r="48072" ht="12.75" hidden="1" customHeight="1" x14ac:dyDescent="0.2"/>
    <row r="48073" ht="12.75" hidden="1" customHeight="1" x14ac:dyDescent="0.2"/>
    <row r="48074" ht="12.75" hidden="1" customHeight="1" x14ac:dyDescent="0.2"/>
    <row r="48075" ht="12.75" hidden="1" customHeight="1" x14ac:dyDescent="0.2"/>
    <row r="48076" ht="12.75" hidden="1" customHeight="1" x14ac:dyDescent="0.2"/>
    <row r="48077" ht="12.75" hidden="1" customHeight="1" x14ac:dyDescent="0.2"/>
    <row r="48078" ht="12.75" hidden="1" customHeight="1" x14ac:dyDescent="0.2"/>
    <row r="48079" ht="12.75" hidden="1" customHeight="1" x14ac:dyDescent="0.2"/>
    <row r="48080" ht="12.75" hidden="1" customHeight="1" x14ac:dyDescent="0.2"/>
    <row r="48081" ht="12.75" hidden="1" customHeight="1" x14ac:dyDescent="0.2"/>
    <row r="48082" ht="12.75" hidden="1" customHeight="1" x14ac:dyDescent="0.2"/>
    <row r="48083" ht="12.75" hidden="1" customHeight="1" x14ac:dyDescent="0.2"/>
    <row r="48084" ht="12.75" hidden="1" customHeight="1" x14ac:dyDescent="0.2"/>
    <row r="48085" ht="12.75" hidden="1" customHeight="1" x14ac:dyDescent="0.2"/>
    <row r="48086" ht="12.75" hidden="1" customHeight="1" x14ac:dyDescent="0.2"/>
    <row r="48087" ht="12.75" hidden="1" customHeight="1" x14ac:dyDescent="0.2"/>
    <row r="48088" ht="12.75" hidden="1" customHeight="1" x14ac:dyDescent="0.2"/>
    <row r="48089" ht="12.75" hidden="1" customHeight="1" x14ac:dyDescent="0.2"/>
    <row r="48090" ht="12.75" hidden="1" customHeight="1" x14ac:dyDescent="0.2"/>
    <row r="48091" ht="12.75" hidden="1" customHeight="1" x14ac:dyDescent="0.2"/>
    <row r="48092" ht="12.75" hidden="1" customHeight="1" x14ac:dyDescent="0.2"/>
    <row r="48093" ht="12.75" hidden="1" customHeight="1" x14ac:dyDescent="0.2"/>
    <row r="48094" ht="12.75" hidden="1" customHeight="1" x14ac:dyDescent="0.2"/>
    <row r="48095" ht="12.75" hidden="1" customHeight="1" x14ac:dyDescent="0.2"/>
    <row r="48096" ht="12.75" hidden="1" customHeight="1" x14ac:dyDescent="0.2"/>
    <row r="48097" ht="12.75" hidden="1" customHeight="1" x14ac:dyDescent="0.2"/>
    <row r="48098" ht="12.75" hidden="1" customHeight="1" x14ac:dyDescent="0.2"/>
    <row r="48099" ht="12.75" hidden="1" customHeight="1" x14ac:dyDescent="0.2"/>
    <row r="48100" ht="12.75" hidden="1" customHeight="1" x14ac:dyDescent="0.2"/>
    <row r="48101" ht="12.75" hidden="1" customHeight="1" x14ac:dyDescent="0.2"/>
    <row r="48102" ht="12.75" hidden="1" customHeight="1" x14ac:dyDescent="0.2"/>
    <row r="48103" ht="12.75" hidden="1" customHeight="1" x14ac:dyDescent="0.2"/>
    <row r="48104" ht="12.75" hidden="1" customHeight="1" x14ac:dyDescent="0.2"/>
    <row r="48105" ht="12.75" hidden="1" customHeight="1" x14ac:dyDescent="0.2"/>
    <row r="48106" ht="12.75" hidden="1" customHeight="1" x14ac:dyDescent="0.2"/>
    <row r="48107" ht="12.75" hidden="1" customHeight="1" x14ac:dyDescent="0.2"/>
    <row r="48108" ht="12.75" hidden="1" customHeight="1" x14ac:dyDescent="0.2"/>
    <row r="48109" ht="12.75" hidden="1" customHeight="1" x14ac:dyDescent="0.2"/>
    <row r="48110" ht="12.75" hidden="1" customHeight="1" x14ac:dyDescent="0.2"/>
    <row r="48111" ht="12.75" hidden="1" customHeight="1" x14ac:dyDescent="0.2"/>
    <row r="48112" ht="12.75" hidden="1" customHeight="1" x14ac:dyDescent="0.2"/>
    <row r="48113" ht="12.75" hidden="1" customHeight="1" x14ac:dyDescent="0.2"/>
    <row r="48114" ht="12.75" hidden="1" customHeight="1" x14ac:dyDescent="0.2"/>
    <row r="48115" ht="12.75" hidden="1" customHeight="1" x14ac:dyDescent="0.2"/>
    <row r="48116" ht="12.75" hidden="1" customHeight="1" x14ac:dyDescent="0.2"/>
    <row r="48117" ht="12.75" hidden="1" customHeight="1" x14ac:dyDescent="0.2"/>
    <row r="48118" ht="12.75" hidden="1" customHeight="1" x14ac:dyDescent="0.2"/>
    <row r="48119" ht="12.75" hidden="1" customHeight="1" x14ac:dyDescent="0.2"/>
    <row r="48120" ht="12.75" hidden="1" customHeight="1" x14ac:dyDescent="0.2"/>
    <row r="48121" ht="12.75" hidden="1" customHeight="1" x14ac:dyDescent="0.2"/>
    <row r="48122" ht="12.75" hidden="1" customHeight="1" x14ac:dyDescent="0.2"/>
    <row r="48123" ht="12.75" hidden="1" customHeight="1" x14ac:dyDescent="0.2"/>
    <row r="48124" ht="12.75" hidden="1" customHeight="1" x14ac:dyDescent="0.2"/>
    <row r="48125" ht="12.75" hidden="1" customHeight="1" x14ac:dyDescent="0.2"/>
    <row r="48126" ht="12.75" hidden="1" customHeight="1" x14ac:dyDescent="0.2"/>
    <row r="48127" ht="12.75" hidden="1" customHeight="1" x14ac:dyDescent="0.2"/>
    <row r="48128" ht="12.75" hidden="1" customHeight="1" x14ac:dyDescent="0.2"/>
    <row r="48129" ht="12.75" hidden="1" customHeight="1" x14ac:dyDescent="0.2"/>
    <row r="48130" ht="12.75" hidden="1" customHeight="1" x14ac:dyDescent="0.2"/>
    <row r="48131" ht="12.75" hidden="1" customHeight="1" x14ac:dyDescent="0.2"/>
    <row r="48132" ht="12.75" hidden="1" customHeight="1" x14ac:dyDescent="0.2"/>
    <row r="48133" ht="12.75" hidden="1" customHeight="1" x14ac:dyDescent="0.2"/>
    <row r="48134" ht="12.75" hidden="1" customHeight="1" x14ac:dyDescent="0.2"/>
    <row r="48135" ht="12.75" hidden="1" customHeight="1" x14ac:dyDescent="0.2"/>
    <row r="48136" ht="12.75" hidden="1" customHeight="1" x14ac:dyDescent="0.2"/>
    <row r="48137" ht="12.75" hidden="1" customHeight="1" x14ac:dyDescent="0.2"/>
    <row r="48138" ht="12.75" hidden="1" customHeight="1" x14ac:dyDescent="0.2"/>
    <row r="48139" ht="12.75" hidden="1" customHeight="1" x14ac:dyDescent="0.2"/>
    <row r="48140" ht="12.75" hidden="1" customHeight="1" x14ac:dyDescent="0.2"/>
    <row r="48141" ht="12.75" hidden="1" customHeight="1" x14ac:dyDescent="0.2"/>
    <row r="48142" ht="12.75" hidden="1" customHeight="1" x14ac:dyDescent="0.2"/>
    <row r="48143" ht="12.75" hidden="1" customHeight="1" x14ac:dyDescent="0.2"/>
    <row r="48144" ht="12.75" hidden="1" customHeight="1" x14ac:dyDescent="0.2"/>
    <row r="48145" ht="12.75" hidden="1" customHeight="1" x14ac:dyDescent="0.2"/>
    <row r="48146" ht="12.75" hidden="1" customHeight="1" x14ac:dyDescent="0.2"/>
    <row r="48147" ht="12.75" hidden="1" customHeight="1" x14ac:dyDescent="0.2"/>
    <row r="48148" ht="12.75" hidden="1" customHeight="1" x14ac:dyDescent="0.2"/>
    <row r="48149" ht="12.75" hidden="1" customHeight="1" x14ac:dyDescent="0.2"/>
    <row r="48150" ht="12.75" hidden="1" customHeight="1" x14ac:dyDescent="0.2"/>
    <row r="48151" ht="12.75" hidden="1" customHeight="1" x14ac:dyDescent="0.2"/>
    <row r="48152" ht="12.75" hidden="1" customHeight="1" x14ac:dyDescent="0.2"/>
    <row r="48153" ht="12.75" hidden="1" customHeight="1" x14ac:dyDescent="0.2"/>
    <row r="48154" ht="12.75" hidden="1" customHeight="1" x14ac:dyDescent="0.2"/>
    <row r="48155" ht="12.75" hidden="1" customHeight="1" x14ac:dyDescent="0.2"/>
    <row r="48156" ht="12.75" hidden="1" customHeight="1" x14ac:dyDescent="0.2"/>
    <row r="48157" ht="12.75" hidden="1" customHeight="1" x14ac:dyDescent="0.2"/>
    <row r="48158" ht="12.75" hidden="1" customHeight="1" x14ac:dyDescent="0.2"/>
    <row r="48159" ht="12.75" hidden="1" customHeight="1" x14ac:dyDescent="0.2"/>
    <row r="48160" ht="12.75" hidden="1" customHeight="1" x14ac:dyDescent="0.2"/>
    <row r="48161" ht="12.75" hidden="1" customHeight="1" x14ac:dyDescent="0.2"/>
    <row r="48162" ht="12.75" hidden="1" customHeight="1" x14ac:dyDescent="0.2"/>
    <row r="48163" ht="12.75" hidden="1" customHeight="1" x14ac:dyDescent="0.2"/>
    <row r="48164" ht="12.75" hidden="1" customHeight="1" x14ac:dyDescent="0.2"/>
    <row r="48165" ht="12.75" hidden="1" customHeight="1" x14ac:dyDescent="0.2"/>
    <row r="48166" ht="12.75" hidden="1" customHeight="1" x14ac:dyDescent="0.2"/>
    <row r="48167" ht="12.75" hidden="1" customHeight="1" x14ac:dyDescent="0.2"/>
    <row r="48168" ht="12.75" hidden="1" customHeight="1" x14ac:dyDescent="0.2"/>
    <row r="48169" ht="12.75" hidden="1" customHeight="1" x14ac:dyDescent="0.2"/>
    <row r="48170" ht="12.75" hidden="1" customHeight="1" x14ac:dyDescent="0.2"/>
    <row r="48171" ht="12.75" hidden="1" customHeight="1" x14ac:dyDescent="0.2"/>
    <row r="48172" ht="12.75" hidden="1" customHeight="1" x14ac:dyDescent="0.2"/>
    <row r="48173" ht="12.75" hidden="1" customHeight="1" x14ac:dyDescent="0.2"/>
    <row r="48174" ht="12.75" hidden="1" customHeight="1" x14ac:dyDescent="0.2"/>
    <row r="48175" ht="12.75" hidden="1" customHeight="1" x14ac:dyDescent="0.2"/>
    <row r="48176" ht="12.75" hidden="1" customHeight="1" x14ac:dyDescent="0.2"/>
    <row r="48177" ht="12.75" hidden="1" customHeight="1" x14ac:dyDescent="0.2"/>
    <row r="48178" ht="12.75" hidden="1" customHeight="1" x14ac:dyDescent="0.2"/>
    <row r="48179" ht="12.75" hidden="1" customHeight="1" x14ac:dyDescent="0.2"/>
    <row r="48180" ht="12.75" hidden="1" customHeight="1" x14ac:dyDescent="0.2"/>
    <row r="48181" ht="12.75" hidden="1" customHeight="1" x14ac:dyDescent="0.2"/>
    <row r="48182" ht="12.75" hidden="1" customHeight="1" x14ac:dyDescent="0.2"/>
    <row r="48183" ht="12.75" hidden="1" customHeight="1" x14ac:dyDescent="0.2"/>
    <row r="48184" ht="12.75" hidden="1" customHeight="1" x14ac:dyDescent="0.2"/>
    <row r="48185" ht="12.75" hidden="1" customHeight="1" x14ac:dyDescent="0.2"/>
    <row r="48186" ht="12.75" hidden="1" customHeight="1" x14ac:dyDescent="0.2"/>
    <row r="48187" ht="12.75" hidden="1" customHeight="1" x14ac:dyDescent="0.2"/>
    <row r="48188" ht="12.75" hidden="1" customHeight="1" x14ac:dyDescent="0.2"/>
    <row r="48189" ht="12.75" hidden="1" customHeight="1" x14ac:dyDescent="0.2"/>
    <row r="48190" ht="12.75" hidden="1" customHeight="1" x14ac:dyDescent="0.2"/>
    <row r="48191" ht="12.75" hidden="1" customHeight="1" x14ac:dyDescent="0.2"/>
    <row r="48192" ht="12.75" hidden="1" customHeight="1" x14ac:dyDescent="0.2"/>
    <row r="48193" ht="12.75" hidden="1" customHeight="1" x14ac:dyDescent="0.2"/>
    <row r="48194" ht="12.75" hidden="1" customHeight="1" x14ac:dyDescent="0.2"/>
    <row r="48195" ht="12.75" hidden="1" customHeight="1" x14ac:dyDescent="0.2"/>
    <row r="48196" ht="12.75" hidden="1" customHeight="1" x14ac:dyDescent="0.2"/>
    <row r="48197" ht="12.75" hidden="1" customHeight="1" x14ac:dyDescent="0.2"/>
    <row r="48198" ht="12.75" hidden="1" customHeight="1" x14ac:dyDescent="0.2"/>
    <row r="48199" ht="12.75" hidden="1" customHeight="1" x14ac:dyDescent="0.2"/>
    <row r="48200" ht="12.75" hidden="1" customHeight="1" x14ac:dyDescent="0.2"/>
    <row r="48201" ht="12.75" hidden="1" customHeight="1" x14ac:dyDescent="0.2"/>
    <row r="48202" ht="12.75" hidden="1" customHeight="1" x14ac:dyDescent="0.2"/>
    <row r="48203" ht="12.75" hidden="1" customHeight="1" x14ac:dyDescent="0.2"/>
    <row r="48204" ht="12.75" hidden="1" customHeight="1" x14ac:dyDescent="0.2"/>
    <row r="48205" ht="12.75" hidden="1" customHeight="1" x14ac:dyDescent="0.2"/>
    <row r="48206" ht="12.75" hidden="1" customHeight="1" x14ac:dyDescent="0.2"/>
    <row r="48207" ht="12.75" hidden="1" customHeight="1" x14ac:dyDescent="0.2"/>
    <row r="48208" ht="12.75" hidden="1" customHeight="1" x14ac:dyDescent="0.2"/>
    <row r="48209" ht="12.75" hidden="1" customHeight="1" x14ac:dyDescent="0.2"/>
    <row r="48210" ht="12.75" hidden="1" customHeight="1" x14ac:dyDescent="0.2"/>
    <row r="48211" ht="12.75" hidden="1" customHeight="1" x14ac:dyDescent="0.2"/>
    <row r="48212" ht="12.75" hidden="1" customHeight="1" x14ac:dyDescent="0.2"/>
    <row r="48213" ht="12.75" hidden="1" customHeight="1" x14ac:dyDescent="0.2"/>
    <row r="48214" ht="12.75" hidden="1" customHeight="1" x14ac:dyDescent="0.2"/>
    <row r="48215" ht="12.75" hidden="1" customHeight="1" x14ac:dyDescent="0.2"/>
    <row r="48216" ht="12.75" hidden="1" customHeight="1" x14ac:dyDescent="0.2"/>
    <row r="48217" ht="12.75" hidden="1" customHeight="1" x14ac:dyDescent="0.2"/>
    <row r="48218" ht="12.75" hidden="1" customHeight="1" x14ac:dyDescent="0.2"/>
    <row r="48219" ht="12.75" hidden="1" customHeight="1" x14ac:dyDescent="0.2"/>
    <row r="48220" ht="12.75" hidden="1" customHeight="1" x14ac:dyDescent="0.2"/>
    <row r="48221" ht="12.75" hidden="1" customHeight="1" x14ac:dyDescent="0.2"/>
    <row r="48222" ht="12.75" hidden="1" customHeight="1" x14ac:dyDescent="0.2"/>
    <row r="48223" ht="12.75" hidden="1" customHeight="1" x14ac:dyDescent="0.2"/>
    <row r="48224" ht="12.75" hidden="1" customHeight="1" x14ac:dyDescent="0.2"/>
    <row r="48225" ht="12.75" hidden="1" customHeight="1" x14ac:dyDescent="0.2"/>
    <row r="48226" ht="12.75" hidden="1" customHeight="1" x14ac:dyDescent="0.2"/>
    <row r="48227" ht="12.75" hidden="1" customHeight="1" x14ac:dyDescent="0.2"/>
    <row r="48228" ht="12.75" hidden="1" customHeight="1" x14ac:dyDescent="0.2"/>
    <row r="48229" ht="12.75" hidden="1" customHeight="1" x14ac:dyDescent="0.2"/>
    <row r="48230" ht="12.75" hidden="1" customHeight="1" x14ac:dyDescent="0.2"/>
    <row r="48231" ht="12.75" hidden="1" customHeight="1" x14ac:dyDescent="0.2"/>
    <row r="48232" ht="12.75" hidden="1" customHeight="1" x14ac:dyDescent="0.2"/>
    <row r="48233" ht="12.75" hidden="1" customHeight="1" x14ac:dyDescent="0.2"/>
    <row r="48234" ht="12.75" hidden="1" customHeight="1" x14ac:dyDescent="0.2"/>
    <row r="48235" ht="12.75" hidden="1" customHeight="1" x14ac:dyDescent="0.2"/>
    <row r="48236" ht="12.75" hidden="1" customHeight="1" x14ac:dyDescent="0.2"/>
    <row r="48237" ht="12.75" hidden="1" customHeight="1" x14ac:dyDescent="0.2"/>
    <row r="48238" ht="12.75" hidden="1" customHeight="1" x14ac:dyDescent="0.2"/>
    <row r="48239" ht="12.75" hidden="1" customHeight="1" x14ac:dyDescent="0.2"/>
    <row r="48240" ht="12.75" hidden="1" customHeight="1" x14ac:dyDescent="0.2"/>
    <row r="48241" ht="12.75" hidden="1" customHeight="1" x14ac:dyDescent="0.2"/>
    <row r="48242" ht="12.75" hidden="1" customHeight="1" x14ac:dyDescent="0.2"/>
    <row r="48243" ht="12.75" hidden="1" customHeight="1" x14ac:dyDescent="0.2"/>
    <row r="48244" ht="12.75" hidden="1" customHeight="1" x14ac:dyDescent="0.2"/>
    <row r="48245" ht="12.75" hidden="1" customHeight="1" x14ac:dyDescent="0.2"/>
    <row r="48246" ht="12.75" hidden="1" customHeight="1" x14ac:dyDescent="0.2"/>
    <row r="48247" ht="12.75" hidden="1" customHeight="1" x14ac:dyDescent="0.2"/>
    <row r="48248" ht="12.75" hidden="1" customHeight="1" x14ac:dyDescent="0.2"/>
    <row r="48249" ht="12.75" hidden="1" customHeight="1" x14ac:dyDescent="0.2"/>
    <row r="48250" ht="12.75" hidden="1" customHeight="1" x14ac:dyDescent="0.2"/>
    <row r="48251" ht="12.75" hidden="1" customHeight="1" x14ac:dyDescent="0.2"/>
    <row r="48252" ht="12.75" hidden="1" customHeight="1" x14ac:dyDescent="0.2"/>
    <row r="48253" ht="12.75" hidden="1" customHeight="1" x14ac:dyDescent="0.2"/>
    <row r="48254" ht="12.75" hidden="1" customHeight="1" x14ac:dyDescent="0.2"/>
    <row r="48255" ht="12.75" hidden="1" customHeight="1" x14ac:dyDescent="0.2"/>
    <row r="48256" ht="12.75" hidden="1" customHeight="1" x14ac:dyDescent="0.2"/>
    <row r="48257" ht="12.75" hidden="1" customHeight="1" x14ac:dyDescent="0.2"/>
    <row r="48258" ht="12.75" hidden="1" customHeight="1" x14ac:dyDescent="0.2"/>
    <row r="48259" ht="12.75" hidden="1" customHeight="1" x14ac:dyDescent="0.2"/>
    <row r="48260" ht="12.75" hidden="1" customHeight="1" x14ac:dyDescent="0.2"/>
    <row r="48261" ht="12.75" hidden="1" customHeight="1" x14ac:dyDescent="0.2"/>
    <row r="48262" ht="12.75" hidden="1" customHeight="1" x14ac:dyDescent="0.2"/>
    <row r="48263" ht="12.75" hidden="1" customHeight="1" x14ac:dyDescent="0.2"/>
    <row r="48264" ht="12.75" hidden="1" customHeight="1" x14ac:dyDescent="0.2"/>
    <row r="48265" ht="12.75" hidden="1" customHeight="1" x14ac:dyDescent="0.2"/>
    <row r="48266" ht="12.75" hidden="1" customHeight="1" x14ac:dyDescent="0.2"/>
    <row r="48267" ht="12.75" hidden="1" customHeight="1" x14ac:dyDescent="0.2"/>
    <row r="48268" ht="12.75" hidden="1" customHeight="1" x14ac:dyDescent="0.2"/>
    <row r="48269" ht="12.75" hidden="1" customHeight="1" x14ac:dyDescent="0.2"/>
    <row r="48270" ht="12.75" hidden="1" customHeight="1" x14ac:dyDescent="0.2"/>
    <row r="48271" ht="12.75" hidden="1" customHeight="1" x14ac:dyDescent="0.2"/>
    <row r="48272" ht="12.75" hidden="1" customHeight="1" x14ac:dyDescent="0.2"/>
    <row r="48273" ht="12.75" hidden="1" customHeight="1" x14ac:dyDescent="0.2"/>
    <row r="48274" ht="12.75" hidden="1" customHeight="1" x14ac:dyDescent="0.2"/>
    <row r="48275" ht="12.75" hidden="1" customHeight="1" x14ac:dyDescent="0.2"/>
    <row r="48276" ht="12.75" hidden="1" customHeight="1" x14ac:dyDescent="0.2"/>
    <row r="48277" ht="12.75" hidden="1" customHeight="1" x14ac:dyDescent="0.2"/>
    <row r="48278" ht="12.75" hidden="1" customHeight="1" x14ac:dyDescent="0.2"/>
    <row r="48279" ht="12.75" hidden="1" customHeight="1" x14ac:dyDescent="0.2"/>
    <row r="48280" ht="12.75" hidden="1" customHeight="1" x14ac:dyDescent="0.2"/>
    <row r="48281" ht="12.75" hidden="1" customHeight="1" x14ac:dyDescent="0.2"/>
    <row r="48282" ht="12.75" hidden="1" customHeight="1" x14ac:dyDescent="0.2"/>
    <row r="48283" ht="12.75" hidden="1" customHeight="1" x14ac:dyDescent="0.2"/>
    <row r="48284" ht="12.75" hidden="1" customHeight="1" x14ac:dyDescent="0.2"/>
    <row r="48285" ht="12.75" hidden="1" customHeight="1" x14ac:dyDescent="0.2"/>
    <row r="48286" ht="12.75" hidden="1" customHeight="1" x14ac:dyDescent="0.2"/>
    <row r="48287" ht="12.75" hidden="1" customHeight="1" x14ac:dyDescent="0.2"/>
    <row r="48288" ht="12.75" hidden="1" customHeight="1" x14ac:dyDescent="0.2"/>
    <row r="48289" ht="12.75" hidden="1" customHeight="1" x14ac:dyDescent="0.2"/>
    <row r="48290" ht="12.75" hidden="1" customHeight="1" x14ac:dyDescent="0.2"/>
    <row r="48291" ht="12.75" hidden="1" customHeight="1" x14ac:dyDescent="0.2"/>
    <row r="48292" ht="12.75" hidden="1" customHeight="1" x14ac:dyDescent="0.2"/>
    <row r="48293" ht="12.75" hidden="1" customHeight="1" x14ac:dyDescent="0.2"/>
    <row r="48294" ht="12.75" hidden="1" customHeight="1" x14ac:dyDescent="0.2"/>
    <row r="48295" ht="12.75" hidden="1" customHeight="1" x14ac:dyDescent="0.2"/>
    <row r="48296" ht="12.75" hidden="1" customHeight="1" x14ac:dyDescent="0.2"/>
    <row r="48297" ht="12.75" hidden="1" customHeight="1" x14ac:dyDescent="0.2"/>
    <row r="48298" ht="12.75" hidden="1" customHeight="1" x14ac:dyDescent="0.2"/>
    <row r="48299" ht="12.75" hidden="1" customHeight="1" x14ac:dyDescent="0.2"/>
    <row r="48300" ht="12.75" hidden="1" customHeight="1" x14ac:dyDescent="0.2"/>
    <row r="48301" ht="12.75" hidden="1" customHeight="1" x14ac:dyDescent="0.2"/>
    <row r="48302" ht="12.75" hidden="1" customHeight="1" x14ac:dyDescent="0.2"/>
    <row r="48303" ht="12.75" hidden="1" customHeight="1" x14ac:dyDescent="0.2"/>
    <row r="48304" ht="12.75" hidden="1" customHeight="1" x14ac:dyDescent="0.2"/>
    <row r="48305" ht="12.75" hidden="1" customHeight="1" x14ac:dyDescent="0.2"/>
    <row r="48306" ht="12.75" hidden="1" customHeight="1" x14ac:dyDescent="0.2"/>
    <row r="48307" ht="12.75" hidden="1" customHeight="1" x14ac:dyDescent="0.2"/>
    <row r="48308" ht="12.75" hidden="1" customHeight="1" x14ac:dyDescent="0.2"/>
    <row r="48309" ht="12.75" hidden="1" customHeight="1" x14ac:dyDescent="0.2"/>
    <row r="48310" ht="12.75" hidden="1" customHeight="1" x14ac:dyDescent="0.2"/>
    <row r="48311" ht="12.75" hidden="1" customHeight="1" x14ac:dyDescent="0.2"/>
    <row r="48312" ht="12.75" hidden="1" customHeight="1" x14ac:dyDescent="0.2"/>
    <row r="48313" ht="12.75" hidden="1" customHeight="1" x14ac:dyDescent="0.2"/>
    <row r="48314" ht="12.75" hidden="1" customHeight="1" x14ac:dyDescent="0.2"/>
    <row r="48315" ht="12.75" hidden="1" customHeight="1" x14ac:dyDescent="0.2"/>
    <row r="48316" ht="12.75" hidden="1" customHeight="1" x14ac:dyDescent="0.2"/>
    <row r="48317" ht="12.75" hidden="1" customHeight="1" x14ac:dyDescent="0.2"/>
    <row r="48318" ht="12.75" hidden="1" customHeight="1" x14ac:dyDescent="0.2"/>
    <row r="48319" ht="12.75" hidden="1" customHeight="1" x14ac:dyDescent="0.2"/>
    <row r="48320" ht="12.75" hidden="1" customHeight="1" x14ac:dyDescent="0.2"/>
    <row r="48321" ht="12.75" hidden="1" customHeight="1" x14ac:dyDescent="0.2"/>
    <row r="48322" ht="12.75" hidden="1" customHeight="1" x14ac:dyDescent="0.2"/>
    <row r="48323" ht="12.75" hidden="1" customHeight="1" x14ac:dyDescent="0.2"/>
    <row r="48324" ht="12.75" hidden="1" customHeight="1" x14ac:dyDescent="0.2"/>
    <row r="48325" ht="12.75" hidden="1" customHeight="1" x14ac:dyDescent="0.2"/>
    <row r="48326" ht="12.75" hidden="1" customHeight="1" x14ac:dyDescent="0.2"/>
    <row r="48327" ht="12.75" hidden="1" customHeight="1" x14ac:dyDescent="0.2"/>
    <row r="48328" ht="12.75" hidden="1" customHeight="1" x14ac:dyDescent="0.2"/>
    <row r="48329" ht="12.75" hidden="1" customHeight="1" x14ac:dyDescent="0.2"/>
    <row r="48330" ht="12.75" hidden="1" customHeight="1" x14ac:dyDescent="0.2"/>
    <row r="48331" ht="12.75" hidden="1" customHeight="1" x14ac:dyDescent="0.2"/>
    <row r="48332" ht="12.75" hidden="1" customHeight="1" x14ac:dyDescent="0.2"/>
    <row r="48333" ht="12.75" hidden="1" customHeight="1" x14ac:dyDescent="0.2"/>
    <row r="48334" ht="12.75" hidden="1" customHeight="1" x14ac:dyDescent="0.2"/>
    <row r="48335" ht="12.75" hidden="1" customHeight="1" x14ac:dyDescent="0.2"/>
    <row r="48336" ht="12.75" hidden="1" customHeight="1" x14ac:dyDescent="0.2"/>
    <row r="48337" ht="12.75" hidden="1" customHeight="1" x14ac:dyDescent="0.2"/>
    <row r="48338" ht="12.75" hidden="1" customHeight="1" x14ac:dyDescent="0.2"/>
    <row r="48339" ht="12.75" hidden="1" customHeight="1" x14ac:dyDescent="0.2"/>
    <row r="48340" ht="12.75" hidden="1" customHeight="1" x14ac:dyDescent="0.2"/>
    <row r="48341" ht="12.75" hidden="1" customHeight="1" x14ac:dyDescent="0.2"/>
    <row r="48342" ht="12.75" hidden="1" customHeight="1" x14ac:dyDescent="0.2"/>
    <row r="48343" ht="12.75" hidden="1" customHeight="1" x14ac:dyDescent="0.2"/>
    <row r="48344" ht="12.75" hidden="1" customHeight="1" x14ac:dyDescent="0.2"/>
    <row r="48345" ht="12.75" hidden="1" customHeight="1" x14ac:dyDescent="0.2"/>
    <row r="48346" ht="12.75" hidden="1" customHeight="1" x14ac:dyDescent="0.2"/>
    <row r="48347" ht="12.75" hidden="1" customHeight="1" x14ac:dyDescent="0.2"/>
    <row r="48348" ht="12.75" hidden="1" customHeight="1" x14ac:dyDescent="0.2"/>
    <row r="48349" ht="12.75" hidden="1" customHeight="1" x14ac:dyDescent="0.2"/>
    <row r="48350" ht="12.75" hidden="1" customHeight="1" x14ac:dyDescent="0.2"/>
    <row r="48351" ht="12.75" hidden="1" customHeight="1" x14ac:dyDescent="0.2"/>
    <row r="48352" ht="12.75" hidden="1" customHeight="1" x14ac:dyDescent="0.2"/>
    <row r="48353" ht="12.75" hidden="1" customHeight="1" x14ac:dyDescent="0.2"/>
    <row r="48354" ht="12.75" hidden="1" customHeight="1" x14ac:dyDescent="0.2"/>
    <row r="48355" ht="12.75" hidden="1" customHeight="1" x14ac:dyDescent="0.2"/>
    <row r="48356" ht="12.75" hidden="1" customHeight="1" x14ac:dyDescent="0.2"/>
    <row r="48357" ht="12.75" hidden="1" customHeight="1" x14ac:dyDescent="0.2"/>
    <row r="48358" ht="12.75" hidden="1" customHeight="1" x14ac:dyDescent="0.2"/>
    <row r="48359" ht="12.75" hidden="1" customHeight="1" x14ac:dyDescent="0.2"/>
    <row r="48360" ht="12.75" hidden="1" customHeight="1" x14ac:dyDescent="0.2"/>
    <row r="48361" ht="12.75" hidden="1" customHeight="1" x14ac:dyDescent="0.2"/>
    <row r="48362" ht="12.75" hidden="1" customHeight="1" x14ac:dyDescent="0.2"/>
    <row r="48363" ht="12.75" hidden="1" customHeight="1" x14ac:dyDescent="0.2"/>
    <row r="48364" ht="12.75" hidden="1" customHeight="1" x14ac:dyDescent="0.2"/>
    <row r="48365" ht="12.75" hidden="1" customHeight="1" x14ac:dyDescent="0.2"/>
    <row r="48366" ht="12.75" hidden="1" customHeight="1" x14ac:dyDescent="0.2"/>
    <row r="48367" ht="12.75" hidden="1" customHeight="1" x14ac:dyDescent="0.2"/>
    <row r="48368" ht="12.75" hidden="1" customHeight="1" x14ac:dyDescent="0.2"/>
    <row r="48369" ht="12.75" hidden="1" customHeight="1" x14ac:dyDescent="0.2"/>
    <row r="48370" ht="12.75" hidden="1" customHeight="1" x14ac:dyDescent="0.2"/>
    <row r="48371" ht="12.75" hidden="1" customHeight="1" x14ac:dyDescent="0.2"/>
    <row r="48372" ht="12.75" hidden="1" customHeight="1" x14ac:dyDescent="0.2"/>
    <row r="48373" ht="12.75" hidden="1" customHeight="1" x14ac:dyDescent="0.2"/>
    <row r="48374" ht="12.75" hidden="1" customHeight="1" x14ac:dyDescent="0.2"/>
    <row r="48375" ht="12.75" hidden="1" customHeight="1" x14ac:dyDescent="0.2"/>
    <row r="48376" ht="12.75" hidden="1" customHeight="1" x14ac:dyDescent="0.2"/>
    <row r="48377" ht="12.75" hidden="1" customHeight="1" x14ac:dyDescent="0.2"/>
    <row r="48378" ht="12.75" hidden="1" customHeight="1" x14ac:dyDescent="0.2"/>
    <row r="48379" ht="12.75" hidden="1" customHeight="1" x14ac:dyDescent="0.2"/>
    <row r="48380" ht="12.75" hidden="1" customHeight="1" x14ac:dyDescent="0.2"/>
    <row r="48381" ht="12.75" hidden="1" customHeight="1" x14ac:dyDescent="0.2"/>
    <row r="48382" ht="12.75" hidden="1" customHeight="1" x14ac:dyDescent="0.2"/>
    <row r="48383" ht="12.75" hidden="1" customHeight="1" x14ac:dyDescent="0.2"/>
    <row r="48384" ht="12.75" hidden="1" customHeight="1" x14ac:dyDescent="0.2"/>
    <row r="48385" ht="12.75" hidden="1" customHeight="1" x14ac:dyDescent="0.2"/>
    <row r="48386" ht="12.75" hidden="1" customHeight="1" x14ac:dyDescent="0.2"/>
    <row r="48387" ht="12.75" hidden="1" customHeight="1" x14ac:dyDescent="0.2"/>
    <row r="48388" ht="12.75" hidden="1" customHeight="1" x14ac:dyDescent="0.2"/>
    <row r="48389" ht="12.75" hidden="1" customHeight="1" x14ac:dyDescent="0.2"/>
    <row r="48390" ht="12.75" hidden="1" customHeight="1" x14ac:dyDescent="0.2"/>
    <row r="48391" ht="12.75" hidden="1" customHeight="1" x14ac:dyDescent="0.2"/>
    <row r="48392" ht="12.75" hidden="1" customHeight="1" x14ac:dyDescent="0.2"/>
    <row r="48393" ht="12.75" hidden="1" customHeight="1" x14ac:dyDescent="0.2"/>
    <row r="48394" ht="12.75" hidden="1" customHeight="1" x14ac:dyDescent="0.2"/>
    <row r="48395" ht="12.75" hidden="1" customHeight="1" x14ac:dyDescent="0.2"/>
    <row r="48396" ht="12.75" hidden="1" customHeight="1" x14ac:dyDescent="0.2"/>
    <row r="48397" ht="12.75" hidden="1" customHeight="1" x14ac:dyDescent="0.2"/>
    <row r="48398" ht="12.75" hidden="1" customHeight="1" x14ac:dyDescent="0.2"/>
    <row r="48399" ht="12.75" hidden="1" customHeight="1" x14ac:dyDescent="0.2"/>
    <row r="48400" ht="12.75" hidden="1" customHeight="1" x14ac:dyDescent="0.2"/>
    <row r="48401" ht="12.75" hidden="1" customHeight="1" x14ac:dyDescent="0.2"/>
    <row r="48402" ht="12.75" hidden="1" customHeight="1" x14ac:dyDescent="0.2"/>
    <row r="48403" ht="12.75" hidden="1" customHeight="1" x14ac:dyDescent="0.2"/>
    <row r="48404" ht="12.75" hidden="1" customHeight="1" x14ac:dyDescent="0.2"/>
    <row r="48405" ht="12.75" hidden="1" customHeight="1" x14ac:dyDescent="0.2"/>
    <row r="48406" ht="12.75" hidden="1" customHeight="1" x14ac:dyDescent="0.2"/>
    <row r="48407" ht="12.75" hidden="1" customHeight="1" x14ac:dyDescent="0.2"/>
    <row r="48408" ht="12.75" hidden="1" customHeight="1" x14ac:dyDescent="0.2"/>
    <row r="48409" ht="12.75" hidden="1" customHeight="1" x14ac:dyDescent="0.2"/>
    <row r="48410" ht="12.75" hidden="1" customHeight="1" x14ac:dyDescent="0.2"/>
    <row r="48411" ht="12.75" hidden="1" customHeight="1" x14ac:dyDescent="0.2"/>
    <row r="48412" ht="12.75" hidden="1" customHeight="1" x14ac:dyDescent="0.2"/>
    <row r="48413" ht="12.75" hidden="1" customHeight="1" x14ac:dyDescent="0.2"/>
    <row r="48414" ht="12.75" hidden="1" customHeight="1" x14ac:dyDescent="0.2"/>
    <row r="48415" ht="12.75" hidden="1" customHeight="1" x14ac:dyDescent="0.2"/>
    <row r="48416" ht="12.75" hidden="1" customHeight="1" x14ac:dyDescent="0.2"/>
    <row r="48417" ht="12.75" hidden="1" customHeight="1" x14ac:dyDescent="0.2"/>
    <row r="48418" ht="12.75" hidden="1" customHeight="1" x14ac:dyDescent="0.2"/>
    <row r="48419" ht="12.75" hidden="1" customHeight="1" x14ac:dyDescent="0.2"/>
    <row r="48420" ht="12.75" hidden="1" customHeight="1" x14ac:dyDescent="0.2"/>
    <row r="48421" ht="12.75" hidden="1" customHeight="1" x14ac:dyDescent="0.2"/>
    <row r="48422" ht="12.75" hidden="1" customHeight="1" x14ac:dyDescent="0.2"/>
    <row r="48423" ht="12.75" hidden="1" customHeight="1" x14ac:dyDescent="0.2"/>
    <row r="48424" ht="12.75" hidden="1" customHeight="1" x14ac:dyDescent="0.2"/>
    <row r="48425" ht="12.75" hidden="1" customHeight="1" x14ac:dyDescent="0.2"/>
    <row r="48426" ht="12.75" hidden="1" customHeight="1" x14ac:dyDescent="0.2"/>
    <row r="48427" ht="12.75" hidden="1" customHeight="1" x14ac:dyDescent="0.2"/>
    <row r="48428" ht="12.75" hidden="1" customHeight="1" x14ac:dyDescent="0.2"/>
    <row r="48429" ht="12.75" hidden="1" customHeight="1" x14ac:dyDescent="0.2"/>
    <row r="48430" ht="12.75" hidden="1" customHeight="1" x14ac:dyDescent="0.2"/>
    <row r="48431" ht="12.75" hidden="1" customHeight="1" x14ac:dyDescent="0.2"/>
    <row r="48432" ht="12.75" hidden="1" customHeight="1" x14ac:dyDescent="0.2"/>
    <row r="48433" ht="12.75" hidden="1" customHeight="1" x14ac:dyDescent="0.2"/>
    <row r="48434" ht="12.75" hidden="1" customHeight="1" x14ac:dyDescent="0.2"/>
    <row r="48435" ht="12.75" hidden="1" customHeight="1" x14ac:dyDescent="0.2"/>
    <row r="48436" ht="12.75" hidden="1" customHeight="1" x14ac:dyDescent="0.2"/>
    <row r="48437" ht="12.75" hidden="1" customHeight="1" x14ac:dyDescent="0.2"/>
    <row r="48438" ht="12.75" hidden="1" customHeight="1" x14ac:dyDescent="0.2"/>
    <row r="48439" ht="12.75" hidden="1" customHeight="1" x14ac:dyDescent="0.2"/>
    <row r="48440" ht="12.75" hidden="1" customHeight="1" x14ac:dyDescent="0.2"/>
    <row r="48441" ht="12.75" hidden="1" customHeight="1" x14ac:dyDescent="0.2"/>
    <row r="48442" ht="12.75" hidden="1" customHeight="1" x14ac:dyDescent="0.2"/>
    <row r="48443" ht="12.75" hidden="1" customHeight="1" x14ac:dyDescent="0.2"/>
    <row r="48444" ht="12.75" hidden="1" customHeight="1" x14ac:dyDescent="0.2"/>
    <row r="48445" ht="12.75" hidden="1" customHeight="1" x14ac:dyDescent="0.2"/>
    <row r="48446" ht="12.75" hidden="1" customHeight="1" x14ac:dyDescent="0.2"/>
    <row r="48447" ht="12.75" hidden="1" customHeight="1" x14ac:dyDescent="0.2"/>
    <row r="48448" ht="12.75" hidden="1" customHeight="1" x14ac:dyDescent="0.2"/>
    <row r="48449" ht="12.75" hidden="1" customHeight="1" x14ac:dyDescent="0.2"/>
    <row r="48450" ht="12.75" hidden="1" customHeight="1" x14ac:dyDescent="0.2"/>
    <row r="48451" ht="12.75" hidden="1" customHeight="1" x14ac:dyDescent="0.2"/>
    <row r="48452" ht="12.75" hidden="1" customHeight="1" x14ac:dyDescent="0.2"/>
    <row r="48453" ht="12.75" hidden="1" customHeight="1" x14ac:dyDescent="0.2"/>
    <row r="48454" ht="12.75" hidden="1" customHeight="1" x14ac:dyDescent="0.2"/>
    <row r="48455" ht="12.75" hidden="1" customHeight="1" x14ac:dyDescent="0.2"/>
    <row r="48456" ht="12.75" hidden="1" customHeight="1" x14ac:dyDescent="0.2"/>
    <row r="48457" ht="12.75" hidden="1" customHeight="1" x14ac:dyDescent="0.2"/>
    <row r="48458" ht="12.75" hidden="1" customHeight="1" x14ac:dyDescent="0.2"/>
    <row r="48459" ht="12.75" hidden="1" customHeight="1" x14ac:dyDescent="0.2"/>
    <row r="48460" ht="12.75" hidden="1" customHeight="1" x14ac:dyDescent="0.2"/>
    <row r="48461" ht="12.75" hidden="1" customHeight="1" x14ac:dyDescent="0.2"/>
    <row r="48462" ht="12.75" hidden="1" customHeight="1" x14ac:dyDescent="0.2"/>
    <row r="48463" ht="12.75" hidden="1" customHeight="1" x14ac:dyDescent="0.2"/>
    <row r="48464" ht="12.75" hidden="1" customHeight="1" x14ac:dyDescent="0.2"/>
    <row r="48465" ht="12.75" hidden="1" customHeight="1" x14ac:dyDescent="0.2"/>
    <row r="48466" ht="12.75" hidden="1" customHeight="1" x14ac:dyDescent="0.2"/>
    <row r="48467" ht="12.75" hidden="1" customHeight="1" x14ac:dyDescent="0.2"/>
    <row r="48468" ht="12.75" hidden="1" customHeight="1" x14ac:dyDescent="0.2"/>
    <row r="48469" ht="12.75" hidden="1" customHeight="1" x14ac:dyDescent="0.2"/>
    <row r="48470" ht="12.75" hidden="1" customHeight="1" x14ac:dyDescent="0.2"/>
    <row r="48471" ht="12.75" hidden="1" customHeight="1" x14ac:dyDescent="0.2"/>
    <row r="48472" ht="12.75" hidden="1" customHeight="1" x14ac:dyDescent="0.2"/>
    <row r="48473" ht="12.75" hidden="1" customHeight="1" x14ac:dyDescent="0.2"/>
    <row r="48474" ht="12.75" hidden="1" customHeight="1" x14ac:dyDescent="0.2"/>
    <row r="48475" ht="12.75" hidden="1" customHeight="1" x14ac:dyDescent="0.2"/>
    <row r="48476" ht="12.75" hidden="1" customHeight="1" x14ac:dyDescent="0.2"/>
    <row r="48477" ht="12.75" hidden="1" customHeight="1" x14ac:dyDescent="0.2"/>
    <row r="48478" ht="12.75" hidden="1" customHeight="1" x14ac:dyDescent="0.2"/>
    <row r="48479" ht="12.75" hidden="1" customHeight="1" x14ac:dyDescent="0.2"/>
    <row r="48480" ht="12.75" hidden="1" customHeight="1" x14ac:dyDescent="0.2"/>
    <row r="48481" ht="12.75" hidden="1" customHeight="1" x14ac:dyDescent="0.2"/>
    <row r="48482" ht="12.75" hidden="1" customHeight="1" x14ac:dyDescent="0.2"/>
    <row r="48483" ht="12.75" hidden="1" customHeight="1" x14ac:dyDescent="0.2"/>
    <row r="48484" ht="12.75" hidden="1" customHeight="1" x14ac:dyDescent="0.2"/>
    <row r="48485" ht="12.75" hidden="1" customHeight="1" x14ac:dyDescent="0.2"/>
    <row r="48486" ht="12.75" hidden="1" customHeight="1" x14ac:dyDescent="0.2"/>
    <row r="48487" ht="12.75" hidden="1" customHeight="1" x14ac:dyDescent="0.2"/>
    <row r="48488" ht="12.75" hidden="1" customHeight="1" x14ac:dyDescent="0.2"/>
    <row r="48489" ht="12.75" hidden="1" customHeight="1" x14ac:dyDescent="0.2"/>
    <row r="48490" ht="12.75" hidden="1" customHeight="1" x14ac:dyDescent="0.2"/>
    <row r="48491" ht="12.75" hidden="1" customHeight="1" x14ac:dyDescent="0.2"/>
    <row r="48492" ht="12.75" hidden="1" customHeight="1" x14ac:dyDescent="0.2"/>
    <row r="48493" ht="12.75" hidden="1" customHeight="1" x14ac:dyDescent="0.2"/>
    <row r="48494" ht="12.75" hidden="1" customHeight="1" x14ac:dyDescent="0.2"/>
    <row r="48495" ht="12.75" hidden="1" customHeight="1" x14ac:dyDescent="0.2"/>
    <row r="48496" ht="12.75" hidden="1" customHeight="1" x14ac:dyDescent="0.2"/>
    <row r="48497" ht="12.75" hidden="1" customHeight="1" x14ac:dyDescent="0.2"/>
    <row r="48498" ht="12.75" hidden="1" customHeight="1" x14ac:dyDescent="0.2"/>
    <row r="48499" ht="12.75" hidden="1" customHeight="1" x14ac:dyDescent="0.2"/>
    <row r="48500" ht="12.75" hidden="1" customHeight="1" x14ac:dyDescent="0.2"/>
    <row r="48501" ht="12.75" hidden="1" customHeight="1" x14ac:dyDescent="0.2"/>
    <row r="48502" ht="12.75" hidden="1" customHeight="1" x14ac:dyDescent="0.2"/>
    <row r="48503" ht="12.75" hidden="1" customHeight="1" x14ac:dyDescent="0.2"/>
    <row r="48504" ht="12.75" hidden="1" customHeight="1" x14ac:dyDescent="0.2"/>
    <row r="48505" ht="12.75" hidden="1" customHeight="1" x14ac:dyDescent="0.2"/>
    <row r="48506" ht="12.75" hidden="1" customHeight="1" x14ac:dyDescent="0.2"/>
    <row r="48507" ht="12.75" hidden="1" customHeight="1" x14ac:dyDescent="0.2"/>
    <row r="48508" ht="12.75" hidden="1" customHeight="1" x14ac:dyDescent="0.2"/>
    <row r="48509" ht="12.75" hidden="1" customHeight="1" x14ac:dyDescent="0.2"/>
    <row r="48510" ht="12.75" hidden="1" customHeight="1" x14ac:dyDescent="0.2"/>
    <row r="48511" ht="12.75" hidden="1" customHeight="1" x14ac:dyDescent="0.2"/>
    <row r="48512" ht="12.75" hidden="1" customHeight="1" x14ac:dyDescent="0.2"/>
    <row r="48513" ht="12.75" hidden="1" customHeight="1" x14ac:dyDescent="0.2"/>
    <row r="48514" ht="12.75" hidden="1" customHeight="1" x14ac:dyDescent="0.2"/>
    <row r="48515" ht="12.75" hidden="1" customHeight="1" x14ac:dyDescent="0.2"/>
    <row r="48516" ht="12.75" hidden="1" customHeight="1" x14ac:dyDescent="0.2"/>
    <row r="48517" ht="12.75" hidden="1" customHeight="1" x14ac:dyDescent="0.2"/>
    <row r="48518" ht="12.75" hidden="1" customHeight="1" x14ac:dyDescent="0.2"/>
    <row r="48519" ht="12.75" hidden="1" customHeight="1" x14ac:dyDescent="0.2"/>
    <row r="48520" ht="12.75" hidden="1" customHeight="1" x14ac:dyDescent="0.2"/>
    <row r="48521" ht="12.75" hidden="1" customHeight="1" x14ac:dyDescent="0.2"/>
    <row r="48522" ht="12.75" hidden="1" customHeight="1" x14ac:dyDescent="0.2"/>
    <row r="48523" ht="12.75" hidden="1" customHeight="1" x14ac:dyDescent="0.2"/>
    <row r="48524" ht="12.75" hidden="1" customHeight="1" x14ac:dyDescent="0.2"/>
    <row r="48525" ht="12.75" hidden="1" customHeight="1" x14ac:dyDescent="0.2"/>
    <row r="48526" ht="12.75" hidden="1" customHeight="1" x14ac:dyDescent="0.2"/>
    <row r="48527" ht="12.75" hidden="1" customHeight="1" x14ac:dyDescent="0.2"/>
    <row r="48528" ht="12.75" hidden="1" customHeight="1" x14ac:dyDescent="0.2"/>
    <row r="48529" ht="12.75" hidden="1" customHeight="1" x14ac:dyDescent="0.2"/>
    <row r="48530" ht="12.75" hidden="1" customHeight="1" x14ac:dyDescent="0.2"/>
    <row r="48531" ht="12.75" hidden="1" customHeight="1" x14ac:dyDescent="0.2"/>
    <row r="48532" ht="12.75" hidden="1" customHeight="1" x14ac:dyDescent="0.2"/>
    <row r="48533" ht="12.75" hidden="1" customHeight="1" x14ac:dyDescent="0.2"/>
    <row r="48534" ht="12.75" hidden="1" customHeight="1" x14ac:dyDescent="0.2"/>
    <row r="48535" ht="12.75" hidden="1" customHeight="1" x14ac:dyDescent="0.2"/>
    <row r="48536" ht="12.75" hidden="1" customHeight="1" x14ac:dyDescent="0.2"/>
    <row r="48537" ht="12.75" hidden="1" customHeight="1" x14ac:dyDescent="0.2"/>
    <row r="48538" ht="12.75" hidden="1" customHeight="1" x14ac:dyDescent="0.2"/>
    <row r="48539" ht="12.75" hidden="1" customHeight="1" x14ac:dyDescent="0.2"/>
    <row r="48540" ht="12.75" hidden="1" customHeight="1" x14ac:dyDescent="0.2"/>
    <row r="48541" ht="12.75" hidden="1" customHeight="1" x14ac:dyDescent="0.2"/>
    <row r="48542" ht="12.75" hidden="1" customHeight="1" x14ac:dyDescent="0.2"/>
    <row r="48543" ht="12.75" hidden="1" customHeight="1" x14ac:dyDescent="0.2"/>
    <row r="48544" ht="12.75" hidden="1" customHeight="1" x14ac:dyDescent="0.2"/>
    <row r="48545" ht="12.75" hidden="1" customHeight="1" x14ac:dyDescent="0.2"/>
    <row r="48546" ht="12.75" hidden="1" customHeight="1" x14ac:dyDescent="0.2"/>
    <row r="48547" ht="12.75" hidden="1" customHeight="1" x14ac:dyDescent="0.2"/>
    <row r="48548" ht="12.75" hidden="1" customHeight="1" x14ac:dyDescent="0.2"/>
    <row r="48549" ht="12.75" hidden="1" customHeight="1" x14ac:dyDescent="0.2"/>
    <row r="48550" ht="12.75" hidden="1" customHeight="1" x14ac:dyDescent="0.2"/>
    <row r="48551" ht="12.75" hidden="1" customHeight="1" x14ac:dyDescent="0.2"/>
    <row r="48552" ht="12.75" hidden="1" customHeight="1" x14ac:dyDescent="0.2"/>
    <row r="48553" ht="12.75" hidden="1" customHeight="1" x14ac:dyDescent="0.2"/>
    <row r="48554" ht="12.75" hidden="1" customHeight="1" x14ac:dyDescent="0.2"/>
    <row r="48555" ht="12.75" hidden="1" customHeight="1" x14ac:dyDescent="0.2"/>
    <row r="48556" ht="12.75" hidden="1" customHeight="1" x14ac:dyDescent="0.2"/>
    <row r="48557" ht="12.75" hidden="1" customHeight="1" x14ac:dyDescent="0.2"/>
    <row r="48558" ht="12.75" hidden="1" customHeight="1" x14ac:dyDescent="0.2"/>
    <row r="48559" ht="12.75" hidden="1" customHeight="1" x14ac:dyDescent="0.2"/>
    <row r="48560" ht="12.75" hidden="1" customHeight="1" x14ac:dyDescent="0.2"/>
    <row r="48561" ht="12.75" hidden="1" customHeight="1" x14ac:dyDescent="0.2"/>
    <row r="48562" ht="12.75" hidden="1" customHeight="1" x14ac:dyDescent="0.2"/>
    <row r="48563" ht="12.75" hidden="1" customHeight="1" x14ac:dyDescent="0.2"/>
    <row r="48564" ht="12.75" hidden="1" customHeight="1" x14ac:dyDescent="0.2"/>
    <row r="48565" ht="12.75" hidden="1" customHeight="1" x14ac:dyDescent="0.2"/>
    <row r="48566" ht="12.75" hidden="1" customHeight="1" x14ac:dyDescent="0.2"/>
    <row r="48567" ht="12.75" hidden="1" customHeight="1" x14ac:dyDescent="0.2"/>
    <row r="48568" ht="12.75" hidden="1" customHeight="1" x14ac:dyDescent="0.2"/>
    <row r="48569" ht="12.75" hidden="1" customHeight="1" x14ac:dyDescent="0.2"/>
    <row r="48570" ht="12.75" hidden="1" customHeight="1" x14ac:dyDescent="0.2"/>
    <row r="48571" ht="12.75" hidden="1" customHeight="1" x14ac:dyDescent="0.2"/>
    <row r="48572" ht="12.75" hidden="1" customHeight="1" x14ac:dyDescent="0.2"/>
    <row r="48573" ht="12.75" hidden="1" customHeight="1" x14ac:dyDescent="0.2"/>
    <row r="48574" ht="12.75" hidden="1" customHeight="1" x14ac:dyDescent="0.2"/>
    <row r="48575" ht="12.75" hidden="1" customHeight="1" x14ac:dyDescent="0.2"/>
    <row r="48576" ht="12.75" hidden="1" customHeight="1" x14ac:dyDescent="0.2"/>
    <row r="48577" ht="12.75" hidden="1" customHeight="1" x14ac:dyDescent="0.2"/>
    <row r="48578" ht="12.75" hidden="1" customHeight="1" x14ac:dyDescent="0.2"/>
    <row r="48579" ht="12.75" hidden="1" customHeight="1" x14ac:dyDescent="0.2"/>
    <row r="48580" ht="12.75" hidden="1" customHeight="1" x14ac:dyDescent="0.2"/>
    <row r="48581" ht="12.75" hidden="1" customHeight="1" x14ac:dyDescent="0.2"/>
    <row r="48582" ht="12.75" hidden="1" customHeight="1" x14ac:dyDescent="0.2"/>
    <row r="48583" ht="12.75" hidden="1" customHeight="1" x14ac:dyDescent="0.2"/>
    <row r="48584" ht="12.75" hidden="1" customHeight="1" x14ac:dyDescent="0.2"/>
    <row r="48585" ht="12.75" hidden="1" customHeight="1" x14ac:dyDescent="0.2"/>
    <row r="48586" ht="12.75" hidden="1" customHeight="1" x14ac:dyDescent="0.2"/>
    <row r="48587" ht="12.75" hidden="1" customHeight="1" x14ac:dyDescent="0.2"/>
    <row r="48588" ht="12.75" hidden="1" customHeight="1" x14ac:dyDescent="0.2"/>
    <row r="48589" ht="12.75" hidden="1" customHeight="1" x14ac:dyDescent="0.2"/>
    <row r="48590" ht="12.75" hidden="1" customHeight="1" x14ac:dyDescent="0.2"/>
    <row r="48591" ht="12.75" hidden="1" customHeight="1" x14ac:dyDescent="0.2"/>
    <row r="48592" ht="12.75" hidden="1" customHeight="1" x14ac:dyDescent="0.2"/>
    <row r="48593" ht="12.75" hidden="1" customHeight="1" x14ac:dyDescent="0.2"/>
    <row r="48594" ht="12.75" hidden="1" customHeight="1" x14ac:dyDescent="0.2"/>
    <row r="48595" ht="12.75" hidden="1" customHeight="1" x14ac:dyDescent="0.2"/>
    <row r="48596" ht="12.75" hidden="1" customHeight="1" x14ac:dyDescent="0.2"/>
    <row r="48597" ht="12.75" hidden="1" customHeight="1" x14ac:dyDescent="0.2"/>
    <row r="48598" ht="12.75" hidden="1" customHeight="1" x14ac:dyDescent="0.2"/>
    <row r="48599" ht="12.75" hidden="1" customHeight="1" x14ac:dyDescent="0.2"/>
    <row r="48600" ht="12.75" hidden="1" customHeight="1" x14ac:dyDescent="0.2"/>
    <row r="48601" ht="12.75" hidden="1" customHeight="1" x14ac:dyDescent="0.2"/>
    <row r="48602" ht="12.75" hidden="1" customHeight="1" x14ac:dyDescent="0.2"/>
    <row r="48603" ht="12.75" hidden="1" customHeight="1" x14ac:dyDescent="0.2"/>
    <row r="48604" ht="12.75" hidden="1" customHeight="1" x14ac:dyDescent="0.2"/>
    <row r="48605" ht="12.75" hidden="1" customHeight="1" x14ac:dyDescent="0.2"/>
    <row r="48606" ht="12.75" hidden="1" customHeight="1" x14ac:dyDescent="0.2"/>
    <row r="48607" ht="12.75" hidden="1" customHeight="1" x14ac:dyDescent="0.2"/>
    <row r="48608" ht="12.75" hidden="1" customHeight="1" x14ac:dyDescent="0.2"/>
    <row r="48609" ht="12.75" hidden="1" customHeight="1" x14ac:dyDescent="0.2"/>
    <row r="48610" ht="12.75" hidden="1" customHeight="1" x14ac:dyDescent="0.2"/>
    <row r="48611" ht="12.75" hidden="1" customHeight="1" x14ac:dyDescent="0.2"/>
    <row r="48612" ht="12.75" hidden="1" customHeight="1" x14ac:dyDescent="0.2"/>
    <row r="48613" ht="12.75" hidden="1" customHeight="1" x14ac:dyDescent="0.2"/>
    <row r="48614" ht="12.75" hidden="1" customHeight="1" x14ac:dyDescent="0.2"/>
    <row r="48615" ht="12.75" hidden="1" customHeight="1" x14ac:dyDescent="0.2"/>
    <row r="48616" ht="12.75" hidden="1" customHeight="1" x14ac:dyDescent="0.2"/>
    <row r="48617" ht="12.75" hidden="1" customHeight="1" x14ac:dyDescent="0.2"/>
    <row r="48618" ht="12.75" hidden="1" customHeight="1" x14ac:dyDescent="0.2"/>
    <row r="48619" ht="12.75" hidden="1" customHeight="1" x14ac:dyDescent="0.2"/>
    <row r="48620" ht="12.75" hidden="1" customHeight="1" x14ac:dyDescent="0.2"/>
    <row r="48621" ht="12.75" hidden="1" customHeight="1" x14ac:dyDescent="0.2"/>
    <row r="48622" ht="12.75" hidden="1" customHeight="1" x14ac:dyDescent="0.2"/>
    <row r="48623" ht="12.75" hidden="1" customHeight="1" x14ac:dyDescent="0.2"/>
    <row r="48624" ht="12.75" hidden="1" customHeight="1" x14ac:dyDescent="0.2"/>
    <row r="48625" ht="12.75" hidden="1" customHeight="1" x14ac:dyDescent="0.2"/>
    <row r="48626" ht="12.75" hidden="1" customHeight="1" x14ac:dyDescent="0.2"/>
    <row r="48627" ht="12.75" hidden="1" customHeight="1" x14ac:dyDescent="0.2"/>
    <row r="48628" ht="12.75" hidden="1" customHeight="1" x14ac:dyDescent="0.2"/>
    <row r="48629" ht="12.75" hidden="1" customHeight="1" x14ac:dyDescent="0.2"/>
    <row r="48630" ht="12.75" hidden="1" customHeight="1" x14ac:dyDescent="0.2"/>
    <row r="48631" ht="12.75" hidden="1" customHeight="1" x14ac:dyDescent="0.2"/>
    <row r="48632" ht="12.75" hidden="1" customHeight="1" x14ac:dyDescent="0.2"/>
    <row r="48633" ht="12.75" hidden="1" customHeight="1" x14ac:dyDescent="0.2"/>
    <row r="48634" ht="12.75" hidden="1" customHeight="1" x14ac:dyDescent="0.2"/>
    <row r="48635" ht="12.75" hidden="1" customHeight="1" x14ac:dyDescent="0.2"/>
    <row r="48636" ht="12.75" hidden="1" customHeight="1" x14ac:dyDescent="0.2"/>
    <row r="48637" ht="12.75" hidden="1" customHeight="1" x14ac:dyDescent="0.2"/>
    <row r="48638" ht="12.75" hidden="1" customHeight="1" x14ac:dyDescent="0.2"/>
    <row r="48639" ht="12.75" hidden="1" customHeight="1" x14ac:dyDescent="0.2"/>
    <row r="48640" ht="12.75" hidden="1" customHeight="1" x14ac:dyDescent="0.2"/>
    <row r="48641" ht="12.75" hidden="1" customHeight="1" x14ac:dyDescent="0.2"/>
    <row r="48642" ht="12.75" hidden="1" customHeight="1" x14ac:dyDescent="0.2"/>
    <row r="48643" ht="12.75" hidden="1" customHeight="1" x14ac:dyDescent="0.2"/>
    <row r="48644" ht="12.75" hidden="1" customHeight="1" x14ac:dyDescent="0.2"/>
    <row r="48645" ht="12.75" hidden="1" customHeight="1" x14ac:dyDescent="0.2"/>
    <row r="48646" ht="12.75" hidden="1" customHeight="1" x14ac:dyDescent="0.2"/>
    <row r="48647" ht="12.75" hidden="1" customHeight="1" x14ac:dyDescent="0.2"/>
    <row r="48648" ht="12.75" hidden="1" customHeight="1" x14ac:dyDescent="0.2"/>
    <row r="48649" ht="12.75" hidden="1" customHeight="1" x14ac:dyDescent="0.2"/>
    <row r="48650" ht="12.75" hidden="1" customHeight="1" x14ac:dyDescent="0.2"/>
    <row r="48651" ht="12.75" hidden="1" customHeight="1" x14ac:dyDescent="0.2"/>
    <row r="48652" ht="12.75" hidden="1" customHeight="1" x14ac:dyDescent="0.2"/>
    <row r="48653" ht="12.75" hidden="1" customHeight="1" x14ac:dyDescent="0.2"/>
    <row r="48654" ht="12.75" hidden="1" customHeight="1" x14ac:dyDescent="0.2"/>
    <row r="48655" ht="12.75" hidden="1" customHeight="1" x14ac:dyDescent="0.2"/>
    <row r="48656" ht="12.75" hidden="1" customHeight="1" x14ac:dyDescent="0.2"/>
    <row r="48657" ht="12.75" hidden="1" customHeight="1" x14ac:dyDescent="0.2"/>
    <row r="48658" ht="12.75" hidden="1" customHeight="1" x14ac:dyDescent="0.2"/>
    <row r="48659" ht="12.75" hidden="1" customHeight="1" x14ac:dyDescent="0.2"/>
    <row r="48660" ht="12.75" hidden="1" customHeight="1" x14ac:dyDescent="0.2"/>
    <row r="48661" ht="12.75" hidden="1" customHeight="1" x14ac:dyDescent="0.2"/>
    <row r="48662" ht="12.75" hidden="1" customHeight="1" x14ac:dyDescent="0.2"/>
    <row r="48663" ht="12.75" hidden="1" customHeight="1" x14ac:dyDescent="0.2"/>
    <row r="48664" ht="12.75" hidden="1" customHeight="1" x14ac:dyDescent="0.2"/>
    <row r="48665" ht="12.75" hidden="1" customHeight="1" x14ac:dyDescent="0.2"/>
    <row r="48666" ht="12.75" hidden="1" customHeight="1" x14ac:dyDescent="0.2"/>
    <row r="48667" ht="12.75" hidden="1" customHeight="1" x14ac:dyDescent="0.2"/>
    <row r="48668" ht="12.75" hidden="1" customHeight="1" x14ac:dyDescent="0.2"/>
    <row r="48669" ht="12.75" hidden="1" customHeight="1" x14ac:dyDescent="0.2"/>
    <row r="48670" ht="12.75" hidden="1" customHeight="1" x14ac:dyDescent="0.2"/>
    <row r="48671" ht="12.75" hidden="1" customHeight="1" x14ac:dyDescent="0.2"/>
    <row r="48672" ht="12.75" hidden="1" customHeight="1" x14ac:dyDescent="0.2"/>
    <row r="48673" ht="12.75" hidden="1" customHeight="1" x14ac:dyDescent="0.2"/>
    <row r="48674" ht="12.75" hidden="1" customHeight="1" x14ac:dyDescent="0.2"/>
    <row r="48675" ht="12.75" hidden="1" customHeight="1" x14ac:dyDescent="0.2"/>
    <row r="48676" ht="12.75" hidden="1" customHeight="1" x14ac:dyDescent="0.2"/>
    <row r="48677" ht="12.75" hidden="1" customHeight="1" x14ac:dyDescent="0.2"/>
    <row r="48678" ht="12.75" hidden="1" customHeight="1" x14ac:dyDescent="0.2"/>
    <row r="48679" ht="12.75" hidden="1" customHeight="1" x14ac:dyDescent="0.2"/>
    <row r="48680" ht="12.75" hidden="1" customHeight="1" x14ac:dyDescent="0.2"/>
    <row r="48681" ht="12.75" hidden="1" customHeight="1" x14ac:dyDescent="0.2"/>
    <row r="48682" ht="12.75" hidden="1" customHeight="1" x14ac:dyDescent="0.2"/>
    <row r="48683" ht="12.75" hidden="1" customHeight="1" x14ac:dyDescent="0.2"/>
    <row r="48684" ht="12.75" hidden="1" customHeight="1" x14ac:dyDescent="0.2"/>
    <row r="48685" ht="12.75" hidden="1" customHeight="1" x14ac:dyDescent="0.2"/>
    <row r="48686" ht="12.75" hidden="1" customHeight="1" x14ac:dyDescent="0.2"/>
    <row r="48687" ht="12.75" hidden="1" customHeight="1" x14ac:dyDescent="0.2"/>
    <row r="48688" ht="12.75" hidden="1" customHeight="1" x14ac:dyDescent="0.2"/>
    <row r="48689" ht="12.75" hidden="1" customHeight="1" x14ac:dyDescent="0.2"/>
    <row r="48690" ht="12.75" hidden="1" customHeight="1" x14ac:dyDescent="0.2"/>
    <row r="48691" ht="12.75" hidden="1" customHeight="1" x14ac:dyDescent="0.2"/>
    <row r="48692" ht="12.75" hidden="1" customHeight="1" x14ac:dyDescent="0.2"/>
    <row r="48693" ht="12.75" hidden="1" customHeight="1" x14ac:dyDescent="0.2"/>
    <row r="48694" ht="12.75" hidden="1" customHeight="1" x14ac:dyDescent="0.2"/>
    <row r="48695" ht="12.75" hidden="1" customHeight="1" x14ac:dyDescent="0.2"/>
    <row r="48696" ht="12.75" hidden="1" customHeight="1" x14ac:dyDescent="0.2"/>
    <row r="48697" ht="12.75" hidden="1" customHeight="1" x14ac:dyDescent="0.2"/>
    <row r="48698" ht="12.75" hidden="1" customHeight="1" x14ac:dyDescent="0.2"/>
    <row r="48699" ht="12.75" hidden="1" customHeight="1" x14ac:dyDescent="0.2"/>
    <row r="48700" ht="12.75" hidden="1" customHeight="1" x14ac:dyDescent="0.2"/>
    <row r="48701" ht="12.75" hidden="1" customHeight="1" x14ac:dyDescent="0.2"/>
    <row r="48702" ht="12.75" hidden="1" customHeight="1" x14ac:dyDescent="0.2"/>
    <row r="48703" ht="12.75" hidden="1" customHeight="1" x14ac:dyDescent="0.2"/>
    <row r="48704" ht="12.75" hidden="1" customHeight="1" x14ac:dyDescent="0.2"/>
    <row r="48705" ht="12.75" hidden="1" customHeight="1" x14ac:dyDescent="0.2"/>
    <row r="48706" ht="12.75" hidden="1" customHeight="1" x14ac:dyDescent="0.2"/>
    <row r="48707" ht="12.75" hidden="1" customHeight="1" x14ac:dyDescent="0.2"/>
    <row r="48708" ht="12.75" hidden="1" customHeight="1" x14ac:dyDescent="0.2"/>
    <row r="48709" ht="12.75" hidden="1" customHeight="1" x14ac:dyDescent="0.2"/>
    <row r="48710" ht="12.75" hidden="1" customHeight="1" x14ac:dyDescent="0.2"/>
    <row r="48711" ht="12.75" hidden="1" customHeight="1" x14ac:dyDescent="0.2"/>
    <row r="48712" ht="12.75" hidden="1" customHeight="1" x14ac:dyDescent="0.2"/>
    <row r="48713" ht="12.75" hidden="1" customHeight="1" x14ac:dyDescent="0.2"/>
    <row r="48714" ht="12.75" hidden="1" customHeight="1" x14ac:dyDescent="0.2"/>
    <row r="48715" ht="12.75" hidden="1" customHeight="1" x14ac:dyDescent="0.2"/>
    <row r="48716" ht="12.75" hidden="1" customHeight="1" x14ac:dyDescent="0.2"/>
    <row r="48717" ht="12.75" hidden="1" customHeight="1" x14ac:dyDescent="0.2"/>
    <row r="48718" ht="12.75" hidden="1" customHeight="1" x14ac:dyDescent="0.2"/>
    <row r="48719" ht="12.75" hidden="1" customHeight="1" x14ac:dyDescent="0.2"/>
    <row r="48720" ht="12.75" hidden="1" customHeight="1" x14ac:dyDescent="0.2"/>
    <row r="48721" ht="12.75" hidden="1" customHeight="1" x14ac:dyDescent="0.2"/>
    <row r="48722" ht="12.75" hidden="1" customHeight="1" x14ac:dyDescent="0.2"/>
    <row r="48723" ht="12.75" hidden="1" customHeight="1" x14ac:dyDescent="0.2"/>
    <row r="48724" ht="12.75" hidden="1" customHeight="1" x14ac:dyDescent="0.2"/>
    <row r="48725" ht="12.75" hidden="1" customHeight="1" x14ac:dyDescent="0.2"/>
    <row r="48726" ht="12.75" hidden="1" customHeight="1" x14ac:dyDescent="0.2"/>
    <row r="48727" ht="12.75" hidden="1" customHeight="1" x14ac:dyDescent="0.2"/>
    <row r="48728" ht="12.75" hidden="1" customHeight="1" x14ac:dyDescent="0.2"/>
    <row r="48729" ht="12.75" hidden="1" customHeight="1" x14ac:dyDescent="0.2"/>
    <row r="48730" ht="12.75" hidden="1" customHeight="1" x14ac:dyDescent="0.2"/>
    <row r="48731" ht="12.75" hidden="1" customHeight="1" x14ac:dyDescent="0.2"/>
    <row r="48732" ht="12.75" hidden="1" customHeight="1" x14ac:dyDescent="0.2"/>
    <row r="48733" ht="12.75" hidden="1" customHeight="1" x14ac:dyDescent="0.2"/>
    <row r="48734" ht="12.75" hidden="1" customHeight="1" x14ac:dyDescent="0.2"/>
    <row r="48735" ht="12.75" hidden="1" customHeight="1" x14ac:dyDescent="0.2"/>
    <row r="48736" ht="12.75" hidden="1" customHeight="1" x14ac:dyDescent="0.2"/>
    <row r="48737" ht="12.75" hidden="1" customHeight="1" x14ac:dyDescent="0.2"/>
    <row r="48738" ht="12.75" hidden="1" customHeight="1" x14ac:dyDescent="0.2"/>
    <row r="48739" ht="12.75" hidden="1" customHeight="1" x14ac:dyDescent="0.2"/>
    <row r="48740" ht="12.75" hidden="1" customHeight="1" x14ac:dyDescent="0.2"/>
    <row r="48741" ht="12.75" hidden="1" customHeight="1" x14ac:dyDescent="0.2"/>
    <row r="48742" ht="12.75" hidden="1" customHeight="1" x14ac:dyDescent="0.2"/>
    <row r="48743" ht="12.75" hidden="1" customHeight="1" x14ac:dyDescent="0.2"/>
    <row r="48744" ht="12.75" hidden="1" customHeight="1" x14ac:dyDescent="0.2"/>
    <row r="48745" ht="12.75" hidden="1" customHeight="1" x14ac:dyDescent="0.2"/>
    <row r="48746" ht="12.75" hidden="1" customHeight="1" x14ac:dyDescent="0.2"/>
    <row r="48747" ht="12.75" hidden="1" customHeight="1" x14ac:dyDescent="0.2"/>
    <row r="48748" ht="12.75" hidden="1" customHeight="1" x14ac:dyDescent="0.2"/>
    <row r="48749" ht="12.75" hidden="1" customHeight="1" x14ac:dyDescent="0.2"/>
    <row r="48750" ht="12.75" hidden="1" customHeight="1" x14ac:dyDescent="0.2"/>
    <row r="48751" ht="12.75" hidden="1" customHeight="1" x14ac:dyDescent="0.2"/>
    <row r="48752" ht="12.75" hidden="1" customHeight="1" x14ac:dyDescent="0.2"/>
    <row r="48753" ht="12.75" hidden="1" customHeight="1" x14ac:dyDescent="0.2"/>
    <row r="48754" ht="12.75" hidden="1" customHeight="1" x14ac:dyDescent="0.2"/>
    <row r="48755" ht="12.75" hidden="1" customHeight="1" x14ac:dyDescent="0.2"/>
    <row r="48756" ht="12.75" hidden="1" customHeight="1" x14ac:dyDescent="0.2"/>
    <row r="48757" ht="12.75" hidden="1" customHeight="1" x14ac:dyDescent="0.2"/>
    <row r="48758" ht="12.75" hidden="1" customHeight="1" x14ac:dyDescent="0.2"/>
    <row r="48759" ht="12.75" hidden="1" customHeight="1" x14ac:dyDescent="0.2"/>
    <row r="48760" ht="12.75" hidden="1" customHeight="1" x14ac:dyDescent="0.2"/>
    <row r="48761" ht="12.75" hidden="1" customHeight="1" x14ac:dyDescent="0.2"/>
    <row r="48762" ht="12.75" hidden="1" customHeight="1" x14ac:dyDescent="0.2"/>
    <row r="48763" ht="12.75" hidden="1" customHeight="1" x14ac:dyDescent="0.2"/>
    <row r="48764" ht="12.75" hidden="1" customHeight="1" x14ac:dyDescent="0.2"/>
    <row r="48765" ht="12.75" hidden="1" customHeight="1" x14ac:dyDescent="0.2"/>
    <row r="48766" ht="12.75" hidden="1" customHeight="1" x14ac:dyDescent="0.2"/>
    <row r="48767" ht="12.75" hidden="1" customHeight="1" x14ac:dyDescent="0.2"/>
    <row r="48768" ht="12.75" hidden="1" customHeight="1" x14ac:dyDescent="0.2"/>
    <row r="48769" ht="12.75" hidden="1" customHeight="1" x14ac:dyDescent="0.2"/>
    <row r="48770" ht="12.75" hidden="1" customHeight="1" x14ac:dyDescent="0.2"/>
    <row r="48771" ht="12.75" hidden="1" customHeight="1" x14ac:dyDescent="0.2"/>
    <row r="48772" ht="12.75" hidden="1" customHeight="1" x14ac:dyDescent="0.2"/>
    <row r="48773" ht="12.75" hidden="1" customHeight="1" x14ac:dyDescent="0.2"/>
    <row r="48774" ht="12.75" hidden="1" customHeight="1" x14ac:dyDescent="0.2"/>
    <row r="48775" ht="12.75" hidden="1" customHeight="1" x14ac:dyDescent="0.2"/>
    <row r="48776" ht="12.75" hidden="1" customHeight="1" x14ac:dyDescent="0.2"/>
    <row r="48777" ht="12.75" hidden="1" customHeight="1" x14ac:dyDescent="0.2"/>
    <row r="48778" ht="12.75" hidden="1" customHeight="1" x14ac:dyDescent="0.2"/>
    <row r="48779" ht="12.75" hidden="1" customHeight="1" x14ac:dyDescent="0.2"/>
    <row r="48780" ht="12.75" hidden="1" customHeight="1" x14ac:dyDescent="0.2"/>
    <row r="48781" ht="12.75" hidden="1" customHeight="1" x14ac:dyDescent="0.2"/>
    <row r="48782" ht="12.75" hidden="1" customHeight="1" x14ac:dyDescent="0.2"/>
    <row r="48783" ht="12.75" hidden="1" customHeight="1" x14ac:dyDescent="0.2"/>
    <row r="48784" ht="12.75" hidden="1" customHeight="1" x14ac:dyDescent="0.2"/>
    <row r="48785" ht="12.75" hidden="1" customHeight="1" x14ac:dyDescent="0.2"/>
    <row r="48786" ht="12.75" hidden="1" customHeight="1" x14ac:dyDescent="0.2"/>
    <row r="48787" ht="12.75" hidden="1" customHeight="1" x14ac:dyDescent="0.2"/>
    <row r="48788" ht="12.75" hidden="1" customHeight="1" x14ac:dyDescent="0.2"/>
    <row r="48789" ht="12.75" hidden="1" customHeight="1" x14ac:dyDescent="0.2"/>
    <row r="48790" ht="12.75" hidden="1" customHeight="1" x14ac:dyDescent="0.2"/>
    <row r="48791" ht="12.75" hidden="1" customHeight="1" x14ac:dyDescent="0.2"/>
    <row r="48792" ht="12.75" hidden="1" customHeight="1" x14ac:dyDescent="0.2"/>
    <row r="48793" ht="12.75" hidden="1" customHeight="1" x14ac:dyDescent="0.2"/>
    <row r="48794" ht="12.75" hidden="1" customHeight="1" x14ac:dyDescent="0.2"/>
    <row r="48795" ht="12.75" hidden="1" customHeight="1" x14ac:dyDescent="0.2"/>
    <row r="48796" ht="12.75" hidden="1" customHeight="1" x14ac:dyDescent="0.2"/>
    <row r="48797" ht="12.75" hidden="1" customHeight="1" x14ac:dyDescent="0.2"/>
    <row r="48798" ht="12.75" hidden="1" customHeight="1" x14ac:dyDescent="0.2"/>
    <row r="48799" ht="12.75" hidden="1" customHeight="1" x14ac:dyDescent="0.2"/>
    <row r="48800" ht="12.75" hidden="1" customHeight="1" x14ac:dyDescent="0.2"/>
    <row r="48801" ht="12.75" hidden="1" customHeight="1" x14ac:dyDescent="0.2"/>
    <row r="48802" ht="12.75" hidden="1" customHeight="1" x14ac:dyDescent="0.2"/>
    <row r="48803" ht="12.75" hidden="1" customHeight="1" x14ac:dyDescent="0.2"/>
    <row r="48804" ht="12.75" hidden="1" customHeight="1" x14ac:dyDescent="0.2"/>
    <row r="48805" ht="12.75" hidden="1" customHeight="1" x14ac:dyDescent="0.2"/>
    <row r="48806" ht="12.75" hidden="1" customHeight="1" x14ac:dyDescent="0.2"/>
    <row r="48807" ht="12.75" hidden="1" customHeight="1" x14ac:dyDescent="0.2"/>
    <row r="48808" ht="12.75" hidden="1" customHeight="1" x14ac:dyDescent="0.2"/>
    <row r="48809" ht="12.75" hidden="1" customHeight="1" x14ac:dyDescent="0.2"/>
    <row r="48810" ht="12.75" hidden="1" customHeight="1" x14ac:dyDescent="0.2"/>
    <row r="48811" ht="12.75" hidden="1" customHeight="1" x14ac:dyDescent="0.2"/>
    <row r="48812" ht="12.75" hidden="1" customHeight="1" x14ac:dyDescent="0.2"/>
    <row r="48813" ht="12.75" hidden="1" customHeight="1" x14ac:dyDescent="0.2"/>
    <row r="48814" ht="12.75" hidden="1" customHeight="1" x14ac:dyDescent="0.2"/>
    <row r="48815" ht="12.75" hidden="1" customHeight="1" x14ac:dyDescent="0.2"/>
    <row r="48816" ht="12.75" hidden="1" customHeight="1" x14ac:dyDescent="0.2"/>
    <row r="48817" ht="12.75" hidden="1" customHeight="1" x14ac:dyDescent="0.2"/>
    <row r="48818" ht="12.75" hidden="1" customHeight="1" x14ac:dyDescent="0.2"/>
    <row r="48819" ht="12.75" hidden="1" customHeight="1" x14ac:dyDescent="0.2"/>
    <row r="48820" ht="12.75" hidden="1" customHeight="1" x14ac:dyDescent="0.2"/>
    <row r="48821" ht="12.75" hidden="1" customHeight="1" x14ac:dyDescent="0.2"/>
    <row r="48822" ht="12.75" hidden="1" customHeight="1" x14ac:dyDescent="0.2"/>
    <row r="48823" ht="12.75" hidden="1" customHeight="1" x14ac:dyDescent="0.2"/>
    <row r="48824" ht="12.75" hidden="1" customHeight="1" x14ac:dyDescent="0.2"/>
    <row r="48825" ht="12.75" hidden="1" customHeight="1" x14ac:dyDescent="0.2"/>
    <row r="48826" ht="12.75" hidden="1" customHeight="1" x14ac:dyDescent="0.2"/>
    <row r="48827" ht="12.75" hidden="1" customHeight="1" x14ac:dyDescent="0.2"/>
    <row r="48828" ht="12.75" hidden="1" customHeight="1" x14ac:dyDescent="0.2"/>
    <row r="48829" ht="12.75" hidden="1" customHeight="1" x14ac:dyDescent="0.2"/>
    <row r="48830" ht="12.75" hidden="1" customHeight="1" x14ac:dyDescent="0.2"/>
    <row r="48831" ht="12.75" hidden="1" customHeight="1" x14ac:dyDescent="0.2"/>
    <row r="48832" ht="12.75" hidden="1" customHeight="1" x14ac:dyDescent="0.2"/>
    <row r="48833" ht="12.75" hidden="1" customHeight="1" x14ac:dyDescent="0.2"/>
    <row r="48834" ht="12.75" hidden="1" customHeight="1" x14ac:dyDescent="0.2"/>
    <row r="48835" ht="12.75" hidden="1" customHeight="1" x14ac:dyDescent="0.2"/>
    <row r="48836" ht="12.75" hidden="1" customHeight="1" x14ac:dyDescent="0.2"/>
    <row r="48837" ht="12.75" hidden="1" customHeight="1" x14ac:dyDescent="0.2"/>
    <row r="48838" ht="12.75" hidden="1" customHeight="1" x14ac:dyDescent="0.2"/>
    <row r="48839" ht="12.75" hidden="1" customHeight="1" x14ac:dyDescent="0.2"/>
    <row r="48840" ht="12.75" hidden="1" customHeight="1" x14ac:dyDescent="0.2"/>
    <row r="48841" ht="12.75" hidden="1" customHeight="1" x14ac:dyDescent="0.2"/>
    <row r="48842" ht="12.75" hidden="1" customHeight="1" x14ac:dyDescent="0.2"/>
    <row r="48843" ht="12.75" hidden="1" customHeight="1" x14ac:dyDescent="0.2"/>
    <row r="48844" ht="12.75" hidden="1" customHeight="1" x14ac:dyDescent="0.2"/>
    <row r="48845" ht="12.75" hidden="1" customHeight="1" x14ac:dyDescent="0.2"/>
    <row r="48846" ht="12.75" hidden="1" customHeight="1" x14ac:dyDescent="0.2"/>
    <row r="48847" ht="12.75" hidden="1" customHeight="1" x14ac:dyDescent="0.2"/>
    <row r="48848" ht="12.75" hidden="1" customHeight="1" x14ac:dyDescent="0.2"/>
    <row r="48849" ht="12.75" hidden="1" customHeight="1" x14ac:dyDescent="0.2"/>
    <row r="48850" ht="12.75" hidden="1" customHeight="1" x14ac:dyDescent="0.2"/>
    <row r="48851" ht="12.75" hidden="1" customHeight="1" x14ac:dyDescent="0.2"/>
    <row r="48852" ht="12.75" hidden="1" customHeight="1" x14ac:dyDescent="0.2"/>
    <row r="48853" ht="12.75" hidden="1" customHeight="1" x14ac:dyDescent="0.2"/>
    <row r="48854" ht="12.75" hidden="1" customHeight="1" x14ac:dyDescent="0.2"/>
    <row r="48855" ht="12.75" hidden="1" customHeight="1" x14ac:dyDescent="0.2"/>
    <row r="48856" ht="12.75" hidden="1" customHeight="1" x14ac:dyDescent="0.2"/>
    <row r="48857" ht="12.75" hidden="1" customHeight="1" x14ac:dyDescent="0.2"/>
    <row r="48858" ht="12.75" hidden="1" customHeight="1" x14ac:dyDescent="0.2"/>
    <row r="48859" ht="12.75" hidden="1" customHeight="1" x14ac:dyDescent="0.2"/>
    <row r="48860" ht="12.75" hidden="1" customHeight="1" x14ac:dyDescent="0.2"/>
    <row r="48861" ht="12.75" hidden="1" customHeight="1" x14ac:dyDescent="0.2"/>
    <row r="48862" ht="12.75" hidden="1" customHeight="1" x14ac:dyDescent="0.2"/>
    <row r="48863" ht="12.75" hidden="1" customHeight="1" x14ac:dyDescent="0.2"/>
    <row r="48864" ht="12.75" hidden="1" customHeight="1" x14ac:dyDescent="0.2"/>
    <row r="48865" ht="12.75" hidden="1" customHeight="1" x14ac:dyDescent="0.2"/>
    <row r="48866" ht="12.75" hidden="1" customHeight="1" x14ac:dyDescent="0.2"/>
    <row r="48867" ht="12.75" hidden="1" customHeight="1" x14ac:dyDescent="0.2"/>
    <row r="48868" ht="12.75" hidden="1" customHeight="1" x14ac:dyDescent="0.2"/>
    <row r="48869" ht="12.75" hidden="1" customHeight="1" x14ac:dyDescent="0.2"/>
    <row r="48870" ht="12.75" hidden="1" customHeight="1" x14ac:dyDescent="0.2"/>
    <row r="48871" ht="12.75" hidden="1" customHeight="1" x14ac:dyDescent="0.2"/>
    <row r="48872" ht="12.75" hidden="1" customHeight="1" x14ac:dyDescent="0.2"/>
    <row r="48873" ht="12.75" hidden="1" customHeight="1" x14ac:dyDescent="0.2"/>
    <row r="48874" ht="12.75" hidden="1" customHeight="1" x14ac:dyDescent="0.2"/>
    <row r="48875" ht="12.75" hidden="1" customHeight="1" x14ac:dyDescent="0.2"/>
    <row r="48876" ht="12.75" hidden="1" customHeight="1" x14ac:dyDescent="0.2"/>
    <row r="48877" ht="12.75" hidden="1" customHeight="1" x14ac:dyDescent="0.2"/>
    <row r="48878" ht="12.75" hidden="1" customHeight="1" x14ac:dyDescent="0.2"/>
    <row r="48879" ht="12.75" hidden="1" customHeight="1" x14ac:dyDescent="0.2"/>
    <row r="48880" ht="12.75" hidden="1" customHeight="1" x14ac:dyDescent="0.2"/>
    <row r="48881" ht="12.75" hidden="1" customHeight="1" x14ac:dyDescent="0.2"/>
    <row r="48882" ht="12.75" hidden="1" customHeight="1" x14ac:dyDescent="0.2"/>
    <row r="48883" ht="12.75" hidden="1" customHeight="1" x14ac:dyDescent="0.2"/>
    <row r="48884" ht="12.75" hidden="1" customHeight="1" x14ac:dyDescent="0.2"/>
    <row r="48885" ht="12.75" hidden="1" customHeight="1" x14ac:dyDescent="0.2"/>
    <row r="48886" ht="12.75" hidden="1" customHeight="1" x14ac:dyDescent="0.2"/>
    <row r="48887" ht="12.75" hidden="1" customHeight="1" x14ac:dyDescent="0.2"/>
    <row r="48888" ht="12.75" hidden="1" customHeight="1" x14ac:dyDescent="0.2"/>
    <row r="48889" ht="12.75" hidden="1" customHeight="1" x14ac:dyDescent="0.2"/>
    <row r="48890" ht="12.75" hidden="1" customHeight="1" x14ac:dyDescent="0.2"/>
    <row r="48891" ht="12.75" hidden="1" customHeight="1" x14ac:dyDescent="0.2"/>
    <row r="48892" ht="12.75" hidden="1" customHeight="1" x14ac:dyDescent="0.2"/>
    <row r="48893" ht="12.75" hidden="1" customHeight="1" x14ac:dyDescent="0.2"/>
    <row r="48894" ht="12.75" hidden="1" customHeight="1" x14ac:dyDescent="0.2"/>
    <row r="48895" ht="12.75" hidden="1" customHeight="1" x14ac:dyDescent="0.2"/>
    <row r="48896" ht="12.75" hidden="1" customHeight="1" x14ac:dyDescent="0.2"/>
    <row r="48897" ht="12.75" hidden="1" customHeight="1" x14ac:dyDescent="0.2"/>
    <row r="48898" ht="12.75" hidden="1" customHeight="1" x14ac:dyDescent="0.2"/>
    <row r="48899" ht="12.75" hidden="1" customHeight="1" x14ac:dyDescent="0.2"/>
    <row r="48900" ht="12.75" hidden="1" customHeight="1" x14ac:dyDescent="0.2"/>
    <row r="48901" ht="12.75" hidden="1" customHeight="1" x14ac:dyDescent="0.2"/>
    <row r="48902" ht="12.75" hidden="1" customHeight="1" x14ac:dyDescent="0.2"/>
    <row r="48903" ht="12.75" hidden="1" customHeight="1" x14ac:dyDescent="0.2"/>
    <row r="48904" ht="12.75" hidden="1" customHeight="1" x14ac:dyDescent="0.2"/>
    <row r="48905" ht="12.75" hidden="1" customHeight="1" x14ac:dyDescent="0.2"/>
    <row r="48906" ht="12.75" hidden="1" customHeight="1" x14ac:dyDescent="0.2"/>
    <row r="48907" ht="12.75" hidden="1" customHeight="1" x14ac:dyDescent="0.2"/>
    <row r="48908" ht="12.75" hidden="1" customHeight="1" x14ac:dyDescent="0.2"/>
    <row r="48909" ht="12.75" hidden="1" customHeight="1" x14ac:dyDescent="0.2"/>
    <row r="48910" ht="12.75" hidden="1" customHeight="1" x14ac:dyDescent="0.2"/>
    <row r="48911" ht="12.75" hidden="1" customHeight="1" x14ac:dyDescent="0.2"/>
    <row r="48912" ht="12.75" hidden="1" customHeight="1" x14ac:dyDescent="0.2"/>
    <row r="48913" ht="12.75" hidden="1" customHeight="1" x14ac:dyDescent="0.2"/>
    <row r="48914" ht="12.75" hidden="1" customHeight="1" x14ac:dyDescent="0.2"/>
    <row r="48915" ht="12.75" hidden="1" customHeight="1" x14ac:dyDescent="0.2"/>
    <row r="48916" ht="12.75" hidden="1" customHeight="1" x14ac:dyDescent="0.2"/>
    <row r="48917" ht="12.75" hidden="1" customHeight="1" x14ac:dyDescent="0.2"/>
    <row r="48918" ht="12.75" hidden="1" customHeight="1" x14ac:dyDescent="0.2"/>
    <row r="48919" ht="12.75" hidden="1" customHeight="1" x14ac:dyDescent="0.2"/>
    <row r="48920" ht="12.75" hidden="1" customHeight="1" x14ac:dyDescent="0.2"/>
    <row r="48921" ht="12.75" hidden="1" customHeight="1" x14ac:dyDescent="0.2"/>
    <row r="48922" ht="12.75" hidden="1" customHeight="1" x14ac:dyDescent="0.2"/>
    <row r="48923" ht="12.75" hidden="1" customHeight="1" x14ac:dyDescent="0.2"/>
    <row r="48924" ht="12.75" hidden="1" customHeight="1" x14ac:dyDescent="0.2"/>
    <row r="48925" ht="12.75" hidden="1" customHeight="1" x14ac:dyDescent="0.2"/>
    <row r="48926" ht="12.75" hidden="1" customHeight="1" x14ac:dyDescent="0.2"/>
    <row r="48927" ht="12.75" hidden="1" customHeight="1" x14ac:dyDescent="0.2"/>
    <row r="48928" ht="12.75" hidden="1" customHeight="1" x14ac:dyDescent="0.2"/>
    <row r="48929" ht="12.75" hidden="1" customHeight="1" x14ac:dyDescent="0.2"/>
    <row r="48930" ht="12.75" hidden="1" customHeight="1" x14ac:dyDescent="0.2"/>
    <row r="48931" ht="12.75" hidden="1" customHeight="1" x14ac:dyDescent="0.2"/>
    <row r="48932" ht="12.75" hidden="1" customHeight="1" x14ac:dyDescent="0.2"/>
    <row r="48933" ht="12.75" hidden="1" customHeight="1" x14ac:dyDescent="0.2"/>
    <row r="48934" ht="12.75" hidden="1" customHeight="1" x14ac:dyDescent="0.2"/>
    <row r="48935" ht="12.75" hidden="1" customHeight="1" x14ac:dyDescent="0.2"/>
    <row r="48936" ht="12.75" hidden="1" customHeight="1" x14ac:dyDescent="0.2"/>
    <row r="48937" ht="12.75" hidden="1" customHeight="1" x14ac:dyDescent="0.2"/>
    <row r="48938" ht="12.75" hidden="1" customHeight="1" x14ac:dyDescent="0.2"/>
    <row r="48939" ht="12.75" hidden="1" customHeight="1" x14ac:dyDescent="0.2"/>
    <row r="48940" ht="12.75" hidden="1" customHeight="1" x14ac:dyDescent="0.2"/>
    <row r="48941" ht="12.75" hidden="1" customHeight="1" x14ac:dyDescent="0.2"/>
    <row r="48942" ht="12.75" hidden="1" customHeight="1" x14ac:dyDescent="0.2"/>
    <row r="48943" ht="12.75" hidden="1" customHeight="1" x14ac:dyDescent="0.2"/>
    <row r="48944" ht="12.75" hidden="1" customHeight="1" x14ac:dyDescent="0.2"/>
    <row r="48945" ht="12.75" hidden="1" customHeight="1" x14ac:dyDescent="0.2"/>
    <row r="48946" ht="12.75" hidden="1" customHeight="1" x14ac:dyDescent="0.2"/>
    <row r="48947" ht="12.75" hidden="1" customHeight="1" x14ac:dyDescent="0.2"/>
    <row r="48948" ht="12.75" hidden="1" customHeight="1" x14ac:dyDescent="0.2"/>
    <row r="48949" ht="12.75" hidden="1" customHeight="1" x14ac:dyDescent="0.2"/>
    <row r="48950" ht="12.75" hidden="1" customHeight="1" x14ac:dyDescent="0.2"/>
    <row r="48951" ht="12.75" hidden="1" customHeight="1" x14ac:dyDescent="0.2"/>
    <row r="48952" ht="12.75" hidden="1" customHeight="1" x14ac:dyDescent="0.2"/>
    <row r="48953" ht="12.75" hidden="1" customHeight="1" x14ac:dyDescent="0.2"/>
    <row r="48954" ht="12.75" hidden="1" customHeight="1" x14ac:dyDescent="0.2"/>
    <row r="48955" ht="12.75" hidden="1" customHeight="1" x14ac:dyDescent="0.2"/>
    <row r="48956" ht="12.75" hidden="1" customHeight="1" x14ac:dyDescent="0.2"/>
    <row r="48957" ht="12.75" hidden="1" customHeight="1" x14ac:dyDescent="0.2"/>
    <row r="48958" ht="12.75" hidden="1" customHeight="1" x14ac:dyDescent="0.2"/>
    <row r="48959" ht="12.75" hidden="1" customHeight="1" x14ac:dyDescent="0.2"/>
    <row r="48960" ht="12.75" hidden="1" customHeight="1" x14ac:dyDescent="0.2"/>
    <row r="48961" ht="12.75" hidden="1" customHeight="1" x14ac:dyDescent="0.2"/>
    <row r="48962" ht="12.75" hidden="1" customHeight="1" x14ac:dyDescent="0.2"/>
    <row r="48963" ht="12.75" hidden="1" customHeight="1" x14ac:dyDescent="0.2"/>
    <row r="48964" ht="12.75" hidden="1" customHeight="1" x14ac:dyDescent="0.2"/>
    <row r="48965" ht="12.75" hidden="1" customHeight="1" x14ac:dyDescent="0.2"/>
    <row r="48966" ht="12.75" hidden="1" customHeight="1" x14ac:dyDescent="0.2"/>
    <row r="48967" ht="12.75" hidden="1" customHeight="1" x14ac:dyDescent="0.2"/>
    <row r="48968" ht="12.75" hidden="1" customHeight="1" x14ac:dyDescent="0.2"/>
    <row r="48969" ht="12.75" hidden="1" customHeight="1" x14ac:dyDescent="0.2"/>
    <row r="48970" ht="12.75" hidden="1" customHeight="1" x14ac:dyDescent="0.2"/>
    <row r="48971" ht="12.75" hidden="1" customHeight="1" x14ac:dyDescent="0.2"/>
    <row r="48972" ht="12.75" hidden="1" customHeight="1" x14ac:dyDescent="0.2"/>
    <row r="48973" ht="12.75" hidden="1" customHeight="1" x14ac:dyDescent="0.2"/>
    <row r="48974" ht="12.75" hidden="1" customHeight="1" x14ac:dyDescent="0.2"/>
    <row r="48975" ht="12.75" hidden="1" customHeight="1" x14ac:dyDescent="0.2"/>
    <row r="48976" ht="12.75" hidden="1" customHeight="1" x14ac:dyDescent="0.2"/>
    <row r="48977" ht="12.75" hidden="1" customHeight="1" x14ac:dyDescent="0.2"/>
    <row r="48978" ht="12.75" hidden="1" customHeight="1" x14ac:dyDescent="0.2"/>
    <row r="48979" ht="12.75" hidden="1" customHeight="1" x14ac:dyDescent="0.2"/>
    <row r="48980" ht="12.75" hidden="1" customHeight="1" x14ac:dyDescent="0.2"/>
    <row r="48981" ht="12.75" hidden="1" customHeight="1" x14ac:dyDescent="0.2"/>
    <row r="48982" ht="12.75" hidden="1" customHeight="1" x14ac:dyDescent="0.2"/>
    <row r="48983" ht="12.75" hidden="1" customHeight="1" x14ac:dyDescent="0.2"/>
    <row r="48984" ht="12.75" hidden="1" customHeight="1" x14ac:dyDescent="0.2"/>
    <row r="48985" ht="12.75" hidden="1" customHeight="1" x14ac:dyDescent="0.2"/>
    <row r="48986" ht="12.75" hidden="1" customHeight="1" x14ac:dyDescent="0.2"/>
    <row r="48987" ht="12.75" hidden="1" customHeight="1" x14ac:dyDescent="0.2"/>
    <row r="48988" ht="12.75" hidden="1" customHeight="1" x14ac:dyDescent="0.2"/>
    <row r="48989" ht="12.75" hidden="1" customHeight="1" x14ac:dyDescent="0.2"/>
    <row r="48990" ht="12.75" hidden="1" customHeight="1" x14ac:dyDescent="0.2"/>
    <row r="48991" ht="12.75" hidden="1" customHeight="1" x14ac:dyDescent="0.2"/>
    <row r="48992" ht="12.75" hidden="1" customHeight="1" x14ac:dyDescent="0.2"/>
    <row r="48993" ht="12.75" hidden="1" customHeight="1" x14ac:dyDescent="0.2"/>
    <row r="48994" ht="12.75" hidden="1" customHeight="1" x14ac:dyDescent="0.2"/>
    <row r="48995" ht="12.75" hidden="1" customHeight="1" x14ac:dyDescent="0.2"/>
    <row r="48996" ht="12.75" hidden="1" customHeight="1" x14ac:dyDescent="0.2"/>
    <row r="48997" ht="12.75" hidden="1" customHeight="1" x14ac:dyDescent="0.2"/>
    <row r="48998" ht="12.75" hidden="1" customHeight="1" x14ac:dyDescent="0.2"/>
    <row r="48999" ht="12.75" hidden="1" customHeight="1" x14ac:dyDescent="0.2"/>
    <row r="49000" ht="12.75" hidden="1" customHeight="1" x14ac:dyDescent="0.2"/>
    <row r="49001" ht="12.75" hidden="1" customHeight="1" x14ac:dyDescent="0.2"/>
    <row r="49002" ht="12.75" hidden="1" customHeight="1" x14ac:dyDescent="0.2"/>
    <row r="49003" ht="12.75" hidden="1" customHeight="1" x14ac:dyDescent="0.2"/>
    <row r="49004" ht="12.75" hidden="1" customHeight="1" x14ac:dyDescent="0.2"/>
    <row r="49005" ht="12.75" hidden="1" customHeight="1" x14ac:dyDescent="0.2"/>
    <row r="49006" ht="12.75" hidden="1" customHeight="1" x14ac:dyDescent="0.2"/>
    <row r="49007" ht="12.75" hidden="1" customHeight="1" x14ac:dyDescent="0.2"/>
    <row r="49008" ht="12.75" hidden="1" customHeight="1" x14ac:dyDescent="0.2"/>
    <row r="49009" ht="12.75" hidden="1" customHeight="1" x14ac:dyDescent="0.2"/>
    <row r="49010" ht="12.75" hidden="1" customHeight="1" x14ac:dyDescent="0.2"/>
    <row r="49011" ht="12.75" hidden="1" customHeight="1" x14ac:dyDescent="0.2"/>
    <row r="49012" ht="12.75" hidden="1" customHeight="1" x14ac:dyDescent="0.2"/>
    <row r="49013" ht="12.75" hidden="1" customHeight="1" x14ac:dyDescent="0.2"/>
    <row r="49014" ht="12.75" hidden="1" customHeight="1" x14ac:dyDescent="0.2"/>
    <row r="49015" ht="12.75" hidden="1" customHeight="1" x14ac:dyDescent="0.2"/>
    <row r="49016" ht="12.75" hidden="1" customHeight="1" x14ac:dyDescent="0.2"/>
    <row r="49017" ht="12.75" hidden="1" customHeight="1" x14ac:dyDescent="0.2"/>
    <row r="49018" ht="12.75" hidden="1" customHeight="1" x14ac:dyDescent="0.2"/>
    <row r="49019" ht="12.75" hidden="1" customHeight="1" x14ac:dyDescent="0.2"/>
    <row r="49020" ht="12.75" hidden="1" customHeight="1" x14ac:dyDescent="0.2"/>
    <row r="49021" ht="12.75" hidden="1" customHeight="1" x14ac:dyDescent="0.2"/>
    <row r="49022" ht="12.75" hidden="1" customHeight="1" x14ac:dyDescent="0.2"/>
    <row r="49023" ht="12.75" hidden="1" customHeight="1" x14ac:dyDescent="0.2"/>
    <row r="49024" ht="12.75" hidden="1" customHeight="1" x14ac:dyDescent="0.2"/>
    <row r="49025" ht="12.75" hidden="1" customHeight="1" x14ac:dyDescent="0.2"/>
    <row r="49026" ht="12.75" hidden="1" customHeight="1" x14ac:dyDescent="0.2"/>
    <row r="49027" ht="12.75" hidden="1" customHeight="1" x14ac:dyDescent="0.2"/>
    <row r="49028" ht="12.75" hidden="1" customHeight="1" x14ac:dyDescent="0.2"/>
    <row r="49029" ht="12.75" hidden="1" customHeight="1" x14ac:dyDescent="0.2"/>
    <row r="49030" ht="12.75" hidden="1" customHeight="1" x14ac:dyDescent="0.2"/>
    <row r="49031" ht="12.75" hidden="1" customHeight="1" x14ac:dyDescent="0.2"/>
    <row r="49032" ht="12.75" hidden="1" customHeight="1" x14ac:dyDescent="0.2"/>
    <row r="49033" ht="12.75" hidden="1" customHeight="1" x14ac:dyDescent="0.2"/>
    <row r="49034" ht="12.75" hidden="1" customHeight="1" x14ac:dyDescent="0.2"/>
    <row r="49035" ht="12.75" hidden="1" customHeight="1" x14ac:dyDescent="0.2"/>
    <row r="49036" ht="12.75" hidden="1" customHeight="1" x14ac:dyDescent="0.2"/>
    <row r="49037" ht="12.75" hidden="1" customHeight="1" x14ac:dyDescent="0.2"/>
    <row r="49038" ht="12.75" hidden="1" customHeight="1" x14ac:dyDescent="0.2"/>
    <row r="49039" ht="12.75" hidden="1" customHeight="1" x14ac:dyDescent="0.2"/>
    <row r="49040" ht="12.75" hidden="1" customHeight="1" x14ac:dyDescent="0.2"/>
    <row r="49041" ht="12.75" hidden="1" customHeight="1" x14ac:dyDescent="0.2"/>
    <row r="49042" ht="12.75" hidden="1" customHeight="1" x14ac:dyDescent="0.2"/>
    <row r="49043" ht="12.75" hidden="1" customHeight="1" x14ac:dyDescent="0.2"/>
    <row r="49044" ht="12.75" hidden="1" customHeight="1" x14ac:dyDescent="0.2"/>
    <row r="49045" ht="12.75" hidden="1" customHeight="1" x14ac:dyDescent="0.2"/>
    <row r="49046" ht="12.75" hidden="1" customHeight="1" x14ac:dyDescent="0.2"/>
    <row r="49047" ht="12.75" hidden="1" customHeight="1" x14ac:dyDescent="0.2"/>
    <row r="49048" ht="12.75" hidden="1" customHeight="1" x14ac:dyDescent="0.2"/>
    <row r="49049" ht="12.75" hidden="1" customHeight="1" x14ac:dyDescent="0.2"/>
    <row r="49050" ht="12.75" hidden="1" customHeight="1" x14ac:dyDescent="0.2"/>
    <row r="49051" ht="12.75" hidden="1" customHeight="1" x14ac:dyDescent="0.2"/>
    <row r="49052" ht="12.75" hidden="1" customHeight="1" x14ac:dyDescent="0.2"/>
    <row r="49053" ht="12.75" hidden="1" customHeight="1" x14ac:dyDescent="0.2"/>
    <row r="49054" ht="12.75" hidden="1" customHeight="1" x14ac:dyDescent="0.2"/>
    <row r="49055" ht="12.75" hidden="1" customHeight="1" x14ac:dyDescent="0.2"/>
    <row r="49056" ht="12.75" hidden="1" customHeight="1" x14ac:dyDescent="0.2"/>
    <row r="49057" ht="12.75" hidden="1" customHeight="1" x14ac:dyDescent="0.2"/>
    <row r="49058" ht="12.75" hidden="1" customHeight="1" x14ac:dyDescent="0.2"/>
    <row r="49059" ht="12.75" hidden="1" customHeight="1" x14ac:dyDescent="0.2"/>
    <row r="49060" ht="12.75" hidden="1" customHeight="1" x14ac:dyDescent="0.2"/>
    <row r="49061" ht="12.75" hidden="1" customHeight="1" x14ac:dyDescent="0.2"/>
    <row r="49062" ht="12.75" hidden="1" customHeight="1" x14ac:dyDescent="0.2"/>
    <row r="49063" ht="12.75" hidden="1" customHeight="1" x14ac:dyDescent="0.2"/>
    <row r="49064" ht="12.75" hidden="1" customHeight="1" x14ac:dyDescent="0.2"/>
    <row r="49065" ht="12.75" hidden="1" customHeight="1" x14ac:dyDescent="0.2"/>
    <row r="49066" ht="12.75" hidden="1" customHeight="1" x14ac:dyDescent="0.2"/>
    <row r="49067" ht="12.75" hidden="1" customHeight="1" x14ac:dyDescent="0.2"/>
    <row r="49068" ht="12.75" hidden="1" customHeight="1" x14ac:dyDescent="0.2"/>
    <row r="49069" ht="12.75" hidden="1" customHeight="1" x14ac:dyDescent="0.2"/>
    <row r="49070" ht="12.75" hidden="1" customHeight="1" x14ac:dyDescent="0.2"/>
    <row r="49071" ht="12.75" hidden="1" customHeight="1" x14ac:dyDescent="0.2"/>
    <row r="49072" ht="12.75" hidden="1" customHeight="1" x14ac:dyDescent="0.2"/>
    <row r="49073" ht="12.75" hidden="1" customHeight="1" x14ac:dyDescent="0.2"/>
    <row r="49074" ht="12.75" hidden="1" customHeight="1" x14ac:dyDescent="0.2"/>
    <row r="49075" ht="12.75" hidden="1" customHeight="1" x14ac:dyDescent="0.2"/>
    <row r="49076" ht="12.75" hidden="1" customHeight="1" x14ac:dyDescent="0.2"/>
    <row r="49077" ht="12.75" hidden="1" customHeight="1" x14ac:dyDescent="0.2"/>
    <row r="49078" ht="12.75" hidden="1" customHeight="1" x14ac:dyDescent="0.2"/>
    <row r="49079" ht="12.75" hidden="1" customHeight="1" x14ac:dyDescent="0.2"/>
    <row r="49080" ht="12.75" hidden="1" customHeight="1" x14ac:dyDescent="0.2"/>
    <row r="49081" ht="12.75" hidden="1" customHeight="1" x14ac:dyDescent="0.2"/>
    <row r="49082" ht="12.75" hidden="1" customHeight="1" x14ac:dyDescent="0.2"/>
    <row r="49083" ht="12.75" hidden="1" customHeight="1" x14ac:dyDescent="0.2"/>
    <row r="49084" ht="12.75" hidden="1" customHeight="1" x14ac:dyDescent="0.2"/>
    <row r="49085" ht="12.75" hidden="1" customHeight="1" x14ac:dyDescent="0.2"/>
    <row r="49086" ht="12.75" hidden="1" customHeight="1" x14ac:dyDescent="0.2"/>
    <row r="49087" ht="12.75" hidden="1" customHeight="1" x14ac:dyDescent="0.2"/>
    <row r="49088" ht="12.75" hidden="1" customHeight="1" x14ac:dyDescent="0.2"/>
    <row r="49089" ht="12.75" hidden="1" customHeight="1" x14ac:dyDescent="0.2"/>
    <row r="49090" ht="12.75" hidden="1" customHeight="1" x14ac:dyDescent="0.2"/>
    <row r="49091" ht="12.75" hidden="1" customHeight="1" x14ac:dyDescent="0.2"/>
    <row r="49092" ht="12.75" hidden="1" customHeight="1" x14ac:dyDescent="0.2"/>
    <row r="49093" ht="12.75" hidden="1" customHeight="1" x14ac:dyDescent="0.2"/>
    <row r="49094" ht="12.75" hidden="1" customHeight="1" x14ac:dyDescent="0.2"/>
    <row r="49095" ht="12.75" hidden="1" customHeight="1" x14ac:dyDescent="0.2"/>
    <row r="49096" ht="12.75" hidden="1" customHeight="1" x14ac:dyDescent="0.2"/>
    <row r="49097" ht="12.75" hidden="1" customHeight="1" x14ac:dyDescent="0.2"/>
    <row r="49098" ht="12.75" hidden="1" customHeight="1" x14ac:dyDescent="0.2"/>
    <row r="49099" ht="12.75" hidden="1" customHeight="1" x14ac:dyDescent="0.2"/>
    <row r="49100" ht="12.75" hidden="1" customHeight="1" x14ac:dyDescent="0.2"/>
    <row r="49101" ht="12.75" hidden="1" customHeight="1" x14ac:dyDescent="0.2"/>
    <row r="49102" ht="12.75" hidden="1" customHeight="1" x14ac:dyDescent="0.2"/>
    <row r="49103" ht="12.75" hidden="1" customHeight="1" x14ac:dyDescent="0.2"/>
    <row r="49104" ht="12.75" hidden="1" customHeight="1" x14ac:dyDescent="0.2"/>
    <row r="49105" ht="12.75" hidden="1" customHeight="1" x14ac:dyDescent="0.2"/>
    <row r="49106" ht="12.75" hidden="1" customHeight="1" x14ac:dyDescent="0.2"/>
    <row r="49107" ht="12.75" hidden="1" customHeight="1" x14ac:dyDescent="0.2"/>
    <row r="49108" ht="12.75" hidden="1" customHeight="1" x14ac:dyDescent="0.2"/>
    <row r="49109" ht="12.75" hidden="1" customHeight="1" x14ac:dyDescent="0.2"/>
    <row r="49110" ht="12.75" hidden="1" customHeight="1" x14ac:dyDescent="0.2"/>
    <row r="49111" ht="12.75" hidden="1" customHeight="1" x14ac:dyDescent="0.2"/>
    <row r="49112" ht="12.75" hidden="1" customHeight="1" x14ac:dyDescent="0.2"/>
    <row r="49113" ht="12.75" hidden="1" customHeight="1" x14ac:dyDescent="0.2"/>
    <row r="49114" ht="12.75" hidden="1" customHeight="1" x14ac:dyDescent="0.2"/>
    <row r="49115" ht="12.75" hidden="1" customHeight="1" x14ac:dyDescent="0.2"/>
    <row r="49116" ht="12.75" hidden="1" customHeight="1" x14ac:dyDescent="0.2"/>
    <row r="49117" ht="12.75" hidden="1" customHeight="1" x14ac:dyDescent="0.2"/>
    <row r="49118" ht="12.75" hidden="1" customHeight="1" x14ac:dyDescent="0.2"/>
    <row r="49119" ht="12.75" hidden="1" customHeight="1" x14ac:dyDescent="0.2"/>
    <row r="49120" ht="12.75" hidden="1" customHeight="1" x14ac:dyDescent="0.2"/>
    <row r="49121" ht="12.75" hidden="1" customHeight="1" x14ac:dyDescent="0.2"/>
    <row r="49122" ht="12.75" hidden="1" customHeight="1" x14ac:dyDescent="0.2"/>
    <row r="49123" ht="12.75" hidden="1" customHeight="1" x14ac:dyDescent="0.2"/>
    <row r="49124" ht="12.75" hidden="1" customHeight="1" x14ac:dyDescent="0.2"/>
    <row r="49125" ht="12.75" hidden="1" customHeight="1" x14ac:dyDescent="0.2"/>
    <row r="49126" ht="12.75" hidden="1" customHeight="1" x14ac:dyDescent="0.2"/>
    <row r="49127" ht="12.75" hidden="1" customHeight="1" x14ac:dyDescent="0.2"/>
    <row r="49128" ht="12.75" hidden="1" customHeight="1" x14ac:dyDescent="0.2"/>
    <row r="49129" ht="12.75" hidden="1" customHeight="1" x14ac:dyDescent="0.2"/>
    <row r="49130" ht="12.75" hidden="1" customHeight="1" x14ac:dyDescent="0.2"/>
    <row r="49131" ht="12.75" hidden="1" customHeight="1" x14ac:dyDescent="0.2"/>
    <row r="49132" ht="12.75" hidden="1" customHeight="1" x14ac:dyDescent="0.2"/>
    <row r="49133" ht="12.75" hidden="1" customHeight="1" x14ac:dyDescent="0.2"/>
    <row r="49134" ht="12.75" hidden="1" customHeight="1" x14ac:dyDescent="0.2"/>
    <row r="49135" ht="12.75" hidden="1" customHeight="1" x14ac:dyDescent="0.2"/>
    <row r="49136" ht="12.75" hidden="1" customHeight="1" x14ac:dyDescent="0.2"/>
    <row r="49137" ht="12.75" hidden="1" customHeight="1" x14ac:dyDescent="0.2"/>
    <row r="49138" ht="12.75" hidden="1" customHeight="1" x14ac:dyDescent="0.2"/>
    <row r="49139" ht="12.75" hidden="1" customHeight="1" x14ac:dyDescent="0.2"/>
    <row r="49140" ht="12.75" hidden="1" customHeight="1" x14ac:dyDescent="0.2"/>
    <row r="49141" ht="12.75" hidden="1" customHeight="1" x14ac:dyDescent="0.2"/>
    <row r="49142" ht="12.75" hidden="1" customHeight="1" x14ac:dyDescent="0.2"/>
    <row r="49143" ht="12.75" hidden="1" customHeight="1" x14ac:dyDescent="0.2"/>
    <row r="49144" ht="12.75" hidden="1" customHeight="1" x14ac:dyDescent="0.2"/>
    <row r="49145" ht="12.75" hidden="1" customHeight="1" x14ac:dyDescent="0.2"/>
    <row r="49146" ht="12.75" hidden="1" customHeight="1" x14ac:dyDescent="0.2"/>
    <row r="49147" ht="12.75" hidden="1" customHeight="1" x14ac:dyDescent="0.2"/>
    <row r="49148" ht="12.75" hidden="1" customHeight="1" x14ac:dyDescent="0.2"/>
    <row r="49149" ht="12.75" hidden="1" customHeight="1" x14ac:dyDescent="0.2"/>
    <row r="49150" ht="12.75" hidden="1" customHeight="1" x14ac:dyDescent="0.2"/>
    <row r="49151" ht="12.75" hidden="1" customHeight="1" x14ac:dyDescent="0.2"/>
    <row r="49152" ht="12.75" hidden="1" customHeight="1" x14ac:dyDescent="0.2"/>
    <row r="49153" ht="12.75" hidden="1" customHeight="1" x14ac:dyDescent="0.2"/>
    <row r="49154" ht="12.75" hidden="1" customHeight="1" x14ac:dyDescent="0.2"/>
    <row r="49155" ht="12.75" hidden="1" customHeight="1" x14ac:dyDescent="0.2"/>
    <row r="49156" ht="12.75" hidden="1" customHeight="1" x14ac:dyDescent="0.2"/>
    <row r="49157" ht="12.75" hidden="1" customHeight="1" x14ac:dyDescent="0.2"/>
    <row r="49158" ht="12.75" hidden="1" customHeight="1" x14ac:dyDescent="0.2"/>
    <row r="49159" ht="12.75" hidden="1" customHeight="1" x14ac:dyDescent="0.2"/>
    <row r="49160" ht="12.75" hidden="1" customHeight="1" x14ac:dyDescent="0.2"/>
    <row r="49161" ht="12.75" hidden="1" customHeight="1" x14ac:dyDescent="0.2"/>
    <row r="49162" ht="12.75" hidden="1" customHeight="1" x14ac:dyDescent="0.2"/>
    <row r="49163" ht="12.75" hidden="1" customHeight="1" x14ac:dyDescent="0.2"/>
    <row r="49164" ht="12.75" hidden="1" customHeight="1" x14ac:dyDescent="0.2"/>
    <row r="49165" ht="12.75" hidden="1" customHeight="1" x14ac:dyDescent="0.2"/>
    <row r="49166" ht="12.75" hidden="1" customHeight="1" x14ac:dyDescent="0.2"/>
    <row r="49167" ht="12.75" hidden="1" customHeight="1" x14ac:dyDescent="0.2"/>
    <row r="49168" ht="12.75" hidden="1" customHeight="1" x14ac:dyDescent="0.2"/>
    <row r="49169" ht="12.75" hidden="1" customHeight="1" x14ac:dyDescent="0.2"/>
    <row r="49170" ht="12.75" hidden="1" customHeight="1" x14ac:dyDescent="0.2"/>
    <row r="49171" ht="12.75" hidden="1" customHeight="1" x14ac:dyDescent="0.2"/>
    <row r="49172" ht="12.75" hidden="1" customHeight="1" x14ac:dyDescent="0.2"/>
    <row r="49173" ht="12.75" hidden="1" customHeight="1" x14ac:dyDescent="0.2"/>
    <row r="49174" ht="12.75" hidden="1" customHeight="1" x14ac:dyDescent="0.2"/>
    <row r="49175" ht="12.75" hidden="1" customHeight="1" x14ac:dyDescent="0.2"/>
    <row r="49176" ht="12.75" hidden="1" customHeight="1" x14ac:dyDescent="0.2"/>
    <row r="49177" ht="12.75" hidden="1" customHeight="1" x14ac:dyDescent="0.2"/>
    <row r="49178" ht="12.75" hidden="1" customHeight="1" x14ac:dyDescent="0.2"/>
    <row r="49179" ht="12.75" hidden="1" customHeight="1" x14ac:dyDescent="0.2"/>
    <row r="49180" ht="12.75" hidden="1" customHeight="1" x14ac:dyDescent="0.2"/>
    <row r="49181" ht="12.75" hidden="1" customHeight="1" x14ac:dyDescent="0.2"/>
    <row r="49182" ht="12.75" hidden="1" customHeight="1" x14ac:dyDescent="0.2"/>
    <row r="49183" ht="12.75" hidden="1" customHeight="1" x14ac:dyDescent="0.2"/>
    <row r="49184" ht="12.75" hidden="1" customHeight="1" x14ac:dyDescent="0.2"/>
    <row r="49185" ht="12.75" hidden="1" customHeight="1" x14ac:dyDescent="0.2"/>
    <row r="49186" ht="12.75" hidden="1" customHeight="1" x14ac:dyDescent="0.2"/>
    <row r="49187" ht="12.75" hidden="1" customHeight="1" x14ac:dyDescent="0.2"/>
    <row r="49188" ht="12.75" hidden="1" customHeight="1" x14ac:dyDescent="0.2"/>
    <row r="49189" ht="12.75" hidden="1" customHeight="1" x14ac:dyDescent="0.2"/>
    <row r="49190" ht="12.75" hidden="1" customHeight="1" x14ac:dyDescent="0.2"/>
    <row r="49191" ht="12.75" hidden="1" customHeight="1" x14ac:dyDescent="0.2"/>
    <row r="49192" ht="12.75" hidden="1" customHeight="1" x14ac:dyDescent="0.2"/>
    <row r="49193" ht="12.75" hidden="1" customHeight="1" x14ac:dyDescent="0.2"/>
    <row r="49194" ht="12.75" hidden="1" customHeight="1" x14ac:dyDescent="0.2"/>
    <row r="49195" ht="12.75" hidden="1" customHeight="1" x14ac:dyDescent="0.2"/>
    <row r="49196" ht="12.75" hidden="1" customHeight="1" x14ac:dyDescent="0.2"/>
    <row r="49197" ht="12.75" hidden="1" customHeight="1" x14ac:dyDescent="0.2"/>
    <row r="49198" ht="12.75" hidden="1" customHeight="1" x14ac:dyDescent="0.2"/>
    <row r="49199" ht="12.75" hidden="1" customHeight="1" x14ac:dyDescent="0.2"/>
    <row r="49200" ht="12.75" hidden="1" customHeight="1" x14ac:dyDescent="0.2"/>
    <row r="49201" ht="12.75" hidden="1" customHeight="1" x14ac:dyDescent="0.2"/>
    <row r="49202" ht="12.75" hidden="1" customHeight="1" x14ac:dyDescent="0.2"/>
    <row r="49203" ht="12.75" hidden="1" customHeight="1" x14ac:dyDescent="0.2"/>
    <row r="49204" ht="12.75" hidden="1" customHeight="1" x14ac:dyDescent="0.2"/>
    <row r="49205" ht="12.75" hidden="1" customHeight="1" x14ac:dyDescent="0.2"/>
    <row r="49206" ht="12.75" hidden="1" customHeight="1" x14ac:dyDescent="0.2"/>
    <row r="49207" ht="12.75" hidden="1" customHeight="1" x14ac:dyDescent="0.2"/>
    <row r="49208" ht="12.75" hidden="1" customHeight="1" x14ac:dyDescent="0.2"/>
    <row r="49209" ht="12.75" hidden="1" customHeight="1" x14ac:dyDescent="0.2"/>
    <row r="49210" ht="12.75" hidden="1" customHeight="1" x14ac:dyDescent="0.2"/>
    <row r="49211" ht="12.75" hidden="1" customHeight="1" x14ac:dyDescent="0.2"/>
    <row r="49212" ht="12.75" hidden="1" customHeight="1" x14ac:dyDescent="0.2"/>
    <row r="49213" ht="12.75" hidden="1" customHeight="1" x14ac:dyDescent="0.2"/>
    <row r="49214" ht="12.75" hidden="1" customHeight="1" x14ac:dyDescent="0.2"/>
    <row r="49215" ht="12.75" hidden="1" customHeight="1" x14ac:dyDescent="0.2"/>
    <row r="49216" ht="12.75" hidden="1" customHeight="1" x14ac:dyDescent="0.2"/>
    <row r="49217" ht="12.75" hidden="1" customHeight="1" x14ac:dyDescent="0.2"/>
    <row r="49218" ht="12.75" hidden="1" customHeight="1" x14ac:dyDescent="0.2"/>
    <row r="49219" ht="12.75" hidden="1" customHeight="1" x14ac:dyDescent="0.2"/>
    <row r="49220" ht="12.75" hidden="1" customHeight="1" x14ac:dyDescent="0.2"/>
    <row r="49221" ht="12.75" hidden="1" customHeight="1" x14ac:dyDescent="0.2"/>
    <row r="49222" ht="12.75" hidden="1" customHeight="1" x14ac:dyDescent="0.2"/>
    <row r="49223" ht="12.75" hidden="1" customHeight="1" x14ac:dyDescent="0.2"/>
    <row r="49224" ht="12.75" hidden="1" customHeight="1" x14ac:dyDescent="0.2"/>
    <row r="49225" ht="12.75" hidden="1" customHeight="1" x14ac:dyDescent="0.2"/>
    <row r="49226" ht="12.75" hidden="1" customHeight="1" x14ac:dyDescent="0.2"/>
    <row r="49227" ht="12.75" hidden="1" customHeight="1" x14ac:dyDescent="0.2"/>
    <row r="49228" ht="12.75" hidden="1" customHeight="1" x14ac:dyDescent="0.2"/>
    <row r="49229" ht="12.75" hidden="1" customHeight="1" x14ac:dyDescent="0.2"/>
    <row r="49230" ht="12.75" hidden="1" customHeight="1" x14ac:dyDescent="0.2"/>
    <row r="49231" ht="12.75" hidden="1" customHeight="1" x14ac:dyDescent="0.2"/>
    <row r="49232" ht="12.75" hidden="1" customHeight="1" x14ac:dyDescent="0.2"/>
    <row r="49233" ht="12.75" hidden="1" customHeight="1" x14ac:dyDescent="0.2"/>
    <row r="49234" ht="12.75" hidden="1" customHeight="1" x14ac:dyDescent="0.2"/>
    <row r="49235" ht="12.75" hidden="1" customHeight="1" x14ac:dyDescent="0.2"/>
    <row r="49236" ht="12.75" hidden="1" customHeight="1" x14ac:dyDescent="0.2"/>
    <row r="49237" ht="12.75" hidden="1" customHeight="1" x14ac:dyDescent="0.2"/>
    <row r="49238" ht="12.75" hidden="1" customHeight="1" x14ac:dyDescent="0.2"/>
    <row r="49239" ht="12.75" hidden="1" customHeight="1" x14ac:dyDescent="0.2"/>
    <row r="49240" ht="12.75" hidden="1" customHeight="1" x14ac:dyDescent="0.2"/>
    <row r="49241" ht="12.75" hidden="1" customHeight="1" x14ac:dyDescent="0.2"/>
    <row r="49242" ht="12.75" hidden="1" customHeight="1" x14ac:dyDescent="0.2"/>
    <row r="49243" ht="12.75" hidden="1" customHeight="1" x14ac:dyDescent="0.2"/>
    <row r="49244" ht="12.75" hidden="1" customHeight="1" x14ac:dyDescent="0.2"/>
    <row r="49245" ht="12.75" hidden="1" customHeight="1" x14ac:dyDescent="0.2"/>
    <row r="49246" ht="12.75" hidden="1" customHeight="1" x14ac:dyDescent="0.2"/>
    <row r="49247" ht="12.75" hidden="1" customHeight="1" x14ac:dyDescent="0.2"/>
    <row r="49248" ht="12.75" hidden="1" customHeight="1" x14ac:dyDescent="0.2"/>
    <row r="49249" ht="12.75" hidden="1" customHeight="1" x14ac:dyDescent="0.2"/>
    <row r="49250" ht="12.75" hidden="1" customHeight="1" x14ac:dyDescent="0.2"/>
    <row r="49251" ht="12.75" hidden="1" customHeight="1" x14ac:dyDescent="0.2"/>
    <row r="49252" ht="12.75" hidden="1" customHeight="1" x14ac:dyDescent="0.2"/>
    <row r="49253" ht="12.75" hidden="1" customHeight="1" x14ac:dyDescent="0.2"/>
    <row r="49254" ht="12.75" hidden="1" customHeight="1" x14ac:dyDescent="0.2"/>
    <row r="49255" ht="12.75" hidden="1" customHeight="1" x14ac:dyDescent="0.2"/>
    <row r="49256" ht="12.75" hidden="1" customHeight="1" x14ac:dyDescent="0.2"/>
    <row r="49257" ht="12.75" hidden="1" customHeight="1" x14ac:dyDescent="0.2"/>
    <row r="49258" ht="12.75" hidden="1" customHeight="1" x14ac:dyDescent="0.2"/>
    <row r="49259" ht="12.75" hidden="1" customHeight="1" x14ac:dyDescent="0.2"/>
    <row r="49260" ht="12.75" hidden="1" customHeight="1" x14ac:dyDescent="0.2"/>
    <row r="49261" ht="12.75" hidden="1" customHeight="1" x14ac:dyDescent="0.2"/>
    <row r="49262" ht="12.75" hidden="1" customHeight="1" x14ac:dyDescent="0.2"/>
    <row r="49263" ht="12.75" hidden="1" customHeight="1" x14ac:dyDescent="0.2"/>
    <row r="49264" ht="12.75" hidden="1" customHeight="1" x14ac:dyDescent="0.2"/>
    <row r="49265" ht="12.75" hidden="1" customHeight="1" x14ac:dyDescent="0.2"/>
    <row r="49266" ht="12.75" hidden="1" customHeight="1" x14ac:dyDescent="0.2"/>
    <row r="49267" ht="12.75" hidden="1" customHeight="1" x14ac:dyDescent="0.2"/>
    <row r="49268" ht="12.75" hidden="1" customHeight="1" x14ac:dyDescent="0.2"/>
    <row r="49269" ht="12.75" hidden="1" customHeight="1" x14ac:dyDescent="0.2"/>
    <row r="49270" ht="12.75" hidden="1" customHeight="1" x14ac:dyDescent="0.2"/>
    <row r="49271" ht="12.75" hidden="1" customHeight="1" x14ac:dyDescent="0.2"/>
    <row r="49272" ht="12.75" hidden="1" customHeight="1" x14ac:dyDescent="0.2"/>
    <row r="49273" ht="12.75" hidden="1" customHeight="1" x14ac:dyDescent="0.2"/>
    <row r="49274" ht="12.75" hidden="1" customHeight="1" x14ac:dyDescent="0.2"/>
    <row r="49275" ht="12.75" hidden="1" customHeight="1" x14ac:dyDescent="0.2"/>
    <row r="49276" ht="12.75" hidden="1" customHeight="1" x14ac:dyDescent="0.2"/>
    <row r="49277" ht="12.75" hidden="1" customHeight="1" x14ac:dyDescent="0.2"/>
    <row r="49278" ht="12.75" hidden="1" customHeight="1" x14ac:dyDescent="0.2"/>
    <row r="49279" ht="12.75" hidden="1" customHeight="1" x14ac:dyDescent="0.2"/>
    <row r="49280" ht="12.75" hidden="1" customHeight="1" x14ac:dyDescent="0.2"/>
    <row r="49281" ht="12.75" hidden="1" customHeight="1" x14ac:dyDescent="0.2"/>
    <row r="49282" ht="12.75" hidden="1" customHeight="1" x14ac:dyDescent="0.2"/>
    <row r="49283" ht="12.75" hidden="1" customHeight="1" x14ac:dyDescent="0.2"/>
    <row r="49284" ht="12.75" hidden="1" customHeight="1" x14ac:dyDescent="0.2"/>
    <row r="49285" ht="12.75" hidden="1" customHeight="1" x14ac:dyDescent="0.2"/>
    <row r="49286" ht="12.75" hidden="1" customHeight="1" x14ac:dyDescent="0.2"/>
    <row r="49287" ht="12.75" hidden="1" customHeight="1" x14ac:dyDescent="0.2"/>
    <row r="49288" ht="12.75" hidden="1" customHeight="1" x14ac:dyDescent="0.2"/>
    <row r="49289" ht="12.75" hidden="1" customHeight="1" x14ac:dyDescent="0.2"/>
    <row r="49290" ht="12.75" hidden="1" customHeight="1" x14ac:dyDescent="0.2"/>
    <row r="49291" ht="12.75" hidden="1" customHeight="1" x14ac:dyDescent="0.2"/>
    <row r="49292" ht="12.75" hidden="1" customHeight="1" x14ac:dyDescent="0.2"/>
    <row r="49293" ht="12.75" hidden="1" customHeight="1" x14ac:dyDescent="0.2"/>
    <row r="49294" ht="12.75" hidden="1" customHeight="1" x14ac:dyDescent="0.2"/>
    <row r="49295" ht="12.75" hidden="1" customHeight="1" x14ac:dyDescent="0.2"/>
    <row r="49296" ht="12.75" hidden="1" customHeight="1" x14ac:dyDescent="0.2"/>
    <row r="49297" ht="12.75" hidden="1" customHeight="1" x14ac:dyDescent="0.2"/>
    <row r="49298" ht="12.75" hidden="1" customHeight="1" x14ac:dyDescent="0.2"/>
    <row r="49299" ht="12.75" hidden="1" customHeight="1" x14ac:dyDescent="0.2"/>
    <row r="49300" ht="12.75" hidden="1" customHeight="1" x14ac:dyDescent="0.2"/>
    <row r="49301" ht="12.75" hidden="1" customHeight="1" x14ac:dyDescent="0.2"/>
    <row r="49302" ht="12.75" hidden="1" customHeight="1" x14ac:dyDescent="0.2"/>
    <row r="49303" ht="12.75" hidden="1" customHeight="1" x14ac:dyDescent="0.2"/>
    <row r="49304" ht="12.75" hidden="1" customHeight="1" x14ac:dyDescent="0.2"/>
    <row r="49305" ht="12.75" hidden="1" customHeight="1" x14ac:dyDescent="0.2"/>
    <row r="49306" ht="12.75" hidden="1" customHeight="1" x14ac:dyDescent="0.2"/>
    <row r="49307" ht="12.75" hidden="1" customHeight="1" x14ac:dyDescent="0.2"/>
    <row r="49308" ht="12.75" hidden="1" customHeight="1" x14ac:dyDescent="0.2"/>
    <row r="49309" ht="12.75" hidden="1" customHeight="1" x14ac:dyDescent="0.2"/>
    <row r="49310" ht="12.75" hidden="1" customHeight="1" x14ac:dyDescent="0.2"/>
    <row r="49311" ht="12.75" hidden="1" customHeight="1" x14ac:dyDescent="0.2"/>
    <row r="49312" ht="12.75" hidden="1" customHeight="1" x14ac:dyDescent="0.2"/>
    <row r="49313" ht="12.75" hidden="1" customHeight="1" x14ac:dyDescent="0.2"/>
    <row r="49314" ht="12.75" hidden="1" customHeight="1" x14ac:dyDescent="0.2"/>
    <row r="49315" ht="12.75" hidden="1" customHeight="1" x14ac:dyDescent="0.2"/>
    <row r="49316" ht="12.75" hidden="1" customHeight="1" x14ac:dyDescent="0.2"/>
    <row r="49317" ht="12.75" hidden="1" customHeight="1" x14ac:dyDescent="0.2"/>
    <row r="49318" ht="12.75" hidden="1" customHeight="1" x14ac:dyDescent="0.2"/>
    <row r="49319" ht="12.75" hidden="1" customHeight="1" x14ac:dyDescent="0.2"/>
    <row r="49320" ht="12.75" hidden="1" customHeight="1" x14ac:dyDescent="0.2"/>
    <row r="49321" ht="12.75" hidden="1" customHeight="1" x14ac:dyDescent="0.2"/>
    <row r="49322" ht="12.75" hidden="1" customHeight="1" x14ac:dyDescent="0.2"/>
    <row r="49323" ht="12.75" hidden="1" customHeight="1" x14ac:dyDescent="0.2"/>
    <row r="49324" ht="12.75" hidden="1" customHeight="1" x14ac:dyDescent="0.2"/>
    <row r="49325" ht="12.75" hidden="1" customHeight="1" x14ac:dyDescent="0.2"/>
    <row r="49326" ht="12.75" hidden="1" customHeight="1" x14ac:dyDescent="0.2"/>
    <row r="49327" ht="12.75" hidden="1" customHeight="1" x14ac:dyDescent="0.2"/>
    <row r="49328" ht="12.75" hidden="1" customHeight="1" x14ac:dyDescent="0.2"/>
    <row r="49329" ht="12.75" hidden="1" customHeight="1" x14ac:dyDescent="0.2"/>
    <row r="49330" ht="12.75" hidden="1" customHeight="1" x14ac:dyDescent="0.2"/>
    <row r="49331" ht="12.75" hidden="1" customHeight="1" x14ac:dyDescent="0.2"/>
    <row r="49332" ht="12.75" hidden="1" customHeight="1" x14ac:dyDescent="0.2"/>
    <row r="49333" ht="12.75" hidden="1" customHeight="1" x14ac:dyDescent="0.2"/>
    <row r="49334" ht="12.75" hidden="1" customHeight="1" x14ac:dyDescent="0.2"/>
    <row r="49335" ht="12.75" hidden="1" customHeight="1" x14ac:dyDescent="0.2"/>
    <row r="49336" ht="12.75" hidden="1" customHeight="1" x14ac:dyDescent="0.2"/>
    <row r="49337" ht="12.75" hidden="1" customHeight="1" x14ac:dyDescent="0.2"/>
    <row r="49338" ht="12.75" hidden="1" customHeight="1" x14ac:dyDescent="0.2"/>
    <row r="49339" ht="12.75" hidden="1" customHeight="1" x14ac:dyDescent="0.2"/>
    <row r="49340" ht="12.75" hidden="1" customHeight="1" x14ac:dyDescent="0.2"/>
    <row r="49341" ht="12.75" hidden="1" customHeight="1" x14ac:dyDescent="0.2"/>
    <row r="49342" ht="12.75" hidden="1" customHeight="1" x14ac:dyDescent="0.2"/>
    <row r="49343" ht="12.75" hidden="1" customHeight="1" x14ac:dyDescent="0.2"/>
    <row r="49344" ht="12.75" hidden="1" customHeight="1" x14ac:dyDescent="0.2"/>
    <row r="49345" ht="12.75" hidden="1" customHeight="1" x14ac:dyDescent="0.2"/>
    <row r="49346" ht="12.75" hidden="1" customHeight="1" x14ac:dyDescent="0.2"/>
    <row r="49347" ht="12.75" hidden="1" customHeight="1" x14ac:dyDescent="0.2"/>
    <row r="49348" ht="12.75" hidden="1" customHeight="1" x14ac:dyDescent="0.2"/>
    <row r="49349" ht="12.75" hidden="1" customHeight="1" x14ac:dyDescent="0.2"/>
    <row r="49350" ht="12.75" hidden="1" customHeight="1" x14ac:dyDescent="0.2"/>
    <row r="49351" ht="12.75" hidden="1" customHeight="1" x14ac:dyDescent="0.2"/>
    <row r="49352" ht="12.75" hidden="1" customHeight="1" x14ac:dyDescent="0.2"/>
    <row r="49353" ht="12.75" hidden="1" customHeight="1" x14ac:dyDescent="0.2"/>
    <row r="49354" ht="12.75" hidden="1" customHeight="1" x14ac:dyDescent="0.2"/>
    <row r="49355" ht="12.75" hidden="1" customHeight="1" x14ac:dyDescent="0.2"/>
    <row r="49356" ht="12.75" hidden="1" customHeight="1" x14ac:dyDescent="0.2"/>
    <row r="49357" ht="12.75" hidden="1" customHeight="1" x14ac:dyDescent="0.2"/>
    <row r="49358" ht="12.75" hidden="1" customHeight="1" x14ac:dyDescent="0.2"/>
    <row r="49359" ht="12.75" hidden="1" customHeight="1" x14ac:dyDescent="0.2"/>
    <row r="49360" ht="12.75" hidden="1" customHeight="1" x14ac:dyDescent="0.2"/>
    <row r="49361" ht="12.75" hidden="1" customHeight="1" x14ac:dyDescent="0.2"/>
    <row r="49362" ht="12.75" hidden="1" customHeight="1" x14ac:dyDescent="0.2"/>
    <row r="49363" ht="12.75" hidden="1" customHeight="1" x14ac:dyDescent="0.2"/>
    <row r="49364" ht="12.75" hidden="1" customHeight="1" x14ac:dyDescent="0.2"/>
    <row r="49365" ht="12.75" hidden="1" customHeight="1" x14ac:dyDescent="0.2"/>
    <row r="49366" ht="12.75" hidden="1" customHeight="1" x14ac:dyDescent="0.2"/>
    <row r="49367" ht="12.75" hidden="1" customHeight="1" x14ac:dyDescent="0.2"/>
    <row r="49368" ht="12.75" hidden="1" customHeight="1" x14ac:dyDescent="0.2"/>
    <row r="49369" ht="12.75" hidden="1" customHeight="1" x14ac:dyDescent="0.2"/>
    <row r="49370" ht="12.75" hidden="1" customHeight="1" x14ac:dyDescent="0.2"/>
    <row r="49371" ht="12.75" hidden="1" customHeight="1" x14ac:dyDescent="0.2"/>
    <row r="49372" ht="12.75" hidden="1" customHeight="1" x14ac:dyDescent="0.2"/>
    <row r="49373" ht="12.75" hidden="1" customHeight="1" x14ac:dyDescent="0.2"/>
    <row r="49374" ht="12.75" hidden="1" customHeight="1" x14ac:dyDescent="0.2"/>
    <row r="49375" ht="12.75" hidden="1" customHeight="1" x14ac:dyDescent="0.2"/>
    <row r="49376" ht="12.75" hidden="1" customHeight="1" x14ac:dyDescent="0.2"/>
    <row r="49377" ht="12.75" hidden="1" customHeight="1" x14ac:dyDescent="0.2"/>
    <row r="49378" ht="12.75" hidden="1" customHeight="1" x14ac:dyDescent="0.2"/>
    <row r="49379" ht="12.75" hidden="1" customHeight="1" x14ac:dyDescent="0.2"/>
    <row r="49380" ht="12.75" hidden="1" customHeight="1" x14ac:dyDescent="0.2"/>
    <row r="49381" ht="12.75" hidden="1" customHeight="1" x14ac:dyDescent="0.2"/>
    <row r="49382" ht="12.75" hidden="1" customHeight="1" x14ac:dyDescent="0.2"/>
    <row r="49383" ht="12.75" hidden="1" customHeight="1" x14ac:dyDescent="0.2"/>
    <row r="49384" ht="12.75" hidden="1" customHeight="1" x14ac:dyDescent="0.2"/>
    <row r="49385" ht="12.75" hidden="1" customHeight="1" x14ac:dyDescent="0.2"/>
    <row r="49386" ht="12.75" hidden="1" customHeight="1" x14ac:dyDescent="0.2"/>
    <row r="49387" ht="12.75" hidden="1" customHeight="1" x14ac:dyDescent="0.2"/>
    <row r="49388" ht="12.75" hidden="1" customHeight="1" x14ac:dyDescent="0.2"/>
    <row r="49389" ht="12.75" hidden="1" customHeight="1" x14ac:dyDescent="0.2"/>
    <row r="49390" ht="12.75" hidden="1" customHeight="1" x14ac:dyDescent="0.2"/>
    <row r="49391" ht="12.75" hidden="1" customHeight="1" x14ac:dyDescent="0.2"/>
    <row r="49392" ht="12.75" hidden="1" customHeight="1" x14ac:dyDescent="0.2"/>
    <row r="49393" ht="12.75" hidden="1" customHeight="1" x14ac:dyDescent="0.2"/>
    <row r="49394" ht="12.75" hidden="1" customHeight="1" x14ac:dyDescent="0.2"/>
    <row r="49395" ht="12.75" hidden="1" customHeight="1" x14ac:dyDescent="0.2"/>
    <row r="49396" ht="12.75" hidden="1" customHeight="1" x14ac:dyDescent="0.2"/>
    <row r="49397" ht="12.75" hidden="1" customHeight="1" x14ac:dyDescent="0.2"/>
    <row r="49398" ht="12.75" hidden="1" customHeight="1" x14ac:dyDescent="0.2"/>
    <row r="49399" ht="12.75" hidden="1" customHeight="1" x14ac:dyDescent="0.2"/>
    <row r="49400" ht="12.75" hidden="1" customHeight="1" x14ac:dyDescent="0.2"/>
    <row r="49401" ht="12.75" hidden="1" customHeight="1" x14ac:dyDescent="0.2"/>
    <row r="49402" ht="12.75" hidden="1" customHeight="1" x14ac:dyDescent="0.2"/>
    <row r="49403" ht="12.75" hidden="1" customHeight="1" x14ac:dyDescent="0.2"/>
    <row r="49404" ht="12.75" hidden="1" customHeight="1" x14ac:dyDescent="0.2"/>
    <row r="49405" ht="12.75" hidden="1" customHeight="1" x14ac:dyDescent="0.2"/>
    <row r="49406" ht="12.75" hidden="1" customHeight="1" x14ac:dyDescent="0.2"/>
    <row r="49407" ht="12.75" hidden="1" customHeight="1" x14ac:dyDescent="0.2"/>
    <row r="49408" ht="12.75" hidden="1" customHeight="1" x14ac:dyDescent="0.2"/>
    <row r="49409" ht="12.75" hidden="1" customHeight="1" x14ac:dyDescent="0.2"/>
    <row r="49410" ht="12.75" hidden="1" customHeight="1" x14ac:dyDescent="0.2"/>
    <row r="49411" ht="12.75" hidden="1" customHeight="1" x14ac:dyDescent="0.2"/>
    <row r="49412" ht="12.75" hidden="1" customHeight="1" x14ac:dyDescent="0.2"/>
    <row r="49413" ht="12.75" hidden="1" customHeight="1" x14ac:dyDescent="0.2"/>
    <row r="49414" ht="12.75" hidden="1" customHeight="1" x14ac:dyDescent="0.2"/>
    <row r="49415" ht="12.75" hidden="1" customHeight="1" x14ac:dyDescent="0.2"/>
    <row r="49416" ht="12.75" hidden="1" customHeight="1" x14ac:dyDescent="0.2"/>
    <row r="49417" ht="12.75" hidden="1" customHeight="1" x14ac:dyDescent="0.2"/>
    <row r="49418" ht="12.75" hidden="1" customHeight="1" x14ac:dyDescent="0.2"/>
    <row r="49419" ht="12.75" hidden="1" customHeight="1" x14ac:dyDescent="0.2"/>
    <row r="49420" ht="12.75" hidden="1" customHeight="1" x14ac:dyDescent="0.2"/>
    <row r="49421" ht="12.75" hidden="1" customHeight="1" x14ac:dyDescent="0.2"/>
    <row r="49422" ht="12.75" hidden="1" customHeight="1" x14ac:dyDescent="0.2"/>
    <row r="49423" ht="12.75" hidden="1" customHeight="1" x14ac:dyDescent="0.2"/>
    <row r="49424" ht="12.75" hidden="1" customHeight="1" x14ac:dyDescent="0.2"/>
    <row r="49425" ht="12.75" hidden="1" customHeight="1" x14ac:dyDescent="0.2"/>
    <row r="49426" ht="12.75" hidden="1" customHeight="1" x14ac:dyDescent="0.2"/>
    <row r="49427" ht="12.75" hidden="1" customHeight="1" x14ac:dyDescent="0.2"/>
    <row r="49428" ht="12.75" hidden="1" customHeight="1" x14ac:dyDescent="0.2"/>
    <row r="49429" ht="12.75" hidden="1" customHeight="1" x14ac:dyDescent="0.2"/>
    <row r="49430" ht="12.75" hidden="1" customHeight="1" x14ac:dyDescent="0.2"/>
    <row r="49431" ht="12.75" hidden="1" customHeight="1" x14ac:dyDescent="0.2"/>
    <row r="49432" ht="12.75" hidden="1" customHeight="1" x14ac:dyDescent="0.2"/>
    <row r="49433" ht="12.75" hidden="1" customHeight="1" x14ac:dyDescent="0.2"/>
    <row r="49434" ht="12.75" hidden="1" customHeight="1" x14ac:dyDescent="0.2"/>
    <row r="49435" ht="12.75" hidden="1" customHeight="1" x14ac:dyDescent="0.2"/>
    <row r="49436" ht="12.75" hidden="1" customHeight="1" x14ac:dyDescent="0.2"/>
    <row r="49437" ht="12.75" hidden="1" customHeight="1" x14ac:dyDescent="0.2"/>
    <row r="49438" ht="12.75" hidden="1" customHeight="1" x14ac:dyDescent="0.2"/>
    <row r="49439" ht="12.75" hidden="1" customHeight="1" x14ac:dyDescent="0.2"/>
    <row r="49440" ht="12.75" hidden="1" customHeight="1" x14ac:dyDescent="0.2"/>
    <row r="49441" ht="12.75" hidden="1" customHeight="1" x14ac:dyDescent="0.2"/>
    <row r="49442" ht="12.75" hidden="1" customHeight="1" x14ac:dyDescent="0.2"/>
    <row r="49443" ht="12.75" hidden="1" customHeight="1" x14ac:dyDescent="0.2"/>
    <row r="49444" ht="12.75" hidden="1" customHeight="1" x14ac:dyDescent="0.2"/>
    <row r="49445" ht="12.75" hidden="1" customHeight="1" x14ac:dyDescent="0.2"/>
    <row r="49446" ht="12.75" hidden="1" customHeight="1" x14ac:dyDescent="0.2"/>
    <row r="49447" ht="12.75" hidden="1" customHeight="1" x14ac:dyDescent="0.2"/>
    <row r="49448" ht="12.75" hidden="1" customHeight="1" x14ac:dyDescent="0.2"/>
    <row r="49449" ht="12.75" hidden="1" customHeight="1" x14ac:dyDescent="0.2"/>
    <row r="49450" ht="12.75" hidden="1" customHeight="1" x14ac:dyDescent="0.2"/>
    <row r="49451" ht="12.75" hidden="1" customHeight="1" x14ac:dyDescent="0.2"/>
    <row r="49452" ht="12.75" hidden="1" customHeight="1" x14ac:dyDescent="0.2"/>
    <row r="49453" ht="12.75" hidden="1" customHeight="1" x14ac:dyDescent="0.2"/>
    <row r="49454" ht="12.75" hidden="1" customHeight="1" x14ac:dyDescent="0.2"/>
    <row r="49455" ht="12.75" hidden="1" customHeight="1" x14ac:dyDescent="0.2"/>
    <row r="49456" ht="12.75" hidden="1" customHeight="1" x14ac:dyDescent="0.2"/>
    <row r="49457" ht="12.75" hidden="1" customHeight="1" x14ac:dyDescent="0.2"/>
    <row r="49458" ht="12.75" hidden="1" customHeight="1" x14ac:dyDescent="0.2"/>
    <row r="49459" ht="12.75" hidden="1" customHeight="1" x14ac:dyDescent="0.2"/>
    <row r="49460" ht="12.75" hidden="1" customHeight="1" x14ac:dyDescent="0.2"/>
    <row r="49461" ht="12.75" hidden="1" customHeight="1" x14ac:dyDescent="0.2"/>
    <row r="49462" ht="12.75" hidden="1" customHeight="1" x14ac:dyDescent="0.2"/>
    <row r="49463" ht="12.75" hidden="1" customHeight="1" x14ac:dyDescent="0.2"/>
    <row r="49464" ht="12.75" hidden="1" customHeight="1" x14ac:dyDescent="0.2"/>
    <row r="49465" ht="12.75" hidden="1" customHeight="1" x14ac:dyDescent="0.2"/>
    <row r="49466" ht="12.75" hidden="1" customHeight="1" x14ac:dyDescent="0.2"/>
    <row r="49467" ht="12.75" hidden="1" customHeight="1" x14ac:dyDescent="0.2"/>
    <row r="49468" ht="12.75" hidden="1" customHeight="1" x14ac:dyDescent="0.2"/>
    <row r="49469" ht="12.75" hidden="1" customHeight="1" x14ac:dyDescent="0.2"/>
    <row r="49470" ht="12.75" hidden="1" customHeight="1" x14ac:dyDescent="0.2"/>
    <row r="49471" ht="12.75" hidden="1" customHeight="1" x14ac:dyDescent="0.2"/>
    <row r="49472" ht="12.75" hidden="1" customHeight="1" x14ac:dyDescent="0.2"/>
    <row r="49473" ht="12.75" hidden="1" customHeight="1" x14ac:dyDescent="0.2"/>
    <row r="49474" ht="12.75" hidden="1" customHeight="1" x14ac:dyDescent="0.2"/>
    <row r="49475" ht="12.75" hidden="1" customHeight="1" x14ac:dyDescent="0.2"/>
    <row r="49476" ht="12.75" hidden="1" customHeight="1" x14ac:dyDescent="0.2"/>
    <row r="49477" ht="12.75" hidden="1" customHeight="1" x14ac:dyDescent="0.2"/>
    <row r="49478" ht="12.75" hidden="1" customHeight="1" x14ac:dyDescent="0.2"/>
    <row r="49479" ht="12.75" hidden="1" customHeight="1" x14ac:dyDescent="0.2"/>
    <row r="49480" ht="12.75" hidden="1" customHeight="1" x14ac:dyDescent="0.2"/>
    <row r="49481" ht="12.75" hidden="1" customHeight="1" x14ac:dyDescent="0.2"/>
    <row r="49482" ht="12.75" hidden="1" customHeight="1" x14ac:dyDescent="0.2"/>
    <row r="49483" ht="12.75" hidden="1" customHeight="1" x14ac:dyDescent="0.2"/>
    <row r="49484" ht="12.75" hidden="1" customHeight="1" x14ac:dyDescent="0.2"/>
    <row r="49485" ht="12.75" hidden="1" customHeight="1" x14ac:dyDescent="0.2"/>
    <row r="49486" ht="12.75" hidden="1" customHeight="1" x14ac:dyDescent="0.2"/>
    <row r="49487" ht="12.75" hidden="1" customHeight="1" x14ac:dyDescent="0.2"/>
    <row r="49488" ht="12.75" hidden="1" customHeight="1" x14ac:dyDescent="0.2"/>
    <row r="49489" ht="12.75" hidden="1" customHeight="1" x14ac:dyDescent="0.2"/>
    <row r="49490" ht="12.75" hidden="1" customHeight="1" x14ac:dyDescent="0.2"/>
    <row r="49491" ht="12.75" hidden="1" customHeight="1" x14ac:dyDescent="0.2"/>
    <row r="49492" ht="12.75" hidden="1" customHeight="1" x14ac:dyDescent="0.2"/>
    <row r="49493" ht="12.75" hidden="1" customHeight="1" x14ac:dyDescent="0.2"/>
    <row r="49494" ht="12.75" hidden="1" customHeight="1" x14ac:dyDescent="0.2"/>
    <row r="49495" ht="12.75" hidden="1" customHeight="1" x14ac:dyDescent="0.2"/>
    <row r="49496" ht="12.75" hidden="1" customHeight="1" x14ac:dyDescent="0.2"/>
    <row r="49497" ht="12.75" hidden="1" customHeight="1" x14ac:dyDescent="0.2"/>
    <row r="49498" ht="12.75" hidden="1" customHeight="1" x14ac:dyDescent="0.2"/>
    <row r="49499" ht="12.75" hidden="1" customHeight="1" x14ac:dyDescent="0.2"/>
    <row r="49500" ht="12.75" hidden="1" customHeight="1" x14ac:dyDescent="0.2"/>
    <row r="49501" ht="12.75" hidden="1" customHeight="1" x14ac:dyDescent="0.2"/>
    <row r="49502" ht="12.75" hidden="1" customHeight="1" x14ac:dyDescent="0.2"/>
    <row r="49503" ht="12.75" hidden="1" customHeight="1" x14ac:dyDescent="0.2"/>
    <row r="49504" ht="12.75" hidden="1" customHeight="1" x14ac:dyDescent="0.2"/>
    <row r="49505" ht="12.75" hidden="1" customHeight="1" x14ac:dyDescent="0.2"/>
    <row r="49506" ht="12.75" hidden="1" customHeight="1" x14ac:dyDescent="0.2"/>
    <row r="49507" ht="12.75" hidden="1" customHeight="1" x14ac:dyDescent="0.2"/>
    <row r="49508" ht="12.75" hidden="1" customHeight="1" x14ac:dyDescent="0.2"/>
    <row r="49509" ht="12.75" hidden="1" customHeight="1" x14ac:dyDescent="0.2"/>
    <row r="49510" ht="12.75" hidden="1" customHeight="1" x14ac:dyDescent="0.2"/>
    <row r="49511" ht="12.75" hidden="1" customHeight="1" x14ac:dyDescent="0.2"/>
    <row r="49512" ht="12.75" hidden="1" customHeight="1" x14ac:dyDescent="0.2"/>
    <row r="49513" ht="12.75" hidden="1" customHeight="1" x14ac:dyDescent="0.2"/>
    <row r="49514" ht="12.75" hidden="1" customHeight="1" x14ac:dyDescent="0.2"/>
    <row r="49515" ht="12.75" hidden="1" customHeight="1" x14ac:dyDescent="0.2"/>
    <row r="49516" ht="12.75" hidden="1" customHeight="1" x14ac:dyDescent="0.2"/>
    <row r="49517" ht="12.75" hidden="1" customHeight="1" x14ac:dyDescent="0.2"/>
    <row r="49518" ht="12.75" hidden="1" customHeight="1" x14ac:dyDescent="0.2"/>
    <row r="49519" ht="12.75" hidden="1" customHeight="1" x14ac:dyDescent="0.2"/>
    <row r="49520" ht="12.75" hidden="1" customHeight="1" x14ac:dyDescent="0.2"/>
    <row r="49521" ht="12.75" hidden="1" customHeight="1" x14ac:dyDescent="0.2"/>
    <row r="49522" ht="12.75" hidden="1" customHeight="1" x14ac:dyDescent="0.2"/>
    <row r="49523" ht="12.75" hidden="1" customHeight="1" x14ac:dyDescent="0.2"/>
    <row r="49524" ht="12.75" hidden="1" customHeight="1" x14ac:dyDescent="0.2"/>
    <row r="49525" ht="12.75" hidden="1" customHeight="1" x14ac:dyDescent="0.2"/>
    <row r="49526" ht="12.75" hidden="1" customHeight="1" x14ac:dyDescent="0.2"/>
    <row r="49527" ht="12.75" hidden="1" customHeight="1" x14ac:dyDescent="0.2"/>
    <row r="49528" ht="12.75" hidden="1" customHeight="1" x14ac:dyDescent="0.2"/>
    <row r="49529" ht="12.75" hidden="1" customHeight="1" x14ac:dyDescent="0.2"/>
    <row r="49530" ht="12.75" hidden="1" customHeight="1" x14ac:dyDescent="0.2"/>
    <row r="49531" ht="12.75" hidden="1" customHeight="1" x14ac:dyDescent="0.2"/>
    <row r="49532" ht="12.75" hidden="1" customHeight="1" x14ac:dyDescent="0.2"/>
    <row r="49533" ht="12.75" hidden="1" customHeight="1" x14ac:dyDescent="0.2"/>
    <row r="49534" ht="12.75" hidden="1" customHeight="1" x14ac:dyDescent="0.2"/>
    <row r="49535" ht="12.75" hidden="1" customHeight="1" x14ac:dyDescent="0.2"/>
    <row r="49536" ht="12.75" hidden="1" customHeight="1" x14ac:dyDescent="0.2"/>
    <row r="49537" ht="12.75" hidden="1" customHeight="1" x14ac:dyDescent="0.2"/>
    <row r="49538" ht="12.75" hidden="1" customHeight="1" x14ac:dyDescent="0.2"/>
    <row r="49539" ht="12.75" hidden="1" customHeight="1" x14ac:dyDescent="0.2"/>
    <row r="49540" ht="12.75" hidden="1" customHeight="1" x14ac:dyDescent="0.2"/>
    <row r="49541" ht="12.75" hidden="1" customHeight="1" x14ac:dyDescent="0.2"/>
    <row r="49542" ht="12.75" hidden="1" customHeight="1" x14ac:dyDescent="0.2"/>
    <row r="49543" ht="12.75" hidden="1" customHeight="1" x14ac:dyDescent="0.2"/>
    <row r="49544" ht="12.75" hidden="1" customHeight="1" x14ac:dyDescent="0.2"/>
    <row r="49545" ht="12.75" hidden="1" customHeight="1" x14ac:dyDescent="0.2"/>
    <row r="49546" ht="12.75" hidden="1" customHeight="1" x14ac:dyDescent="0.2"/>
    <row r="49547" ht="12.75" hidden="1" customHeight="1" x14ac:dyDescent="0.2"/>
    <row r="49548" ht="12.75" hidden="1" customHeight="1" x14ac:dyDescent="0.2"/>
    <row r="49549" ht="12.75" hidden="1" customHeight="1" x14ac:dyDescent="0.2"/>
    <row r="49550" ht="12.75" hidden="1" customHeight="1" x14ac:dyDescent="0.2"/>
    <row r="49551" ht="12.75" hidden="1" customHeight="1" x14ac:dyDescent="0.2"/>
    <row r="49552" ht="12.75" hidden="1" customHeight="1" x14ac:dyDescent="0.2"/>
    <row r="49553" ht="12.75" hidden="1" customHeight="1" x14ac:dyDescent="0.2"/>
    <row r="49554" ht="12.75" hidden="1" customHeight="1" x14ac:dyDescent="0.2"/>
    <row r="49555" ht="12.75" hidden="1" customHeight="1" x14ac:dyDescent="0.2"/>
    <row r="49556" ht="12.75" hidden="1" customHeight="1" x14ac:dyDescent="0.2"/>
    <row r="49557" ht="12.75" hidden="1" customHeight="1" x14ac:dyDescent="0.2"/>
    <row r="49558" ht="12.75" hidden="1" customHeight="1" x14ac:dyDescent="0.2"/>
    <row r="49559" ht="12.75" hidden="1" customHeight="1" x14ac:dyDescent="0.2"/>
    <row r="49560" ht="12.75" hidden="1" customHeight="1" x14ac:dyDescent="0.2"/>
    <row r="49561" ht="12.75" hidden="1" customHeight="1" x14ac:dyDescent="0.2"/>
    <row r="49562" ht="12.75" hidden="1" customHeight="1" x14ac:dyDescent="0.2"/>
    <row r="49563" ht="12.75" hidden="1" customHeight="1" x14ac:dyDescent="0.2"/>
    <row r="49564" ht="12.75" hidden="1" customHeight="1" x14ac:dyDescent="0.2"/>
    <row r="49565" ht="12.75" hidden="1" customHeight="1" x14ac:dyDescent="0.2"/>
    <row r="49566" ht="12.75" hidden="1" customHeight="1" x14ac:dyDescent="0.2"/>
    <row r="49567" ht="12.75" hidden="1" customHeight="1" x14ac:dyDescent="0.2"/>
    <row r="49568" ht="12.75" hidden="1" customHeight="1" x14ac:dyDescent="0.2"/>
    <row r="49569" ht="12.75" hidden="1" customHeight="1" x14ac:dyDescent="0.2"/>
    <row r="49570" ht="12.75" hidden="1" customHeight="1" x14ac:dyDescent="0.2"/>
    <row r="49571" ht="12.75" hidden="1" customHeight="1" x14ac:dyDescent="0.2"/>
    <row r="49572" ht="12.75" hidden="1" customHeight="1" x14ac:dyDescent="0.2"/>
    <row r="49573" ht="12.75" hidden="1" customHeight="1" x14ac:dyDescent="0.2"/>
    <row r="49574" ht="12.75" hidden="1" customHeight="1" x14ac:dyDescent="0.2"/>
    <row r="49575" ht="12.75" hidden="1" customHeight="1" x14ac:dyDescent="0.2"/>
    <row r="49576" ht="12.75" hidden="1" customHeight="1" x14ac:dyDescent="0.2"/>
    <row r="49577" ht="12.75" hidden="1" customHeight="1" x14ac:dyDescent="0.2"/>
    <row r="49578" ht="12.75" hidden="1" customHeight="1" x14ac:dyDescent="0.2"/>
    <row r="49579" ht="12.75" hidden="1" customHeight="1" x14ac:dyDescent="0.2"/>
    <row r="49580" ht="12.75" hidden="1" customHeight="1" x14ac:dyDescent="0.2"/>
    <row r="49581" ht="12.75" hidden="1" customHeight="1" x14ac:dyDescent="0.2"/>
    <row r="49582" ht="12.75" hidden="1" customHeight="1" x14ac:dyDescent="0.2"/>
    <row r="49583" ht="12.75" hidden="1" customHeight="1" x14ac:dyDescent="0.2"/>
    <row r="49584" ht="12.75" hidden="1" customHeight="1" x14ac:dyDescent="0.2"/>
    <row r="49585" ht="12.75" hidden="1" customHeight="1" x14ac:dyDescent="0.2"/>
    <row r="49586" ht="12.75" hidden="1" customHeight="1" x14ac:dyDescent="0.2"/>
    <row r="49587" ht="12.75" hidden="1" customHeight="1" x14ac:dyDescent="0.2"/>
    <row r="49588" ht="12.75" hidden="1" customHeight="1" x14ac:dyDescent="0.2"/>
    <row r="49589" ht="12.75" hidden="1" customHeight="1" x14ac:dyDescent="0.2"/>
    <row r="49590" ht="12.75" hidden="1" customHeight="1" x14ac:dyDescent="0.2"/>
    <row r="49591" ht="12.75" hidden="1" customHeight="1" x14ac:dyDescent="0.2"/>
    <row r="49592" ht="12.75" hidden="1" customHeight="1" x14ac:dyDescent="0.2"/>
    <row r="49593" ht="12.75" hidden="1" customHeight="1" x14ac:dyDescent="0.2"/>
    <row r="49594" ht="12.75" hidden="1" customHeight="1" x14ac:dyDescent="0.2"/>
    <row r="49595" ht="12.75" hidden="1" customHeight="1" x14ac:dyDescent="0.2"/>
    <row r="49596" ht="12.75" hidden="1" customHeight="1" x14ac:dyDescent="0.2"/>
    <row r="49597" ht="12.75" hidden="1" customHeight="1" x14ac:dyDescent="0.2"/>
    <row r="49598" ht="12.75" hidden="1" customHeight="1" x14ac:dyDescent="0.2"/>
    <row r="49599" ht="12.75" hidden="1" customHeight="1" x14ac:dyDescent="0.2"/>
    <row r="49600" ht="12.75" hidden="1" customHeight="1" x14ac:dyDescent="0.2"/>
    <row r="49601" ht="12.75" hidden="1" customHeight="1" x14ac:dyDescent="0.2"/>
    <row r="49602" ht="12.75" hidden="1" customHeight="1" x14ac:dyDescent="0.2"/>
    <row r="49603" ht="12.75" hidden="1" customHeight="1" x14ac:dyDescent="0.2"/>
    <row r="49604" ht="12.75" hidden="1" customHeight="1" x14ac:dyDescent="0.2"/>
    <row r="49605" ht="12.75" hidden="1" customHeight="1" x14ac:dyDescent="0.2"/>
    <row r="49606" ht="12.75" hidden="1" customHeight="1" x14ac:dyDescent="0.2"/>
    <row r="49607" ht="12.75" hidden="1" customHeight="1" x14ac:dyDescent="0.2"/>
    <row r="49608" ht="12.75" hidden="1" customHeight="1" x14ac:dyDescent="0.2"/>
    <row r="49609" ht="12.75" hidden="1" customHeight="1" x14ac:dyDescent="0.2"/>
    <row r="49610" ht="12.75" hidden="1" customHeight="1" x14ac:dyDescent="0.2"/>
    <row r="49611" ht="12.75" hidden="1" customHeight="1" x14ac:dyDescent="0.2"/>
    <row r="49612" ht="12.75" hidden="1" customHeight="1" x14ac:dyDescent="0.2"/>
    <row r="49613" ht="12.75" hidden="1" customHeight="1" x14ac:dyDescent="0.2"/>
    <row r="49614" ht="12.75" hidden="1" customHeight="1" x14ac:dyDescent="0.2"/>
    <row r="49615" ht="12.75" hidden="1" customHeight="1" x14ac:dyDescent="0.2"/>
    <row r="49616" ht="12.75" hidden="1" customHeight="1" x14ac:dyDescent="0.2"/>
    <row r="49617" ht="12.75" hidden="1" customHeight="1" x14ac:dyDescent="0.2"/>
    <row r="49618" ht="12.75" hidden="1" customHeight="1" x14ac:dyDescent="0.2"/>
    <row r="49619" ht="12.75" hidden="1" customHeight="1" x14ac:dyDescent="0.2"/>
    <row r="49620" ht="12.75" hidden="1" customHeight="1" x14ac:dyDescent="0.2"/>
    <row r="49621" ht="12.75" hidden="1" customHeight="1" x14ac:dyDescent="0.2"/>
    <row r="49622" ht="12.75" hidden="1" customHeight="1" x14ac:dyDescent="0.2"/>
    <row r="49623" ht="12.75" hidden="1" customHeight="1" x14ac:dyDescent="0.2"/>
    <row r="49624" ht="12.75" hidden="1" customHeight="1" x14ac:dyDescent="0.2"/>
    <row r="49625" ht="12.75" hidden="1" customHeight="1" x14ac:dyDescent="0.2"/>
    <row r="49626" ht="12.75" hidden="1" customHeight="1" x14ac:dyDescent="0.2"/>
    <row r="49627" ht="12.75" hidden="1" customHeight="1" x14ac:dyDescent="0.2"/>
    <row r="49628" ht="12.75" hidden="1" customHeight="1" x14ac:dyDescent="0.2"/>
    <row r="49629" ht="12.75" hidden="1" customHeight="1" x14ac:dyDescent="0.2"/>
    <row r="49630" ht="12.75" hidden="1" customHeight="1" x14ac:dyDescent="0.2"/>
    <row r="49631" ht="12.75" hidden="1" customHeight="1" x14ac:dyDescent="0.2"/>
    <row r="49632" ht="12.75" hidden="1" customHeight="1" x14ac:dyDescent="0.2"/>
    <row r="49633" ht="12.75" hidden="1" customHeight="1" x14ac:dyDescent="0.2"/>
    <row r="49634" ht="12.75" hidden="1" customHeight="1" x14ac:dyDescent="0.2"/>
    <row r="49635" ht="12.75" hidden="1" customHeight="1" x14ac:dyDescent="0.2"/>
    <row r="49636" ht="12.75" hidden="1" customHeight="1" x14ac:dyDescent="0.2"/>
    <row r="49637" ht="12.75" hidden="1" customHeight="1" x14ac:dyDescent="0.2"/>
    <row r="49638" ht="12.75" hidden="1" customHeight="1" x14ac:dyDescent="0.2"/>
    <row r="49639" ht="12.75" hidden="1" customHeight="1" x14ac:dyDescent="0.2"/>
    <row r="49640" ht="12.75" hidden="1" customHeight="1" x14ac:dyDescent="0.2"/>
    <row r="49641" ht="12.75" hidden="1" customHeight="1" x14ac:dyDescent="0.2"/>
    <row r="49642" ht="12.75" hidden="1" customHeight="1" x14ac:dyDescent="0.2"/>
    <row r="49643" ht="12.75" hidden="1" customHeight="1" x14ac:dyDescent="0.2"/>
    <row r="49644" ht="12.75" hidden="1" customHeight="1" x14ac:dyDescent="0.2"/>
    <row r="49645" ht="12.75" hidden="1" customHeight="1" x14ac:dyDescent="0.2"/>
    <row r="49646" ht="12.75" hidden="1" customHeight="1" x14ac:dyDescent="0.2"/>
    <row r="49647" ht="12.75" hidden="1" customHeight="1" x14ac:dyDescent="0.2"/>
    <row r="49648" ht="12.75" hidden="1" customHeight="1" x14ac:dyDescent="0.2"/>
    <row r="49649" ht="12.75" hidden="1" customHeight="1" x14ac:dyDescent="0.2"/>
    <row r="49650" ht="12.75" hidden="1" customHeight="1" x14ac:dyDescent="0.2"/>
    <row r="49651" ht="12.75" hidden="1" customHeight="1" x14ac:dyDescent="0.2"/>
    <row r="49652" ht="12.75" hidden="1" customHeight="1" x14ac:dyDescent="0.2"/>
    <row r="49653" ht="12.75" hidden="1" customHeight="1" x14ac:dyDescent="0.2"/>
    <row r="49654" ht="12.75" hidden="1" customHeight="1" x14ac:dyDescent="0.2"/>
    <row r="49655" ht="12.75" hidden="1" customHeight="1" x14ac:dyDescent="0.2"/>
    <row r="49656" ht="12.75" hidden="1" customHeight="1" x14ac:dyDescent="0.2"/>
    <row r="49657" ht="12.75" hidden="1" customHeight="1" x14ac:dyDescent="0.2"/>
    <row r="49658" ht="12.75" hidden="1" customHeight="1" x14ac:dyDescent="0.2"/>
    <row r="49659" ht="12.75" hidden="1" customHeight="1" x14ac:dyDescent="0.2"/>
    <row r="49660" ht="12.75" hidden="1" customHeight="1" x14ac:dyDescent="0.2"/>
    <row r="49661" ht="12.75" hidden="1" customHeight="1" x14ac:dyDescent="0.2"/>
    <row r="49662" ht="12.75" hidden="1" customHeight="1" x14ac:dyDescent="0.2"/>
    <row r="49663" ht="12.75" hidden="1" customHeight="1" x14ac:dyDescent="0.2"/>
    <row r="49664" ht="12.75" hidden="1" customHeight="1" x14ac:dyDescent="0.2"/>
    <row r="49665" ht="12.75" hidden="1" customHeight="1" x14ac:dyDescent="0.2"/>
    <row r="49666" ht="12.75" hidden="1" customHeight="1" x14ac:dyDescent="0.2"/>
    <row r="49667" ht="12.75" hidden="1" customHeight="1" x14ac:dyDescent="0.2"/>
    <row r="49668" ht="12.75" hidden="1" customHeight="1" x14ac:dyDescent="0.2"/>
    <row r="49669" ht="12.75" hidden="1" customHeight="1" x14ac:dyDescent="0.2"/>
    <row r="49670" ht="12.75" hidden="1" customHeight="1" x14ac:dyDescent="0.2"/>
    <row r="49671" ht="12.75" hidden="1" customHeight="1" x14ac:dyDescent="0.2"/>
    <row r="49672" ht="12.75" hidden="1" customHeight="1" x14ac:dyDescent="0.2"/>
    <row r="49673" ht="12.75" hidden="1" customHeight="1" x14ac:dyDescent="0.2"/>
    <row r="49674" ht="12.75" hidden="1" customHeight="1" x14ac:dyDescent="0.2"/>
    <row r="49675" ht="12.75" hidden="1" customHeight="1" x14ac:dyDescent="0.2"/>
    <row r="49676" ht="12.75" hidden="1" customHeight="1" x14ac:dyDescent="0.2"/>
    <row r="49677" ht="12.75" hidden="1" customHeight="1" x14ac:dyDescent="0.2"/>
    <row r="49678" ht="12.75" hidden="1" customHeight="1" x14ac:dyDescent="0.2"/>
    <row r="49679" ht="12.75" hidden="1" customHeight="1" x14ac:dyDescent="0.2"/>
    <row r="49680" ht="12.75" hidden="1" customHeight="1" x14ac:dyDescent="0.2"/>
    <row r="49681" ht="12.75" hidden="1" customHeight="1" x14ac:dyDescent="0.2"/>
    <row r="49682" ht="12.75" hidden="1" customHeight="1" x14ac:dyDescent="0.2"/>
    <row r="49683" ht="12.75" hidden="1" customHeight="1" x14ac:dyDescent="0.2"/>
    <row r="49684" ht="12.75" hidden="1" customHeight="1" x14ac:dyDescent="0.2"/>
    <row r="49685" ht="12.75" hidden="1" customHeight="1" x14ac:dyDescent="0.2"/>
    <row r="49686" ht="12.75" hidden="1" customHeight="1" x14ac:dyDescent="0.2"/>
    <row r="49687" ht="12.75" hidden="1" customHeight="1" x14ac:dyDescent="0.2"/>
    <row r="49688" ht="12.75" hidden="1" customHeight="1" x14ac:dyDescent="0.2"/>
    <row r="49689" ht="12.75" hidden="1" customHeight="1" x14ac:dyDescent="0.2"/>
    <row r="49690" ht="12.75" hidden="1" customHeight="1" x14ac:dyDescent="0.2"/>
    <row r="49691" ht="12.75" hidden="1" customHeight="1" x14ac:dyDescent="0.2"/>
    <row r="49692" ht="12.75" hidden="1" customHeight="1" x14ac:dyDescent="0.2"/>
    <row r="49693" ht="12.75" hidden="1" customHeight="1" x14ac:dyDescent="0.2"/>
    <row r="49694" ht="12.75" hidden="1" customHeight="1" x14ac:dyDescent="0.2"/>
    <row r="49695" ht="12.75" hidden="1" customHeight="1" x14ac:dyDescent="0.2"/>
    <row r="49696" ht="12.75" hidden="1" customHeight="1" x14ac:dyDescent="0.2"/>
    <row r="49697" ht="12.75" hidden="1" customHeight="1" x14ac:dyDescent="0.2"/>
    <row r="49698" ht="12.75" hidden="1" customHeight="1" x14ac:dyDescent="0.2"/>
    <row r="49699" ht="12.75" hidden="1" customHeight="1" x14ac:dyDescent="0.2"/>
    <row r="49700" ht="12.75" hidden="1" customHeight="1" x14ac:dyDescent="0.2"/>
    <row r="49701" ht="12.75" hidden="1" customHeight="1" x14ac:dyDescent="0.2"/>
    <row r="49702" ht="12.75" hidden="1" customHeight="1" x14ac:dyDescent="0.2"/>
    <row r="49703" ht="12.75" hidden="1" customHeight="1" x14ac:dyDescent="0.2"/>
    <row r="49704" ht="12.75" hidden="1" customHeight="1" x14ac:dyDescent="0.2"/>
    <row r="49705" ht="12.75" hidden="1" customHeight="1" x14ac:dyDescent="0.2"/>
    <row r="49706" ht="12.75" hidden="1" customHeight="1" x14ac:dyDescent="0.2"/>
    <row r="49707" ht="12.75" hidden="1" customHeight="1" x14ac:dyDescent="0.2"/>
    <row r="49708" ht="12.75" hidden="1" customHeight="1" x14ac:dyDescent="0.2"/>
    <row r="49709" ht="12.75" hidden="1" customHeight="1" x14ac:dyDescent="0.2"/>
    <row r="49710" ht="12.75" hidden="1" customHeight="1" x14ac:dyDescent="0.2"/>
    <row r="49711" ht="12.75" hidden="1" customHeight="1" x14ac:dyDescent="0.2"/>
    <row r="49712" ht="12.75" hidden="1" customHeight="1" x14ac:dyDescent="0.2"/>
    <row r="49713" ht="12.75" hidden="1" customHeight="1" x14ac:dyDescent="0.2"/>
    <row r="49714" ht="12.75" hidden="1" customHeight="1" x14ac:dyDescent="0.2"/>
    <row r="49715" ht="12.75" hidden="1" customHeight="1" x14ac:dyDescent="0.2"/>
    <row r="49716" ht="12.75" hidden="1" customHeight="1" x14ac:dyDescent="0.2"/>
    <row r="49717" ht="12.75" hidden="1" customHeight="1" x14ac:dyDescent="0.2"/>
    <row r="49718" ht="12.75" hidden="1" customHeight="1" x14ac:dyDescent="0.2"/>
    <row r="49719" ht="12.75" hidden="1" customHeight="1" x14ac:dyDescent="0.2"/>
    <row r="49720" ht="12.75" hidden="1" customHeight="1" x14ac:dyDescent="0.2"/>
    <row r="49721" ht="12.75" hidden="1" customHeight="1" x14ac:dyDescent="0.2"/>
    <row r="49722" ht="12.75" hidden="1" customHeight="1" x14ac:dyDescent="0.2"/>
    <row r="49723" ht="12.75" hidden="1" customHeight="1" x14ac:dyDescent="0.2"/>
    <row r="49724" ht="12.75" hidden="1" customHeight="1" x14ac:dyDescent="0.2"/>
    <row r="49725" ht="12.75" hidden="1" customHeight="1" x14ac:dyDescent="0.2"/>
    <row r="49726" ht="12.75" hidden="1" customHeight="1" x14ac:dyDescent="0.2"/>
    <row r="49727" ht="12.75" hidden="1" customHeight="1" x14ac:dyDescent="0.2"/>
    <row r="49728" ht="12.75" hidden="1" customHeight="1" x14ac:dyDescent="0.2"/>
    <row r="49729" ht="12.75" hidden="1" customHeight="1" x14ac:dyDescent="0.2"/>
    <row r="49730" ht="12.75" hidden="1" customHeight="1" x14ac:dyDescent="0.2"/>
    <row r="49731" ht="12.75" hidden="1" customHeight="1" x14ac:dyDescent="0.2"/>
    <row r="49732" ht="12.75" hidden="1" customHeight="1" x14ac:dyDescent="0.2"/>
    <row r="49733" ht="12.75" hidden="1" customHeight="1" x14ac:dyDescent="0.2"/>
    <row r="49734" ht="12.75" hidden="1" customHeight="1" x14ac:dyDescent="0.2"/>
    <row r="49735" ht="12.75" hidden="1" customHeight="1" x14ac:dyDescent="0.2"/>
    <row r="49736" ht="12.75" hidden="1" customHeight="1" x14ac:dyDescent="0.2"/>
    <row r="49737" ht="12.75" hidden="1" customHeight="1" x14ac:dyDescent="0.2"/>
    <row r="49738" ht="12.75" hidden="1" customHeight="1" x14ac:dyDescent="0.2"/>
    <row r="49739" ht="12.75" hidden="1" customHeight="1" x14ac:dyDescent="0.2"/>
    <row r="49740" ht="12.75" hidden="1" customHeight="1" x14ac:dyDescent="0.2"/>
    <row r="49741" ht="12.75" hidden="1" customHeight="1" x14ac:dyDescent="0.2"/>
    <row r="49742" ht="12.75" hidden="1" customHeight="1" x14ac:dyDescent="0.2"/>
    <row r="49743" ht="12.75" hidden="1" customHeight="1" x14ac:dyDescent="0.2"/>
    <row r="49744" ht="12.75" hidden="1" customHeight="1" x14ac:dyDescent="0.2"/>
    <row r="49745" ht="12.75" hidden="1" customHeight="1" x14ac:dyDescent="0.2"/>
    <row r="49746" ht="12.75" hidden="1" customHeight="1" x14ac:dyDescent="0.2"/>
    <row r="49747" ht="12.75" hidden="1" customHeight="1" x14ac:dyDescent="0.2"/>
    <row r="49748" ht="12.75" hidden="1" customHeight="1" x14ac:dyDescent="0.2"/>
    <row r="49749" ht="12.75" hidden="1" customHeight="1" x14ac:dyDescent="0.2"/>
    <row r="49750" ht="12.75" hidden="1" customHeight="1" x14ac:dyDescent="0.2"/>
    <row r="49751" ht="12.75" hidden="1" customHeight="1" x14ac:dyDescent="0.2"/>
    <row r="49752" ht="12.75" hidden="1" customHeight="1" x14ac:dyDescent="0.2"/>
    <row r="49753" ht="12.75" hidden="1" customHeight="1" x14ac:dyDescent="0.2"/>
    <row r="49754" ht="12.75" hidden="1" customHeight="1" x14ac:dyDescent="0.2"/>
    <row r="49755" ht="12.75" hidden="1" customHeight="1" x14ac:dyDescent="0.2"/>
    <row r="49756" ht="12.75" hidden="1" customHeight="1" x14ac:dyDescent="0.2"/>
    <row r="49757" ht="12.75" hidden="1" customHeight="1" x14ac:dyDescent="0.2"/>
    <row r="49758" ht="12.75" hidden="1" customHeight="1" x14ac:dyDescent="0.2"/>
    <row r="49759" ht="12.75" hidden="1" customHeight="1" x14ac:dyDescent="0.2"/>
    <row r="49760" ht="12.75" hidden="1" customHeight="1" x14ac:dyDescent="0.2"/>
    <row r="49761" ht="12.75" hidden="1" customHeight="1" x14ac:dyDescent="0.2"/>
    <row r="49762" ht="12.75" hidden="1" customHeight="1" x14ac:dyDescent="0.2"/>
    <row r="49763" ht="12.75" hidden="1" customHeight="1" x14ac:dyDescent="0.2"/>
    <row r="49764" ht="12.75" hidden="1" customHeight="1" x14ac:dyDescent="0.2"/>
    <row r="49765" ht="12.75" hidden="1" customHeight="1" x14ac:dyDescent="0.2"/>
    <row r="49766" ht="12.75" hidden="1" customHeight="1" x14ac:dyDescent="0.2"/>
    <row r="49767" ht="12.75" hidden="1" customHeight="1" x14ac:dyDescent="0.2"/>
    <row r="49768" ht="12.75" hidden="1" customHeight="1" x14ac:dyDescent="0.2"/>
    <row r="49769" ht="12.75" hidden="1" customHeight="1" x14ac:dyDescent="0.2"/>
    <row r="49770" ht="12.75" hidden="1" customHeight="1" x14ac:dyDescent="0.2"/>
    <row r="49771" ht="12.75" hidden="1" customHeight="1" x14ac:dyDescent="0.2"/>
    <row r="49772" ht="12.75" hidden="1" customHeight="1" x14ac:dyDescent="0.2"/>
    <row r="49773" ht="12.75" hidden="1" customHeight="1" x14ac:dyDescent="0.2"/>
    <row r="49774" ht="12.75" hidden="1" customHeight="1" x14ac:dyDescent="0.2"/>
    <row r="49775" ht="12.75" hidden="1" customHeight="1" x14ac:dyDescent="0.2"/>
    <row r="49776" ht="12.75" hidden="1" customHeight="1" x14ac:dyDescent="0.2"/>
    <row r="49777" ht="12.75" hidden="1" customHeight="1" x14ac:dyDescent="0.2"/>
    <row r="49778" ht="12.75" hidden="1" customHeight="1" x14ac:dyDescent="0.2"/>
    <row r="49779" ht="12.75" hidden="1" customHeight="1" x14ac:dyDescent="0.2"/>
    <row r="49780" ht="12.75" hidden="1" customHeight="1" x14ac:dyDescent="0.2"/>
    <row r="49781" ht="12.75" hidden="1" customHeight="1" x14ac:dyDescent="0.2"/>
    <row r="49782" ht="12.75" hidden="1" customHeight="1" x14ac:dyDescent="0.2"/>
    <row r="49783" ht="12.75" hidden="1" customHeight="1" x14ac:dyDescent="0.2"/>
    <row r="49784" ht="12.75" hidden="1" customHeight="1" x14ac:dyDescent="0.2"/>
    <row r="49785" ht="12.75" hidden="1" customHeight="1" x14ac:dyDescent="0.2"/>
    <row r="49786" ht="12.75" hidden="1" customHeight="1" x14ac:dyDescent="0.2"/>
    <row r="49787" ht="12.75" hidden="1" customHeight="1" x14ac:dyDescent="0.2"/>
    <row r="49788" ht="12.75" hidden="1" customHeight="1" x14ac:dyDescent="0.2"/>
    <row r="49789" ht="12.75" hidden="1" customHeight="1" x14ac:dyDescent="0.2"/>
    <row r="49790" ht="12.75" hidden="1" customHeight="1" x14ac:dyDescent="0.2"/>
    <row r="49791" ht="12.75" hidden="1" customHeight="1" x14ac:dyDescent="0.2"/>
    <row r="49792" ht="12.75" hidden="1" customHeight="1" x14ac:dyDescent="0.2"/>
    <row r="49793" ht="12.75" hidden="1" customHeight="1" x14ac:dyDescent="0.2"/>
    <row r="49794" ht="12.75" hidden="1" customHeight="1" x14ac:dyDescent="0.2"/>
    <row r="49795" ht="12.75" hidden="1" customHeight="1" x14ac:dyDescent="0.2"/>
    <row r="49796" ht="12.75" hidden="1" customHeight="1" x14ac:dyDescent="0.2"/>
    <row r="49797" ht="12.75" hidden="1" customHeight="1" x14ac:dyDescent="0.2"/>
    <row r="49798" ht="12.75" hidden="1" customHeight="1" x14ac:dyDescent="0.2"/>
    <row r="49799" ht="12.75" hidden="1" customHeight="1" x14ac:dyDescent="0.2"/>
    <row r="49800" ht="12.75" hidden="1" customHeight="1" x14ac:dyDescent="0.2"/>
    <row r="49801" ht="12.75" hidden="1" customHeight="1" x14ac:dyDescent="0.2"/>
    <row r="49802" ht="12.75" hidden="1" customHeight="1" x14ac:dyDescent="0.2"/>
    <row r="49803" ht="12.75" hidden="1" customHeight="1" x14ac:dyDescent="0.2"/>
    <row r="49804" ht="12.75" hidden="1" customHeight="1" x14ac:dyDescent="0.2"/>
    <row r="49805" ht="12.75" hidden="1" customHeight="1" x14ac:dyDescent="0.2"/>
    <row r="49806" ht="12.75" hidden="1" customHeight="1" x14ac:dyDescent="0.2"/>
    <row r="49807" ht="12.75" hidden="1" customHeight="1" x14ac:dyDescent="0.2"/>
    <row r="49808" ht="12.75" hidden="1" customHeight="1" x14ac:dyDescent="0.2"/>
    <row r="49809" ht="12.75" hidden="1" customHeight="1" x14ac:dyDescent="0.2"/>
    <row r="49810" ht="12.75" hidden="1" customHeight="1" x14ac:dyDescent="0.2"/>
    <row r="49811" ht="12.75" hidden="1" customHeight="1" x14ac:dyDescent="0.2"/>
    <row r="49812" ht="12.75" hidden="1" customHeight="1" x14ac:dyDescent="0.2"/>
    <row r="49813" ht="12.75" hidden="1" customHeight="1" x14ac:dyDescent="0.2"/>
    <row r="49814" ht="12.75" hidden="1" customHeight="1" x14ac:dyDescent="0.2"/>
    <row r="49815" ht="12.75" hidden="1" customHeight="1" x14ac:dyDescent="0.2"/>
    <row r="49816" ht="12.75" hidden="1" customHeight="1" x14ac:dyDescent="0.2"/>
    <row r="49817" ht="12.75" hidden="1" customHeight="1" x14ac:dyDescent="0.2"/>
    <row r="49818" ht="12.75" hidden="1" customHeight="1" x14ac:dyDescent="0.2"/>
    <row r="49819" ht="12.75" hidden="1" customHeight="1" x14ac:dyDescent="0.2"/>
    <row r="49820" ht="12.75" hidden="1" customHeight="1" x14ac:dyDescent="0.2"/>
    <row r="49821" ht="12.75" hidden="1" customHeight="1" x14ac:dyDescent="0.2"/>
    <row r="49822" ht="12.75" hidden="1" customHeight="1" x14ac:dyDescent="0.2"/>
    <row r="49823" ht="12.75" hidden="1" customHeight="1" x14ac:dyDescent="0.2"/>
    <row r="49824" ht="12.75" hidden="1" customHeight="1" x14ac:dyDescent="0.2"/>
    <row r="49825" ht="12.75" hidden="1" customHeight="1" x14ac:dyDescent="0.2"/>
    <row r="49826" ht="12.75" hidden="1" customHeight="1" x14ac:dyDescent="0.2"/>
    <row r="49827" ht="12.75" hidden="1" customHeight="1" x14ac:dyDescent="0.2"/>
    <row r="49828" ht="12.75" hidden="1" customHeight="1" x14ac:dyDescent="0.2"/>
    <row r="49829" ht="12.75" hidden="1" customHeight="1" x14ac:dyDescent="0.2"/>
    <row r="49830" ht="12.75" hidden="1" customHeight="1" x14ac:dyDescent="0.2"/>
    <row r="49831" ht="12.75" hidden="1" customHeight="1" x14ac:dyDescent="0.2"/>
    <row r="49832" ht="12.75" hidden="1" customHeight="1" x14ac:dyDescent="0.2"/>
    <row r="49833" ht="12.75" hidden="1" customHeight="1" x14ac:dyDescent="0.2"/>
    <row r="49834" ht="12.75" hidden="1" customHeight="1" x14ac:dyDescent="0.2"/>
    <row r="49835" ht="12.75" hidden="1" customHeight="1" x14ac:dyDescent="0.2"/>
    <row r="49836" ht="12.75" hidden="1" customHeight="1" x14ac:dyDescent="0.2"/>
    <row r="49837" ht="12.75" hidden="1" customHeight="1" x14ac:dyDescent="0.2"/>
    <row r="49838" ht="12.75" hidden="1" customHeight="1" x14ac:dyDescent="0.2"/>
    <row r="49839" ht="12.75" hidden="1" customHeight="1" x14ac:dyDescent="0.2"/>
    <row r="49840" ht="12.75" hidden="1" customHeight="1" x14ac:dyDescent="0.2"/>
    <row r="49841" ht="12.75" hidden="1" customHeight="1" x14ac:dyDescent="0.2"/>
    <row r="49842" ht="12.75" hidden="1" customHeight="1" x14ac:dyDescent="0.2"/>
    <row r="49843" ht="12.75" hidden="1" customHeight="1" x14ac:dyDescent="0.2"/>
    <row r="49844" ht="12.75" hidden="1" customHeight="1" x14ac:dyDescent="0.2"/>
    <row r="49845" ht="12.75" hidden="1" customHeight="1" x14ac:dyDescent="0.2"/>
    <row r="49846" ht="12.75" hidden="1" customHeight="1" x14ac:dyDescent="0.2"/>
    <row r="49847" ht="12.75" hidden="1" customHeight="1" x14ac:dyDescent="0.2"/>
    <row r="49848" ht="12.75" hidden="1" customHeight="1" x14ac:dyDescent="0.2"/>
    <row r="49849" ht="12.75" hidden="1" customHeight="1" x14ac:dyDescent="0.2"/>
    <row r="49850" ht="12.75" hidden="1" customHeight="1" x14ac:dyDescent="0.2"/>
    <row r="49851" ht="12.75" hidden="1" customHeight="1" x14ac:dyDescent="0.2"/>
    <row r="49852" ht="12.75" hidden="1" customHeight="1" x14ac:dyDescent="0.2"/>
    <row r="49853" ht="12.75" hidden="1" customHeight="1" x14ac:dyDescent="0.2"/>
    <row r="49854" ht="12.75" hidden="1" customHeight="1" x14ac:dyDescent="0.2"/>
    <row r="49855" ht="12.75" hidden="1" customHeight="1" x14ac:dyDescent="0.2"/>
    <row r="49856" ht="12.75" hidden="1" customHeight="1" x14ac:dyDescent="0.2"/>
    <row r="49857" ht="12.75" hidden="1" customHeight="1" x14ac:dyDescent="0.2"/>
    <row r="49858" ht="12.75" hidden="1" customHeight="1" x14ac:dyDescent="0.2"/>
    <row r="49859" ht="12.75" hidden="1" customHeight="1" x14ac:dyDescent="0.2"/>
    <row r="49860" ht="12.75" hidden="1" customHeight="1" x14ac:dyDescent="0.2"/>
    <row r="49861" ht="12.75" hidden="1" customHeight="1" x14ac:dyDescent="0.2"/>
    <row r="49862" ht="12.75" hidden="1" customHeight="1" x14ac:dyDescent="0.2"/>
    <row r="49863" ht="12.75" hidden="1" customHeight="1" x14ac:dyDescent="0.2"/>
    <row r="49864" ht="12.75" hidden="1" customHeight="1" x14ac:dyDescent="0.2"/>
    <row r="49865" ht="12.75" hidden="1" customHeight="1" x14ac:dyDescent="0.2"/>
    <row r="49866" ht="12.75" hidden="1" customHeight="1" x14ac:dyDescent="0.2"/>
    <row r="49867" ht="12.75" hidden="1" customHeight="1" x14ac:dyDescent="0.2"/>
    <row r="49868" ht="12.75" hidden="1" customHeight="1" x14ac:dyDescent="0.2"/>
    <row r="49869" ht="12.75" hidden="1" customHeight="1" x14ac:dyDescent="0.2"/>
    <row r="49870" ht="12.75" hidden="1" customHeight="1" x14ac:dyDescent="0.2"/>
    <row r="49871" ht="12.75" hidden="1" customHeight="1" x14ac:dyDescent="0.2"/>
    <row r="49872" ht="12.75" hidden="1" customHeight="1" x14ac:dyDescent="0.2"/>
    <row r="49873" ht="12.75" hidden="1" customHeight="1" x14ac:dyDescent="0.2"/>
    <row r="49874" ht="12.75" hidden="1" customHeight="1" x14ac:dyDescent="0.2"/>
    <row r="49875" ht="12.75" hidden="1" customHeight="1" x14ac:dyDescent="0.2"/>
    <row r="49876" ht="12.75" hidden="1" customHeight="1" x14ac:dyDescent="0.2"/>
    <row r="49877" ht="12.75" hidden="1" customHeight="1" x14ac:dyDescent="0.2"/>
    <row r="49878" ht="12.75" hidden="1" customHeight="1" x14ac:dyDescent="0.2"/>
    <row r="49879" ht="12.75" hidden="1" customHeight="1" x14ac:dyDescent="0.2"/>
    <row r="49880" ht="12.75" hidden="1" customHeight="1" x14ac:dyDescent="0.2"/>
    <row r="49881" ht="12.75" hidden="1" customHeight="1" x14ac:dyDescent="0.2"/>
    <row r="49882" ht="12.75" hidden="1" customHeight="1" x14ac:dyDescent="0.2"/>
    <row r="49883" ht="12.75" hidden="1" customHeight="1" x14ac:dyDescent="0.2"/>
    <row r="49884" ht="12.75" hidden="1" customHeight="1" x14ac:dyDescent="0.2"/>
    <row r="49885" ht="12.75" hidden="1" customHeight="1" x14ac:dyDescent="0.2"/>
    <row r="49886" ht="12.75" hidden="1" customHeight="1" x14ac:dyDescent="0.2"/>
    <row r="49887" ht="12.75" hidden="1" customHeight="1" x14ac:dyDescent="0.2"/>
    <row r="49888" ht="12.75" hidden="1" customHeight="1" x14ac:dyDescent="0.2"/>
    <row r="49889" ht="12.75" hidden="1" customHeight="1" x14ac:dyDescent="0.2"/>
    <row r="49890" ht="12.75" hidden="1" customHeight="1" x14ac:dyDescent="0.2"/>
    <row r="49891" ht="12.75" hidden="1" customHeight="1" x14ac:dyDescent="0.2"/>
    <row r="49892" ht="12.75" hidden="1" customHeight="1" x14ac:dyDescent="0.2"/>
    <row r="49893" ht="12.75" hidden="1" customHeight="1" x14ac:dyDescent="0.2"/>
    <row r="49894" ht="12.75" hidden="1" customHeight="1" x14ac:dyDescent="0.2"/>
    <row r="49895" ht="12.75" hidden="1" customHeight="1" x14ac:dyDescent="0.2"/>
    <row r="49896" ht="12.75" hidden="1" customHeight="1" x14ac:dyDescent="0.2"/>
    <row r="49897" ht="12.75" hidden="1" customHeight="1" x14ac:dyDescent="0.2"/>
    <row r="49898" ht="12.75" hidden="1" customHeight="1" x14ac:dyDescent="0.2"/>
    <row r="49899" ht="12.75" hidden="1" customHeight="1" x14ac:dyDescent="0.2"/>
    <row r="49900" ht="12.75" hidden="1" customHeight="1" x14ac:dyDescent="0.2"/>
    <row r="49901" ht="12.75" hidden="1" customHeight="1" x14ac:dyDescent="0.2"/>
    <row r="49902" ht="12.75" hidden="1" customHeight="1" x14ac:dyDescent="0.2"/>
    <row r="49903" ht="12.75" hidden="1" customHeight="1" x14ac:dyDescent="0.2"/>
    <row r="49904" ht="12.75" hidden="1" customHeight="1" x14ac:dyDescent="0.2"/>
    <row r="49905" ht="12.75" hidden="1" customHeight="1" x14ac:dyDescent="0.2"/>
    <row r="49906" ht="12.75" hidden="1" customHeight="1" x14ac:dyDescent="0.2"/>
    <row r="49907" ht="12.75" hidden="1" customHeight="1" x14ac:dyDescent="0.2"/>
    <row r="49908" ht="12.75" hidden="1" customHeight="1" x14ac:dyDescent="0.2"/>
    <row r="49909" ht="12.75" hidden="1" customHeight="1" x14ac:dyDescent="0.2"/>
    <row r="49910" ht="12.75" hidden="1" customHeight="1" x14ac:dyDescent="0.2"/>
    <row r="49911" ht="12.75" hidden="1" customHeight="1" x14ac:dyDescent="0.2"/>
    <row r="49912" ht="12.75" hidden="1" customHeight="1" x14ac:dyDescent="0.2"/>
    <row r="49913" ht="12.75" hidden="1" customHeight="1" x14ac:dyDescent="0.2"/>
    <row r="49914" ht="12.75" hidden="1" customHeight="1" x14ac:dyDescent="0.2"/>
    <row r="49915" ht="12.75" hidden="1" customHeight="1" x14ac:dyDescent="0.2"/>
    <row r="49916" ht="12.75" hidden="1" customHeight="1" x14ac:dyDescent="0.2"/>
    <row r="49917" ht="12.75" hidden="1" customHeight="1" x14ac:dyDescent="0.2"/>
    <row r="49918" ht="12.75" hidden="1" customHeight="1" x14ac:dyDescent="0.2"/>
    <row r="49919" ht="12.75" hidden="1" customHeight="1" x14ac:dyDescent="0.2"/>
    <row r="49920" ht="12.75" hidden="1" customHeight="1" x14ac:dyDescent="0.2"/>
    <row r="49921" ht="12.75" hidden="1" customHeight="1" x14ac:dyDescent="0.2"/>
    <row r="49922" ht="12.75" hidden="1" customHeight="1" x14ac:dyDescent="0.2"/>
    <row r="49923" ht="12.75" hidden="1" customHeight="1" x14ac:dyDescent="0.2"/>
    <row r="49924" ht="12.75" hidden="1" customHeight="1" x14ac:dyDescent="0.2"/>
    <row r="49925" ht="12.75" hidden="1" customHeight="1" x14ac:dyDescent="0.2"/>
    <row r="49926" ht="12.75" hidden="1" customHeight="1" x14ac:dyDescent="0.2"/>
    <row r="49927" ht="12.75" hidden="1" customHeight="1" x14ac:dyDescent="0.2"/>
    <row r="49928" ht="12.75" hidden="1" customHeight="1" x14ac:dyDescent="0.2"/>
    <row r="49929" ht="12.75" hidden="1" customHeight="1" x14ac:dyDescent="0.2"/>
    <row r="49930" ht="12.75" hidden="1" customHeight="1" x14ac:dyDescent="0.2"/>
    <row r="49931" ht="12.75" hidden="1" customHeight="1" x14ac:dyDescent="0.2"/>
    <row r="49932" ht="12.75" hidden="1" customHeight="1" x14ac:dyDescent="0.2"/>
    <row r="49933" ht="12.75" hidden="1" customHeight="1" x14ac:dyDescent="0.2"/>
    <row r="49934" ht="12.75" hidden="1" customHeight="1" x14ac:dyDescent="0.2"/>
    <row r="49935" ht="12.75" hidden="1" customHeight="1" x14ac:dyDescent="0.2"/>
    <row r="49936" ht="12.75" hidden="1" customHeight="1" x14ac:dyDescent="0.2"/>
    <row r="49937" ht="12.75" hidden="1" customHeight="1" x14ac:dyDescent="0.2"/>
    <row r="49938" ht="12.75" hidden="1" customHeight="1" x14ac:dyDescent="0.2"/>
    <row r="49939" ht="12.75" hidden="1" customHeight="1" x14ac:dyDescent="0.2"/>
    <row r="49940" ht="12.75" hidden="1" customHeight="1" x14ac:dyDescent="0.2"/>
    <row r="49941" ht="12.75" hidden="1" customHeight="1" x14ac:dyDescent="0.2"/>
    <row r="49942" ht="12.75" hidden="1" customHeight="1" x14ac:dyDescent="0.2"/>
    <row r="49943" ht="12.75" hidden="1" customHeight="1" x14ac:dyDescent="0.2"/>
    <row r="49944" ht="12.75" hidden="1" customHeight="1" x14ac:dyDescent="0.2"/>
    <row r="49945" ht="12.75" hidden="1" customHeight="1" x14ac:dyDescent="0.2"/>
    <row r="49946" ht="12.75" hidden="1" customHeight="1" x14ac:dyDescent="0.2"/>
    <row r="49947" ht="12.75" hidden="1" customHeight="1" x14ac:dyDescent="0.2"/>
    <row r="49948" ht="12.75" hidden="1" customHeight="1" x14ac:dyDescent="0.2"/>
    <row r="49949" ht="12.75" hidden="1" customHeight="1" x14ac:dyDescent="0.2"/>
    <row r="49950" ht="12.75" hidden="1" customHeight="1" x14ac:dyDescent="0.2"/>
    <row r="49951" ht="12.75" hidden="1" customHeight="1" x14ac:dyDescent="0.2"/>
    <row r="49952" ht="12.75" hidden="1" customHeight="1" x14ac:dyDescent="0.2"/>
    <row r="49953" ht="12.75" hidden="1" customHeight="1" x14ac:dyDescent="0.2"/>
    <row r="49954" ht="12.75" hidden="1" customHeight="1" x14ac:dyDescent="0.2"/>
    <row r="49955" ht="12.75" hidden="1" customHeight="1" x14ac:dyDescent="0.2"/>
    <row r="49956" ht="12.75" hidden="1" customHeight="1" x14ac:dyDescent="0.2"/>
    <row r="49957" ht="12.75" hidden="1" customHeight="1" x14ac:dyDescent="0.2"/>
    <row r="49958" ht="12.75" hidden="1" customHeight="1" x14ac:dyDescent="0.2"/>
    <row r="49959" ht="12.75" hidden="1" customHeight="1" x14ac:dyDescent="0.2"/>
    <row r="49960" ht="12.75" hidden="1" customHeight="1" x14ac:dyDescent="0.2"/>
    <row r="49961" ht="12.75" hidden="1" customHeight="1" x14ac:dyDescent="0.2"/>
    <row r="49962" ht="12.75" hidden="1" customHeight="1" x14ac:dyDescent="0.2"/>
    <row r="49963" ht="12.75" hidden="1" customHeight="1" x14ac:dyDescent="0.2"/>
    <row r="49964" ht="12.75" hidden="1" customHeight="1" x14ac:dyDescent="0.2"/>
    <row r="49965" ht="12.75" hidden="1" customHeight="1" x14ac:dyDescent="0.2"/>
    <row r="49966" ht="12.75" hidden="1" customHeight="1" x14ac:dyDescent="0.2"/>
    <row r="49967" ht="12.75" hidden="1" customHeight="1" x14ac:dyDescent="0.2"/>
    <row r="49968" ht="12.75" hidden="1" customHeight="1" x14ac:dyDescent="0.2"/>
    <row r="49969" ht="12.75" hidden="1" customHeight="1" x14ac:dyDescent="0.2"/>
    <row r="49970" ht="12.75" hidden="1" customHeight="1" x14ac:dyDescent="0.2"/>
    <row r="49971" ht="12.75" hidden="1" customHeight="1" x14ac:dyDescent="0.2"/>
    <row r="49972" ht="12.75" hidden="1" customHeight="1" x14ac:dyDescent="0.2"/>
    <row r="49973" ht="12.75" hidden="1" customHeight="1" x14ac:dyDescent="0.2"/>
    <row r="49974" ht="12.75" hidden="1" customHeight="1" x14ac:dyDescent="0.2"/>
    <row r="49975" ht="12.75" hidden="1" customHeight="1" x14ac:dyDescent="0.2"/>
    <row r="49976" ht="12.75" hidden="1" customHeight="1" x14ac:dyDescent="0.2"/>
    <row r="49977" ht="12.75" hidden="1" customHeight="1" x14ac:dyDescent="0.2"/>
    <row r="49978" ht="12.75" hidden="1" customHeight="1" x14ac:dyDescent="0.2"/>
    <row r="49979" ht="12.75" hidden="1" customHeight="1" x14ac:dyDescent="0.2"/>
    <row r="49980" ht="12.75" hidden="1" customHeight="1" x14ac:dyDescent="0.2"/>
    <row r="49981" ht="12.75" hidden="1" customHeight="1" x14ac:dyDescent="0.2"/>
    <row r="49982" ht="12.75" hidden="1" customHeight="1" x14ac:dyDescent="0.2"/>
    <row r="49983" ht="12.75" hidden="1" customHeight="1" x14ac:dyDescent="0.2"/>
    <row r="49984" ht="12.75" hidden="1" customHeight="1" x14ac:dyDescent="0.2"/>
    <row r="49985" ht="12.75" hidden="1" customHeight="1" x14ac:dyDescent="0.2"/>
    <row r="49986" ht="12.75" hidden="1" customHeight="1" x14ac:dyDescent="0.2"/>
    <row r="49987" ht="12.75" hidden="1" customHeight="1" x14ac:dyDescent="0.2"/>
    <row r="49988" ht="12.75" hidden="1" customHeight="1" x14ac:dyDescent="0.2"/>
    <row r="49989" ht="12.75" hidden="1" customHeight="1" x14ac:dyDescent="0.2"/>
    <row r="49990" ht="12.75" hidden="1" customHeight="1" x14ac:dyDescent="0.2"/>
    <row r="49991" ht="12.75" hidden="1" customHeight="1" x14ac:dyDescent="0.2"/>
    <row r="49992" ht="12.75" hidden="1" customHeight="1" x14ac:dyDescent="0.2"/>
    <row r="49993" ht="12.75" hidden="1" customHeight="1" x14ac:dyDescent="0.2"/>
    <row r="49994" ht="12.75" hidden="1" customHeight="1" x14ac:dyDescent="0.2"/>
    <row r="49995" ht="12.75" hidden="1" customHeight="1" x14ac:dyDescent="0.2"/>
    <row r="49996" ht="12.75" hidden="1" customHeight="1" x14ac:dyDescent="0.2"/>
    <row r="49997" ht="12.75" hidden="1" customHeight="1" x14ac:dyDescent="0.2"/>
    <row r="49998" ht="12.75" hidden="1" customHeight="1" x14ac:dyDescent="0.2"/>
    <row r="49999" ht="12.75" hidden="1" customHeight="1" x14ac:dyDescent="0.2"/>
    <row r="50000" ht="12.75" hidden="1" customHeight="1" x14ac:dyDescent="0.2"/>
    <row r="50001" ht="12.75" hidden="1" customHeight="1" x14ac:dyDescent="0.2"/>
    <row r="50002" ht="12.75" hidden="1" customHeight="1" x14ac:dyDescent="0.2"/>
    <row r="50003" ht="12.75" hidden="1" customHeight="1" x14ac:dyDescent="0.2"/>
    <row r="50004" ht="12.75" hidden="1" customHeight="1" x14ac:dyDescent="0.2"/>
    <row r="50005" ht="12.75" hidden="1" customHeight="1" x14ac:dyDescent="0.2"/>
    <row r="50006" ht="12.75" hidden="1" customHeight="1" x14ac:dyDescent="0.2"/>
    <row r="50007" ht="12.75" hidden="1" customHeight="1" x14ac:dyDescent="0.2"/>
    <row r="50008" ht="12.75" hidden="1" customHeight="1" x14ac:dyDescent="0.2"/>
    <row r="50009" ht="12.75" hidden="1" customHeight="1" x14ac:dyDescent="0.2"/>
    <row r="50010" ht="12.75" hidden="1" customHeight="1" x14ac:dyDescent="0.2"/>
    <row r="50011" ht="12.75" hidden="1" customHeight="1" x14ac:dyDescent="0.2"/>
    <row r="50012" ht="12.75" hidden="1" customHeight="1" x14ac:dyDescent="0.2"/>
    <row r="50013" ht="12.75" hidden="1" customHeight="1" x14ac:dyDescent="0.2"/>
    <row r="50014" ht="12.75" hidden="1" customHeight="1" x14ac:dyDescent="0.2"/>
    <row r="50015" ht="12.75" hidden="1" customHeight="1" x14ac:dyDescent="0.2"/>
    <row r="50016" ht="12.75" hidden="1" customHeight="1" x14ac:dyDescent="0.2"/>
    <row r="50017" ht="12.75" hidden="1" customHeight="1" x14ac:dyDescent="0.2"/>
    <row r="50018" ht="12.75" hidden="1" customHeight="1" x14ac:dyDescent="0.2"/>
    <row r="50019" ht="12.75" hidden="1" customHeight="1" x14ac:dyDescent="0.2"/>
    <row r="50020" ht="12.75" hidden="1" customHeight="1" x14ac:dyDescent="0.2"/>
    <row r="50021" ht="12.75" hidden="1" customHeight="1" x14ac:dyDescent="0.2"/>
    <row r="50022" ht="12.75" hidden="1" customHeight="1" x14ac:dyDescent="0.2"/>
    <row r="50023" ht="12.75" hidden="1" customHeight="1" x14ac:dyDescent="0.2"/>
    <row r="50024" ht="12.75" hidden="1" customHeight="1" x14ac:dyDescent="0.2"/>
    <row r="50025" ht="12.75" hidden="1" customHeight="1" x14ac:dyDescent="0.2"/>
    <row r="50026" ht="12.75" hidden="1" customHeight="1" x14ac:dyDescent="0.2"/>
    <row r="50027" ht="12.75" hidden="1" customHeight="1" x14ac:dyDescent="0.2"/>
    <row r="50028" ht="12.75" hidden="1" customHeight="1" x14ac:dyDescent="0.2"/>
    <row r="50029" ht="12.75" hidden="1" customHeight="1" x14ac:dyDescent="0.2"/>
    <row r="50030" ht="12.75" hidden="1" customHeight="1" x14ac:dyDescent="0.2"/>
    <row r="50031" ht="12.75" hidden="1" customHeight="1" x14ac:dyDescent="0.2"/>
    <row r="50032" ht="12.75" hidden="1" customHeight="1" x14ac:dyDescent="0.2"/>
    <row r="50033" ht="12.75" hidden="1" customHeight="1" x14ac:dyDescent="0.2"/>
    <row r="50034" ht="12.75" hidden="1" customHeight="1" x14ac:dyDescent="0.2"/>
    <row r="50035" ht="12.75" hidden="1" customHeight="1" x14ac:dyDescent="0.2"/>
    <row r="50036" ht="12.75" hidden="1" customHeight="1" x14ac:dyDescent="0.2"/>
    <row r="50037" ht="12.75" hidden="1" customHeight="1" x14ac:dyDescent="0.2"/>
    <row r="50038" ht="12.75" hidden="1" customHeight="1" x14ac:dyDescent="0.2"/>
    <row r="50039" ht="12.75" hidden="1" customHeight="1" x14ac:dyDescent="0.2"/>
    <row r="50040" ht="12.75" hidden="1" customHeight="1" x14ac:dyDescent="0.2"/>
    <row r="50041" ht="12.75" hidden="1" customHeight="1" x14ac:dyDescent="0.2"/>
    <row r="50042" ht="12.75" hidden="1" customHeight="1" x14ac:dyDescent="0.2"/>
    <row r="50043" ht="12.75" hidden="1" customHeight="1" x14ac:dyDescent="0.2"/>
    <row r="50044" ht="12.75" hidden="1" customHeight="1" x14ac:dyDescent="0.2"/>
    <row r="50045" ht="12.75" hidden="1" customHeight="1" x14ac:dyDescent="0.2"/>
    <row r="50046" ht="12.75" hidden="1" customHeight="1" x14ac:dyDescent="0.2"/>
    <row r="50047" ht="12.75" hidden="1" customHeight="1" x14ac:dyDescent="0.2"/>
    <row r="50048" ht="12.75" hidden="1" customHeight="1" x14ac:dyDescent="0.2"/>
    <row r="50049" ht="12.75" hidden="1" customHeight="1" x14ac:dyDescent="0.2"/>
    <row r="50050" ht="12.75" hidden="1" customHeight="1" x14ac:dyDescent="0.2"/>
    <row r="50051" ht="12.75" hidden="1" customHeight="1" x14ac:dyDescent="0.2"/>
    <row r="50052" ht="12.75" hidden="1" customHeight="1" x14ac:dyDescent="0.2"/>
    <row r="50053" ht="12.75" hidden="1" customHeight="1" x14ac:dyDescent="0.2"/>
    <row r="50054" ht="12.75" hidden="1" customHeight="1" x14ac:dyDescent="0.2"/>
    <row r="50055" ht="12.75" hidden="1" customHeight="1" x14ac:dyDescent="0.2"/>
    <row r="50056" ht="12.75" hidden="1" customHeight="1" x14ac:dyDescent="0.2"/>
    <row r="50057" ht="12.75" hidden="1" customHeight="1" x14ac:dyDescent="0.2"/>
    <row r="50058" ht="12.75" hidden="1" customHeight="1" x14ac:dyDescent="0.2"/>
    <row r="50059" ht="12.75" hidden="1" customHeight="1" x14ac:dyDescent="0.2"/>
    <row r="50060" ht="12.75" hidden="1" customHeight="1" x14ac:dyDescent="0.2"/>
    <row r="50061" ht="12.75" hidden="1" customHeight="1" x14ac:dyDescent="0.2"/>
    <row r="50062" ht="12.75" hidden="1" customHeight="1" x14ac:dyDescent="0.2"/>
    <row r="50063" ht="12.75" hidden="1" customHeight="1" x14ac:dyDescent="0.2"/>
    <row r="50064" ht="12.75" hidden="1" customHeight="1" x14ac:dyDescent="0.2"/>
    <row r="50065" ht="12.75" hidden="1" customHeight="1" x14ac:dyDescent="0.2"/>
    <row r="50066" ht="12.75" hidden="1" customHeight="1" x14ac:dyDescent="0.2"/>
    <row r="50067" ht="12.75" hidden="1" customHeight="1" x14ac:dyDescent="0.2"/>
    <row r="50068" ht="12.75" hidden="1" customHeight="1" x14ac:dyDescent="0.2"/>
    <row r="50069" ht="12.75" hidden="1" customHeight="1" x14ac:dyDescent="0.2"/>
    <row r="50070" ht="12.75" hidden="1" customHeight="1" x14ac:dyDescent="0.2"/>
    <row r="50071" ht="12.75" hidden="1" customHeight="1" x14ac:dyDescent="0.2"/>
    <row r="50072" ht="12.75" hidden="1" customHeight="1" x14ac:dyDescent="0.2"/>
    <row r="50073" ht="12.75" hidden="1" customHeight="1" x14ac:dyDescent="0.2"/>
    <row r="50074" ht="12.75" hidden="1" customHeight="1" x14ac:dyDescent="0.2"/>
    <row r="50075" ht="12.75" hidden="1" customHeight="1" x14ac:dyDescent="0.2"/>
    <row r="50076" ht="12.75" hidden="1" customHeight="1" x14ac:dyDescent="0.2"/>
    <row r="50077" ht="12.75" hidden="1" customHeight="1" x14ac:dyDescent="0.2"/>
    <row r="50078" ht="12.75" hidden="1" customHeight="1" x14ac:dyDescent="0.2"/>
    <row r="50079" ht="12.75" hidden="1" customHeight="1" x14ac:dyDescent="0.2"/>
    <row r="50080" ht="12.75" hidden="1" customHeight="1" x14ac:dyDescent="0.2"/>
    <row r="50081" ht="12.75" hidden="1" customHeight="1" x14ac:dyDescent="0.2"/>
    <row r="50082" ht="12.75" hidden="1" customHeight="1" x14ac:dyDescent="0.2"/>
    <row r="50083" ht="12.75" hidden="1" customHeight="1" x14ac:dyDescent="0.2"/>
    <row r="50084" ht="12.75" hidden="1" customHeight="1" x14ac:dyDescent="0.2"/>
    <row r="50085" ht="12.75" hidden="1" customHeight="1" x14ac:dyDescent="0.2"/>
    <row r="50086" ht="12.75" hidden="1" customHeight="1" x14ac:dyDescent="0.2"/>
    <row r="50087" ht="12.75" hidden="1" customHeight="1" x14ac:dyDescent="0.2"/>
    <row r="50088" ht="12.75" hidden="1" customHeight="1" x14ac:dyDescent="0.2"/>
    <row r="50089" ht="12.75" hidden="1" customHeight="1" x14ac:dyDescent="0.2"/>
    <row r="50090" ht="12.75" hidden="1" customHeight="1" x14ac:dyDescent="0.2"/>
    <row r="50091" ht="12.75" hidden="1" customHeight="1" x14ac:dyDescent="0.2"/>
    <row r="50092" ht="12.75" hidden="1" customHeight="1" x14ac:dyDescent="0.2"/>
    <row r="50093" ht="12.75" hidden="1" customHeight="1" x14ac:dyDescent="0.2"/>
    <row r="50094" ht="12.75" hidden="1" customHeight="1" x14ac:dyDescent="0.2"/>
    <row r="50095" ht="12.75" hidden="1" customHeight="1" x14ac:dyDescent="0.2"/>
    <row r="50096" ht="12.75" hidden="1" customHeight="1" x14ac:dyDescent="0.2"/>
    <row r="50097" ht="12.75" hidden="1" customHeight="1" x14ac:dyDescent="0.2"/>
    <row r="50098" ht="12.75" hidden="1" customHeight="1" x14ac:dyDescent="0.2"/>
    <row r="50099" ht="12.75" hidden="1" customHeight="1" x14ac:dyDescent="0.2"/>
    <row r="50100" ht="12.75" hidden="1" customHeight="1" x14ac:dyDescent="0.2"/>
    <row r="50101" ht="12.75" hidden="1" customHeight="1" x14ac:dyDescent="0.2"/>
    <row r="50102" ht="12.75" hidden="1" customHeight="1" x14ac:dyDescent="0.2"/>
    <row r="50103" ht="12.75" hidden="1" customHeight="1" x14ac:dyDescent="0.2"/>
    <row r="50104" ht="12.75" hidden="1" customHeight="1" x14ac:dyDescent="0.2"/>
    <row r="50105" ht="12.75" hidden="1" customHeight="1" x14ac:dyDescent="0.2"/>
    <row r="50106" ht="12.75" hidden="1" customHeight="1" x14ac:dyDescent="0.2"/>
    <row r="50107" ht="12.75" hidden="1" customHeight="1" x14ac:dyDescent="0.2"/>
    <row r="50108" ht="12.75" hidden="1" customHeight="1" x14ac:dyDescent="0.2"/>
    <row r="50109" ht="12.75" hidden="1" customHeight="1" x14ac:dyDescent="0.2"/>
    <row r="50110" ht="12.75" hidden="1" customHeight="1" x14ac:dyDescent="0.2"/>
    <row r="50111" ht="12.75" hidden="1" customHeight="1" x14ac:dyDescent="0.2"/>
    <row r="50112" ht="12.75" hidden="1" customHeight="1" x14ac:dyDescent="0.2"/>
    <row r="50113" ht="12.75" hidden="1" customHeight="1" x14ac:dyDescent="0.2"/>
    <row r="50114" ht="12.75" hidden="1" customHeight="1" x14ac:dyDescent="0.2"/>
    <row r="50115" ht="12.75" hidden="1" customHeight="1" x14ac:dyDescent="0.2"/>
    <row r="50116" ht="12.75" hidden="1" customHeight="1" x14ac:dyDescent="0.2"/>
    <row r="50117" ht="12.75" hidden="1" customHeight="1" x14ac:dyDescent="0.2"/>
    <row r="50118" ht="12.75" hidden="1" customHeight="1" x14ac:dyDescent="0.2"/>
    <row r="50119" ht="12.75" hidden="1" customHeight="1" x14ac:dyDescent="0.2"/>
    <row r="50120" ht="12.75" hidden="1" customHeight="1" x14ac:dyDescent="0.2"/>
    <row r="50121" ht="12.75" hidden="1" customHeight="1" x14ac:dyDescent="0.2"/>
    <row r="50122" ht="12.75" hidden="1" customHeight="1" x14ac:dyDescent="0.2"/>
    <row r="50123" ht="12.75" hidden="1" customHeight="1" x14ac:dyDescent="0.2"/>
    <row r="50124" ht="12.75" hidden="1" customHeight="1" x14ac:dyDescent="0.2"/>
    <row r="50125" ht="12.75" hidden="1" customHeight="1" x14ac:dyDescent="0.2"/>
    <row r="50126" ht="12.75" hidden="1" customHeight="1" x14ac:dyDescent="0.2"/>
    <row r="50127" ht="12.75" hidden="1" customHeight="1" x14ac:dyDescent="0.2"/>
    <row r="50128" ht="12.75" hidden="1" customHeight="1" x14ac:dyDescent="0.2"/>
    <row r="50129" ht="12.75" hidden="1" customHeight="1" x14ac:dyDescent="0.2"/>
    <row r="50130" ht="12.75" hidden="1" customHeight="1" x14ac:dyDescent="0.2"/>
    <row r="50131" ht="12.75" hidden="1" customHeight="1" x14ac:dyDescent="0.2"/>
    <row r="50132" ht="12.75" hidden="1" customHeight="1" x14ac:dyDescent="0.2"/>
    <row r="50133" ht="12.75" hidden="1" customHeight="1" x14ac:dyDescent="0.2"/>
    <row r="50134" ht="12.75" hidden="1" customHeight="1" x14ac:dyDescent="0.2"/>
    <row r="50135" ht="12.75" hidden="1" customHeight="1" x14ac:dyDescent="0.2"/>
    <row r="50136" ht="12.75" hidden="1" customHeight="1" x14ac:dyDescent="0.2"/>
    <row r="50137" ht="12.75" hidden="1" customHeight="1" x14ac:dyDescent="0.2"/>
    <row r="50138" ht="12.75" hidden="1" customHeight="1" x14ac:dyDescent="0.2"/>
    <row r="50139" ht="12.75" hidden="1" customHeight="1" x14ac:dyDescent="0.2"/>
    <row r="50140" ht="12.75" hidden="1" customHeight="1" x14ac:dyDescent="0.2"/>
    <row r="50141" ht="12.75" hidden="1" customHeight="1" x14ac:dyDescent="0.2"/>
    <row r="50142" ht="12.75" hidden="1" customHeight="1" x14ac:dyDescent="0.2"/>
    <row r="50143" ht="12.75" hidden="1" customHeight="1" x14ac:dyDescent="0.2"/>
    <row r="50144" ht="12.75" hidden="1" customHeight="1" x14ac:dyDescent="0.2"/>
    <row r="50145" ht="12.75" hidden="1" customHeight="1" x14ac:dyDescent="0.2"/>
    <row r="50146" ht="12.75" hidden="1" customHeight="1" x14ac:dyDescent="0.2"/>
    <row r="50147" ht="12.75" hidden="1" customHeight="1" x14ac:dyDescent="0.2"/>
    <row r="50148" ht="12.75" hidden="1" customHeight="1" x14ac:dyDescent="0.2"/>
    <row r="50149" ht="12.75" hidden="1" customHeight="1" x14ac:dyDescent="0.2"/>
    <row r="50150" ht="12.75" hidden="1" customHeight="1" x14ac:dyDescent="0.2"/>
    <row r="50151" ht="12.75" hidden="1" customHeight="1" x14ac:dyDescent="0.2"/>
    <row r="50152" ht="12.75" hidden="1" customHeight="1" x14ac:dyDescent="0.2"/>
    <row r="50153" ht="12.75" hidden="1" customHeight="1" x14ac:dyDescent="0.2"/>
    <row r="50154" ht="12.75" hidden="1" customHeight="1" x14ac:dyDescent="0.2"/>
    <row r="50155" ht="12.75" hidden="1" customHeight="1" x14ac:dyDescent="0.2"/>
    <row r="50156" ht="12.75" hidden="1" customHeight="1" x14ac:dyDescent="0.2"/>
    <row r="50157" ht="12.75" hidden="1" customHeight="1" x14ac:dyDescent="0.2"/>
    <row r="50158" ht="12.75" hidden="1" customHeight="1" x14ac:dyDescent="0.2"/>
    <row r="50159" ht="12.75" hidden="1" customHeight="1" x14ac:dyDescent="0.2"/>
    <row r="50160" ht="12.75" hidden="1" customHeight="1" x14ac:dyDescent="0.2"/>
    <row r="50161" ht="12.75" hidden="1" customHeight="1" x14ac:dyDescent="0.2"/>
    <row r="50162" ht="12.75" hidden="1" customHeight="1" x14ac:dyDescent="0.2"/>
    <row r="50163" ht="12.75" hidden="1" customHeight="1" x14ac:dyDescent="0.2"/>
    <row r="50164" ht="12.75" hidden="1" customHeight="1" x14ac:dyDescent="0.2"/>
    <row r="50165" ht="12.75" hidden="1" customHeight="1" x14ac:dyDescent="0.2"/>
    <row r="50166" ht="12.75" hidden="1" customHeight="1" x14ac:dyDescent="0.2"/>
    <row r="50167" ht="12.75" hidden="1" customHeight="1" x14ac:dyDescent="0.2"/>
    <row r="50168" ht="12.75" hidden="1" customHeight="1" x14ac:dyDescent="0.2"/>
    <row r="50169" ht="12.75" hidden="1" customHeight="1" x14ac:dyDescent="0.2"/>
    <row r="50170" ht="12.75" hidden="1" customHeight="1" x14ac:dyDescent="0.2"/>
    <row r="50171" ht="12.75" hidden="1" customHeight="1" x14ac:dyDescent="0.2"/>
    <row r="50172" ht="12.75" hidden="1" customHeight="1" x14ac:dyDescent="0.2"/>
    <row r="50173" ht="12.75" hidden="1" customHeight="1" x14ac:dyDescent="0.2"/>
    <row r="50174" ht="12.75" hidden="1" customHeight="1" x14ac:dyDescent="0.2"/>
    <row r="50175" ht="12.75" hidden="1" customHeight="1" x14ac:dyDescent="0.2"/>
    <row r="50176" ht="12.75" hidden="1" customHeight="1" x14ac:dyDescent="0.2"/>
    <row r="50177" ht="12.75" hidden="1" customHeight="1" x14ac:dyDescent="0.2"/>
    <row r="50178" ht="12.75" hidden="1" customHeight="1" x14ac:dyDescent="0.2"/>
    <row r="50179" ht="12.75" hidden="1" customHeight="1" x14ac:dyDescent="0.2"/>
    <row r="50180" ht="12.75" hidden="1" customHeight="1" x14ac:dyDescent="0.2"/>
    <row r="50181" ht="12.75" hidden="1" customHeight="1" x14ac:dyDescent="0.2"/>
    <row r="50182" ht="12.75" hidden="1" customHeight="1" x14ac:dyDescent="0.2"/>
    <row r="50183" ht="12.75" hidden="1" customHeight="1" x14ac:dyDescent="0.2"/>
    <row r="50184" ht="12.75" hidden="1" customHeight="1" x14ac:dyDescent="0.2"/>
    <row r="50185" ht="12.75" hidden="1" customHeight="1" x14ac:dyDescent="0.2"/>
    <row r="50186" ht="12.75" hidden="1" customHeight="1" x14ac:dyDescent="0.2"/>
    <row r="50187" ht="12.75" hidden="1" customHeight="1" x14ac:dyDescent="0.2"/>
    <row r="50188" ht="12.75" hidden="1" customHeight="1" x14ac:dyDescent="0.2"/>
    <row r="50189" ht="12.75" hidden="1" customHeight="1" x14ac:dyDescent="0.2"/>
    <row r="50190" ht="12.75" hidden="1" customHeight="1" x14ac:dyDescent="0.2"/>
    <row r="50191" ht="12.75" hidden="1" customHeight="1" x14ac:dyDescent="0.2"/>
    <row r="50192" ht="12.75" hidden="1" customHeight="1" x14ac:dyDescent="0.2"/>
    <row r="50193" ht="12.75" hidden="1" customHeight="1" x14ac:dyDescent="0.2"/>
    <row r="50194" ht="12.75" hidden="1" customHeight="1" x14ac:dyDescent="0.2"/>
    <row r="50195" ht="12.75" hidden="1" customHeight="1" x14ac:dyDescent="0.2"/>
    <row r="50196" ht="12.75" hidden="1" customHeight="1" x14ac:dyDescent="0.2"/>
    <row r="50197" ht="12.75" hidden="1" customHeight="1" x14ac:dyDescent="0.2"/>
    <row r="50198" ht="12.75" hidden="1" customHeight="1" x14ac:dyDescent="0.2"/>
    <row r="50199" ht="12.75" hidden="1" customHeight="1" x14ac:dyDescent="0.2"/>
    <row r="50200" ht="12.75" hidden="1" customHeight="1" x14ac:dyDescent="0.2"/>
    <row r="50201" ht="12.75" hidden="1" customHeight="1" x14ac:dyDescent="0.2"/>
    <row r="50202" ht="12.75" hidden="1" customHeight="1" x14ac:dyDescent="0.2"/>
    <row r="50203" ht="12.75" hidden="1" customHeight="1" x14ac:dyDescent="0.2"/>
    <row r="50204" ht="12.75" hidden="1" customHeight="1" x14ac:dyDescent="0.2"/>
    <row r="50205" ht="12.75" hidden="1" customHeight="1" x14ac:dyDescent="0.2"/>
    <row r="50206" ht="12.75" hidden="1" customHeight="1" x14ac:dyDescent="0.2"/>
    <row r="50207" ht="12.75" hidden="1" customHeight="1" x14ac:dyDescent="0.2"/>
    <row r="50208" ht="12.75" hidden="1" customHeight="1" x14ac:dyDescent="0.2"/>
    <row r="50209" ht="12.75" hidden="1" customHeight="1" x14ac:dyDescent="0.2"/>
    <row r="50210" ht="12.75" hidden="1" customHeight="1" x14ac:dyDescent="0.2"/>
    <row r="50211" ht="12.75" hidden="1" customHeight="1" x14ac:dyDescent="0.2"/>
    <row r="50212" ht="12.75" hidden="1" customHeight="1" x14ac:dyDescent="0.2"/>
    <row r="50213" ht="12.75" hidden="1" customHeight="1" x14ac:dyDescent="0.2"/>
    <row r="50214" ht="12.75" hidden="1" customHeight="1" x14ac:dyDescent="0.2"/>
    <row r="50215" ht="12.75" hidden="1" customHeight="1" x14ac:dyDescent="0.2"/>
    <row r="50216" ht="12.75" hidden="1" customHeight="1" x14ac:dyDescent="0.2"/>
    <row r="50217" ht="12.75" hidden="1" customHeight="1" x14ac:dyDescent="0.2"/>
    <row r="50218" ht="12.75" hidden="1" customHeight="1" x14ac:dyDescent="0.2"/>
    <row r="50219" ht="12.75" hidden="1" customHeight="1" x14ac:dyDescent="0.2"/>
    <row r="50220" ht="12.75" hidden="1" customHeight="1" x14ac:dyDescent="0.2"/>
    <row r="50221" ht="12.75" hidden="1" customHeight="1" x14ac:dyDescent="0.2"/>
    <row r="50222" ht="12.75" hidden="1" customHeight="1" x14ac:dyDescent="0.2"/>
    <row r="50223" ht="12.75" hidden="1" customHeight="1" x14ac:dyDescent="0.2"/>
    <row r="50224" ht="12.75" hidden="1" customHeight="1" x14ac:dyDescent="0.2"/>
    <row r="50225" ht="12.75" hidden="1" customHeight="1" x14ac:dyDescent="0.2"/>
    <row r="50226" ht="12.75" hidden="1" customHeight="1" x14ac:dyDescent="0.2"/>
    <row r="50227" ht="12.75" hidden="1" customHeight="1" x14ac:dyDescent="0.2"/>
    <row r="50228" ht="12.75" hidden="1" customHeight="1" x14ac:dyDescent="0.2"/>
    <row r="50229" ht="12.75" hidden="1" customHeight="1" x14ac:dyDescent="0.2"/>
    <row r="50230" ht="12.75" hidden="1" customHeight="1" x14ac:dyDescent="0.2"/>
    <row r="50231" ht="12.75" hidden="1" customHeight="1" x14ac:dyDescent="0.2"/>
    <row r="50232" ht="12.75" hidden="1" customHeight="1" x14ac:dyDescent="0.2"/>
    <row r="50233" ht="12.75" hidden="1" customHeight="1" x14ac:dyDescent="0.2"/>
    <row r="50234" ht="12.75" hidden="1" customHeight="1" x14ac:dyDescent="0.2"/>
    <row r="50235" ht="12.75" hidden="1" customHeight="1" x14ac:dyDescent="0.2"/>
    <row r="50236" ht="12.75" hidden="1" customHeight="1" x14ac:dyDescent="0.2"/>
    <row r="50237" ht="12.75" hidden="1" customHeight="1" x14ac:dyDescent="0.2"/>
    <row r="50238" ht="12.75" hidden="1" customHeight="1" x14ac:dyDescent="0.2"/>
    <row r="50239" ht="12.75" hidden="1" customHeight="1" x14ac:dyDescent="0.2"/>
    <row r="50240" ht="12.75" hidden="1" customHeight="1" x14ac:dyDescent="0.2"/>
    <row r="50241" ht="12.75" hidden="1" customHeight="1" x14ac:dyDescent="0.2"/>
    <row r="50242" ht="12.75" hidden="1" customHeight="1" x14ac:dyDescent="0.2"/>
    <row r="50243" ht="12.75" hidden="1" customHeight="1" x14ac:dyDescent="0.2"/>
    <row r="50244" ht="12.75" hidden="1" customHeight="1" x14ac:dyDescent="0.2"/>
    <row r="50245" ht="12.75" hidden="1" customHeight="1" x14ac:dyDescent="0.2"/>
    <row r="50246" ht="12.75" hidden="1" customHeight="1" x14ac:dyDescent="0.2"/>
    <row r="50247" ht="12.75" hidden="1" customHeight="1" x14ac:dyDescent="0.2"/>
    <row r="50248" ht="12.75" hidden="1" customHeight="1" x14ac:dyDescent="0.2"/>
    <row r="50249" ht="12.75" hidden="1" customHeight="1" x14ac:dyDescent="0.2"/>
    <row r="50250" ht="12.75" hidden="1" customHeight="1" x14ac:dyDescent="0.2"/>
    <row r="50251" ht="12.75" hidden="1" customHeight="1" x14ac:dyDescent="0.2"/>
    <row r="50252" ht="12.75" hidden="1" customHeight="1" x14ac:dyDescent="0.2"/>
    <row r="50253" ht="12.75" hidden="1" customHeight="1" x14ac:dyDescent="0.2"/>
    <row r="50254" ht="12.75" hidden="1" customHeight="1" x14ac:dyDescent="0.2"/>
    <row r="50255" ht="12.75" hidden="1" customHeight="1" x14ac:dyDescent="0.2"/>
    <row r="50256" ht="12.75" hidden="1" customHeight="1" x14ac:dyDescent="0.2"/>
    <row r="50257" ht="12.75" hidden="1" customHeight="1" x14ac:dyDescent="0.2"/>
    <row r="50258" ht="12.75" hidden="1" customHeight="1" x14ac:dyDescent="0.2"/>
    <row r="50259" ht="12.75" hidden="1" customHeight="1" x14ac:dyDescent="0.2"/>
    <row r="50260" ht="12.75" hidden="1" customHeight="1" x14ac:dyDescent="0.2"/>
    <row r="50261" ht="12.75" hidden="1" customHeight="1" x14ac:dyDescent="0.2"/>
    <row r="50262" ht="12.75" hidden="1" customHeight="1" x14ac:dyDescent="0.2"/>
    <row r="50263" ht="12.75" hidden="1" customHeight="1" x14ac:dyDescent="0.2"/>
    <row r="50264" ht="12.75" hidden="1" customHeight="1" x14ac:dyDescent="0.2"/>
    <row r="50265" ht="12.75" hidden="1" customHeight="1" x14ac:dyDescent="0.2"/>
    <row r="50266" ht="12.75" hidden="1" customHeight="1" x14ac:dyDescent="0.2"/>
    <row r="50267" ht="12.75" hidden="1" customHeight="1" x14ac:dyDescent="0.2"/>
    <row r="50268" ht="12.75" hidden="1" customHeight="1" x14ac:dyDescent="0.2"/>
    <row r="50269" ht="12.75" hidden="1" customHeight="1" x14ac:dyDescent="0.2"/>
    <row r="50270" ht="12.75" hidden="1" customHeight="1" x14ac:dyDescent="0.2"/>
    <row r="50271" ht="12.75" hidden="1" customHeight="1" x14ac:dyDescent="0.2"/>
    <row r="50272" ht="12.75" hidden="1" customHeight="1" x14ac:dyDescent="0.2"/>
    <row r="50273" ht="12.75" hidden="1" customHeight="1" x14ac:dyDescent="0.2"/>
    <row r="50274" ht="12.75" hidden="1" customHeight="1" x14ac:dyDescent="0.2"/>
    <row r="50275" ht="12.75" hidden="1" customHeight="1" x14ac:dyDescent="0.2"/>
    <row r="50276" ht="12.75" hidden="1" customHeight="1" x14ac:dyDescent="0.2"/>
    <row r="50277" ht="12.75" hidden="1" customHeight="1" x14ac:dyDescent="0.2"/>
    <row r="50278" ht="12.75" hidden="1" customHeight="1" x14ac:dyDescent="0.2"/>
    <row r="50279" ht="12.75" hidden="1" customHeight="1" x14ac:dyDescent="0.2"/>
    <row r="50280" ht="12.75" hidden="1" customHeight="1" x14ac:dyDescent="0.2"/>
    <row r="50281" ht="12.75" hidden="1" customHeight="1" x14ac:dyDescent="0.2"/>
    <row r="50282" ht="12.75" hidden="1" customHeight="1" x14ac:dyDescent="0.2"/>
    <row r="50283" ht="12.75" hidden="1" customHeight="1" x14ac:dyDescent="0.2"/>
    <row r="50284" ht="12.75" hidden="1" customHeight="1" x14ac:dyDescent="0.2"/>
    <row r="50285" ht="12.75" hidden="1" customHeight="1" x14ac:dyDescent="0.2"/>
    <row r="50286" ht="12.75" hidden="1" customHeight="1" x14ac:dyDescent="0.2"/>
    <row r="50287" ht="12.75" hidden="1" customHeight="1" x14ac:dyDescent="0.2"/>
    <row r="50288" ht="12.75" hidden="1" customHeight="1" x14ac:dyDescent="0.2"/>
    <row r="50289" ht="12.75" hidden="1" customHeight="1" x14ac:dyDescent="0.2"/>
    <row r="50290" ht="12.75" hidden="1" customHeight="1" x14ac:dyDescent="0.2"/>
    <row r="50291" ht="12.75" hidden="1" customHeight="1" x14ac:dyDescent="0.2"/>
    <row r="50292" ht="12.75" hidden="1" customHeight="1" x14ac:dyDescent="0.2"/>
    <row r="50293" ht="12.75" hidden="1" customHeight="1" x14ac:dyDescent="0.2"/>
    <row r="50294" ht="12.75" hidden="1" customHeight="1" x14ac:dyDescent="0.2"/>
    <row r="50295" ht="12.75" hidden="1" customHeight="1" x14ac:dyDescent="0.2"/>
    <row r="50296" ht="12.75" hidden="1" customHeight="1" x14ac:dyDescent="0.2"/>
    <row r="50297" ht="12.75" hidden="1" customHeight="1" x14ac:dyDescent="0.2"/>
    <row r="50298" ht="12.75" hidden="1" customHeight="1" x14ac:dyDescent="0.2"/>
    <row r="50299" ht="12.75" hidden="1" customHeight="1" x14ac:dyDescent="0.2"/>
    <row r="50300" ht="12.75" hidden="1" customHeight="1" x14ac:dyDescent="0.2"/>
    <row r="50301" ht="12.75" hidden="1" customHeight="1" x14ac:dyDescent="0.2"/>
    <row r="50302" ht="12.75" hidden="1" customHeight="1" x14ac:dyDescent="0.2"/>
    <row r="50303" ht="12.75" hidden="1" customHeight="1" x14ac:dyDescent="0.2"/>
    <row r="50304" ht="12.75" hidden="1" customHeight="1" x14ac:dyDescent="0.2"/>
    <row r="50305" ht="12.75" hidden="1" customHeight="1" x14ac:dyDescent="0.2"/>
    <row r="50306" ht="12.75" hidden="1" customHeight="1" x14ac:dyDescent="0.2"/>
    <row r="50307" ht="12.75" hidden="1" customHeight="1" x14ac:dyDescent="0.2"/>
    <row r="50308" ht="12.75" hidden="1" customHeight="1" x14ac:dyDescent="0.2"/>
    <row r="50309" ht="12.75" hidden="1" customHeight="1" x14ac:dyDescent="0.2"/>
    <row r="50310" ht="12.75" hidden="1" customHeight="1" x14ac:dyDescent="0.2"/>
    <row r="50311" ht="12.75" hidden="1" customHeight="1" x14ac:dyDescent="0.2"/>
    <row r="50312" ht="12.75" hidden="1" customHeight="1" x14ac:dyDescent="0.2"/>
    <row r="50313" ht="12.75" hidden="1" customHeight="1" x14ac:dyDescent="0.2"/>
    <row r="50314" ht="12.75" hidden="1" customHeight="1" x14ac:dyDescent="0.2"/>
    <row r="50315" ht="12.75" hidden="1" customHeight="1" x14ac:dyDescent="0.2"/>
    <row r="50316" ht="12.75" hidden="1" customHeight="1" x14ac:dyDescent="0.2"/>
    <row r="50317" ht="12.75" hidden="1" customHeight="1" x14ac:dyDescent="0.2"/>
    <row r="50318" ht="12.75" hidden="1" customHeight="1" x14ac:dyDescent="0.2"/>
    <row r="50319" ht="12.75" hidden="1" customHeight="1" x14ac:dyDescent="0.2"/>
    <row r="50320" ht="12.75" hidden="1" customHeight="1" x14ac:dyDescent="0.2"/>
    <row r="50321" ht="12.75" hidden="1" customHeight="1" x14ac:dyDescent="0.2"/>
    <row r="50322" ht="12.75" hidden="1" customHeight="1" x14ac:dyDescent="0.2"/>
    <row r="50323" ht="12.75" hidden="1" customHeight="1" x14ac:dyDescent="0.2"/>
    <row r="50324" ht="12.75" hidden="1" customHeight="1" x14ac:dyDescent="0.2"/>
    <row r="50325" ht="12.75" hidden="1" customHeight="1" x14ac:dyDescent="0.2"/>
    <row r="50326" ht="12.75" hidden="1" customHeight="1" x14ac:dyDescent="0.2"/>
    <row r="50327" ht="12.75" hidden="1" customHeight="1" x14ac:dyDescent="0.2"/>
    <row r="50328" ht="12.75" hidden="1" customHeight="1" x14ac:dyDescent="0.2"/>
    <row r="50329" ht="12.75" hidden="1" customHeight="1" x14ac:dyDescent="0.2"/>
    <row r="50330" ht="12.75" hidden="1" customHeight="1" x14ac:dyDescent="0.2"/>
    <row r="50331" ht="12.75" hidden="1" customHeight="1" x14ac:dyDescent="0.2"/>
    <row r="50332" ht="12.75" hidden="1" customHeight="1" x14ac:dyDescent="0.2"/>
    <row r="50333" ht="12.75" hidden="1" customHeight="1" x14ac:dyDescent="0.2"/>
    <row r="50334" ht="12.75" hidden="1" customHeight="1" x14ac:dyDescent="0.2"/>
    <row r="50335" ht="12.75" hidden="1" customHeight="1" x14ac:dyDescent="0.2"/>
    <row r="50336" ht="12.75" hidden="1" customHeight="1" x14ac:dyDescent="0.2"/>
    <row r="50337" ht="12.75" hidden="1" customHeight="1" x14ac:dyDescent="0.2"/>
    <row r="50338" ht="12.75" hidden="1" customHeight="1" x14ac:dyDescent="0.2"/>
    <row r="50339" ht="12.75" hidden="1" customHeight="1" x14ac:dyDescent="0.2"/>
    <row r="50340" ht="12.75" hidden="1" customHeight="1" x14ac:dyDescent="0.2"/>
    <row r="50341" ht="12.75" hidden="1" customHeight="1" x14ac:dyDescent="0.2"/>
    <row r="50342" ht="12.75" hidden="1" customHeight="1" x14ac:dyDescent="0.2"/>
    <row r="50343" ht="12.75" hidden="1" customHeight="1" x14ac:dyDescent="0.2"/>
    <row r="50344" ht="12.75" hidden="1" customHeight="1" x14ac:dyDescent="0.2"/>
    <row r="50345" ht="12.75" hidden="1" customHeight="1" x14ac:dyDescent="0.2"/>
    <row r="50346" ht="12.75" hidden="1" customHeight="1" x14ac:dyDescent="0.2"/>
    <row r="50347" ht="12.75" hidden="1" customHeight="1" x14ac:dyDescent="0.2"/>
    <row r="50348" ht="12.75" hidden="1" customHeight="1" x14ac:dyDescent="0.2"/>
    <row r="50349" ht="12.75" hidden="1" customHeight="1" x14ac:dyDescent="0.2"/>
    <row r="50350" ht="12.75" hidden="1" customHeight="1" x14ac:dyDescent="0.2"/>
    <row r="50351" ht="12.75" hidden="1" customHeight="1" x14ac:dyDescent="0.2"/>
    <row r="50352" ht="12.75" hidden="1" customHeight="1" x14ac:dyDescent="0.2"/>
    <row r="50353" ht="12.75" hidden="1" customHeight="1" x14ac:dyDescent="0.2"/>
    <row r="50354" ht="12.75" hidden="1" customHeight="1" x14ac:dyDescent="0.2"/>
    <row r="50355" ht="12.75" hidden="1" customHeight="1" x14ac:dyDescent="0.2"/>
    <row r="50356" ht="12.75" hidden="1" customHeight="1" x14ac:dyDescent="0.2"/>
    <row r="50357" ht="12.75" hidden="1" customHeight="1" x14ac:dyDescent="0.2"/>
    <row r="50358" ht="12.75" hidden="1" customHeight="1" x14ac:dyDescent="0.2"/>
    <row r="50359" ht="12.75" hidden="1" customHeight="1" x14ac:dyDescent="0.2"/>
    <row r="50360" ht="12.75" hidden="1" customHeight="1" x14ac:dyDescent="0.2"/>
    <row r="50361" ht="12.75" hidden="1" customHeight="1" x14ac:dyDescent="0.2"/>
    <row r="50362" ht="12.75" hidden="1" customHeight="1" x14ac:dyDescent="0.2"/>
    <row r="50363" ht="12.75" hidden="1" customHeight="1" x14ac:dyDescent="0.2"/>
    <row r="50364" ht="12.75" hidden="1" customHeight="1" x14ac:dyDescent="0.2"/>
    <row r="50365" ht="12.75" hidden="1" customHeight="1" x14ac:dyDescent="0.2"/>
    <row r="50366" ht="12.75" hidden="1" customHeight="1" x14ac:dyDescent="0.2"/>
    <row r="50367" ht="12.75" hidden="1" customHeight="1" x14ac:dyDescent="0.2"/>
    <row r="50368" ht="12.75" hidden="1" customHeight="1" x14ac:dyDescent="0.2"/>
    <row r="50369" ht="12.75" hidden="1" customHeight="1" x14ac:dyDescent="0.2"/>
    <row r="50370" ht="12.75" hidden="1" customHeight="1" x14ac:dyDescent="0.2"/>
    <row r="50371" ht="12.75" hidden="1" customHeight="1" x14ac:dyDescent="0.2"/>
    <row r="50372" ht="12.75" hidden="1" customHeight="1" x14ac:dyDescent="0.2"/>
    <row r="50373" ht="12.75" hidden="1" customHeight="1" x14ac:dyDescent="0.2"/>
    <row r="50374" ht="12.75" hidden="1" customHeight="1" x14ac:dyDescent="0.2"/>
    <row r="50375" ht="12.75" hidden="1" customHeight="1" x14ac:dyDescent="0.2"/>
    <row r="50376" ht="12.75" hidden="1" customHeight="1" x14ac:dyDescent="0.2"/>
    <row r="50377" ht="12.75" hidden="1" customHeight="1" x14ac:dyDescent="0.2"/>
    <row r="50378" ht="12.75" hidden="1" customHeight="1" x14ac:dyDescent="0.2"/>
    <row r="50379" ht="12.75" hidden="1" customHeight="1" x14ac:dyDescent="0.2"/>
    <row r="50380" ht="12.75" hidden="1" customHeight="1" x14ac:dyDescent="0.2"/>
    <row r="50381" ht="12.75" hidden="1" customHeight="1" x14ac:dyDescent="0.2"/>
    <row r="50382" ht="12.75" hidden="1" customHeight="1" x14ac:dyDescent="0.2"/>
    <row r="50383" ht="12.75" hidden="1" customHeight="1" x14ac:dyDescent="0.2"/>
    <row r="50384" ht="12.75" hidden="1" customHeight="1" x14ac:dyDescent="0.2"/>
    <row r="50385" ht="12.75" hidden="1" customHeight="1" x14ac:dyDescent="0.2"/>
    <row r="50386" ht="12.75" hidden="1" customHeight="1" x14ac:dyDescent="0.2"/>
    <row r="50387" ht="12.75" hidden="1" customHeight="1" x14ac:dyDescent="0.2"/>
    <row r="50388" ht="12.75" hidden="1" customHeight="1" x14ac:dyDescent="0.2"/>
    <row r="50389" ht="12.75" hidden="1" customHeight="1" x14ac:dyDescent="0.2"/>
    <row r="50390" ht="12.75" hidden="1" customHeight="1" x14ac:dyDescent="0.2"/>
    <row r="50391" ht="12.75" hidden="1" customHeight="1" x14ac:dyDescent="0.2"/>
    <row r="50392" ht="12.75" hidden="1" customHeight="1" x14ac:dyDescent="0.2"/>
    <row r="50393" ht="12.75" hidden="1" customHeight="1" x14ac:dyDescent="0.2"/>
    <row r="50394" ht="12.75" hidden="1" customHeight="1" x14ac:dyDescent="0.2"/>
    <row r="50395" ht="12.75" hidden="1" customHeight="1" x14ac:dyDescent="0.2"/>
    <row r="50396" ht="12.75" hidden="1" customHeight="1" x14ac:dyDescent="0.2"/>
    <row r="50397" ht="12.75" hidden="1" customHeight="1" x14ac:dyDescent="0.2"/>
    <row r="50398" ht="12.75" hidden="1" customHeight="1" x14ac:dyDescent="0.2"/>
    <row r="50399" ht="12.75" hidden="1" customHeight="1" x14ac:dyDescent="0.2"/>
    <row r="50400" ht="12.75" hidden="1" customHeight="1" x14ac:dyDescent="0.2"/>
    <row r="50401" ht="12.75" hidden="1" customHeight="1" x14ac:dyDescent="0.2"/>
    <row r="50402" ht="12.75" hidden="1" customHeight="1" x14ac:dyDescent="0.2"/>
    <row r="50403" ht="12.75" hidden="1" customHeight="1" x14ac:dyDescent="0.2"/>
    <row r="50404" ht="12.75" hidden="1" customHeight="1" x14ac:dyDescent="0.2"/>
    <row r="50405" ht="12.75" hidden="1" customHeight="1" x14ac:dyDescent="0.2"/>
    <row r="50406" ht="12.75" hidden="1" customHeight="1" x14ac:dyDescent="0.2"/>
    <row r="50407" ht="12.75" hidden="1" customHeight="1" x14ac:dyDescent="0.2"/>
    <row r="50408" ht="12.75" hidden="1" customHeight="1" x14ac:dyDescent="0.2"/>
    <row r="50409" ht="12.75" hidden="1" customHeight="1" x14ac:dyDescent="0.2"/>
    <row r="50410" ht="12.75" hidden="1" customHeight="1" x14ac:dyDescent="0.2"/>
    <row r="50411" ht="12.75" hidden="1" customHeight="1" x14ac:dyDescent="0.2"/>
    <row r="50412" ht="12.75" hidden="1" customHeight="1" x14ac:dyDescent="0.2"/>
    <row r="50413" ht="12.75" hidden="1" customHeight="1" x14ac:dyDescent="0.2"/>
    <row r="50414" ht="12.75" hidden="1" customHeight="1" x14ac:dyDescent="0.2"/>
    <row r="50415" ht="12.75" hidden="1" customHeight="1" x14ac:dyDescent="0.2"/>
    <row r="50416" ht="12.75" hidden="1" customHeight="1" x14ac:dyDescent="0.2"/>
    <row r="50417" ht="12.75" hidden="1" customHeight="1" x14ac:dyDescent="0.2"/>
    <row r="50418" ht="12.75" hidden="1" customHeight="1" x14ac:dyDescent="0.2"/>
    <row r="50419" ht="12.75" hidden="1" customHeight="1" x14ac:dyDescent="0.2"/>
    <row r="50420" ht="12.75" hidden="1" customHeight="1" x14ac:dyDescent="0.2"/>
    <row r="50421" ht="12.75" hidden="1" customHeight="1" x14ac:dyDescent="0.2"/>
    <row r="50422" ht="12.75" hidden="1" customHeight="1" x14ac:dyDescent="0.2"/>
    <row r="50423" ht="12.75" hidden="1" customHeight="1" x14ac:dyDescent="0.2"/>
    <row r="50424" ht="12.75" hidden="1" customHeight="1" x14ac:dyDescent="0.2"/>
    <row r="50425" ht="12.75" hidden="1" customHeight="1" x14ac:dyDescent="0.2"/>
    <row r="50426" ht="12.75" hidden="1" customHeight="1" x14ac:dyDescent="0.2"/>
    <row r="50427" ht="12.75" hidden="1" customHeight="1" x14ac:dyDescent="0.2"/>
    <row r="50428" ht="12.75" hidden="1" customHeight="1" x14ac:dyDescent="0.2"/>
    <row r="50429" ht="12.75" hidden="1" customHeight="1" x14ac:dyDescent="0.2"/>
    <row r="50430" ht="12.75" hidden="1" customHeight="1" x14ac:dyDescent="0.2"/>
    <row r="50431" ht="12.75" hidden="1" customHeight="1" x14ac:dyDescent="0.2"/>
    <row r="50432" ht="12.75" hidden="1" customHeight="1" x14ac:dyDescent="0.2"/>
    <row r="50433" ht="12.75" hidden="1" customHeight="1" x14ac:dyDescent="0.2"/>
    <row r="50434" ht="12.75" hidden="1" customHeight="1" x14ac:dyDescent="0.2"/>
    <row r="50435" ht="12.75" hidden="1" customHeight="1" x14ac:dyDescent="0.2"/>
    <row r="50436" ht="12.75" hidden="1" customHeight="1" x14ac:dyDescent="0.2"/>
    <row r="50437" ht="12.75" hidden="1" customHeight="1" x14ac:dyDescent="0.2"/>
    <row r="50438" ht="12.75" hidden="1" customHeight="1" x14ac:dyDescent="0.2"/>
    <row r="50439" ht="12.75" hidden="1" customHeight="1" x14ac:dyDescent="0.2"/>
    <row r="50440" ht="12.75" hidden="1" customHeight="1" x14ac:dyDescent="0.2"/>
    <row r="50441" ht="12.75" hidden="1" customHeight="1" x14ac:dyDescent="0.2"/>
    <row r="50442" ht="12.75" hidden="1" customHeight="1" x14ac:dyDescent="0.2"/>
    <row r="50443" ht="12.75" hidden="1" customHeight="1" x14ac:dyDescent="0.2"/>
    <row r="50444" ht="12.75" hidden="1" customHeight="1" x14ac:dyDescent="0.2"/>
    <row r="50445" ht="12.75" hidden="1" customHeight="1" x14ac:dyDescent="0.2"/>
    <row r="50446" ht="12.75" hidden="1" customHeight="1" x14ac:dyDescent="0.2"/>
    <row r="50447" ht="12.75" hidden="1" customHeight="1" x14ac:dyDescent="0.2"/>
    <row r="50448" ht="12.75" hidden="1" customHeight="1" x14ac:dyDescent="0.2"/>
    <row r="50449" ht="12.75" hidden="1" customHeight="1" x14ac:dyDescent="0.2"/>
    <row r="50450" ht="12.75" hidden="1" customHeight="1" x14ac:dyDescent="0.2"/>
    <row r="50451" ht="12.75" hidden="1" customHeight="1" x14ac:dyDescent="0.2"/>
    <row r="50452" ht="12.75" hidden="1" customHeight="1" x14ac:dyDescent="0.2"/>
    <row r="50453" ht="12.75" hidden="1" customHeight="1" x14ac:dyDescent="0.2"/>
    <row r="50454" ht="12.75" hidden="1" customHeight="1" x14ac:dyDescent="0.2"/>
    <row r="50455" ht="12.75" hidden="1" customHeight="1" x14ac:dyDescent="0.2"/>
    <row r="50456" ht="12.75" hidden="1" customHeight="1" x14ac:dyDescent="0.2"/>
    <row r="50457" ht="12.75" hidden="1" customHeight="1" x14ac:dyDescent="0.2"/>
    <row r="50458" ht="12.75" hidden="1" customHeight="1" x14ac:dyDescent="0.2"/>
    <row r="50459" ht="12.75" hidden="1" customHeight="1" x14ac:dyDescent="0.2"/>
    <row r="50460" ht="12.75" hidden="1" customHeight="1" x14ac:dyDescent="0.2"/>
    <row r="50461" ht="12.75" hidden="1" customHeight="1" x14ac:dyDescent="0.2"/>
    <row r="50462" ht="12.75" hidden="1" customHeight="1" x14ac:dyDescent="0.2"/>
    <row r="50463" ht="12.75" hidden="1" customHeight="1" x14ac:dyDescent="0.2"/>
    <row r="50464" ht="12.75" hidden="1" customHeight="1" x14ac:dyDescent="0.2"/>
    <row r="50465" ht="12.75" hidden="1" customHeight="1" x14ac:dyDescent="0.2"/>
    <row r="50466" ht="12.75" hidden="1" customHeight="1" x14ac:dyDescent="0.2"/>
    <row r="50467" ht="12.75" hidden="1" customHeight="1" x14ac:dyDescent="0.2"/>
    <row r="50468" ht="12.75" hidden="1" customHeight="1" x14ac:dyDescent="0.2"/>
    <row r="50469" ht="12.75" hidden="1" customHeight="1" x14ac:dyDescent="0.2"/>
    <row r="50470" ht="12.75" hidden="1" customHeight="1" x14ac:dyDescent="0.2"/>
    <row r="50471" ht="12.75" hidden="1" customHeight="1" x14ac:dyDescent="0.2"/>
    <row r="50472" ht="12.75" hidden="1" customHeight="1" x14ac:dyDescent="0.2"/>
    <row r="50473" ht="12.75" hidden="1" customHeight="1" x14ac:dyDescent="0.2"/>
    <row r="50474" ht="12.75" hidden="1" customHeight="1" x14ac:dyDescent="0.2"/>
    <row r="50475" ht="12.75" hidden="1" customHeight="1" x14ac:dyDescent="0.2"/>
    <row r="50476" ht="12.75" hidden="1" customHeight="1" x14ac:dyDescent="0.2"/>
    <row r="50477" ht="12.75" hidden="1" customHeight="1" x14ac:dyDescent="0.2"/>
    <row r="50478" ht="12.75" hidden="1" customHeight="1" x14ac:dyDescent="0.2"/>
    <row r="50479" ht="12.75" hidden="1" customHeight="1" x14ac:dyDescent="0.2"/>
    <row r="50480" ht="12.75" hidden="1" customHeight="1" x14ac:dyDescent="0.2"/>
    <row r="50481" ht="12.75" hidden="1" customHeight="1" x14ac:dyDescent="0.2"/>
    <row r="50482" ht="12.75" hidden="1" customHeight="1" x14ac:dyDescent="0.2"/>
    <row r="50483" ht="12.75" hidden="1" customHeight="1" x14ac:dyDescent="0.2"/>
    <row r="50484" ht="12.75" hidden="1" customHeight="1" x14ac:dyDescent="0.2"/>
    <row r="50485" ht="12.75" hidden="1" customHeight="1" x14ac:dyDescent="0.2"/>
    <row r="50486" ht="12.75" hidden="1" customHeight="1" x14ac:dyDescent="0.2"/>
    <row r="50487" ht="12.75" hidden="1" customHeight="1" x14ac:dyDescent="0.2"/>
    <row r="50488" ht="12.75" hidden="1" customHeight="1" x14ac:dyDescent="0.2"/>
    <row r="50489" ht="12.75" hidden="1" customHeight="1" x14ac:dyDescent="0.2"/>
    <row r="50490" ht="12.75" hidden="1" customHeight="1" x14ac:dyDescent="0.2"/>
    <row r="50491" ht="12.75" hidden="1" customHeight="1" x14ac:dyDescent="0.2"/>
    <row r="50492" ht="12.75" hidden="1" customHeight="1" x14ac:dyDescent="0.2"/>
    <row r="50493" ht="12.75" hidden="1" customHeight="1" x14ac:dyDescent="0.2"/>
    <row r="50494" ht="12.75" hidden="1" customHeight="1" x14ac:dyDescent="0.2"/>
    <row r="50495" ht="12.75" hidden="1" customHeight="1" x14ac:dyDescent="0.2"/>
    <row r="50496" ht="12.75" hidden="1" customHeight="1" x14ac:dyDescent="0.2"/>
    <row r="50497" ht="12.75" hidden="1" customHeight="1" x14ac:dyDescent="0.2"/>
    <row r="50498" ht="12.75" hidden="1" customHeight="1" x14ac:dyDescent="0.2"/>
    <row r="50499" ht="12.75" hidden="1" customHeight="1" x14ac:dyDescent="0.2"/>
    <row r="50500" ht="12.75" hidden="1" customHeight="1" x14ac:dyDescent="0.2"/>
    <row r="50501" ht="12.75" hidden="1" customHeight="1" x14ac:dyDescent="0.2"/>
    <row r="50502" ht="12.75" hidden="1" customHeight="1" x14ac:dyDescent="0.2"/>
    <row r="50503" ht="12.75" hidden="1" customHeight="1" x14ac:dyDescent="0.2"/>
    <row r="50504" ht="12.75" hidden="1" customHeight="1" x14ac:dyDescent="0.2"/>
    <row r="50505" ht="12.75" hidden="1" customHeight="1" x14ac:dyDescent="0.2"/>
    <row r="50506" ht="12.75" hidden="1" customHeight="1" x14ac:dyDescent="0.2"/>
    <row r="50507" ht="12.75" hidden="1" customHeight="1" x14ac:dyDescent="0.2"/>
    <row r="50508" ht="12.75" hidden="1" customHeight="1" x14ac:dyDescent="0.2"/>
    <row r="50509" ht="12.75" hidden="1" customHeight="1" x14ac:dyDescent="0.2"/>
    <row r="50510" ht="12.75" hidden="1" customHeight="1" x14ac:dyDescent="0.2"/>
    <row r="50511" ht="12.75" hidden="1" customHeight="1" x14ac:dyDescent="0.2"/>
    <row r="50512" ht="12.75" hidden="1" customHeight="1" x14ac:dyDescent="0.2"/>
    <row r="50513" ht="12.75" hidden="1" customHeight="1" x14ac:dyDescent="0.2"/>
    <row r="50514" ht="12.75" hidden="1" customHeight="1" x14ac:dyDescent="0.2"/>
    <row r="50515" ht="12.75" hidden="1" customHeight="1" x14ac:dyDescent="0.2"/>
    <row r="50516" ht="12.75" hidden="1" customHeight="1" x14ac:dyDescent="0.2"/>
    <row r="50517" ht="12.75" hidden="1" customHeight="1" x14ac:dyDescent="0.2"/>
    <row r="50518" ht="12.75" hidden="1" customHeight="1" x14ac:dyDescent="0.2"/>
    <row r="50519" ht="12.75" hidden="1" customHeight="1" x14ac:dyDescent="0.2"/>
    <row r="50520" ht="12.75" hidden="1" customHeight="1" x14ac:dyDescent="0.2"/>
    <row r="50521" ht="12.75" hidden="1" customHeight="1" x14ac:dyDescent="0.2"/>
    <row r="50522" ht="12.75" hidden="1" customHeight="1" x14ac:dyDescent="0.2"/>
    <row r="50523" ht="12.75" hidden="1" customHeight="1" x14ac:dyDescent="0.2"/>
    <row r="50524" ht="12.75" hidden="1" customHeight="1" x14ac:dyDescent="0.2"/>
    <row r="50525" ht="12.75" hidden="1" customHeight="1" x14ac:dyDescent="0.2"/>
    <row r="50526" ht="12.75" hidden="1" customHeight="1" x14ac:dyDescent="0.2"/>
    <row r="50527" ht="12.75" hidden="1" customHeight="1" x14ac:dyDescent="0.2"/>
    <row r="50528" ht="12.75" hidden="1" customHeight="1" x14ac:dyDescent="0.2"/>
    <row r="50529" ht="12.75" hidden="1" customHeight="1" x14ac:dyDescent="0.2"/>
    <row r="50530" ht="12.75" hidden="1" customHeight="1" x14ac:dyDescent="0.2"/>
    <row r="50531" ht="12.75" hidden="1" customHeight="1" x14ac:dyDescent="0.2"/>
    <row r="50532" ht="12.75" hidden="1" customHeight="1" x14ac:dyDescent="0.2"/>
    <row r="50533" ht="12.75" hidden="1" customHeight="1" x14ac:dyDescent="0.2"/>
    <row r="50534" ht="12.75" hidden="1" customHeight="1" x14ac:dyDescent="0.2"/>
    <row r="50535" ht="12.75" hidden="1" customHeight="1" x14ac:dyDescent="0.2"/>
    <row r="50536" ht="12.75" hidden="1" customHeight="1" x14ac:dyDescent="0.2"/>
    <row r="50537" ht="12.75" hidden="1" customHeight="1" x14ac:dyDescent="0.2"/>
    <row r="50538" ht="12.75" hidden="1" customHeight="1" x14ac:dyDescent="0.2"/>
    <row r="50539" ht="12.75" hidden="1" customHeight="1" x14ac:dyDescent="0.2"/>
    <row r="50540" ht="12.75" hidden="1" customHeight="1" x14ac:dyDescent="0.2"/>
    <row r="50541" ht="12.75" hidden="1" customHeight="1" x14ac:dyDescent="0.2"/>
    <row r="50542" ht="12.75" hidden="1" customHeight="1" x14ac:dyDescent="0.2"/>
    <row r="50543" ht="12.75" hidden="1" customHeight="1" x14ac:dyDescent="0.2"/>
    <row r="50544" ht="12.75" hidden="1" customHeight="1" x14ac:dyDescent="0.2"/>
    <row r="50545" ht="12.75" hidden="1" customHeight="1" x14ac:dyDescent="0.2"/>
    <row r="50546" ht="12.75" hidden="1" customHeight="1" x14ac:dyDescent="0.2"/>
    <row r="50547" ht="12.75" hidden="1" customHeight="1" x14ac:dyDescent="0.2"/>
    <row r="50548" ht="12.75" hidden="1" customHeight="1" x14ac:dyDescent="0.2"/>
    <row r="50549" ht="12.75" hidden="1" customHeight="1" x14ac:dyDescent="0.2"/>
    <row r="50550" ht="12.75" hidden="1" customHeight="1" x14ac:dyDescent="0.2"/>
    <row r="50551" ht="12.75" hidden="1" customHeight="1" x14ac:dyDescent="0.2"/>
    <row r="50552" ht="12.75" hidden="1" customHeight="1" x14ac:dyDescent="0.2"/>
    <row r="50553" ht="12.75" hidden="1" customHeight="1" x14ac:dyDescent="0.2"/>
    <row r="50554" ht="12.75" hidden="1" customHeight="1" x14ac:dyDescent="0.2"/>
    <row r="50555" ht="12.75" hidden="1" customHeight="1" x14ac:dyDescent="0.2"/>
    <row r="50556" ht="12.75" hidden="1" customHeight="1" x14ac:dyDescent="0.2"/>
    <row r="50557" ht="12.75" hidden="1" customHeight="1" x14ac:dyDescent="0.2"/>
    <row r="50558" ht="12.75" hidden="1" customHeight="1" x14ac:dyDescent="0.2"/>
    <row r="50559" ht="12.75" hidden="1" customHeight="1" x14ac:dyDescent="0.2"/>
    <row r="50560" ht="12.75" hidden="1" customHeight="1" x14ac:dyDescent="0.2"/>
    <row r="50561" ht="12.75" hidden="1" customHeight="1" x14ac:dyDescent="0.2"/>
    <row r="50562" ht="12.75" hidden="1" customHeight="1" x14ac:dyDescent="0.2"/>
    <row r="50563" ht="12.75" hidden="1" customHeight="1" x14ac:dyDescent="0.2"/>
    <row r="50564" ht="12.75" hidden="1" customHeight="1" x14ac:dyDescent="0.2"/>
    <row r="50565" ht="12.75" hidden="1" customHeight="1" x14ac:dyDescent="0.2"/>
    <row r="50566" ht="12.75" hidden="1" customHeight="1" x14ac:dyDescent="0.2"/>
    <row r="50567" ht="12.75" hidden="1" customHeight="1" x14ac:dyDescent="0.2"/>
    <row r="50568" ht="12.75" hidden="1" customHeight="1" x14ac:dyDescent="0.2"/>
    <row r="50569" ht="12.75" hidden="1" customHeight="1" x14ac:dyDescent="0.2"/>
    <row r="50570" ht="12.75" hidden="1" customHeight="1" x14ac:dyDescent="0.2"/>
    <row r="50571" ht="12.75" hidden="1" customHeight="1" x14ac:dyDescent="0.2"/>
    <row r="50572" ht="12.75" hidden="1" customHeight="1" x14ac:dyDescent="0.2"/>
    <row r="50573" ht="12.75" hidden="1" customHeight="1" x14ac:dyDescent="0.2"/>
    <row r="50574" ht="12.75" hidden="1" customHeight="1" x14ac:dyDescent="0.2"/>
    <row r="50575" ht="12.75" hidden="1" customHeight="1" x14ac:dyDescent="0.2"/>
    <row r="50576" ht="12.75" hidden="1" customHeight="1" x14ac:dyDescent="0.2"/>
    <row r="50577" ht="12.75" hidden="1" customHeight="1" x14ac:dyDescent="0.2"/>
    <row r="50578" ht="12.75" hidden="1" customHeight="1" x14ac:dyDescent="0.2"/>
    <row r="50579" ht="12.75" hidden="1" customHeight="1" x14ac:dyDescent="0.2"/>
    <row r="50580" ht="12.75" hidden="1" customHeight="1" x14ac:dyDescent="0.2"/>
    <row r="50581" ht="12.75" hidden="1" customHeight="1" x14ac:dyDescent="0.2"/>
    <row r="50582" ht="12.75" hidden="1" customHeight="1" x14ac:dyDescent="0.2"/>
    <row r="50583" ht="12.75" hidden="1" customHeight="1" x14ac:dyDescent="0.2"/>
    <row r="50584" ht="12.75" hidden="1" customHeight="1" x14ac:dyDescent="0.2"/>
    <row r="50585" ht="12.75" hidden="1" customHeight="1" x14ac:dyDescent="0.2"/>
    <row r="50586" ht="12.75" hidden="1" customHeight="1" x14ac:dyDescent="0.2"/>
    <row r="50587" ht="12.75" hidden="1" customHeight="1" x14ac:dyDescent="0.2"/>
    <row r="50588" ht="12.75" hidden="1" customHeight="1" x14ac:dyDescent="0.2"/>
    <row r="50589" ht="12.75" hidden="1" customHeight="1" x14ac:dyDescent="0.2"/>
    <row r="50590" ht="12.75" hidden="1" customHeight="1" x14ac:dyDescent="0.2"/>
    <row r="50591" ht="12.75" hidden="1" customHeight="1" x14ac:dyDescent="0.2"/>
    <row r="50592" ht="12.75" hidden="1" customHeight="1" x14ac:dyDescent="0.2"/>
    <row r="50593" ht="12.75" hidden="1" customHeight="1" x14ac:dyDescent="0.2"/>
    <row r="50594" ht="12.75" hidden="1" customHeight="1" x14ac:dyDescent="0.2"/>
    <row r="50595" ht="12.75" hidden="1" customHeight="1" x14ac:dyDescent="0.2"/>
    <row r="50596" ht="12.75" hidden="1" customHeight="1" x14ac:dyDescent="0.2"/>
    <row r="50597" ht="12.75" hidden="1" customHeight="1" x14ac:dyDescent="0.2"/>
    <row r="50598" ht="12.75" hidden="1" customHeight="1" x14ac:dyDescent="0.2"/>
    <row r="50599" ht="12.75" hidden="1" customHeight="1" x14ac:dyDescent="0.2"/>
    <row r="50600" ht="12.75" hidden="1" customHeight="1" x14ac:dyDescent="0.2"/>
    <row r="50601" ht="12.75" hidden="1" customHeight="1" x14ac:dyDescent="0.2"/>
    <row r="50602" ht="12.75" hidden="1" customHeight="1" x14ac:dyDescent="0.2"/>
    <row r="50603" ht="12.75" hidden="1" customHeight="1" x14ac:dyDescent="0.2"/>
    <row r="50604" ht="12.75" hidden="1" customHeight="1" x14ac:dyDescent="0.2"/>
    <row r="50605" ht="12.75" hidden="1" customHeight="1" x14ac:dyDescent="0.2"/>
    <row r="50606" ht="12.75" hidden="1" customHeight="1" x14ac:dyDescent="0.2"/>
    <row r="50607" ht="12.75" hidden="1" customHeight="1" x14ac:dyDescent="0.2"/>
    <row r="50608" ht="12.75" hidden="1" customHeight="1" x14ac:dyDescent="0.2"/>
    <row r="50609" ht="12.75" hidden="1" customHeight="1" x14ac:dyDescent="0.2"/>
    <row r="50610" ht="12.75" hidden="1" customHeight="1" x14ac:dyDescent="0.2"/>
    <row r="50611" ht="12.75" hidden="1" customHeight="1" x14ac:dyDescent="0.2"/>
    <row r="50612" ht="12.75" hidden="1" customHeight="1" x14ac:dyDescent="0.2"/>
    <row r="50613" ht="12.75" hidden="1" customHeight="1" x14ac:dyDescent="0.2"/>
    <row r="50614" ht="12.75" hidden="1" customHeight="1" x14ac:dyDescent="0.2"/>
    <row r="50615" ht="12.75" hidden="1" customHeight="1" x14ac:dyDescent="0.2"/>
    <row r="50616" ht="12.75" hidden="1" customHeight="1" x14ac:dyDescent="0.2"/>
    <row r="50617" ht="12.75" hidden="1" customHeight="1" x14ac:dyDescent="0.2"/>
    <row r="50618" ht="12.75" hidden="1" customHeight="1" x14ac:dyDescent="0.2"/>
    <row r="50619" ht="12.75" hidden="1" customHeight="1" x14ac:dyDescent="0.2"/>
    <row r="50620" ht="12.75" hidden="1" customHeight="1" x14ac:dyDescent="0.2"/>
    <row r="50621" ht="12.75" hidden="1" customHeight="1" x14ac:dyDescent="0.2"/>
    <row r="50622" ht="12.75" hidden="1" customHeight="1" x14ac:dyDescent="0.2"/>
    <row r="50623" ht="12.75" hidden="1" customHeight="1" x14ac:dyDescent="0.2"/>
    <row r="50624" ht="12.75" hidden="1" customHeight="1" x14ac:dyDescent="0.2"/>
    <row r="50625" ht="12.75" hidden="1" customHeight="1" x14ac:dyDescent="0.2"/>
    <row r="50626" ht="12.75" hidden="1" customHeight="1" x14ac:dyDescent="0.2"/>
    <row r="50627" ht="12.75" hidden="1" customHeight="1" x14ac:dyDescent="0.2"/>
    <row r="50628" ht="12.75" hidden="1" customHeight="1" x14ac:dyDescent="0.2"/>
    <row r="50629" ht="12.75" hidden="1" customHeight="1" x14ac:dyDescent="0.2"/>
    <row r="50630" ht="12.75" hidden="1" customHeight="1" x14ac:dyDescent="0.2"/>
    <row r="50631" ht="12.75" hidden="1" customHeight="1" x14ac:dyDescent="0.2"/>
    <row r="50632" ht="12.75" hidden="1" customHeight="1" x14ac:dyDescent="0.2"/>
    <row r="50633" ht="12.75" hidden="1" customHeight="1" x14ac:dyDescent="0.2"/>
    <row r="50634" ht="12.75" hidden="1" customHeight="1" x14ac:dyDescent="0.2"/>
    <row r="50635" ht="12.75" hidden="1" customHeight="1" x14ac:dyDescent="0.2"/>
    <row r="50636" ht="12.75" hidden="1" customHeight="1" x14ac:dyDescent="0.2"/>
    <row r="50637" ht="12.75" hidden="1" customHeight="1" x14ac:dyDescent="0.2"/>
    <row r="50638" ht="12.75" hidden="1" customHeight="1" x14ac:dyDescent="0.2"/>
    <row r="50639" ht="12.75" hidden="1" customHeight="1" x14ac:dyDescent="0.2"/>
    <row r="50640" ht="12.75" hidden="1" customHeight="1" x14ac:dyDescent="0.2"/>
    <row r="50641" ht="12.75" hidden="1" customHeight="1" x14ac:dyDescent="0.2"/>
    <row r="50642" ht="12.75" hidden="1" customHeight="1" x14ac:dyDescent="0.2"/>
    <row r="50643" ht="12.75" hidden="1" customHeight="1" x14ac:dyDescent="0.2"/>
    <row r="50644" ht="12.75" hidden="1" customHeight="1" x14ac:dyDescent="0.2"/>
    <row r="50645" ht="12.75" hidden="1" customHeight="1" x14ac:dyDescent="0.2"/>
    <row r="50646" ht="12.75" hidden="1" customHeight="1" x14ac:dyDescent="0.2"/>
    <row r="50647" ht="12.75" hidden="1" customHeight="1" x14ac:dyDescent="0.2"/>
    <row r="50648" ht="12.75" hidden="1" customHeight="1" x14ac:dyDescent="0.2"/>
    <row r="50649" ht="12.75" hidden="1" customHeight="1" x14ac:dyDescent="0.2"/>
    <row r="50650" ht="12.75" hidden="1" customHeight="1" x14ac:dyDescent="0.2"/>
    <row r="50651" ht="12.75" hidden="1" customHeight="1" x14ac:dyDescent="0.2"/>
    <row r="50652" ht="12.75" hidden="1" customHeight="1" x14ac:dyDescent="0.2"/>
    <row r="50653" ht="12.75" hidden="1" customHeight="1" x14ac:dyDescent="0.2"/>
    <row r="50654" ht="12.75" hidden="1" customHeight="1" x14ac:dyDescent="0.2"/>
    <row r="50655" ht="12.75" hidden="1" customHeight="1" x14ac:dyDescent="0.2"/>
    <row r="50656" ht="12.75" hidden="1" customHeight="1" x14ac:dyDescent="0.2"/>
    <row r="50657" ht="12.75" hidden="1" customHeight="1" x14ac:dyDescent="0.2"/>
    <row r="50658" ht="12.75" hidden="1" customHeight="1" x14ac:dyDescent="0.2"/>
    <row r="50659" ht="12.75" hidden="1" customHeight="1" x14ac:dyDescent="0.2"/>
    <row r="50660" ht="12.75" hidden="1" customHeight="1" x14ac:dyDescent="0.2"/>
    <row r="50661" ht="12.75" hidden="1" customHeight="1" x14ac:dyDescent="0.2"/>
    <row r="50662" ht="12.75" hidden="1" customHeight="1" x14ac:dyDescent="0.2"/>
    <row r="50663" ht="12.75" hidden="1" customHeight="1" x14ac:dyDescent="0.2"/>
    <row r="50664" ht="12.75" hidden="1" customHeight="1" x14ac:dyDescent="0.2"/>
    <row r="50665" ht="12.75" hidden="1" customHeight="1" x14ac:dyDescent="0.2"/>
    <row r="50666" ht="12.75" hidden="1" customHeight="1" x14ac:dyDescent="0.2"/>
    <row r="50667" ht="12.75" hidden="1" customHeight="1" x14ac:dyDescent="0.2"/>
    <row r="50668" ht="12.75" hidden="1" customHeight="1" x14ac:dyDescent="0.2"/>
    <row r="50669" ht="12.75" hidden="1" customHeight="1" x14ac:dyDescent="0.2"/>
    <row r="50670" ht="12.75" hidden="1" customHeight="1" x14ac:dyDescent="0.2"/>
    <row r="50671" ht="12.75" hidden="1" customHeight="1" x14ac:dyDescent="0.2"/>
    <row r="50672" ht="12.75" hidden="1" customHeight="1" x14ac:dyDescent="0.2"/>
    <row r="50673" ht="12.75" hidden="1" customHeight="1" x14ac:dyDescent="0.2"/>
    <row r="50674" ht="12.75" hidden="1" customHeight="1" x14ac:dyDescent="0.2"/>
    <row r="50675" ht="12.75" hidden="1" customHeight="1" x14ac:dyDescent="0.2"/>
    <row r="50676" ht="12.75" hidden="1" customHeight="1" x14ac:dyDescent="0.2"/>
    <row r="50677" ht="12.75" hidden="1" customHeight="1" x14ac:dyDescent="0.2"/>
    <row r="50678" ht="12.75" hidden="1" customHeight="1" x14ac:dyDescent="0.2"/>
    <row r="50679" ht="12.75" hidden="1" customHeight="1" x14ac:dyDescent="0.2"/>
    <row r="50680" ht="12.75" hidden="1" customHeight="1" x14ac:dyDescent="0.2"/>
    <row r="50681" ht="12.75" hidden="1" customHeight="1" x14ac:dyDescent="0.2"/>
    <row r="50682" ht="12.75" hidden="1" customHeight="1" x14ac:dyDescent="0.2"/>
    <row r="50683" ht="12.75" hidden="1" customHeight="1" x14ac:dyDescent="0.2"/>
    <row r="50684" ht="12.75" hidden="1" customHeight="1" x14ac:dyDescent="0.2"/>
    <row r="50685" ht="12.75" hidden="1" customHeight="1" x14ac:dyDescent="0.2"/>
    <row r="50686" ht="12.75" hidden="1" customHeight="1" x14ac:dyDescent="0.2"/>
    <row r="50687" ht="12.75" hidden="1" customHeight="1" x14ac:dyDescent="0.2"/>
    <row r="50688" ht="12.75" hidden="1" customHeight="1" x14ac:dyDescent="0.2"/>
    <row r="50689" ht="12.75" hidden="1" customHeight="1" x14ac:dyDescent="0.2"/>
    <row r="50690" ht="12.75" hidden="1" customHeight="1" x14ac:dyDescent="0.2"/>
    <row r="50691" ht="12.75" hidden="1" customHeight="1" x14ac:dyDescent="0.2"/>
    <row r="50692" ht="12.75" hidden="1" customHeight="1" x14ac:dyDescent="0.2"/>
    <row r="50693" ht="12.75" hidden="1" customHeight="1" x14ac:dyDescent="0.2"/>
    <row r="50694" ht="12.75" hidden="1" customHeight="1" x14ac:dyDescent="0.2"/>
    <row r="50695" ht="12.75" hidden="1" customHeight="1" x14ac:dyDescent="0.2"/>
    <row r="50696" ht="12.75" hidden="1" customHeight="1" x14ac:dyDescent="0.2"/>
    <row r="50697" ht="12.75" hidden="1" customHeight="1" x14ac:dyDescent="0.2"/>
    <row r="50698" ht="12.75" hidden="1" customHeight="1" x14ac:dyDescent="0.2"/>
    <row r="50699" ht="12.75" hidden="1" customHeight="1" x14ac:dyDescent="0.2"/>
    <row r="50700" ht="12.75" hidden="1" customHeight="1" x14ac:dyDescent="0.2"/>
    <row r="50701" ht="12.75" hidden="1" customHeight="1" x14ac:dyDescent="0.2"/>
    <row r="50702" ht="12.75" hidden="1" customHeight="1" x14ac:dyDescent="0.2"/>
    <row r="50703" ht="12.75" hidden="1" customHeight="1" x14ac:dyDescent="0.2"/>
    <row r="50704" ht="12.75" hidden="1" customHeight="1" x14ac:dyDescent="0.2"/>
    <row r="50705" ht="12.75" hidden="1" customHeight="1" x14ac:dyDescent="0.2"/>
    <row r="50706" ht="12.75" hidden="1" customHeight="1" x14ac:dyDescent="0.2"/>
    <row r="50707" ht="12.75" hidden="1" customHeight="1" x14ac:dyDescent="0.2"/>
    <row r="50708" ht="12.75" hidden="1" customHeight="1" x14ac:dyDescent="0.2"/>
    <row r="50709" ht="12.75" hidden="1" customHeight="1" x14ac:dyDescent="0.2"/>
    <row r="50710" ht="12.75" hidden="1" customHeight="1" x14ac:dyDescent="0.2"/>
    <row r="50711" ht="12.75" hidden="1" customHeight="1" x14ac:dyDescent="0.2"/>
    <row r="50712" ht="12.75" hidden="1" customHeight="1" x14ac:dyDescent="0.2"/>
    <row r="50713" ht="12.75" hidden="1" customHeight="1" x14ac:dyDescent="0.2"/>
    <row r="50714" ht="12.75" hidden="1" customHeight="1" x14ac:dyDescent="0.2"/>
    <row r="50715" ht="12.75" hidden="1" customHeight="1" x14ac:dyDescent="0.2"/>
    <row r="50716" ht="12.75" hidden="1" customHeight="1" x14ac:dyDescent="0.2"/>
    <row r="50717" ht="12.75" hidden="1" customHeight="1" x14ac:dyDescent="0.2"/>
    <row r="50718" ht="12.75" hidden="1" customHeight="1" x14ac:dyDescent="0.2"/>
    <row r="50719" ht="12.75" hidden="1" customHeight="1" x14ac:dyDescent="0.2"/>
    <row r="50720" ht="12.75" hidden="1" customHeight="1" x14ac:dyDescent="0.2"/>
    <row r="50721" ht="12.75" hidden="1" customHeight="1" x14ac:dyDescent="0.2"/>
    <row r="50722" ht="12.75" hidden="1" customHeight="1" x14ac:dyDescent="0.2"/>
    <row r="50723" ht="12.75" hidden="1" customHeight="1" x14ac:dyDescent="0.2"/>
    <row r="50724" ht="12.75" hidden="1" customHeight="1" x14ac:dyDescent="0.2"/>
    <row r="50725" ht="12.75" hidden="1" customHeight="1" x14ac:dyDescent="0.2"/>
    <row r="50726" ht="12.75" hidden="1" customHeight="1" x14ac:dyDescent="0.2"/>
    <row r="50727" ht="12.75" hidden="1" customHeight="1" x14ac:dyDescent="0.2"/>
    <row r="50728" ht="12.75" hidden="1" customHeight="1" x14ac:dyDescent="0.2"/>
    <row r="50729" ht="12.75" hidden="1" customHeight="1" x14ac:dyDescent="0.2"/>
    <row r="50730" ht="12.75" hidden="1" customHeight="1" x14ac:dyDescent="0.2"/>
    <row r="50731" ht="12.75" hidden="1" customHeight="1" x14ac:dyDescent="0.2"/>
    <row r="50732" ht="12.75" hidden="1" customHeight="1" x14ac:dyDescent="0.2"/>
    <row r="50733" ht="12.75" hidden="1" customHeight="1" x14ac:dyDescent="0.2"/>
    <row r="50734" ht="12.75" hidden="1" customHeight="1" x14ac:dyDescent="0.2"/>
    <row r="50735" ht="12.75" hidden="1" customHeight="1" x14ac:dyDescent="0.2"/>
    <row r="50736" ht="12.75" hidden="1" customHeight="1" x14ac:dyDescent="0.2"/>
    <row r="50737" ht="12.75" hidden="1" customHeight="1" x14ac:dyDescent="0.2"/>
    <row r="50738" ht="12.75" hidden="1" customHeight="1" x14ac:dyDescent="0.2"/>
    <row r="50739" ht="12.75" hidden="1" customHeight="1" x14ac:dyDescent="0.2"/>
    <row r="50740" ht="12.75" hidden="1" customHeight="1" x14ac:dyDescent="0.2"/>
    <row r="50741" ht="12.75" hidden="1" customHeight="1" x14ac:dyDescent="0.2"/>
    <row r="50742" ht="12.75" hidden="1" customHeight="1" x14ac:dyDescent="0.2"/>
    <row r="50743" ht="12.75" hidden="1" customHeight="1" x14ac:dyDescent="0.2"/>
    <row r="50744" ht="12.75" hidden="1" customHeight="1" x14ac:dyDescent="0.2"/>
    <row r="50745" ht="12.75" hidden="1" customHeight="1" x14ac:dyDescent="0.2"/>
    <row r="50746" ht="12.75" hidden="1" customHeight="1" x14ac:dyDescent="0.2"/>
    <row r="50747" ht="12.75" hidden="1" customHeight="1" x14ac:dyDescent="0.2"/>
    <row r="50748" ht="12.75" hidden="1" customHeight="1" x14ac:dyDescent="0.2"/>
    <row r="50749" ht="12.75" hidden="1" customHeight="1" x14ac:dyDescent="0.2"/>
    <row r="50750" ht="12.75" hidden="1" customHeight="1" x14ac:dyDescent="0.2"/>
    <row r="50751" ht="12.75" hidden="1" customHeight="1" x14ac:dyDescent="0.2"/>
    <row r="50752" ht="12.75" hidden="1" customHeight="1" x14ac:dyDescent="0.2"/>
    <row r="50753" ht="12.75" hidden="1" customHeight="1" x14ac:dyDescent="0.2"/>
    <row r="50754" ht="12.75" hidden="1" customHeight="1" x14ac:dyDescent="0.2"/>
    <row r="50755" ht="12.75" hidden="1" customHeight="1" x14ac:dyDescent="0.2"/>
    <row r="50756" ht="12.75" hidden="1" customHeight="1" x14ac:dyDescent="0.2"/>
    <row r="50757" ht="12.75" hidden="1" customHeight="1" x14ac:dyDescent="0.2"/>
    <row r="50758" ht="12.75" hidden="1" customHeight="1" x14ac:dyDescent="0.2"/>
    <row r="50759" ht="12.75" hidden="1" customHeight="1" x14ac:dyDescent="0.2"/>
    <row r="50760" ht="12.75" hidden="1" customHeight="1" x14ac:dyDescent="0.2"/>
    <row r="50761" ht="12.75" hidden="1" customHeight="1" x14ac:dyDescent="0.2"/>
    <row r="50762" ht="12.75" hidden="1" customHeight="1" x14ac:dyDescent="0.2"/>
    <row r="50763" ht="12.75" hidden="1" customHeight="1" x14ac:dyDescent="0.2"/>
    <row r="50764" ht="12.75" hidden="1" customHeight="1" x14ac:dyDescent="0.2"/>
    <row r="50765" ht="12.75" hidden="1" customHeight="1" x14ac:dyDescent="0.2"/>
    <row r="50766" ht="12.75" hidden="1" customHeight="1" x14ac:dyDescent="0.2"/>
    <row r="50767" ht="12.75" hidden="1" customHeight="1" x14ac:dyDescent="0.2"/>
    <row r="50768" ht="12.75" hidden="1" customHeight="1" x14ac:dyDescent="0.2"/>
    <row r="50769" ht="12.75" hidden="1" customHeight="1" x14ac:dyDescent="0.2"/>
    <row r="50770" ht="12.75" hidden="1" customHeight="1" x14ac:dyDescent="0.2"/>
    <row r="50771" ht="12.75" hidden="1" customHeight="1" x14ac:dyDescent="0.2"/>
    <row r="50772" ht="12.75" hidden="1" customHeight="1" x14ac:dyDescent="0.2"/>
    <row r="50773" ht="12.75" hidden="1" customHeight="1" x14ac:dyDescent="0.2"/>
    <row r="50774" ht="12.75" hidden="1" customHeight="1" x14ac:dyDescent="0.2"/>
    <row r="50775" ht="12.75" hidden="1" customHeight="1" x14ac:dyDescent="0.2"/>
    <row r="50776" ht="12.75" hidden="1" customHeight="1" x14ac:dyDescent="0.2"/>
    <row r="50777" ht="12.75" hidden="1" customHeight="1" x14ac:dyDescent="0.2"/>
    <row r="50778" ht="12.75" hidden="1" customHeight="1" x14ac:dyDescent="0.2"/>
    <row r="50779" ht="12.75" hidden="1" customHeight="1" x14ac:dyDescent="0.2"/>
    <row r="50780" ht="12.75" hidden="1" customHeight="1" x14ac:dyDescent="0.2"/>
    <row r="50781" ht="12.75" hidden="1" customHeight="1" x14ac:dyDescent="0.2"/>
    <row r="50782" ht="12.75" hidden="1" customHeight="1" x14ac:dyDescent="0.2"/>
    <row r="50783" ht="12.75" hidden="1" customHeight="1" x14ac:dyDescent="0.2"/>
    <row r="50784" ht="12.75" hidden="1" customHeight="1" x14ac:dyDescent="0.2"/>
    <row r="50785" ht="12.75" hidden="1" customHeight="1" x14ac:dyDescent="0.2"/>
    <row r="50786" ht="12.75" hidden="1" customHeight="1" x14ac:dyDescent="0.2"/>
    <row r="50787" ht="12.75" hidden="1" customHeight="1" x14ac:dyDescent="0.2"/>
    <row r="50788" ht="12.75" hidden="1" customHeight="1" x14ac:dyDescent="0.2"/>
    <row r="50789" ht="12.75" hidden="1" customHeight="1" x14ac:dyDescent="0.2"/>
    <row r="50790" ht="12.75" hidden="1" customHeight="1" x14ac:dyDescent="0.2"/>
    <row r="50791" ht="12.75" hidden="1" customHeight="1" x14ac:dyDescent="0.2"/>
    <row r="50792" ht="12.75" hidden="1" customHeight="1" x14ac:dyDescent="0.2"/>
    <row r="50793" ht="12.75" hidden="1" customHeight="1" x14ac:dyDescent="0.2"/>
    <row r="50794" ht="12.75" hidden="1" customHeight="1" x14ac:dyDescent="0.2"/>
    <row r="50795" ht="12.75" hidden="1" customHeight="1" x14ac:dyDescent="0.2"/>
    <row r="50796" ht="12.75" hidden="1" customHeight="1" x14ac:dyDescent="0.2"/>
    <row r="50797" ht="12.75" hidden="1" customHeight="1" x14ac:dyDescent="0.2"/>
    <row r="50798" ht="12.75" hidden="1" customHeight="1" x14ac:dyDescent="0.2"/>
    <row r="50799" ht="12.75" hidden="1" customHeight="1" x14ac:dyDescent="0.2"/>
    <row r="50800" ht="12.75" hidden="1" customHeight="1" x14ac:dyDescent="0.2"/>
    <row r="50801" ht="12.75" hidden="1" customHeight="1" x14ac:dyDescent="0.2"/>
    <row r="50802" ht="12.75" hidden="1" customHeight="1" x14ac:dyDescent="0.2"/>
    <row r="50803" ht="12.75" hidden="1" customHeight="1" x14ac:dyDescent="0.2"/>
    <row r="50804" ht="12.75" hidden="1" customHeight="1" x14ac:dyDescent="0.2"/>
    <row r="50805" ht="12.75" hidden="1" customHeight="1" x14ac:dyDescent="0.2"/>
    <row r="50806" ht="12.75" hidden="1" customHeight="1" x14ac:dyDescent="0.2"/>
    <row r="50807" ht="12.75" hidden="1" customHeight="1" x14ac:dyDescent="0.2"/>
    <row r="50808" ht="12.75" hidden="1" customHeight="1" x14ac:dyDescent="0.2"/>
    <row r="50809" ht="12.75" hidden="1" customHeight="1" x14ac:dyDescent="0.2"/>
    <row r="50810" ht="12.75" hidden="1" customHeight="1" x14ac:dyDescent="0.2"/>
    <row r="50811" ht="12.75" hidden="1" customHeight="1" x14ac:dyDescent="0.2"/>
    <row r="50812" ht="12.75" hidden="1" customHeight="1" x14ac:dyDescent="0.2"/>
    <row r="50813" ht="12.75" hidden="1" customHeight="1" x14ac:dyDescent="0.2"/>
    <row r="50814" ht="12.75" hidden="1" customHeight="1" x14ac:dyDescent="0.2"/>
    <row r="50815" ht="12.75" hidden="1" customHeight="1" x14ac:dyDescent="0.2"/>
    <row r="50816" ht="12.75" hidden="1" customHeight="1" x14ac:dyDescent="0.2"/>
    <row r="50817" ht="12.75" hidden="1" customHeight="1" x14ac:dyDescent="0.2"/>
    <row r="50818" ht="12.75" hidden="1" customHeight="1" x14ac:dyDescent="0.2"/>
    <row r="50819" ht="12.75" hidden="1" customHeight="1" x14ac:dyDescent="0.2"/>
    <row r="50820" ht="12.75" hidden="1" customHeight="1" x14ac:dyDescent="0.2"/>
    <row r="50821" ht="12.75" hidden="1" customHeight="1" x14ac:dyDescent="0.2"/>
    <row r="50822" ht="12.75" hidden="1" customHeight="1" x14ac:dyDescent="0.2"/>
    <row r="50823" ht="12.75" hidden="1" customHeight="1" x14ac:dyDescent="0.2"/>
    <row r="50824" ht="12.75" hidden="1" customHeight="1" x14ac:dyDescent="0.2"/>
    <row r="50825" ht="12.75" hidden="1" customHeight="1" x14ac:dyDescent="0.2"/>
    <row r="50826" ht="12.75" hidden="1" customHeight="1" x14ac:dyDescent="0.2"/>
    <row r="50827" ht="12.75" hidden="1" customHeight="1" x14ac:dyDescent="0.2"/>
    <row r="50828" ht="12.75" hidden="1" customHeight="1" x14ac:dyDescent="0.2"/>
    <row r="50829" ht="12.75" hidden="1" customHeight="1" x14ac:dyDescent="0.2"/>
    <row r="50830" ht="12.75" hidden="1" customHeight="1" x14ac:dyDescent="0.2"/>
    <row r="50831" ht="12.75" hidden="1" customHeight="1" x14ac:dyDescent="0.2"/>
    <row r="50832" ht="12.75" hidden="1" customHeight="1" x14ac:dyDescent="0.2"/>
    <row r="50833" ht="12.75" hidden="1" customHeight="1" x14ac:dyDescent="0.2"/>
    <row r="50834" ht="12.75" hidden="1" customHeight="1" x14ac:dyDescent="0.2"/>
    <row r="50835" ht="12.75" hidden="1" customHeight="1" x14ac:dyDescent="0.2"/>
    <row r="50836" ht="12.75" hidden="1" customHeight="1" x14ac:dyDescent="0.2"/>
    <row r="50837" ht="12.75" hidden="1" customHeight="1" x14ac:dyDescent="0.2"/>
    <row r="50838" ht="12.75" hidden="1" customHeight="1" x14ac:dyDescent="0.2"/>
    <row r="50839" ht="12.75" hidden="1" customHeight="1" x14ac:dyDescent="0.2"/>
    <row r="50840" ht="12.75" hidden="1" customHeight="1" x14ac:dyDescent="0.2"/>
    <row r="50841" ht="12.75" hidden="1" customHeight="1" x14ac:dyDescent="0.2"/>
    <row r="50842" ht="12.75" hidden="1" customHeight="1" x14ac:dyDescent="0.2"/>
    <row r="50843" ht="12.75" hidden="1" customHeight="1" x14ac:dyDescent="0.2"/>
    <row r="50844" ht="12.75" hidden="1" customHeight="1" x14ac:dyDescent="0.2"/>
    <row r="50845" ht="12.75" hidden="1" customHeight="1" x14ac:dyDescent="0.2"/>
    <row r="50846" ht="12.75" hidden="1" customHeight="1" x14ac:dyDescent="0.2"/>
    <row r="50847" ht="12.75" hidden="1" customHeight="1" x14ac:dyDescent="0.2"/>
    <row r="50848" ht="12.75" hidden="1" customHeight="1" x14ac:dyDescent="0.2"/>
    <row r="50849" ht="12.75" hidden="1" customHeight="1" x14ac:dyDescent="0.2"/>
    <row r="50850" ht="12.75" hidden="1" customHeight="1" x14ac:dyDescent="0.2"/>
    <row r="50851" ht="12.75" hidden="1" customHeight="1" x14ac:dyDescent="0.2"/>
    <row r="50852" ht="12.75" hidden="1" customHeight="1" x14ac:dyDescent="0.2"/>
    <row r="50853" ht="12.75" hidden="1" customHeight="1" x14ac:dyDescent="0.2"/>
    <row r="50854" ht="12.75" hidden="1" customHeight="1" x14ac:dyDescent="0.2"/>
    <row r="50855" ht="12.75" hidden="1" customHeight="1" x14ac:dyDescent="0.2"/>
    <row r="50856" ht="12.75" hidden="1" customHeight="1" x14ac:dyDescent="0.2"/>
    <row r="50857" ht="12.75" hidden="1" customHeight="1" x14ac:dyDescent="0.2"/>
    <row r="50858" ht="12.75" hidden="1" customHeight="1" x14ac:dyDescent="0.2"/>
    <row r="50859" ht="12.75" hidden="1" customHeight="1" x14ac:dyDescent="0.2"/>
    <row r="50860" ht="12.75" hidden="1" customHeight="1" x14ac:dyDescent="0.2"/>
    <row r="50861" ht="12.75" hidden="1" customHeight="1" x14ac:dyDescent="0.2"/>
    <row r="50862" ht="12.75" hidden="1" customHeight="1" x14ac:dyDescent="0.2"/>
    <row r="50863" ht="12.75" hidden="1" customHeight="1" x14ac:dyDescent="0.2"/>
    <row r="50864" ht="12.75" hidden="1" customHeight="1" x14ac:dyDescent="0.2"/>
    <row r="50865" ht="12.75" hidden="1" customHeight="1" x14ac:dyDescent="0.2"/>
    <row r="50866" ht="12.75" hidden="1" customHeight="1" x14ac:dyDescent="0.2"/>
    <row r="50867" ht="12.75" hidden="1" customHeight="1" x14ac:dyDescent="0.2"/>
    <row r="50868" ht="12.75" hidden="1" customHeight="1" x14ac:dyDescent="0.2"/>
    <row r="50869" ht="12.75" hidden="1" customHeight="1" x14ac:dyDescent="0.2"/>
    <row r="50870" ht="12.75" hidden="1" customHeight="1" x14ac:dyDescent="0.2"/>
    <row r="50871" ht="12.75" hidden="1" customHeight="1" x14ac:dyDescent="0.2"/>
    <row r="50872" ht="12.75" hidden="1" customHeight="1" x14ac:dyDescent="0.2"/>
    <row r="50873" ht="12.75" hidden="1" customHeight="1" x14ac:dyDescent="0.2"/>
    <row r="50874" ht="12.75" hidden="1" customHeight="1" x14ac:dyDescent="0.2"/>
    <row r="50875" ht="12.75" hidden="1" customHeight="1" x14ac:dyDescent="0.2"/>
    <row r="50876" ht="12.75" hidden="1" customHeight="1" x14ac:dyDescent="0.2"/>
    <row r="50877" ht="12.75" hidden="1" customHeight="1" x14ac:dyDescent="0.2"/>
    <row r="50878" ht="12.75" hidden="1" customHeight="1" x14ac:dyDescent="0.2"/>
    <row r="50879" ht="12.75" hidden="1" customHeight="1" x14ac:dyDescent="0.2"/>
    <row r="50880" ht="12.75" hidden="1" customHeight="1" x14ac:dyDescent="0.2"/>
    <row r="50881" ht="12.75" hidden="1" customHeight="1" x14ac:dyDescent="0.2"/>
    <row r="50882" ht="12.75" hidden="1" customHeight="1" x14ac:dyDescent="0.2"/>
    <row r="50883" ht="12.75" hidden="1" customHeight="1" x14ac:dyDescent="0.2"/>
    <row r="50884" ht="12.75" hidden="1" customHeight="1" x14ac:dyDescent="0.2"/>
    <row r="50885" ht="12.75" hidden="1" customHeight="1" x14ac:dyDescent="0.2"/>
    <row r="50886" ht="12.75" hidden="1" customHeight="1" x14ac:dyDescent="0.2"/>
    <row r="50887" ht="12.75" hidden="1" customHeight="1" x14ac:dyDescent="0.2"/>
    <row r="50888" ht="12.75" hidden="1" customHeight="1" x14ac:dyDescent="0.2"/>
    <row r="50889" ht="12.75" hidden="1" customHeight="1" x14ac:dyDescent="0.2"/>
    <row r="50890" ht="12.75" hidden="1" customHeight="1" x14ac:dyDescent="0.2"/>
    <row r="50891" ht="12.75" hidden="1" customHeight="1" x14ac:dyDescent="0.2"/>
    <row r="50892" ht="12.75" hidden="1" customHeight="1" x14ac:dyDescent="0.2"/>
    <row r="50893" ht="12.75" hidden="1" customHeight="1" x14ac:dyDescent="0.2"/>
    <row r="50894" ht="12.75" hidden="1" customHeight="1" x14ac:dyDescent="0.2"/>
    <row r="50895" ht="12.75" hidden="1" customHeight="1" x14ac:dyDescent="0.2"/>
    <row r="50896" ht="12.75" hidden="1" customHeight="1" x14ac:dyDescent="0.2"/>
    <row r="50897" ht="12.75" hidden="1" customHeight="1" x14ac:dyDescent="0.2"/>
    <row r="50898" ht="12.75" hidden="1" customHeight="1" x14ac:dyDescent="0.2"/>
    <row r="50899" ht="12.75" hidden="1" customHeight="1" x14ac:dyDescent="0.2"/>
    <row r="50900" ht="12.75" hidden="1" customHeight="1" x14ac:dyDescent="0.2"/>
    <row r="50901" ht="12.75" hidden="1" customHeight="1" x14ac:dyDescent="0.2"/>
    <row r="50902" ht="12.75" hidden="1" customHeight="1" x14ac:dyDescent="0.2"/>
    <row r="50903" ht="12.75" hidden="1" customHeight="1" x14ac:dyDescent="0.2"/>
    <row r="50904" ht="12.75" hidden="1" customHeight="1" x14ac:dyDescent="0.2"/>
    <row r="50905" ht="12.75" hidden="1" customHeight="1" x14ac:dyDescent="0.2"/>
    <row r="50906" ht="12.75" hidden="1" customHeight="1" x14ac:dyDescent="0.2"/>
    <row r="50907" ht="12.75" hidden="1" customHeight="1" x14ac:dyDescent="0.2"/>
    <row r="50908" ht="12.75" hidden="1" customHeight="1" x14ac:dyDescent="0.2"/>
    <row r="50909" ht="12.75" hidden="1" customHeight="1" x14ac:dyDescent="0.2"/>
    <row r="50910" ht="12.75" hidden="1" customHeight="1" x14ac:dyDescent="0.2"/>
    <row r="50911" ht="12.75" hidden="1" customHeight="1" x14ac:dyDescent="0.2"/>
    <row r="50912" ht="12.75" hidden="1" customHeight="1" x14ac:dyDescent="0.2"/>
    <row r="50913" ht="12.75" hidden="1" customHeight="1" x14ac:dyDescent="0.2"/>
    <row r="50914" ht="12.75" hidden="1" customHeight="1" x14ac:dyDescent="0.2"/>
    <row r="50915" ht="12.75" hidden="1" customHeight="1" x14ac:dyDescent="0.2"/>
    <row r="50916" ht="12.75" hidden="1" customHeight="1" x14ac:dyDescent="0.2"/>
    <row r="50917" ht="12.75" hidden="1" customHeight="1" x14ac:dyDescent="0.2"/>
    <row r="50918" ht="12.75" hidden="1" customHeight="1" x14ac:dyDescent="0.2"/>
    <row r="50919" ht="12.75" hidden="1" customHeight="1" x14ac:dyDescent="0.2"/>
    <row r="50920" ht="12.75" hidden="1" customHeight="1" x14ac:dyDescent="0.2"/>
    <row r="50921" ht="12.75" hidden="1" customHeight="1" x14ac:dyDescent="0.2"/>
    <row r="50922" ht="12.75" hidden="1" customHeight="1" x14ac:dyDescent="0.2"/>
    <row r="50923" ht="12.75" hidden="1" customHeight="1" x14ac:dyDescent="0.2"/>
    <row r="50924" ht="12.75" hidden="1" customHeight="1" x14ac:dyDescent="0.2"/>
    <row r="50925" ht="12.75" hidden="1" customHeight="1" x14ac:dyDescent="0.2"/>
    <row r="50926" ht="12.75" hidden="1" customHeight="1" x14ac:dyDescent="0.2"/>
    <row r="50927" ht="12.75" hidden="1" customHeight="1" x14ac:dyDescent="0.2"/>
    <row r="50928" ht="12.75" hidden="1" customHeight="1" x14ac:dyDescent="0.2"/>
    <row r="50929" ht="12.75" hidden="1" customHeight="1" x14ac:dyDescent="0.2"/>
    <row r="50930" ht="12.75" hidden="1" customHeight="1" x14ac:dyDescent="0.2"/>
    <row r="50931" ht="12.75" hidden="1" customHeight="1" x14ac:dyDescent="0.2"/>
    <row r="50932" ht="12.75" hidden="1" customHeight="1" x14ac:dyDescent="0.2"/>
    <row r="50933" ht="12.75" hidden="1" customHeight="1" x14ac:dyDescent="0.2"/>
    <row r="50934" ht="12.75" hidden="1" customHeight="1" x14ac:dyDescent="0.2"/>
    <row r="50935" ht="12.75" hidden="1" customHeight="1" x14ac:dyDescent="0.2"/>
    <row r="50936" ht="12.75" hidden="1" customHeight="1" x14ac:dyDescent="0.2"/>
    <row r="50937" ht="12.75" hidden="1" customHeight="1" x14ac:dyDescent="0.2"/>
    <row r="50938" ht="12.75" hidden="1" customHeight="1" x14ac:dyDescent="0.2"/>
    <row r="50939" ht="12.75" hidden="1" customHeight="1" x14ac:dyDescent="0.2"/>
    <row r="50940" ht="12.75" hidden="1" customHeight="1" x14ac:dyDescent="0.2"/>
    <row r="50941" ht="12.75" hidden="1" customHeight="1" x14ac:dyDescent="0.2"/>
    <row r="50942" ht="12.75" hidden="1" customHeight="1" x14ac:dyDescent="0.2"/>
    <row r="50943" ht="12.75" hidden="1" customHeight="1" x14ac:dyDescent="0.2"/>
    <row r="50944" ht="12.75" hidden="1" customHeight="1" x14ac:dyDescent="0.2"/>
    <row r="50945" ht="12.75" hidden="1" customHeight="1" x14ac:dyDescent="0.2"/>
    <row r="50946" ht="12.75" hidden="1" customHeight="1" x14ac:dyDescent="0.2"/>
    <row r="50947" ht="12.75" hidden="1" customHeight="1" x14ac:dyDescent="0.2"/>
    <row r="50948" ht="12.75" hidden="1" customHeight="1" x14ac:dyDescent="0.2"/>
    <row r="50949" ht="12.75" hidden="1" customHeight="1" x14ac:dyDescent="0.2"/>
    <row r="50950" ht="12.75" hidden="1" customHeight="1" x14ac:dyDescent="0.2"/>
    <row r="50951" ht="12.75" hidden="1" customHeight="1" x14ac:dyDescent="0.2"/>
    <row r="50952" ht="12.75" hidden="1" customHeight="1" x14ac:dyDescent="0.2"/>
    <row r="50953" ht="12.75" hidden="1" customHeight="1" x14ac:dyDescent="0.2"/>
    <row r="50954" ht="12.75" hidden="1" customHeight="1" x14ac:dyDescent="0.2"/>
    <row r="50955" ht="12.75" hidden="1" customHeight="1" x14ac:dyDescent="0.2"/>
    <row r="50956" ht="12.75" hidden="1" customHeight="1" x14ac:dyDescent="0.2"/>
    <row r="50957" ht="12.75" hidden="1" customHeight="1" x14ac:dyDescent="0.2"/>
    <row r="50958" ht="12.75" hidden="1" customHeight="1" x14ac:dyDescent="0.2"/>
    <row r="50959" ht="12.75" hidden="1" customHeight="1" x14ac:dyDescent="0.2"/>
    <row r="50960" ht="12.75" hidden="1" customHeight="1" x14ac:dyDescent="0.2"/>
    <row r="50961" ht="12.75" hidden="1" customHeight="1" x14ac:dyDescent="0.2"/>
    <row r="50962" ht="12.75" hidden="1" customHeight="1" x14ac:dyDescent="0.2"/>
    <row r="50963" ht="12.75" hidden="1" customHeight="1" x14ac:dyDescent="0.2"/>
    <row r="50964" ht="12.75" hidden="1" customHeight="1" x14ac:dyDescent="0.2"/>
    <row r="50965" ht="12.75" hidden="1" customHeight="1" x14ac:dyDescent="0.2"/>
    <row r="50966" ht="12.75" hidden="1" customHeight="1" x14ac:dyDescent="0.2"/>
    <row r="50967" ht="12.75" hidden="1" customHeight="1" x14ac:dyDescent="0.2"/>
    <row r="50968" ht="12.75" hidden="1" customHeight="1" x14ac:dyDescent="0.2"/>
    <row r="50969" ht="12.75" hidden="1" customHeight="1" x14ac:dyDescent="0.2"/>
    <row r="50970" ht="12.75" hidden="1" customHeight="1" x14ac:dyDescent="0.2"/>
    <row r="50971" ht="12.75" hidden="1" customHeight="1" x14ac:dyDescent="0.2"/>
    <row r="50972" ht="12.75" hidden="1" customHeight="1" x14ac:dyDescent="0.2"/>
    <row r="50973" ht="12.75" hidden="1" customHeight="1" x14ac:dyDescent="0.2"/>
    <row r="50974" ht="12.75" hidden="1" customHeight="1" x14ac:dyDescent="0.2"/>
    <row r="50975" ht="12.75" hidden="1" customHeight="1" x14ac:dyDescent="0.2"/>
    <row r="50976" ht="12.75" hidden="1" customHeight="1" x14ac:dyDescent="0.2"/>
    <row r="50977" ht="12.75" hidden="1" customHeight="1" x14ac:dyDescent="0.2"/>
    <row r="50978" ht="12.75" hidden="1" customHeight="1" x14ac:dyDescent="0.2"/>
    <row r="50979" ht="12.75" hidden="1" customHeight="1" x14ac:dyDescent="0.2"/>
    <row r="50980" ht="12.75" hidden="1" customHeight="1" x14ac:dyDescent="0.2"/>
    <row r="50981" ht="12.75" hidden="1" customHeight="1" x14ac:dyDescent="0.2"/>
    <row r="50982" ht="12.75" hidden="1" customHeight="1" x14ac:dyDescent="0.2"/>
    <row r="50983" ht="12.75" hidden="1" customHeight="1" x14ac:dyDescent="0.2"/>
    <row r="50984" ht="12.75" hidden="1" customHeight="1" x14ac:dyDescent="0.2"/>
    <row r="50985" ht="12.75" hidden="1" customHeight="1" x14ac:dyDescent="0.2"/>
    <row r="50986" ht="12.75" hidden="1" customHeight="1" x14ac:dyDescent="0.2"/>
    <row r="50987" ht="12.75" hidden="1" customHeight="1" x14ac:dyDescent="0.2"/>
    <row r="50988" ht="12.75" hidden="1" customHeight="1" x14ac:dyDescent="0.2"/>
    <row r="50989" ht="12.75" hidden="1" customHeight="1" x14ac:dyDescent="0.2"/>
    <row r="50990" ht="12.75" hidden="1" customHeight="1" x14ac:dyDescent="0.2"/>
    <row r="50991" ht="12.75" hidden="1" customHeight="1" x14ac:dyDescent="0.2"/>
    <row r="50992" ht="12.75" hidden="1" customHeight="1" x14ac:dyDescent="0.2"/>
    <row r="50993" ht="12.75" hidden="1" customHeight="1" x14ac:dyDescent="0.2"/>
    <row r="50994" ht="12.75" hidden="1" customHeight="1" x14ac:dyDescent="0.2"/>
    <row r="50995" ht="12.75" hidden="1" customHeight="1" x14ac:dyDescent="0.2"/>
    <row r="50996" ht="12.75" hidden="1" customHeight="1" x14ac:dyDescent="0.2"/>
    <row r="50997" ht="12.75" hidden="1" customHeight="1" x14ac:dyDescent="0.2"/>
    <row r="50998" ht="12.75" hidden="1" customHeight="1" x14ac:dyDescent="0.2"/>
    <row r="50999" ht="12.75" hidden="1" customHeight="1" x14ac:dyDescent="0.2"/>
    <row r="51000" ht="12.75" hidden="1" customHeight="1" x14ac:dyDescent="0.2"/>
    <row r="51001" ht="12.75" hidden="1" customHeight="1" x14ac:dyDescent="0.2"/>
    <row r="51002" ht="12.75" hidden="1" customHeight="1" x14ac:dyDescent="0.2"/>
    <row r="51003" ht="12.75" hidden="1" customHeight="1" x14ac:dyDescent="0.2"/>
    <row r="51004" ht="12.75" hidden="1" customHeight="1" x14ac:dyDescent="0.2"/>
    <row r="51005" ht="12.75" hidden="1" customHeight="1" x14ac:dyDescent="0.2"/>
    <row r="51006" ht="12.75" hidden="1" customHeight="1" x14ac:dyDescent="0.2"/>
    <row r="51007" ht="12.75" hidden="1" customHeight="1" x14ac:dyDescent="0.2"/>
    <row r="51008" ht="12.75" hidden="1" customHeight="1" x14ac:dyDescent="0.2"/>
    <row r="51009" ht="12.75" hidden="1" customHeight="1" x14ac:dyDescent="0.2"/>
    <row r="51010" ht="12.75" hidden="1" customHeight="1" x14ac:dyDescent="0.2"/>
    <row r="51011" ht="12.75" hidden="1" customHeight="1" x14ac:dyDescent="0.2"/>
    <row r="51012" ht="12.75" hidden="1" customHeight="1" x14ac:dyDescent="0.2"/>
    <row r="51013" ht="12.75" hidden="1" customHeight="1" x14ac:dyDescent="0.2"/>
    <row r="51014" ht="12.75" hidden="1" customHeight="1" x14ac:dyDescent="0.2"/>
    <row r="51015" ht="12.75" hidden="1" customHeight="1" x14ac:dyDescent="0.2"/>
    <row r="51016" ht="12.75" hidden="1" customHeight="1" x14ac:dyDescent="0.2"/>
    <row r="51017" ht="12.75" hidden="1" customHeight="1" x14ac:dyDescent="0.2"/>
    <row r="51018" ht="12.75" hidden="1" customHeight="1" x14ac:dyDescent="0.2"/>
    <row r="51019" ht="12.75" hidden="1" customHeight="1" x14ac:dyDescent="0.2"/>
    <row r="51020" ht="12.75" hidden="1" customHeight="1" x14ac:dyDescent="0.2"/>
    <row r="51021" ht="12.75" hidden="1" customHeight="1" x14ac:dyDescent="0.2"/>
    <row r="51022" ht="12.75" hidden="1" customHeight="1" x14ac:dyDescent="0.2"/>
    <row r="51023" ht="12.75" hidden="1" customHeight="1" x14ac:dyDescent="0.2"/>
    <row r="51024" ht="12.75" hidden="1" customHeight="1" x14ac:dyDescent="0.2"/>
    <row r="51025" ht="12.75" hidden="1" customHeight="1" x14ac:dyDescent="0.2"/>
    <row r="51026" ht="12.75" hidden="1" customHeight="1" x14ac:dyDescent="0.2"/>
    <row r="51027" ht="12.75" hidden="1" customHeight="1" x14ac:dyDescent="0.2"/>
    <row r="51028" ht="12.75" hidden="1" customHeight="1" x14ac:dyDescent="0.2"/>
    <row r="51029" ht="12.75" hidden="1" customHeight="1" x14ac:dyDescent="0.2"/>
    <row r="51030" ht="12.75" hidden="1" customHeight="1" x14ac:dyDescent="0.2"/>
    <row r="51031" ht="12.75" hidden="1" customHeight="1" x14ac:dyDescent="0.2"/>
    <row r="51032" ht="12.75" hidden="1" customHeight="1" x14ac:dyDescent="0.2"/>
    <row r="51033" ht="12.75" hidden="1" customHeight="1" x14ac:dyDescent="0.2"/>
    <row r="51034" ht="12.75" hidden="1" customHeight="1" x14ac:dyDescent="0.2"/>
    <row r="51035" ht="12.75" hidden="1" customHeight="1" x14ac:dyDescent="0.2"/>
    <row r="51036" ht="12.75" hidden="1" customHeight="1" x14ac:dyDescent="0.2"/>
    <row r="51037" ht="12.75" hidden="1" customHeight="1" x14ac:dyDescent="0.2"/>
    <row r="51038" ht="12.75" hidden="1" customHeight="1" x14ac:dyDescent="0.2"/>
    <row r="51039" ht="12.75" hidden="1" customHeight="1" x14ac:dyDescent="0.2"/>
    <row r="51040" ht="12.75" hidden="1" customHeight="1" x14ac:dyDescent="0.2"/>
    <row r="51041" ht="12.75" hidden="1" customHeight="1" x14ac:dyDescent="0.2"/>
    <row r="51042" ht="12.75" hidden="1" customHeight="1" x14ac:dyDescent="0.2"/>
    <row r="51043" ht="12.75" hidden="1" customHeight="1" x14ac:dyDescent="0.2"/>
    <row r="51044" ht="12.75" hidden="1" customHeight="1" x14ac:dyDescent="0.2"/>
    <row r="51045" ht="12.75" hidden="1" customHeight="1" x14ac:dyDescent="0.2"/>
    <row r="51046" ht="12.75" hidden="1" customHeight="1" x14ac:dyDescent="0.2"/>
    <row r="51047" ht="12.75" hidden="1" customHeight="1" x14ac:dyDescent="0.2"/>
    <row r="51048" ht="12.75" hidden="1" customHeight="1" x14ac:dyDescent="0.2"/>
    <row r="51049" ht="12.75" hidden="1" customHeight="1" x14ac:dyDescent="0.2"/>
    <row r="51050" ht="12.75" hidden="1" customHeight="1" x14ac:dyDescent="0.2"/>
    <row r="51051" ht="12.75" hidden="1" customHeight="1" x14ac:dyDescent="0.2"/>
    <row r="51052" ht="12.75" hidden="1" customHeight="1" x14ac:dyDescent="0.2"/>
    <row r="51053" ht="12.75" hidden="1" customHeight="1" x14ac:dyDescent="0.2"/>
    <row r="51054" ht="12.75" hidden="1" customHeight="1" x14ac:dyDescent="0.2"/>
    <row r="51055" ht="12.75" hidden="1" customHeight="1" x14ac:dyDescent="0.2"/>
    <row r="51056" ht="12.75" hidden="1" customHeight="1" x14ac:dyDescent="0.2"/>
    <row r="51057" ht="12.75" hidden="1" customHeight="1" x14ac:dyDescent="0.2"/>
    <row r="51058" ht="12.75" hidden="1" customHeight="1" x14ac:dyDescent="0.2"/>
    <row r="51059" ht="12.75" hidden="1" customHeight="1" x14ac:dyDescent="0.2"/>
    <row r="51060" ht="12.75" hidden="1" customHeight="1" x14ac:dyDescent="0.2"/>
    <row r="51061" ht="12.75" hidden="1" customHeight="1" x14ac:dyDescent="0.2"/>
    <row r="51062" ht="12.75" hidden="1" customHeight="1" x14ac:dyDescent="0.2"/>
    <row r="51063" ht="12.75" hidden="1" customHeight="1" x14ac:dyDescent="0.2"/>
    <row r="51064" ht="12.75" hidden="1" customHeight="1" x14ac:dyDescent="0.2"/>
    <row r="51065" ht="12.75" hidden="1" customHeight="1" x14ac:dyDescent="0.2"/>
    <row r="51066" ht="12.75" hidden="1" customHeight="1" x14ac:dyDescent="0.2"/>
    <row r="51067" ht="12.75" hidden="1" customHeight="1" x14ac:dyDescent="0.2"/>
    <row r="51068" ht="12.75" hidden="1" customHeight="1" x14ac:dyDescent="0.2"/>
    <row r="51069" ht="12.75" hidden="1" customHeight="1" x14ac:dyDescent="0.2"/>
    <row r="51070" ht="12.75" hidden="1" customHeight="1" x14ac:dyDescent="0.2"/>
    <row r="51071" ht="12.75" hidden="1" customHeight="1" x14ac:dyDescent="0.2"/>
    <row r="51072" ht="12.75" hidden="1" customHeight="1" x14ac:dyDescent="0.2"/>
    <row r="51073" ht="12.75" hidden="1" customHeight="1" x14ac:dyDescent="0.2"/>
    <row r="51074" ht="12.75" hidden="1" customHeight="1" x14ac:dyDescent="0.2"/>
    <row r="51075" ht="12.75" hidden="1" customHeight="1" x14ac:dyDescent="0.2"/>
    <row r="51076" ht="12.75" hidden="1" customHeight="1" x14ac:dyDescent="0.2"/>
    <row r="51077" ht="12.75" hidden="1" customHeight="1" x14ac:dyDescent="0.2"/>
    <row r="51078" ht="12.75" hidden="1" customHeight="1" x14ac:dyDescent="0.2"/>
    <row r="51079" ht="12.75" hidden="1" customHeight="1" x14ac:dyDescent="0.2"/>
    <row r="51080" ht="12.75" hidden="1" customHeight="1" x14ac:dyDescent="0.2"/>
    <row r="51081" ht="12.75" hidden="1" customHeight="1" x14ac:dyDescent="0.2"/>
    <row r="51082" ht="12.75" hidden="1" customHeight="1" x14ac:dyDescent="0.2"/>
    <row r="51083" ht="12.75" hidden="1" customHeight="1" x14ac:dyDescent="0.2"/>
    <row r="51084" ht="12.75" hidden="1" customHeight="1" x14ac:dyDescent="0.2"/>
    <row r="51085" ht="12.75" hidden="1" customHeight="1" x14ac:dyDescent="0.2"/>
    <row r="51086" ht="12.75" hidden="1" customHeight="1" x14ac:dyDescent="0.2"/>
    <row r="51087" ht="12.75" hidden="1" customHeight="1" x14ac:dyDescent="0.2"/>
    <row r="51088" ht="12.75" hidden="1" customHeight="1" x14ac:dyDescent="0.2"/>
    <row r="51089" ht="12.75" hidden="1" customHeight="1" x14ac:dyDescent="0.2"/>
    <row r="51090" ht="12.75" hidden="1" customHeight="1" x14ac:dyDescent="0.2"/>
    <row r="51091" ht="12.75" hidden="1" customHeight="1" x14ac:dyDescent="0.2"/>
    <row r="51092" ht="12.75" hidden="1" customHeight="1" x14ac:dyDescent="0.2"/>
    <row r="51093" ht="12.75" hidden="1" customHeight="1" x14ac:dyDescent="0.2"/>
    <row r="51094" ht="12.75" hidden="1" customHeight="1" x14ac:dyDescent="0.2"/>
    <row r="51095" ht="12.75" hidden="1" customHeight="1" x14ac:dyDescent="0.2"/>
    <row r="51096" ht="12.75" hidden="1" customHeight="1" x14ac:dyDescent="0.2"/>
    <row r="51097" ht="12.75" hidden="1" customHeight="1" x14ac:dyDescent="0.2"/>
    <row r="51098" ht="12.75" hidden="1" customHeight="1" x14ac:dyDescent="0.2"/>
    <row r="51099" ht="12.75" hidden="1" customHeight="1" x14ac:dyDescent="0.2"/>
    <row r="51100" ht="12.75" hidden="1" customHeight="1" x14ac:dyDescent="0.2"/>
    <row r="51101" ht="12.75" hidden="1" customHeight="1" x14ac:dyDescent="0.2"/>
    <row r="51102" ht="12.75" hidden="1" customHeight="1" x14ac:dyDescent="0.2"/>
    <row r="51103" ht="12.75" hidden="1" customHeight="1" x14ac:dyDescent="0.2"/>
    <row r="51104" ht="12.75" hidden="1" customHeight="1" x14ac:dyDescent="0.2"/>
    <row r="51105" ht="12.75" hidden="1" customHeight="1" x14ac:dyDescent="0.2"/>
    <row r="51106" ht="12.75" hidden="1" customHeight="1" x14ac:dyDescent="0.2"/>
    <row r="51107" ht="12.75" hidden="1" customHeight="1" x14ac:dyDescent="0.2"/>
    <row r="51108" ht="12.75" hidden="1" customHeight="1" x14ac:dyDescent="0.2"/>
    <row r="51109" ht="12.75" hidden="1" customHeight="1" x14ac:dyDescent="0.2"/>
    <row r="51110" ht="12.75" hidden="1" customHeight="1" x14ac:dyDescent="0.2"/>
    <row r="51111" ht="12.75" hidden="1" customHeight="1" x14ac:dyDescent="0.2"/>
    <row r="51112" ht="12.75" hidden="1" customHeight="1" x14ac:dyDescent="0.2"/>
    <row r="51113" ht="12.75" hidden="1" customHeight="1" x14ac:dyDescent="0.2"/>
    <row r="51114" ht="12.75" hidden="1" customHeight="1" x14ac:dyDescent="0.2"/>
    <row r="51115" ht="12.75" hidden="1" customHeight="1" x14ac:dyDescent="0.2"/>
    <row r="51116" ht="12.75" hidden="1" customHeight="1" x14ac:dyDescent="0.2"/>
    <row r="51117" ht="12.75" hidden="1" customHeight="1" x14ac:dyDescent="0.2"/>
    <row r="51118" ht="12.75" hidden="1" customHeight="1" x14ac:dyDescent="0.2"/>
    <row r="51119" ht="12.75" hidden="1" customHeight="1" x14ac:dyDescent="0.2"/>
    <row r="51120" ht="12.75" hidden="1" customHeight="1" x14ac:dyDescent="0.2"/>
    <row r="51121" ht="12.75" hidden="1" customHeight="1" x14ac:dyDescent="0.2"/>
    <row r="51122" ht="12.75" hidden="1" customHeight="1" x14ac:dyDescent="0.2"/>
    <row r="51123" ht="12.75" hidden="1" customHeight="1" x14ac:dyDescent="0.2"/>
    <row r="51124" ht="12.75" hidden="1" customHeight="1" x14ac:dyDescent="0.2"/>
    <row r="51125" ht="12.75" hidden="1" customHeight="1" x14ac:dyDescent="0.2"/>
    <row r="51126" ht="12.75" hidden="1" customHeight="1" x14ac:dyDescent="0.2"/>
    <row r="51127" ht="12.75" hidden="1" customHeight="1" x14ac:dyDescent="0.2"/>
    <row r="51128" ht="12.75" hidden="1" customHeight="1" x14ac:dyDescent="0.2"/>
    <row r="51129" ht="12.75" hidden="1" customHeight="1" x14ac:dyDescent="0.2"/>
    <row r="51130" ht="12.75" hidden="1" customHeight="1" x14ac:dyDescent="0.2"/>
    <row r="51131" ht="12.75" hidden="1" customHeight="1" x14ac:dyDescent="0.2"/>
    <row r="51132" ht="12.75" hidden="1" customHeight="1" x14ac:dyDescent="0.2"/>
    <row r="51133" ht="12.75" hidden="1" customHeight="1" x14ac:dyDescent="0.2"/>
    <row r="51134" ht="12.75" hidden="1" customHeight="1" x14ac:dyDescent="0.2"/>
    <row r="51135" ht="12.75" hidden="1" customHeight="1" x14ac:dyDescent="0.2"/>
    <row r="51136" ht="12.75" hidden="1" customHeight="1" x14ac:dyDescent="0.2"/>
    <row r="51137" ht="12.75" hidden="1" customHeight="1" x14ac:dyDescent="0.2"/>
    <row r="51138" ht="12.75" hidden="1" customHeight="1" x14ac:dyDescent="0.2"/>
    <row r="51139" ht="12.75" hidden="1" customHeight="1" x14ac:dyDescent="0.2"/>
    <row r="51140" ht="12.75" hidden="1" customHeight="1" x14ac:dyDescent="0.2"/>
    <row r="51141" ht="12.75" hidden="1" customHeight="1" x14ac:dyDescent="0.2"/>
    <row r="51142" ht="12.75" hidden="1" customHeight="1" x14ac:dyDescent="0.2"/>
    <row r="51143" ht="12.75" hidden="1" customHeight="1" x14ac:dyDescent="0.2"/>
    <row r="51144" ht="12.75" hidden="1" customHeight="1" x14ac:dyDescent="0.2"/>
    <row r="51145" ht="12.75" hidden="1" customHeight="1" x14ac:dyDescent="0.2"/>
    <row r="51146" ht="12.75" hidden="1" customHeight="1" x14ac:dyDescent="0.2"/>
    <row r="51147" ht="12.75" hidden="1" customHeight="1" x14ac:dyDescent="0.2"/>
    <row r="51148" ht="12.75" hidden="1" customHeight="1" x14ac:dyDescent="0.2"/>
    <row r="51149" ht="12.75" hidden="1" customHeight="1" x14ac:dyDescent="0.2"/>
    <row r="51150" ht="12.75" hidden="1" customHeight="1" x14ac:dyDescent="0.2"/>
    <row r="51151" ht="12.75" hidden="1" customHeight="1" x14ac:dyDescent="0.2"/>
    <row r="51152" ht="12.75" hidden="1" customHeight="1" x14ac:dyDescent="0.2"/>
    <row r="51153" ht="12.75" hidden="1" customHeight="1" x14ac:dyDescent="0.2"/>
    <row r="51154" ht="12.75" hidden="1" customHeight="1" x14ac:dyDescent="0.2"/>
    <row r="51155" ht="12.75" hidden="1" customHeight="1" x14ac:dyDescent="0.2"/>
    <row r="51156" ht="12.75" hidden="1" customHeight="1" x14ac:dyDescent="0.2"/>
    <row r="51157" ht="12.75" hidden="1" customHeight="1" x14ac:dyDescent="0.2"/>
    <row r="51158" ht="12.75" hidden="1" customHeight="1" x14ac:dyDescent="0.2"/>
    <row r="51159" ht="12.75" hidden="1" customHeight="1" x14ac:dyDescent="0.2"/>
    <row r="51160" ht="12.75" hidden="1" customHeight="1" x14ac:dyDescent="0.2"/>
    <row r="51161" ht="12.75" hidden="1" customHeight="1" x14ac:dyDescent="0.2"/>
    <row r="51162" ht="12.75" hidden="1" customHeight="1" x14ac:dyDescent="0.2"/>
    <row r="51163" ht="12.75" hidden="1" customHeight="1" x14ac:dyDescent="0.2"/>
    <row r="51164" ht="12.75" hidden="1" customHeight="1" x14ac:dyDescent="0.2"/>
    <row r="51165" ht="12.75" hidden="1" customHeight="1" x14ac:dyDescent="0.2"/>
    <row r="51166" ht="12.75" hidden="1" customHeight="1" x14ac:dyDescent="0.2"/>
    <row r="51167" ht="12.75" hidden="1" customHeight="1" x14ac:dyDescent="0.2"/>
    <row r="51168" ht="12.75" hidden="1" customHeight="1" x14ac:dyDescent="0.2"/>
    <row r="51169" ht="12.75" hidden="1" customHeight="1" x14ac:dyDescent="0.2"/>
    <row r="51170" ht="12.75" hidden="1" customHeight="1" x14ac:dyDescent="0.2"/>
    <row r="51171" ht="12.75" hidden="1" customHeight="1" x14ac:dyDescent="0.2"/>
    <row r="51172" ht="12.75" hidden="1" customHeight="1" x14ac:dyDescent="0.2"/>
    <row r="51173" ht="12.75" hidden="1" customHeight="1" x14ac:dyDescent="0.2"/>
    <row r="51174" ht="12.75" hidden="1" customHeight="1" x14ac:dyDescent="0.2"/>
    <row r="51175" ht="12.75" hidden="1" customHeight="1" x14ac:dyDescent="0.2"/>
    <row r="51176" ht="12.75" hidden="1" customHeight="1" x14ac:dyDescent="0.2"/>
    <row r="51177" ht="12.75" hidden="1" customHeight="1" x14ac:dyDescent="0.2"/>
    <row r="51178" ht="12.75" hidden="1" customHeight="1" x14ac:dyDescent="0.2"/>
    <row r="51179" ht="12.75" hidden="1" customHeight="1" x14ac:dyDescent="0.2"/>
    <row r="51180" ht="12.75" hidden="1" customHeight="1" x14ac:dyDescent="0.2"/>
    <row r="51181" ht="12.75" hidden="1" customHeight="1" x14ac:dyDescent="0.2"/>
    <row r="51182" ht="12.75" hidden="1" customHeight="1" x14ac:dyDescent="0.2"/>
    <row r="51183" ht="12.75" hidden="1" customHeight="1" x14ac:dyDescent="0.2"/>
    <row r="51184" ht="12.75" hidden="1" customHeight="1" x14ac:dyDescent="0.2"/>
    <row r="51185" ht="12.75" hidden="1" customHeight="1" x14ac:dyDescent="0.2"/>
    <row r="51186" ht="12.75" hidden="1" customHeight="1" x14ac:dyDescent="0.2"/>
    <row r="51187" ht="12.75" hidden="1" customHeight="1" x14ac:dyDescent="0.2"/>
    <row r="51188" ht="12.75" hidden="1" customHeight="1" x14ac:dyDescent="0.2"/>
    <row r="51189" ht="12.75" hidden="1" customHeight="1" x14ac:dyDescent="0.2"/>
    <row r="51190" ht="12.75" hidden="1" customHeight="1" x14ac:dyDescent="0.2"/>
    <row r="51191" ht="12.75" hidden="1" customHeight="1" x14ac:dyDescent="0.2"/>
    <row r="51192" ht="12.75" hidden="1" customHeight="1" x14ac:dyDescent="0.2"/>
    <row r="51193" ht="12.75" hidden="1" customHeight="1" x14ac:dyDescent="0.2"/>
    <row r="51194" ht="12.75" hidden="1" customHeight="1" x14ac:dyDescent="0.2"/>
    <row r="51195" ht="12.75" hidden="1" customHeight="1" x14ac:dyDescent="0.2"/>
    <row r="51196" ht="12.75" hidden="1" customHeight="1" x14ac:dyDescent="0.2"/>
    <row r="51197" ht="12.75" hidden="1" customHeight="1" x14ac:dyDescent="0.2"/>
    <row r="51198" ht="12.75" hidden="1" customHeight="1" x14ac:dyDescent="0.2"/>
    <row r="51199" ht="12.75" hidden="1" customHeight="1" x14ac:dyDescent="0.2"/>
    <row r="51200" ht="12.75" hidden="1" customHeight="1" x14ac:dyDescent="0.2"/>
    <row r="51201" ht="12.75" hidden="1" customHeight="1" x14ac:dyDescent="0.2"/>
    <row r="51202" ht="12.75" hidden="1" customHeight="1" x14ac:dyDescent="0.2"/>
    <row r="51203" ht="12.75" hidden="1" customHeight="1" x14ac:dyDescent="0.2"/>
    <row r="51204" ht="12.75" hidden="1" customHeight="1" x14ac:dyDescent="0.2"/>
    <row r="51205" ht="12.75" hidden="1" customHeight="1" x14ac:dyDescent="0.2"/>
    <row r="51206" ht="12.75" hidden="1" customHeight="1" x14ac:dyDescent="0.2"/>
    <row r="51207" ht="12.75" hidden="1" customHeight="1" x14ac:dyDescent="0.2"/>
    <row r="51208" ht="12.75" hidden="1" customHeight="1" x14ac:dyDescent="0.2"/>
    <row r="51209" ht="12.75" hidden="1" customHeight="1" x14ac:dyDescent="0.2"/>
    <row r="51210" ht="12.75" hidden="1" customHeight="1" x14ac:dyDescent="0.2"/>
    <row r="51211" ht="12.75" hidden="1" customHeight="1" x14ac:dyDescent="0.2"/>
    <row r="51212" ht="12.75" hidden="1" customHeight="1" x14ac:dyDescent="0.2"/>
    <row r="51213" ht="12.75" hidden="1" customHeight="1" x14ac:dyDescent="0.2"/>
    <row r="51214" ht="12.75" hidden="1" customHeight="1" x14ac:dyDescent="0.2"/>
    <row r="51215" ht="12.75" hidden="1" customHeight="1" x14ac:dyDescent="0.2"/>
    <row r="51216" ht="12.75" hidden="1" customHeight="1" x14ac:dyDescent="0.2"/>
    <row r="51217" ht="12.75" hidden="1" customHeight="1" x14ac:dyDescent="0.2"/>
    <row r="51218" ht="12.75" hidden="1" customHeight="1" x14ac:dyDescent="0.2"/>
    <row r="51219" ht="12.75" hidden="1" customHeight="1" x14ac:dyDescent="0.2"/>
    <row r="51220" ht="12.75" hidden="1" customHeight="1" x14ac:dyDescent="0.2"/>
    <row r="51221" ht="12.75" hidden="1" customHeight="1" x14ac:dyDescent="0.2"/>
    <row r="51222" ht="12.75" hidden="1" customHeight="1" x14ac:dyDescent="0.2"/>
    <row r="51223" ht="12.75" hidden="1" customHeight="1" x14ac:dyDescent="0.2"/>
    <row r="51224" ht="12.75" hidden="1" customHeight="1" x14ac:dyDescent="0.2"/>
    <row r="51225" ht="12.75" hidden="1" customHeight="1" x14ac:dyDescent="0.2"/>
    <row r="51226" ht="12.75" hidden="1" customHeight="1" x14ac:dyDescent="0.2"/>
    <row r="51227" ht="12.75" hidden="1" customHeight="1" x14ac:dyDescent="0.2"/>
    <row r="51228" ht="12.75" hidden="1" customHeight="1" x14ac:dyDescent="0.2"/>
    <row r="51229" ht="12.75" hidden="1" customHeight="1" x14ac:dyDescent="0.2"/>
    <row r="51230" ht="12.75" hidden="1" customHeight="1" x14ac:dyDescent="0.2"/>
    <row r="51231" ht="12.75" hidden="1" customHeight="1" x14ac:dyDescent="0.2"/>
    <row r="51232" ht="12.75" hidden="1" customHeight="1" x14ac:dyDescent="0.2"/>
    <row r="51233" ht="12.75" hidden="1" customHeight="1" x14ac:dyDescent="0.2"/>
    <row r="51234" ht="12.75" hidden="1" customHeight="1" x14ac:dyDescent="0.2"/>
    <row r="51235" ht="12.75" hidden="1" customHeight="1" x14ac:dyDescent="0.2"/>
    <row r="51236" ht="12.75" hidden="1" customHeight="1" x14ac:dyDescent="0.2"/>
    <row r="51237" ht="12.75" hidden="1" customHeight="1" x14ac:dyDescent="0.2"/>
    <row r="51238" ht="12.75" hidden="1" customHeight="1" x14ac:dyDescent="0.2"/>
    <row r="51239" ht="12.75" hidden="1" customHeight="1" x14ac:dyDescent="0.2"/>
    <row r="51240" ht="12.75" hidden="1" customHeight="1" x14ac:dyDescent="0.2"/>
    <row r="51241" ht="12.75" hidden="1" customHeight="1" x14ac:dyDescent="0.2"/>
    <row r="51242" ht="12.75" hidden="1" customHeight="1" x14ac:dyDescent="0.2"/>
    <row r="51243" ht="12.75" hidden="1" customHeight="1" x14ac:dyDescent="0.2"/>
    <row r="51244" ht="12.75" hidden="1" customHeight="1" x14ac:dyDescent="0.2"/>
    <row r="51245" ht="12.75" hidden="1" customHeight="1" x14ac:dyDescent="0.2"/>
    <row r="51246" ht="12.75" hidden="1" customHeight="1" x14ac:dyDescent="0.2"/>
    <row r="51247" ht="12.75" hidden="1" customHeight="1" x14ac:dyDescent="0.2"/>
    <row r="51248" ht="12.75" hidden="1" customHeight="1" x14ac:dyDescent="0.2"/>
    <row r="51249" ht="12.75" hidden="1" customHeight="1" x14ac:dyDescent="0.2"/>
    <row r="51250" ht="12.75" hidden="1" customHeight="1" x14ac:dyDescent="0.2"/>
    <row r="51251" ht="12.75" hidden="1" customHeight="1" x14ac:dyDescent="0.2"/>
    <row r="51252" ht="12.75" hidden="1" customHeight="1" x14ac:dyDescent="0.2"/>
    <row r="51253" ht="12.75" hidden="1" customHeight="1" x14ac:dyDescent="0.2"/>
    <row r="51254" ht="12.75" hidden="1" customHeight="1" x14ac:dyDescent="0.2"/>
    <row r="51255" ht="12.75" hidden="1" customHeight="1" x14ac:dyDescent="0.2"/>
    <row r="51256" ht="12.75" hidden="1" customHeight="1" x14ac:dyDescent="0.2"/>
    <row r="51257" ht="12.75" hidden="1" customHeight="1" x14ac:dyDescent="0.2"/>
    <row r="51258" ht="12.75" hidden="1" customHeight="1" x14ac:dyDescent="0.2"/>
    <row r="51259" ht="12.75" hidden="1" customHeight="1" x14ac:dyDescent="0.2"/>
    <row r="51260" ht="12.75" hidden="1" customHeight="1" x14ac:dyDescent="0.2"/>
    <row r="51261" ht="12.75" hidden="1" customHeight="1" x14ac:dyDescent="0.2"/>
    <row r="51262" ht="12.75" hidden="1" customHeight="1" x14ac:dyDescent="0.2"/>
    <row r="51263" ht="12.75" hidden="1" customHeight="1" x14ac:dyDescent="0.2"/>
    <row r="51264" ht="12.75" hidden="1" customHeight="1" x14ac:dyDescent="0.2"/>
    <row r="51265" ht="12.75" hidden="1" customHeight="1" x14ac:dyDescent="0.2"/>
    <row r="51266" ht="12.75" hidden="1" customHeight="1" x14ac:dyDescent="0.2"/>
    <row r="51267" ht="12.75" hidden="1" customHeight="1" x14ac:dyDescent="0.2"/>
    <row r="51268" ht="12.75" hidden="1" customHeight="1" x14ac:dyDescent="0.2"/>
    <row r="51269" ht="12.75" hidden="1" customHeight="1" x14ac:dyDescent="0.2"/>
    <row r="51270" ht="12.75" hidden="1" customHeight="1" x14ac:dyDescent="0.2"/>
    <row r="51271" ht="12.75" hidden="1" customHeight="1" x14ac:dyDescent="0.2"/>
    <row r="51272" ht="12.75" hidden="1" customHeight="1" x14ac:dyDescent="0.2"/>
    <row r="51273" ht="12.75" hidden="1" customHeight="1" x14ac:dyDescent="0.2"/>
    <row r="51274" ht="12.75" hidden="1" customHeight="1" x14ac:dyDescent="0.2"/>
    <row r="51275" ht="12.75" hidden="1" customHeight="1" x14ac:dyDescent="0.2"/>
    <row r="51276" ht="12.75" hidden="1" customHeight="1" x14ac:dyDescent="0.2"/>
    <row r="51277" ht="12.75" hidden="1" customHeight="1" x14ac:dyDescent="0.2"/>
    <row r="51278" ht="12.75" hidden="1" customHeight="1" x14ac:dyDescent="0.2"/>
    <row r="51279" ht="12.75" hidden="1" customHeight="1" x14ac:dyDescent="0.2"/>
    <row r="51280" ht="12.75" hidden="1" customHeight="1" x14ac:dyDescent="0.2"/>
    <row r="51281" ht="12.75" hidden="1" customHeight="1" x14ac:dyDescent="0.2"/>
    <row r="51282" ht="12.75" hidden="1" customHeight="1" x14ac:dyDescent="0.2"/>
    <row r="51283" ht="12.75" hidden="1" customHeight="1" x14ac:dyDescent="0.2"/>
    <row r="51284" ht="12.75" hidden="1" customHeight="1" x14ac:dyDescent="0.2"/>
    <row r="51285" ht="12.75" hidden="1" customHeight="1" x14ac:dyDescent="0.2"/>
    <row r="51286" ht="12.75" hidden="1" customHeight="1" x14ac:dyDescent="0.2"/>
    <row r="51287" ht="12.75" hidden="1" customHeight="1" x14ac:dyDescent="0.2"/>
    <row r="51288" ht="12.75" hidden="1" customHeight="1" x14ac:dyDescent="0.2"/>
    <row r="51289" ht="12.75" hidden="1" customHeight="1" x14ac:dyDescent="0.2"/>
    <row r="51290" ht="12.75" hidden="1" customHeight="1" x14ac:dyDescent="0.2"/>
    <row r="51291" ht="12.75" hidden="1" customHeight="1" x14ac:dyDescent="0.2"/>
    <row r="51292" ht="12.75" hidden="1" customHeight="1" x14ac:dyDescent="0.2"/>
    <row r="51293" ht="12.75" hidden="1" customHeight="1" x14ac:dyDescent="0.2"/>
    <row r="51294" ht="12.75" hidden="1" customHeight="1" x14ac:dyDescent="0.2"/>
    <row r="51295" ht="12.75" hidden="1" customHeight="1" x14ac:dyDescent="0.2"/>
    <row r="51296" ht="12.75" hidden="1" customHeight="1" x14ac:dyDescent="0.2"/>
    <row r="51297" ht="12.75" hidden="1" customHeight="1" x14ac:dyDescent="0.2"/>
    <row r="51298" ht="12.75" hidden="1" customHeight="1" x14ac:dyDescent="0.2"/>
    <row r="51299" ht="12.75" hidden="1" customHeight="1" x14ac:dyDescent="0.2"/>
    <row r="51300" ht="12.75" hidden="1" customHeight="1" x14ac:dyDescent="0.2"/>
    <row r="51301" ht="12.75" hidden="1" customHeight="1" x14ac:dyDescent="0.2"/>
    <row r="51302" ht="12.75" hidden="1" customHeight="1" x14ac:dyDescent="0.2"/>
    <row r="51303" ht="12.75" hidden="1" customHeight="1" x14ac:dyDescent="0.2"/>
    <row r="51304" ht="12.75" hidden="1" customHeight="1" x14ac:dyDescent="0.2"/>
    <row r="51305" ht="12.75" hidden="1" customHeight="1" x14ac:dyDescent="0.2"/>
    <row r="51306" ht="12.75" hidden="1" customHeight="1" x14ac:dyDescent="0.2"/>
    <row r="51307" ht="12.75" hidden="1" customHeight="1" x14ac:dyDescent="0.2"/>
    <row r="51308" ht="12.75" hidden="1" customHeight="1" x14ac:dyDescent="0.2"/>
    <row r="51309" ht="12.75" hidden="1" customHeight="1" x14ac:dyDescent="0.2"/>
    <row r="51310" ht="12.75" hidden="1" customHeight="1" x14ac:dyDescent="0.2"/>
    <row r="51311" ht="12.75" hidden="1" customHeight="1" x14ac:dyDescent="0.2"/>
    <row r="51312" ht="12.75" hidden="1" customHeight="1" x14ac:dyDescent="0.2"/>
    <row r="51313" ht="12.75" hidden="1" customHeight="1" x14ac:dyDescent="0.2"/>
    <row r="51314" ht="12.75" hidden="1" customHeight="1" x14ac:dyDescent="0.2"/>
    <row r="51315" ht="12.75" hidden="1" customHeight="1" x14ac:dyDescent="0.2"/>
    <row r="51316" ht="12.75" hidden="1" customHeight="1" x14ac:dyDescent="0.2"/>
    <row r="51317" ht="12.75" hidden="1" customHeight="1" x14ac:dyDescent="0.2"/>
    <row r="51318" ht="12.75" hidden="1" customHeight="1" x14ac:dyDescent="0.2"/>
    <row r="51319" ht="12.75" hidden="1" customHeight="1" x14ac:dyDescent="0.2"/>
    <row r="51320" ht="12.75" hidden="1" customHeight="1" x14ac:dyDescent="0.2"/>
    <row r="51321" ht="12.75" hidden="1" customHeight="1" x14ac:dyDescent="0.2"/>
    <row r="51322" ht="12.75" hidden="1" customHeight="1" x14ac:dyDescent="0.2"/>
    <row r="51323" ht="12.75" hidden="1" customHeight="1" x14ac:dyDescent="0.2"/>
    <row r="51324" ht="12.75" hidden="1" customHeight="1" x14ac:dyDescent="0.2"/>
    <row r="51325" ht="12.75" hidden="1" customHeight="1" x14ac:dyDescent="0.2"/>
    <row r="51326" ht="12.75" hidden="1" customHeight="1" x14ac:dyDescent="0.2"/>
    <row r="51327" ht="12.75" hidden="1" customHeight="1" x14ac:dyDescent="0.2"/>
    <row r="51328" ht="12.75" hidden="1" customHeight="1" x14ac:dyDescent="0.2"/>
    <row r="51329" ht="12.75" hidden="1" customHeight="1" x14ac:dyDescent="0.2"/>
    <row r="51330" ht="12.75" hidden="1" customHeight="1" x14ac:dyDescent="0.2"/>
    <row r="51331" ht="12.75" hidden="1" customHeight="1" x14ac:dyDescent="0.2"/>
    <row r="51332" ht="12.75" hidden="1" customHeight="1" x14ac:dyDescent="0.2"/>
    <row r="51333" ht="12.75" hidden="1" customHeight="1" x14ac:dyDescent="0.2"/>
    <row r="51334" ht="12.75" hidden="1" customHeight="1" x14ac:dyDescent="0.2"/>
    <row r="51335" ht="12.75" hidden="1" customHeight="1" x14ac:dyDescent="0.2"/>
    <row r="51336" ht="12.75" hidden="1" customHeight="1" x14ac:dyDescent="0.2"/>
    <row r="51337" ht="12.75" hidden="1" customHeight="1" x14ac:dyDescent="0.2"/>
    <row r="51338" ht="12.75" hidden="1" customHeight="1" x14ac:dyDescent="0.2"/>
    <row r="51339" ht="12.75" hidden="1" customHeight="1" x14ac:dyDescent="0.2"/>
    <row r="51340" ht="12.75" hidden="1" customHeight="1" x14ac:dyDescent="0.2"/>
    <row r="51341" ht="12.75" hidden="1" customHeight="1" x14ac:dyDescent="0.2"/>
    <row r="51342" ht="12.75" hidden="1" customHeight="1" x14ac:dyDescent="0.2"/>
    <row r="51343" ht="12.75" hidden="1" customHeight="1" x14ac:dyDescent="0.2"/>
    <row r="51344" ht="12.75" hidden="1" customHeight="1" x14ac:dyDescent="0.2"/>
    <row r="51345" ht="12.75" hidden="1" customHeight="1" x14ac:dyDescent="0.2"/>
    <row r="51346" ht="12.75" hidden="1" customHeight="1" x14ac:dyDescent="0.2"/>
    <row r="51347" ht="12.75" hidden="1" customHeight="1" x14ac:dyDescent="0.2"/>
    <row r="51348" ht="12.75" hidden="1" customHeight="1" x14ac:dyDescent="0.2"/>
    <row r="51349" ht="12.75" hidden="1" customHeight="1" x14ac:dyDescent="0.2"/>
    <row r="51350" ht="12.75" hidden="1" customHeight="1" x14ac:dyDescent="0.2"/>
    <row r="51351" ht="12.75" hidden="1" customHeight="1" x14ac:dyDescent="0.2"/>
    <row r="51352" ht="12.75" hidden="1" customHeight="1" x14ac:dyDescent="0.2"/>
    <row r="51353" ht="12.75" hidden="1" customHeight="1" x14ac:dyDescent="0.2"/>
    <row r="51354" ht="12.75" hidden="1" customHeight="1" x14ac:dyDescent="0.2"/>
    <row r="51355" ht="12.75" hidden="1" customHeight="1" x14ac:dyDescent="0.2"/>
    <row r="51356" ht="12.75" hidden="1" customHeight="1" x14ac:dyDescent="0.2"/>
    <row r="51357" ht="12.75" hidden="1" customHeight="1" x14ac:dyDescent="0.2"/>
    <row r="51358" ht="12.75" hidden="1" customHeight="1" x14ac:dyDescent="0.2"/>
    <row r="51359" ht="12.75" hidden="1" customHeight="1" x14ac:dyDescent="0.2"/>
    <row r="51360" ht="12.75" hidden="1" customHeight="1" x14ac:dyDescent="0.2"/>
    <row r="51361" ht="12.75" hidden="1" customHeight="1" x14ac:dyDescent="0.2"/>
    <row r="51362" ht="12.75" hidden="1" customHeight="1" x14ac:dyDescent="0.2"/>
    <row r="51363" ht="12.75" hidden="1" customHeight="1" x14ac:dyDescent="0.2"/>
    <row r="51364" ht="12.75" hidden="1" customHeight="1" x14ac:dyDescent="0.2"/>
    <row r="51365" ht="12.75" hidden="1" customHeight="1" x14ac:dyDescent="0.2"/>
    <row r="51366" ht="12.75" hidden="1" customHeight="1" x14ac:dyDescent="0.2"/>
    <row r="51367" ht="12.75" hidden="1" customHeight="1" x14ac:dyDescent="0.2"/>
    <row r="51368" ht="12.75" hidden="1" customHeight="1" x14ac:dyDescent="0.2"/>
    <row r="51369" ht="12.75" hidden="1" customHeight="1" x14ac:dyDescent="0.2"/>
    <row r="51370" ht="12.75" hidden="1" customHeight="1" x14ac:dyDescent="0.2"/>
    <row r="51371" ht="12.75" hidden="1" customHeight="1" x14ac:dyDescent="0.2"/>
    <row r="51372" ht="12.75" hidden="1" customHeight="1" x14ac:dyDescent="0.2"/>
    <row r="51373" ht="12.75" hidden="1" customHeight="1" x14ac:dyDescent="0.2"/>
    <row r="51374" ht="12.75" hidden="1" customHeight="1" x14ac:dyDescent="0.2"/>
    <row r="51375" ht="12.75" hidden="1" customHeight="1" x14ac:dyDescent="0.2"/>
    <row r="51376" ht="12.75" hidden="1" customHeight="1" x14ac:dyDescent="0.2"/>
    <row r="51377" ht="12.75" hidden="1" customHeight="1" x14ac:dyDescent="0.2"/>
    <row r="51378" ht="12.75" hidden="1" customHeight="1" x14ac:dyDescent="0.2"/>
    <row r="51379" ht="12.75" hidden="1" customHeight="1" x14ac:dyDescent="0.2"/>
    <row r="51380" ht="12.75" hidden="1" customHeight="1" x14ac:dyDescent="0.2"/>
    <row r="51381" ht="12.75" hidden="1" customHeight="1" x14ac:dyDescent="0.2"/>
    <row r="51382" ht="12.75" hidden="1" customHeight="1" x14ac:dyDescent="0.2"/>
    <row r="51383" ht="12.75" hidden="1" customHeight="1" x14ac:dyDescent="0.2"/>
    <row r="51384" ht="12.75" hidden="1" customHeight="1" x14ac:dyDescent="0.2"/>
    <row r="51385" ht="12.75" hidden="1" customHeight="1" x14ac:dyDescent="0.2"/>
    <row r="51386" ht="12.75" hidden="1" customHeight="1" x14ac:dyDescent="0.2"/>
    <row r="51387" ht="12.75" hidden="1" customHeight="1" x14ac:dyDescent="0.2"/>
    <row r="51388" ht="12.75" hidden="1" customHeight="1" x14ac:dyDescent="0.2"/>
    <row r="51389" ht="12.75" hidden="1" customHeight="1" x14ac:dyDescent="0.2"/>
    <row r="51390" ht="12.75" hidden="1" customHeight="1" x14ac:dyDescent="0.2"/>
    <row r="51391" ht="12.75" hidden="1" customHeight="1" x14ac:dyDescent="0.2"/>
    <row r="51392" ht="12.75" hidden="1" customHeight="1" x14ac:dyDescent="0.2"/>
    <row r="51393" ht="12.75" hidden="1" customHeight="1" x14ac:dyDescent="0.2"/>
    <row r="51394" ht="12.75" hidden="1" customHeight="1" x14ac:dyDescent="0.2"/>
    <row r="51395" ht="12.75" hidden="1" customHeight="1" x14ac:dyDescent="0.2"/>
    <row r="51396" ht="12.75" hidden="1" customHeight="1" x14ac:dyDescent="0.2"/>
    <row r="51397" ht="12.75" hidden="1" customHeight="1" x14ac:dyDescent="0.2"/>
    <row r="51398" ht="12.75" hidden="1" customHeight="1" x14ac:dyDescent="0.2"/>
    <row r="51399" ht="12.75" hidden="1" customHeight="1" x14ac:dyDescent="0.2"/>
    <row r="51400" ht="12.75" hidden="1" customHeight="1" x14ac:dyDescent="0.2"/>
    <row r="51401" ht="12.75" hidden="1" customHeight="1" x14ac:dyDescent="0.2"/>
    <row r="51402" ht="12.75" hidden="1" customHeight="1" x14ac:dyDescent="0.2"/>
    <row r="51403" ht="12.75" hidden="1" customHeight="1" x14ac:dyDescent="0.2"/>
    <row r="51404" ht="12.75" hidden="1" customHeight="1" x14ac:dyDescent="0.2"/>
    <row r="51405" ht="12.75" hidden="1" customHeight="1" x14ac:dyDescent="0.2"/>
    <row r="51406" ht="12.75" hidden="1" customHeight="1" x14ac:dyDescent="0.2"/>
    <row r="51407" ht="12.75" hidden="1" customHeight="1" x14ac:dyDescent="0.2"/>
    <row r="51408" ht="12.75" hidden="1" customHeight="1" x14ac:dyDescent="0.2"/>
    <row r="51409" ht="12.75" hidden="1" customHeight="1" x14ac:dyDescent="0.2"/>
    <row r="51410" ht="12.75" hidden="1" customHeight="1" x14ac:dyDescent="0.2"/>
    <row r="51411" ht="12.75" hidden="1" customHeight="1" x14ac:dyDescent="0.2"/>
    <row r="51412" ht="12.75" hidden="1" customHeight="1" x14ac:dyDescent="0.2"/>
    <row r="51413" ht="12.75" hidden="1" customHeight="1" x14ac:dyDescent="0.2"/>
    <row r="51414" ht="12.75" hidden="1" customHeight="1" x14ac:dyDescent="0.2"/>
    <row r="51415" ht="12.75" hidden="1" customHeight="1" x14ac:dyDescent="0.2"/>
    <row r="51416" ht="12.75" hidden="1" customHeight="1" x14ac:dyDescent="0.2"/>
    <row r="51417" ht="12.75" hidden="1" customHeight="1" x14ac:dyDescent="0.2"/>
    <row r="51418" ht="12.75" hidden="1" customHeight="1" x14ac:dyDescent="0.2"/>
    <row r="51419" ht="12.75" hidden="1" customHeight="1" x14ac:dyDescent="0.2"/>
    <row r="51420" ht="12.75" hidden="1" customHeight="1" x14ac:dyDescent="0.2"/>
    <row r="51421" ht="12.75" hidden="1" customHeight="1" x14ac:dyDescent="0.2"/>
    <row r="51422" ht="12.75" hidden="1" customHeight="1" x14ac:dyDescent="0.2"/>
    <row r="51423" ht="12.75" hidden="1" customHeight="1" x14ac:dyDescent="0.2"/>
    <row r="51424" ht="12.75" hidden="1" customHeight="1" x14ac:dyDescent="0.2"/>
    <row r="51425" ht="12.75" hidden="1" customHeight="1" x14ac:dyDescent="0.2"/>
    <row r="51426" ht="12.75" hidden="1" customHeight="1" x14ac:dyDescent="0.2"/>
    <row r="51427" ht="12.75" hidden="1" customHeight="1" x14ac:dyDescent="0.2"/>
    <row r="51428" ht="12.75" hidden="1" customHeight="1" x14ac:dyDescent="0.2"/>
    <row r="51429" ht="12.75" hidden="1" customHeight="1" x14ac:dyDescent="0.2"/>
    <row r="51430" ht="12.75" hidden="1" customHeight="1" x14ac:dyDescent="0.2"/>
    <row r="51431" ht="12.75" hidden="1" customHeight="1" x14ac:dyDescent="0.2"/>
    <row r="51432" ht="12.75" hidden="1" customHeight="1" x14ac:dyDescent="0.2"/>
    <row r="51433" ht="12.75" hidden="1" customHeight="1" x14ac:dyDescent="0.2"/>
    <row r="51434" ht="12.75" hidden="1" customHeight="1" x14ac:dyDescent="0.2"/>
    <row r="51435" ht="12.75" hidden="1" customHeight="1" x14ac:dyDescent="0.2"/>
    <row r="51436" ht="12.75" hidden="1" customHeight="1" x14ac:dyDescent="0.2"/>
    <row r="51437" ht="12.75" hidden="1" customHeight="1" x14ac:dyDescent="0.2"/>
    <row r="51438" ht="12.75" hidden="1" customHeight="1" x14ac:dyDescent="0.2"/>
    <row r="51439" ht="12.75" hidden="1" customHeight="1" x14ac:dyDescent="0.2"/>
    <row r="51440" ht="12.75" hidden="1" customHeight="1" x14ac:dyDescent="0.2"/>
    <row r="51441" ht="12.75" hidden="1" customHeight="1" x14ac:dyDescent="0.2"/>
    <row r="51442" ht="12.75" hidden="1" customHeight="1" x14ac:dyDescent="0.2"/>
    <row r="51443" ht="12.75" hidden="1" customHeight="1" x14ac:dyDescent="0.2"/>
    <row r="51444" ht="12.75" hidden="1" customHeight="1" x14ac:dyDescent="0.2"/>
    <row r="51445" ht="12.75" hidden="1" customHeight="1" x14ac:dyDescent="0.2"/>
    <row r="51446" ht="12.75" hidden="1" customHeight="1" x14ac:dyDescent="0.2"/>
    <row r="51447" ht="12.75" hidden="1" customHeight="1" x14ac:dyDescent="0.2"/>
    <row r="51448" ht="12.75" hidden="1" customHeight="1" x14ac:dyDescent="0.2"/>
    <row r="51449" ht="12.75" hidden="1" customHeight="1" x14ac:dyDescent="0.2"/>
    <row r="51450" ht="12.75" hidden="1" customHeight="1" x14ac:dyDescent="0.2"/>
    <row r="51451" ht="12.75" hidden="1" customHeight="1" x14ac:dyDescent="0.2"/>
    <row r="51452" ht="12.75" hidden="1" customHeight="1" x14ac:dyDescent="0.2"/>
    <row r="51453" ht="12.75" hidden="1" customHeight="1" x14ac:dyDescent="0.2"/>
    <row r="51454" ht="12.75" hidden="1" customHeight="1" x14ac:dyDescent="0.2"/>
    <row r="51455" ht="12.75" hidden="1" customHeight="1" x14ac:dyDescent="0.2"/>
    <row r="51456" ht="12.75" hidden="1" customHeight="1" x14ac:dyDescent="0.2"/>
    <row r="51457" ht="12.75" hidden="1" customHeight="1" x14ac:dyDescent="0.2"/>
    <row r="51458" ht="12.75" hidden="1" customHeight="1" x14ac:dyDescent="0.2"/>
    <row r="51459" ht="12.75" hidden="1" customHeight="1" x14ac:dyDescent="0.2"/>
    <row r="51460" ht="12.75" hidden="1" customHeight="1" x14ac:dyDescent="0.2"/>
    <row r="51461" ht="12.75" hidden="1" customHeight="1" x14ac:dyDescent="0.2"/>
    <row r="51462" ht="12.75" hidden="1" customHeight="1" x14ac:dyDescent="0.2"/>
    <row r="51463" ht="12.75" hidden="1" customHeight="1" x14ac:dyDescent="0.2"/>
    <row r="51464" ht="12.75" hidden="1" customHeight="1" x14ac:dyDescent="0.2"/>
    <row r="51465" ht="12.75" hidden="1" customHeight="1" x14ac:dyDescent="0.2"/>
    <row r="51466" ht="12.75" hidden="1" customHeight="1" x14ac:dyDescent="0.2"/>
    <row r="51467" ht="12.75" hidden="1" customHeight="1" x14ac:dyDescent="0.2"/>
    <row r="51468" ht="12.75" hidden="1" customHeight="1" x14ac:dyDescent="0.2"/>
    <row r="51469" ht="12.75" hidden="1" customHeight="1" x14ac:dyDescent="0.2"/>
    <row r="51470" ht="12.75" hidden="1" customHeight="1" x14ac:dyDescent="0.2"/>
    <row r="51471" ht="12.75" hidden="1" customHeight="1" x14ac:dyDescent="0.2"/>
    <row r="51472" ht="12.75" hidden="1" customHeight="1" x14ac:dyDescent="0.2"/>
    <row r="51473" ht="12.75" hidden="1" customHeight="1" x14ac:dyDescent="0.2"/>
    <row r="51474" ht="12.75" hidden="1" customHeight="1" x14ac:dyDescent="0.2"/>
    <row r="51475" ht="12.75" hidden="1" customHeight="1" x14ac:dyDescent="0.2"/>
    <row r="51476" ht="12.75" hidden="1" customHeight="1" x14ac:dyDescent="0.2"/>
    <row r="51477" ht="12.75" hidden="1" customHeight="1" x14ac:dyDescent="0.2"/>
    <row r="51478" ht="12.75" hidden="1" customHeight="1" x14ac:dyDescent="0.2"/>
    <row r="51479" ht="12.75" hidden="1" customHeight="1" x14ac:dyDescent="0.2"/>
    <row r="51480" ht="12.75" hidden="1" customHeight="1" x14ac:dyDescent="0.2"/>
    <row r="51481" ht="12.75" hidden="1" customHeight="1" x14ac:dyDescent="0.2"/>
    <row r="51482" ht="12.75" hidden="1" customHeight="1" x14ac:dyDescent="0.2"/>
    <row r="51483" ht="12.75" hidden="1" customHeight="1" x14ac:dyDescent="0.2"/>
    <row r="51484" ht="12.75" hidden="1" customHeight="1" x14ac:dyDescent="0.2"/>
    <row r="51485" ht="12.75" hidden="1" customHeight="1" x14ac:dyDescent="0.2"/>
    <row r="51486" ht="12.75" hidden="1" customHeight="1" x14ac:dyDescent="0.2"/>
    <row r="51487" ht="12.75" hidden="1" customHeight="1" x14ac:dyDescent="0.2"/>
    <row r="51488" ht="12.75" hidden="1" customHeight="1" x14ac:dyDescent="0.2"/>
    <row r="51489" ht="12.75" hidden="1" customHeight="1" x14ac:dyDescent="0.2"/>
    <row r="51490" ht="12.75" hidden="1" customHeight="1" x14ac:dyDescent="0.2"/>
    <row r="51491" ht="12.75" hidden="1" customHeight="1" x14ac:dyDescent="0.2"/>
    <row r="51492" ht="12.75" hidden="1" customHeight="1" x14ac:dyDescent="0.2"/>
    <row r="51493" ht="12.75" hidden="1" customHeight="1" x14ac:dyDescent="0.2"/>
    <row r="51494" ht="12.75" hidden="1" customHeight="1" x14ac:dyDescent="0.2"/>
    <row r="51495" ht="12.75" hidden="1" customHeight="1" x14ac:dyDescent="0.2"/>
    <row r="51496" ht="12.75" hidden="1" customHeight="1" x14ac:dyDescent="0.2"/>
    <row r="51497" ht="12.75" hidden="1" customHeight="1" x14ac:dyDescent="0.2"/>
    <row r="51498" ht="12.75" hidden="1" customHeight="1" x14ac:dyDescent="0.2"/>
    <row r="51499" ht="12.75" hidden="1" customHeight="1" x14ac:dyDescent="0.2"/>
    <row r="51500" ht="12.75" hidden="1" customHeight="1" x14ac:dyDescent="0.2"/>
    <row r="51501" ht="12.75" hidden="1" customHeight="1" x14ac:dyDescent="0.2"/>
    <row r="51502" ht="12.75" hidden="1" customHeight="1" x14ac:dyDescent="0.2"/>
    <row r="51503" ht="12.75" hidden="1" customHeight="1" x14ac:dyDescent="0.2"/>
    <row r="51504" ht="12.75" hidden="1" customHeight="1" x14ac:dyDescent="0.2"/>
    <row r="51505" ht="12.75" hidden="1" customHeight="1" x14ac:dyDescent="0.2"/>
    <row r="51506" ht="12.75" hidden="1" customHeight="1" x14ac:dyDescent="0.2"/>
    <row r="51507" ht="12.75" hidden="1" customHeight="1" x14ac:dyDescent="0.2"/>
    <row r="51508" ht="12.75" hidden="1" customHeight="1" x14ac:dyDescent="0.2"/>
    <row r="51509" ht="12.75" hidden="1" customHeight="1" x14ac:dyDescent="0.2"/>
    <row r="51510" ht="12.75" hidden="1" customHeight="1" x14ac:dyDescent="0.2"/>
    <row r="51511" ht="12.75" hidden="1" customHeight="1" x14ac:dyDescent="0.2"/>
    <row r="51512" ht="12.75" hidden="1" customHeight="1" x14ac:dyDescent="0.2"/>
    <row r="51513" ht="12.75" hidden="1" customHeight="1" x14ac:dyDescent="0.2"/>
    <row r="51514" ht="12.75" hidden="1" customHeight="1" x14ac:dyDescent="0.2"/>
    <row r="51515" ht="12.75" hidden="1" customHeight="1" x14ac:dyDescent="0.2"/>
    <row r="51516" ht="12.75" hidden="1" customHeight="1" x14ac:dyDescent="0.2"/>
    <row r="51517" ht="12.75" hidden="1" customHeight="1" x14ac:dyDescent="0.2"/>
    <row r="51518" ht="12.75" hidden="1" customHeight="1" x14ac:dyDescent="0.2"/>
    <row r="51519" ht="12.75" hidden="1" customHeight="1" x14ac:dyDescent="0.2"/>
    <row r="51520" ht="12.75" hidden="1" customHeight="1" x14ac:dyDescent="0.2"/>
    <row r="51521" ht="12.75" hidden="1" customHeight="1" x14ac:dyDescent="0.2"/>
    <row r="51522" ht="12.75" hidden="1" customHeight="1" x14ac:dyDescent="0.2"/>
    <row r="51523" ht="12.75" hidden="1" customHeight="1" x14ac:dyDescent="0.2"/>
    <row r="51524" ht="12.75" hidden="1" customHeight="1" x14ac:dyDescent="0.2"/>
    <row r="51525" ht="12.75" hidden="1" customHeight="1" x14ac:dyDescent="0.2"/>
    <row r="51526" ht="12.75" hidden="1" customHeight="1" x14ac:dyDescent="0.2"/>
    <row r="51527" ht="12.75" hidden="1" customHeight="1" x14ac:dyDescent="0.2"/>
    <row r="51528" ht="12.75" hidden="1" customHeight="1" x14ac:dyDescent="0.2"/>
    <row r="51529" ht="12.75" hidden="1" customHeight="1" x14ac:dyDescent="0.2"/>
    <row r="51530" ht="12.75" hidden="1" customHeight="1" x14ac:dyDescent="0.2"/>
    <row r="51531" ht="12.75" hidden="1" customHeight="1" x14ac:dyDescent="0.2"/>
    <row r="51532" ht="12.75" hidden="1" customHeight="1" x14ac:dyDescent="0.2"/>
    <row r="51533" ht="12.75" hidden="1" customHeight="1" x14ac:dyDescent="0.2"/>
    <row r="51534" ht="12.75" hidden="1" customHeight="1" x14ac:dyDescent="0.2"/>
    <row r="51535" ht="12.75" hidden="1" customHeight="1" x14ac:dyDescent="0.2"/>
    <row r="51536" ht="12.75" hidden="1" customHeight="1" x14ac:dyDescent="0.2"/>
    <row r="51537" ht="12.75" hidden="1" customHeight="1" x14ac:dyDescent="0.2"/>
    <row r="51538" ht="12.75" hidden="1" customHeight="1" x14ac:dyDescent="0.2"/>
    <row r="51539" ht="12.75" hidden="1" customHeight="1" x14ac:dyDescent="0.2"/>
    <row r="51540" ht="12.75" hidden="1" customHeight="1" x14ac:dyDescent="0.2"/>
    <row r="51541" ht="12.75" hidden="1" customHeight="1" x14ac:dyDescent="0.2"/>
    <row r="51542" ht="12.75" hidden="1" customHeight="1" x14ac:dyDescent="0.2"/>
    <row r="51543" ht="12.75" hidden="1" customHeight="1" x14ac:dyDescent="0.2"/>
    <row r="51544" ht="12.75" hidden="1" customHeight="1" x14ac:dyDescent="0.2"/>
    <row r="51545" ht="12.75" hidden="1" customHeight="1" x14ac:dyDescent="0.2"/>
    <row r="51546" ht="12.75" hidden="1" customHeight="1" x14ac:dyDescent="0.2"/>
    <row r="51547" ht="12.75" hidden="1" customHeight="1" x14ac:dyDescent="0.2"/>
    <row r="51548" ht="12.75" hidden="1" customHeight="1" x14ac:dyDescent="0.2"/>
    <row r="51549" ht="12.75" hidden="1" customHeight="1" x14ac:dyDescent="0.2"/>
    <row r="51550" ht="12.75" hidden="1" customHeight="1" x14ac:dyDescent="0.2"/>
    <row r="51551" ht="12.75" hidden="1" customHeight="1" x14ac:dyDescent="0.2"/>
    <row r="51552" ht="12.75" hidden="1" customHeight="1" x14ac:dyDescent="0.2"/>
    <row r="51553" ht="12.75" hidden="1" customHeight="1" x14ac:dyDescent="0.2"/>
    <row r="51554" ht="12.75" hidden="1" customHeight="1" x14ac:dyDescent="0.2"/>
    <row r="51555" ht="12.75" hidden="1" customHeight="1" x14ac:dyDescent="0.2"/>
    <row r="51556" ht="12.75" hidden="1" customHeight="1" x14ac:dyDescent="0.2"/>
    <row r="51557" ht="12.75" hidden="1" customHeight="1" x14ac:dyDescent="0.2"/>
    <row r="51558" ht="12.75" hidden="1" customHeight="1" x14ac:dyDescent="0.2"/>
    <row r="51559" ht="12.75" hidden="1" customHeight="1" x14ac:dyDescent="0.2"/>
    <row r="51560" ht="12.75" hidden="1" customHeight="1" x14ac:dyDescent="0.2"/>
    <row r="51561" ht="12.75" hidden="1" customHeight="1" x14ac:dyDescent="0.2"/>
    <row r="51562" ht="12.75" hidden="1" customHeight="1" x14ac:dyDescent="0.2"/>
    <row r="51563" ht="12.75" hidden="1" customHeight="1" x14ac:dyDescent="0.2"/>
    <row r="51564" ht="12.75" hidden="1" customHeight="1" x14ac:dyDescent="0.2"/>
    <row r="51565" ht="12.75" hidden="1" customHeight="1" x14ac:dyDescent="0.2"/>
    <row r="51566" ht="12.75" hidden="1" customHeight="1" x14ac:dyDescent="0.2"/>
    <row r="51567" ht="12.75" hidden="1" customHeight="1" x14ac:dyDescent="0.2"/>
    <row r="51568" ht="12.75" hidden="1" customHeight="1" x14ac:dyDescent="0.2"/>
    <row r="51569" ht="12.75" hidden="1" customHeight="1" x14ac:dyDescent="0.2"/>
    <row r="51570" ht="12.75" hidden="1" customHeight="1" x14ac:dyDescent="0.2"/>
    <row r="51571" ht="12.75" hidden="1" customHeight="1" x14ac:dyDescent="0.2"/>
    <row r="51572" ht="12.75" hidden="1" customHeight="1" x14ac:dyDescent="0.2"/>
    <row r="51573" ht="12.75" hidden="1" customHeight="1" x14ac:dyDescent="0.2"/>
    <row r="51574" ht="12.75" hidden="1" customHeight="1" x14ac:dyDescent="0.2"/>
    <row r="51575" ht="12.75" hidden="1" customHeight="1" x14ac:dyDescent="0.2"/>
    <row r="51576" ht="12.75" hidden="1" customHeight="1" x14ac:dyDescent="0.2"/>
    <row r="51577" ht="12.75" hidden="1" customHeight="1" x14ac:dyDescent="0.2"/>
    <row r="51578" ht="12.75" hidden="1" customHeight="1" x14ac:dyDescent="0.2"/>
    <row r="51579" ht="12.75" hidden="1" customHeight="1" x14ac:dyDescent="0.2"/>
    <row r="51580" ht="12.75" hidden="1" customHeight="1" x14ac:dyDescent="0.2"/>
    <row r="51581" ht="12.75" hidden="1" customHeight="1" x14ac:dyDescent="0.2"/>
    <row r="51582" ht="12.75" hidden="1" customHeight="1" x14ac:dyDescent="0.2"/>
    <row r="51583" ht="12.75" hidden="1" customHeight="1" x14ac:dyDescent="0.2"/>
    <row r="51584" ht="12.75" hidden="1" customHeight="1" x14ac:dyDescent="0.2"/>
    <row r="51585" ht="12.75" hidden="1" customHeight="1" x14ac:dyDescent="0.2"/>
    <row r="51586" ht="12.75" hidden="1" customHeight="1" x14ac:dyDescent="0.2"/>
    <row r="51587" ht="12.75" hidden="1" customHeight="1" x14ac:dyDescent="0.2"/>
    <row r="51588" ht="12.75" hidden="1" customHeight="1" x14ac:dyDescent="0.2"/>
    <row r="51589" ht="12.75" hidden="1" customHeight="1" x14ac:dyDescent="0.2"/>
    <row r="51590" ht="12.75" hidden="1" customHeight="1" x14ac:dyDescent="0.2"/>
    <row r="51591" ht="12.75" hidden="1" customHeight="1" x14ac:dyDescent="0.2"/>
    <row r="51592" ht="12.75" hidden="1" customHeight="1" x14ac:dyDescent="0.2"/>
    <row r="51593" ht="12.75" hidden="1" customHeight="1" x14ac:dyDescent="0.2"/>
    <row r="51594" ht="12.75" hidden="1" customHeight="1" x14ac:dyDescent="0.2"/>
    <row r="51595" ht="12.75" hidden="1" customHeight="1" x14ac:dyDescent="0.2"/>
    <row r="51596" ht="12.75" hidden="1" customHeight="1" x14ac:dyDescent="0.2"/>
    <row r="51597" ht="12.75" hidden="1" customHeight="1" x14ac:dyDescent="0.2"/>
    <row r="51598" ht="12.75" hidden="1" customHeight="1" x14ac:dyDescent="0.2"/>
    <row r="51599" ht="12.75" hidden="1" customHeight="1" x14ac:dyDescent="0.2"/>
    <row r="51600" ht="12.75" hidden="1" customHeight="1" x14ac:dyDescent="0.2"/>
    <row r="51601" ht="12.75" hidden="1" customHeight="1" x14ac:dyDescent="0.2"/>
    <row r="51602" ht="12.75" hidden="1" customHeight="1" x14ac:dyDescent="0.2"/>
    <row r="51603" ht="12.75" hidden="1" customHeight="1" x14ac:dyDescent="0.2"/>
    <row r="51604" ht="12.75" hidden="1" customHeight="1" x14ac:dyDescent="0.2"/>
    <row r="51605" ht="12.75" hidden="1" customHeight="1" x14ac:dyDescent="0.2"/>
    <row r="51606" ht="12.75" hidden="1" customHeight="1" x14ac:dyDescent="0.2"/>
    <row r="51607" ht="12.75" hidden="1" customHeight="1" x14ac:dyDescent="0.2"/>
    <row r="51608" ht="12.75" hidden="1" customHeight="1" x14ac:dyDescent="0.2"/>
    <row r="51609" ht="12.75" hidden="1" customHeight="1" x14ac:dyDescent="0.2"/>
    <row r="51610" ht="12.75" hidden="1" customHeight="1" x14ac:dyDescent="0.2"/>
    <row r="51611" ht="12.75" hidden="1" customHeight="1" x14ac:dyDescent="0.2"/>
    <row r="51612" ht="12.75" hidden="1" customHeight="1" x14ac:dyDescent="0.2"/>
    <row r="51613" ht="12.75" hidden="1" customHeight="1" x14ac:dyDescent="0.2"/>
    <row r="51614" ht="12.75" hidden="1" customHeight="1" x14ac:dyDescent="0.2"/>
    <row r="51615" ht="12.75" hidden="1" customHeight="1" x14ac:dyDescent="0.2"/>
    <row r="51616" ht="12.75" hidden="1" customHeight="1" x14ac:dyDescent="0.2"/>
    <row r="51617" ht="12.75" hidden="1" customHeight="1" x14ac:dyDescent="0.2"/>
    <row r="51618" ht="12.75" hidden="1" customHeight="1" x14ac:dyDescent="0.2"/>
    <row r="51619" ht="12.75" hidden="1" customHeight="1" x14ac:dyDescent="0.2"/>
    <row r="51620" ht="12.75" hidden="1" customHeight="1" x14ac:dyDescent="0.2"/>
    <row r="51621" ht="12.75" hidden="1" customHeight="1" x14ac:dyDescent="0.2"/>
    <row r="51622" ht="12.75" hidden="1" customHeight="1" x14ac:dyDescent="0.2"/>
    <row r="51623" ht="12.75" hidden="1" customHeight="1" x14ac:dyDescent="0.2"/>
    <row r="51624" ht="12.75" hidden="1" customHeight="1" x14ac:dyDescent="0.2"/>
    <row r="51625" ht="12.75" hidden="1" customHeight="1" x14ac:dyDescent="0.2"/>
    <row r="51626" ht="12.75" hidden="1" customHeight="1" x14ac:dyDescent="0.2"/>
    <row r="51627" ht="12.75" hidden="1" customHeight="1" x14ac:dyDescent="0.2"/>
    <row r="51628" ht="12.75" hidden="1" customHeight="1" x14ac:dyDescent="0.2"/>
    <row r="51629" ht="12.75" hidden="1" customHeight="1" x14ac:dyDescent="0.2"/>
    <row r="51630" ht="12.75" hidden="1" customHeight="1" x14ac:dyDescent="0.2"/>
    <row r="51631" ht="12.75" hidden="1" customHeight="1" x14ac:dyDescent="0.2"/>
    <row r="51632" ht="12.75" hidden="1" customHeight="1" x14ac:dyDescent="0.2"/>
    <row r="51633" ht="12.75" hidden="1" customHeight="1" x14ac:dyDescent="0.2"/>
    <row r="51634" ht="12.75" hidden="1" customHeight="1" x14ac:dyDescent="0.2"/>
    <row r="51635" ht="12.75" hidden="1" customHeight="1" x14ac:dyDescent="0.2"/>
    <row r="51636" ht="12.75" hidden="1" customHeight="1" x14ac:dyDescent="0.2"/>
    <row r="51637" ht="12.75" hidden="1" customHeight="1" x14ac:dyDescent="0.2"/>
    <row r="51638" ht="12.75" hidden="1" customHeight="1" x14ac:dyDescent="0.2"/>
    <row r="51639" ht="12.75" hidden="1" customHeight="1" x14ac:dyDescent="0.2"/>
    <row r="51640" ht="12.75" hidden="1" customHeight="1" x14ac:dyDescent="0.2"/>
    <row r="51641" ht="12.75" hidden="1" customHeight="1" x14ac:dyDescent="0.2"/>
    <row r="51642" ht="12.75" hidden="1" customHeight="1" x14ac:dyDescent="0.2"/>
    <row r="51643" ht="12.75" hidden="1" customHeight="1" x14ac:dyDescent="0.2"/>
    <row r="51644" ht="12.75" hidden="1" customHeight="1" x14ac:dyDescent="0.2"/>
    <row r="51645" ht="12.75" hidden="1" customHeight="1" x14ac:dyDescent="0.2"/>
    <row r="51646" ht="12.75" hidden="1" customHeight="1" x14ac:dyDescent="0.2"/>
    <row r="51647" ht="12.75" hidden="1" customHeight="1" x14ac:dyDescent="0.2"/>
    <row r="51648" ht="12.75" hidden="1" customHeight="1" x14ac:dyDescent="0.2"/>
    <row r="51649" ht="12.75" hidden="1" customHeight="1" x14ac:dyDescent="0.2"/>
    <row r="51650" ht="12.75" hidden="1" customHeight="1" x14ac:dyDescent="0.2"/>
    <row r="51651" ht="12.75" hidden="1" customHeight="1" x14ac:dyDescent="0.2"/>
    <row r="51652" ht="12.75" hidden="1" customHeight="1" x14ac:dyDescent="0.2"/>
    <row r="51653" ht="12.75" hidden="1" customHeight="1" x14ac:dyDescent="0.2"/>
    <row r="51654" ht="12.75" hidden="1" customHeight="1" x14ac:dyDescent="0.2"/>
    <row r="51655" ht="12.75" hidden="1" customHeight="1" x14ac:dyDescent="0.2"/>
    <row r="51656" ht="12.75" hidden="1" customHeight="1" x14ac:dyDescent="0.2"/>
    <row r="51657" ht="12.75" hidden="1" customHeight="1" x14ac:dyDescent="0.2"/>
    <row r="51658" ht="12.75" hidden="1" customHeight="1" x14ac:dyDescent="0.2"/>
    <row r="51659" ht="12.75" hidden="1" customHeight="1" x14ac:dyDescent="0.2"/>
    <row r="51660" ht="12.75" hidden="1" customHeight="1" x14ac:dyDescent="0.2"/>
    <row r="51661" ht="12.75" hidden="1" customHeight="1" x14ac:dyDescent="0.2"/>
    <row r="51662" ht="12.75" hidden="1" customHeight="1" x14ac:dyDescent="0.2"/>
    <row r="51663" ht="12.75" hidden="1" customHeight="1" x14ac:dyDescent="0.2"/>
    <row r="51664" ht="12.75" hidden="1" customHeight="1" x14ac:dyDescent="0.2"/>
    <row r="51665" ht="12.75" hidden="1" customHeight="1" x14ac:dyDescent="0.2"/>
    <row r="51666" ht="12.75" hidden="1" customHeight="1" x14ac:dyDescent="0.2"/>
    <row r="51667" ht="12.75" hidden="1" customHeight="1" x14ac:dyDescent="0.2"/>
    <row r="51668" ht="12.75" hidden="1" customHeight="1" x14ac:dyDescent="0.2"/>
    <row r="51669" ht="12.75" hidden="1" customHeight="1" x14ac:dyDescent="0.2"/>
    <row r="51670" ht="12.75" hidden="1" customHeight="1" x14ac:dyDescent="0.2"/>
    <row r="51671" ht="12.75" hidden="1" customHeight="1" x14ac:dyDescent="0.2"/>
    <row r="51672" ht="12.75" hidden="1" customHeight="1" x14ac:dyDescent="0.2"/>
    <row r="51673" ht="12.75" hidden="1" customHeight="1" x14ac:dyDescent="0.2"/>
    <row r="51674" ht="12.75" hidden="1" customHeight="1" x14ac:dyDescent="0.2"/>
    <row r="51675" ht="12.75" hidden="1" customHeight="1" x14ac:dyDescent="0.2"/>
    <row r="51676" ht="12.75" hidden="1" customHeight="1" x14ac:dyDescent="0.2"/>
    <row r="51677" ht="12.75" hidden="1" customHeight="1" x14ac:dyDescent="0.2"/>
    <row r="51678" ht="12.75" hidden="1" customHeight="1" x14ac:dyDescent="0.2"/>
    <row r="51679" ht="12.75" hidden="1" customHeight="1" x14ac:dyDescent="0.2"/>
    <row r="51680" ht="12.75" hidden="1" customHeight="1" x14ac:dyDescent="0.2"/>
    <row r="51681" ht="12.75" hidden="1" customHeight="1" x14ac:dyDescent="0.2"/>
    <row r="51682" ht="12.75" hidden="1" customHeight="1" x14ac:dyDescent="0.2"/>
    <row r="51683" ht="12.75" hidden="1" customHeight="1" x14ac:dyDescent="0.2"/>
    <row r="51684" ht="12.75" hidden="1" customHeight="1" x14ac:dyDescent="0.2"/>
    <row r="51685" ht="12.75" hidden="1" customHeight="1" x14ac:dyDescent="0.2"/>
    <row r="51686" ht="12.75" hidden="1" customHeight="1" x14ac:dyDescent="0.2"/>
    <row r="51687" ht="12.75" hidden="1" customHeight="1" x14ac:dyDescent="0.2"/>
    <row r="51688" ht="12.75" hidden="1" customHeight="1" x14ac:dyDescent="0.2"/>
    <row r="51689" ht="12.75" hidden="1" customHeight="1" x14ac:dyDescent="0.2"/>
    <row r="51690" ht="12.75" hidden="1" customHeight="1" x14ac:dyDescent="0.2"/>
    <row r="51691" ht="12.75" hidden="1" customHeight="1" x14ac:dyDescent="0.2"/>
    <row r="51692" ht="12.75" hidden="1" customHeight="1" x14ac:dyDescent="0.2"/>
    <row r="51693" ht="12.75" hidden="1" customHeight="1" x14ac:dyDescent="0.2"/>
    <row r="51694" ht="12.75" hidden="1" customHeight="1" x14ac:dyDescent="0.2"/>
    <row r="51695" ht="12.75" hidden="1" customHeight="1" x14ac:dyDescent="0.2"/>
    <row r="51696" ht="12.75" hidden="1" customHeight="1" x14ac:dyDescent="0.2"/>
    <row r="51697" ht="12.75" hidden="1" customHeight="1" x14ac:dyDescent="0.2"/>
    <row r="51698" ht="12.75" hidden="1" customHeight="1" x14ac:dyDescent="0.2"/>
    <row r="51699" ht="12.75" hidden="1" customHeight="1" x14ac:dyDescent="0.2"/>
    <row r="51700" ht="12.75" hidden="1" customHeight="1" x14ac:dyDescent="0.2"/>
    <row r="51701" ht="12.75" hidden="1" customHeight="1" x14ac:dyDescent="0.2"/>
    <row r="51702" ht="12.75" hidden="1" customHeight="1" x14ac:dyDescent="0.2"/>
    <row r="51703" ht="12.75" hidden="1" customHeight="1" x14ac:dyDescent="0.2"/>
    <row r="51704" ht="12.75" hidden="1" customHeight="1" x14ac:dyDescent="0.2"/>
    <row r="51705" ht="12.75" hidden="1" customHeight="1" x14ac:dyDescent="0.2"/>
    <row r="51706" ht="12.75" hidden="1" customHeight="1" x14ac:dyDescent="0.2"/>
    <row r="51707" ht="12.75" hidden="1" customHeight="1" x14ac:dyDescent="0.2"/>
    <row r="51708" ht="12.75" hidden="1" customHeight="1" x14ac:dyDescent="0.2"/>
    <row r="51709" ht="12.75" hidden="1" customHeight="1" x14ac:dyDescent="0.2"/>
    <row r="51710" ht="12.75" hidden="1" customHeight="1" x14ac:dyDescent="0.2"/>
    <row r="51711" ht="12.75" hidden="1" customHeight="1" x14ac:dyDescent="0.2"/>
    <row r="51712" ht="12.75" hidden="1" customHeight="1" x14ac:dyDescent="0.2"/>
    <row r="51713" ht="12.75" hidden="1" customHeight="1" x14ac:dyDescent="0.2"/>
    <row r="51714" ht="12.75" hidden="1" customHeight="1" x14ac:dyDescent="0.2"/>
    <row r="51715" ht="12.75" hidden="1" customHeight="1" x14ac:dyDescent="0.2"/>
    <row r="51716" ht="12.75" hidden="1" customHeight="1" x14ac:dyDescent="0.2"/>
    <row r="51717" ht="12.75" hidden="1" customHeight="1" x14ac:dyDescent="0.2"/>
    <row r="51718" ht="12.75" hidden="1" customHeight="1" x14ac:dyDescent="0.2"/>
    <row r="51719" ht="12.75" hidden="1" customHeight="1" x14ac:dyDescent="0.2"/>
    <row r="51720" ht="12.75" hidden="1" customHeight="1" x14ac:dyDescent="0.2"/>
    <row r="51721" ht="12.75" hidden="1" customHeight="1" x14ac:dyDescent="0.2"/>
    <row r="51722" ht="12.75" hidden="1" customHeight="1" x14ac:dyDescent="0.2"/>
    <row r="51723" ht="12.75" hidden="1" customHeight="1" x14ac:dyDescent="0.2"/>
    <row r="51724" ht="12.75" hidden="1" customHeight="1" x14ac:dyDescent="0.2"/>
    <row r="51725" ht="12.75" hidden="1" customHeight="1" x14ac:dyDescent="0.2"/>
    <row r="51726" ht="12.75" hidden="1" customHeight="1" x14ac:dyDescent="0.2"/>
    <row r="51727" ht="12.75" hidden="1" customHeight="1" x14ac:dyDescent="0.2"/>
    <row r="51728" ht="12.75" hidden="1" customHeight="1" x14ac:dyDescent="0.2"/>
    <row r="51729" ht="12.75" hidden="1" customHeight="1" x14ac:dyDescent="0.2"/>
    <row r="51730" ht="12.75" hidden="1" customHeight="1" x14ac:dyDescent="0.2"/>
    <row r="51731" ht="12.75" hidden="1" customHeight="1" x14ac:dyDescent="0.2"/>
    <row r="51732" ht="12.75" hidden="1" customHeight="1" x14ac:dyDescent="0.2"/>
    <row r="51733" ht="12.75" hidden="1" customHeight="1" x14ac:dyDescent="0.2"/>
    <row r="51734" ht="12.75" hidden="1" customHeight="1" x14ac:dyDescent="0.2"/>
    <row r="51735" ht="12.75" hidden="1" customHeight="1" x14ac:dyDescent="0.2"/>
    <row r="51736" ht="12.75" hidden="1" customHeight="1" x14ac:dyDescent="0.2"/>
    <row r="51737" ht="12.75" hidden="1" customHeight="1" x14ac:dyDescent="0.2"/>
    <row r="51738" ht="12.75" hidden="1" customHeight="1" x14ac:dyDescent="0.2"/>
    <row r="51739" ht="12.75" hidden="1" customHeight="1" x14ac:dyDescent="0.2"/>
    <row r="51740" ht="12.75" hidden="1" customHeight="1" x14ac:dyDescent="0.2"/>
    <row r="51741" ht="12.75" hidden="1" customHeight="1" x14ac:dyDescent="0.2"/>
    <row r="51742" ht="12.75" hidden="1" customHeight="1" x14ac:dyDescent="0.2"/>
    <row r="51743" ht="12.75" hidden="1" customHeight="1" x14ac:dyDescent="0.2"/>
    <row r="51744" ht="12.75" hidden="1" customHeight="1" x14ac:dyDescent="0.2"/>
    <row r="51745" ht="12.75" hidden="1" customHeight="1" x14ac:dyDescent="0.2"/>
    <row r="51746" ht="12.75" hidden="1" customHeight="1" x14ac:dyDescent="0.2"/>
    <row r="51747" ht="12.75" hidden="1" customHeight="1" x14ac:dyDescent="0.2"/>
    <row r="51748" ht="12.75" hidden="1" customHeight="1" x14ac:dyDescent="0.2"/>
    <row r="51749" ht="12.75" hidden="1" customHeight="1" x14ac:dyDescent="0.2"/>
    <row r="51750" ht="12.75" hidden="1" customHeight="1" x14ac:dyDescent="0.2"/>
    <row r="51751" ht="12.75" hidden="1" customHeight="1" x14ac:dyDescent="0.2"/>
    <row r="51752" ht="12.75" hidden="1" customHeight="1" x14ac:dyDescent="0.2"/>
    <row r="51753" ht="12.75" hidden="1" customHeight="1" x14ac:dyDescent="0.2"/>
    <row r="51754" ht="12.75" hidden="1" customHeight="1" x14ac:dyDescent="0.2"/>
    <row r="51755" ht="12.75" hidden="1" customHeight="1" x14ac:dyDescent="0.2"/>
    <row r="51756" ht="12.75" hidden="1" customHeight="1" x14ac:dyDescent="0.2"/>
    <row r="51757" ht="12.75" hidden="1" customHeight="1" x14ac:dyDescent="0.2"/>
    <row r="51758" ht="12.75" hidden="1" customHeight="1" x14ac:dyDescent="0.2"/>
    <row r="51759" ht="12.75" hidden="1" customHeight="1" x14ac:dyDescent="0.2"/>
    <row r="51760" ht="12.75" hidden="1" customHeight="1" x14ac:dyDescent="0.2"/>
    <row r="51761" ht="12.75" hidden="1" customHeight="1" x14ac:dyDescent="0.2"/>
    <row r="51762" ht="12.75" hidden="1" customHeight="1" x14ac:dyDescent="0.2"/>
    <row r="51763" ht="12.75" hidden="1" customHeight="1" x14ac:dyDescent="0.2"/>
    <row r="51764" ht="12.75" hidden="1" customHeight="1" x14ac:dyDescent="0.2"/>
    <row r="51765" ht="12.75" hidden="1" customHeight="1" x14ac:dyDescent="0.2"/>
    <row r="51766" ht="12.75" hidden="1" customHeight="1" x14ac:dyDescent="0.2"/>
    <row r="51767" ht="12.75" hidden="1" customHeight="1" x14ac:dyDescent="0.2"/>
    <row r="51768" ht="12.75" hidden="1" customHeight="1" x14ac:dyDescent="0.2"/>
    <row r="51769" ht="12.75" hidden="1" customHeight="1" x14ac:dyDescent="0.2"/>
    <row r="51770" ht="12.75" hidden="1" customHeight="1" x14ac:dyDescent="0.2"/>
    <row r="51771" ht="12.75" hidden="1" customHeight="1" x14ac:dyDescent="0.2"/>
    <row r="51772" ht="12.75" hidden="1" customHeight="1" x14ac:dyDescent="0.2"/>
    <row r="51773" ht="12.75" hidden="1" customHeight="1" x14ac:dyDescent="0.2"/>
    <row r="51774" ht="12.75" hidden="1" customHeight="1" x14ac:dyDescent="0.2"/>
    <row r="51775" ht="12.75" hidden="1" customHeight="1" x14ac:dyDescent="0.2"/>
    <row r="51776" ht="12.75" hidden="1" customHeight="1" x14ac:dyDescent="0.2"/>
    <row r="51777" ht="12.75" hidden="1" customHeight="1" x14ac:dyDescent="0.2"/>
    <row r="51778" ht="12.75" hidden="1" customHeight="1" x14ac:dyDescent="0.2"/>
    <row r="51779" ht="12.75" hidden="1" customHeight="1" x14ac:dyDescent="0.2"/>
    <row r="51780" ht="12.75" hidden="1" customHeight="1" x14ac:dyDescent="0.2"/>
    <row r="51781" ht="12.75" hidden="1" customHeight="1" x14ac:dyDescent="0.2"/>
    <row r="51782" ht="12.75" hidden="1" customHeight="1" x14ac:dyDescent="0.2"/>
    <row r="51783" ht="12.75" hidden="1" customHeight="1" x14ac:dyDescent="0.2"/>
    <row r="51784" ht="12.75" hidden="1" customHeight="1" x14ac:dyDescent="0.2"/>
    <row r="51785" ht="12.75" hidden="1" customHeight="1" x14ac:dyDescent="0.2"/>
    <row r="51786" ht="12.75" hidden="1" customHeight="1" x14ac:dyDescent="0.2"/>
    <row r="51787" ht="12.75" hidden="1" customHeight="1" x14ac:dyDescent="0.2"/>
    <row r="51788" ht="12.75" hidden="1" customHeight="1" x14ac:dyDescent="0.2"/>
    <row r="51789" ht="12.75" hidden="1" customHeight="1" x14ac:dyDescent="0.2"/>
    <row r="51790" ht="12.75" hidden="1" customHeight="1" x14ac:dyDescent="0.2"/>
    <row r="51791" ht="12.75" hidden="1" customHeight="1" x14ac:dyDescent="0.2"/>
    <row r="51792" ht="12.75" hidden="1" customHeight="1" x14ac:dyDescent="0.2"/>
    <row r="51793" ht="12.75" hidden="1" customHeight="1" x14ac:dyDescent="0.2"/>
    <row r="51794" ht="12.75" hidden="1" customHeight="1" x14ac:dyDescent="0.2"/>
    <row r="51795" ht="12.75" hidden="1" customHeight="1" x14ac:dyDescent="0.2"/>
    <row r="51796" ht="12.75" hidden="1" customHeight="1" x14ac:dyDescent="0.2"/>
    <row r="51797" ht="12.75" hidden="1" customHeight="1" x14ac:dyDescent="0.2"/>
    <row r="51798" ht="12.75" hidden="1" customHeight="1" x14ac:dyDescent="0.2"/>
    <row r="51799" ht="12.75" hidden="1" customHeight="1" x14ac:dyDescent="0.2"/>
    <row r="51800" ht="12.75" hidden="1" customHeight="1" x14ac:dyDescent="0.2"/>
    <row r="51801" ht="12.75" hidden="1" customHeight="1" x14ac:dyDescent="0.2"/>
    <row r="51802" ht="12.75" hidden="1" customHeight="1" x14ac:dyDescent="0.2"/>
    <row r="51803" ht="12.75" hidden="1" customHeight="1" x14ac:dyDescent="0.2"/>
    <row r="51804" ht="12.75" hidden="1" customHeight="1" x14ac:dyDescent="0.2"/>
    <row r="51805" ht="12.75" hidden="1" customHeight="1" x14ac:dyDescent="0.2"/>
    <row r="51806" ht="12.75" hidden="1" customHeight="1" x14ac:dyDescent="0.2"/>
    <row r="51807" ht="12.75" hidden="1" customHeight="1" x14ac:dyDescent="0.2"/>
    <row r="51808" ht="12.75" hidden="1" customHeight="1" x14ac:dyDescent="0.2"/>
    <row r="51809" ht="12.75" hidden="1" customHeight="1" x14ac:dyDescent="0.2"/>
    <row r="51810" ht="12.75" hidden="1" customHeight="1" x14ac:dyDescent="0.2"/>
    <row r="51811" ht="12.75" hidden="1" customHeight="1" x14ac:dyDescent="0.2"/>
    <row r="51812" ht="12.75" hidden="1" customHeight="1" x14ac:dyDescent="0.2"/>
    <row r="51813" ht="12.75" hidden="1" customHeight="1" x14ac:dyDescent="0.2"/>
    <row r="51814" ht="12.75" hidden="1" customHeight="1" x14ac:dyDescent="0.2"/>
    <row r="51815" ht="12.75" hidden="1" customHeight="1" x14ac:dyDescent="0.2"/>
    <row r="51816" ht="12.75" hidden="1" customHeight="1" x14ac:dyDescent="0.2"/>
    <row r="51817" ht="12.75" hidden="1" customHeight="1" x14ac:dyDescent="0.2"/>
    <row r="51818" ht="12.75" hidden="1" customHeight="1" x14ac:dyDescent="0.2"/>
    <row r="51819" ht="12.75" hidden="1" customHeight="1" x14ac:dyDescent="0.2"/>
    <row r="51820" ht="12.75" hidden="1" customHeight="1" x14ac:dyDescent="0.2"/>
    <row r="51821" ht="12.75" hidden="1" customHeight="1" x14ac:dyDescent="0.2"/>
    <row r="51822" ht="12.75" hidden="1" customHeight="1" x14ac:dyDescent="0.2"/>
    <row r="51823" ht="12.75" hidden="1" customHeight="1" x14ac:dyDescent="0.2"/>
    <row r="51824" ht="12.75" hidden="1" customHeight="1" x14ac:dyDescent="0.2"/>
    <row r="51825" ht="12.75" hidden="1" customHeight="1" x14ac:dyDescent="0.2"/>
    <row r="51826" ht="12.75" hidden="1" customHeight="1" x14ac:dyDescent="0.2"/>
    <row r="51827" ht="12.75" hidden="1" customHeight="1" x14ac:dyDescent="0.2"/>
    <row r="51828" ht="12.75" hidden="1" customHeight="1" x14ac:dyDescent="0.2"/>
    <row r="51829" ht="12.75" hidden="1" customHeight="1" x14ac:dyDescent="0.2"/>
    <row r="51830" ht="12.75" hidden="1" customHeight="1" x14ac:dyDescent="0.2"/>
    <row r="51831" ht="12.75" hidden="1" customHeight="1" x14ac:dyDescent="0.2"/>
    <row r="51832" ht="12.75" hidden="1" customHeight="1" x14ac:dyDescent="0.2"/>
    <row r="51833" ht="12.75" hidden="1" customHeight="1" x14ac:dyDescent="0.2"/>
    <row r="51834" ht="12.75" hidden="1" customHeight="1" x14ac:dyDescent="0.2"/>
    <row r="51835" ht="12.75" hidden="1" customHeight="1" x14ac:dyDescent="0.2"/>
    <row r="51836" ht="12.75" hidden="1" customHeight="1" x14ac:dyDescent="0.2"/>
    <row r="51837" ht="12.75" hidden="1" customHeight="1" x14ac:dyDescent="0.2"/>
    <row r="51838" ht="12.75" hidden="1" customHeight="1" x14ac:dyDescent="0.2"/>
    <row r="51839" ht="12.75" hidden="1" customHeight="1" x14ac:dyDescent="0.2"/>
    <row r="51840" ht="12.75" hidden="1" customHeight="1" x14ac:dyDescent="0.2"/>
    <row r="51841" ht="12.75" hidden="1" customHeight="1" x14ac:dyDescent="0.2"/>
    <row r="51842" ht="12.75" hidden="1" customHeight="1" x14ac:dyDescent="0.2"/>
    <row r="51843" ht="12.75" hidden="1" customHeight="1" x14ac:dyDescent="0.2"/>
    <row r="51844" ht="12.75" hidden="1" customHeight="1" x14ac:dyDescent="0.2"/>
    <row r="51845" ht="12.75" hidden="1" customHeight="1" x14ac:dyDescent="0.2"/>
    <row r="51846" ht="12.75" hidden="1" customHeight="1" x14ac:dyDescent="0.2"/>
    <row r="51847" ht="12.75" hidden="1" customHeight="1" x14ac:dyDescent="0.2"/>
    <row r="51848" ht="12.75" hidden="1" customHeight="1" x14ac:dyDescent="0.2"/>
    <row r="51849" ht="12.75" hidden="1" customHeight="1" x14ac:dyDescent="0.2"/>
    <row r="51850" ht="12.75" hidden="1" customHeight="1" x14ac:dyDescent="0.2"/>
    <row r="51851" ht="12.75" hidden="1" customHeight="1" x14ac:dyDescent="0.2"/>
    <row r="51852" ht="12.75" hidden="1" customHeight="1" x14ac:dyDescent="0.2"/>
    <row r="51853" ht="12.75" hidden="1" customHeight="1" x14ac:dyDescent="0.2"/>
    <row r="51854" ht="12.75" hidden="1" customHeight="1" x14ac:dyDescent="0.2"/>
    <row r="51855" ht="12.75" hidden="1" customHeight="1" x14ac:dyDescent="0.2"/>
    <row r="51856" ht="12.75" hidden="1" customHeight="1" x14ac:dyDescent="0.2"/>
    <row r="51857" ht="12.75" hidden="1" customHeight="1" x14ac:dyDescent="0.2"/>
    <row r="51858" ht="12.75" hidden="1" customHeight="1" x14ac:dyDescent="0.2"/>
    <row r="51859" ht="12.75" hidden="1" customHeight="1" x14ac:dyDescent="0.2"/>
    <row r="51860" ht="12.75" hidden="1" customHeight="1" x14ac:dyDescent="0.2"/>
    <row r="51861" ht="12.75" hidden="1" customHeight="1" x14ac:dyDescent="0.2"/>
    <row r="51862" ht="12.75" hidden="1" customHeight="1" x14ac:dyDescent="0.2"/>
    <row r="51863" ht="12.75" hidden="1" customHeight="1" x14ac:dyDescent="0.2"/>
    <row r="51864" ht="12.75" hidden="1" customHeight="1" x14ac:dyDescent="0.2"/>
    <row r="51865" ht="12.75" hidden="1" customHeight="1" x14ac:dyDescent="0.2"/>
    <row r="51866" ht="12.75" hidden="1" customHeight="1" x14ac:dyDescent="0.2"/>
    <row r="51867" ht="12.75" hidden="1" customHeight="1" x14ac:dyDescent="0.2"/>
    <row r="51868" ht="12.75" hidden="1" customHeight="1" x14ac:dyDescent="0.2"/>
    <row r="51869" ht="12.75" hidden="1" customHeight="1" x14ac:dyDescent="0.2"/>
    <row r="51870" ht="12.75" hidden="1" customHeight="1" x14ac:dyDescent="0.2"/>
    <row r="51871" ht="12.75" hidden="1" customHeight="1" x14ac:dyDescent="0.2"/>
    <row r="51872" ht="12.75" hidden="1" customHeight="1" x14ac:dyDescent="0.2"/>
    <row r="51873" ht="12.75" hidden="1" customHeight="1" x14ac:dyDescent="0.2"/>
    <row r="51874" ht="12.75" hidden="1" customHeight="1" x14ac:dyDescent="0.2"/>
    <row r="51875" ht="12.75" hidden="1" customHeight="1" x14ac:dyDescent="0.2"/>
    <row r="51876" ht="12.75" hidden="1" customHeight="1" x14ac:dyDescent="0.2"/>
    <row r="51877" ht="12.75" hidden="1" customHeight="1" x14ac:dyDescent="0.2"/>
    <row r="51878" ht="12.75" hidden="1" customHeight="1" x14ac:dyDescent="0.2"/>
    <row r="51879" ht="12.75" hidden="1" customHeight="1" x14ac:dyDescent="0.2"/>
    <row r="51880" ht="12.75" hidden="1" customHeight="1" x14ac:dyDescent="0.2"/>
    <row r="51881" ht="12.75" hidden="1" customHeight="1" x14ac:dyDescent="0.2"/>
    <row r="51882" ht="12.75" hidden="1" customHeight="1" x14ac:dyDescent="0.2"/>
    <row r="51883" ht="12.75" hidden="1" customHeight="1" x14ac:dyDescent="0.2"/>
    <row r="51884" ht="12.75" hidden="1" customHeight="1" x14ac:dyDescent="0.2"/>
    <row r="51885" ht="12.75" hidden="1" customHeight="1" x14ac:dyDescent="0.2"/>
    <row r="51886" ht="12.75" hidden="1" customHeight="1" x14ac:dyDescent="0.2"/>
    <row r="51887" ht="12.75" hidden="1" customHeight="1" x14ac:dyDescent="0.2"/>
    <row r="51888" ht="12.75" hidden="1" customHeight="1" x14ac:dyDescent="0.2"/>
    <row r="51889" ht="12.75" hidden="1" customHeight="1" x14ac:dyDescent="0.2"/>
    <row r="51890" ht="12.75" hidden="1" customHeight="1" x14ac:dyDescent="0.2"/>
    <row r="51891" ht="12.75" hidden="1" customHeight="1" x14ac:dyDescent="0.2"/>
    <row r="51892" ht="12.75" hidden="1" customHeight="1" x14ac:dyDescent="0.2"/>
    <row r="51893" ht="12.75" hidden="1" customHeight="1" x14ac:dyDescent="0.2"/>
    <row r="51894" ht="12.75" hidden="1" customHeight="1" x14ac:dyDescent="0.2"/>
    <row r="51895" ht="12.75" hidden="1" customHeight="1" x14ac:dyDescent="0.2"/>
    <row r="51896" ht="12.75" hidden="1" customHeight="1" x14ac:dyDescent="0.2"/>
    <row r="51897" ht="12.75" hidden="1" customHeight="1" x14ac:dyDescent="0.2"/>
    <row r="51898" ht="12.75" hidden="1" customHeight="1" x14ac:dyDescent="0.2"/>
    <row r="51899" ht="12.75" hidden="1" customHeight="1" x14ac:dyDescent="0.2"/>
    <row r="51900" ht="12.75" hidden="1" customHeight="1" x14ac:dyDescent="0.2"/>
    <row r="51901" ht="12.75" hidden="1" customHeight="1" x14ac:dyDescent="0.2"/>
    <row r="51902" ht="12.75" hidden="1" customHeight="1" x14ac:dyDescent="0.2"/>
    <row r="51903" ht="12.75" hidden="1" customHeight="1" x14ac:dyDescent="0.2"/>
    <row r="51904" ht="12.75" hidden="1" customHeight="1" x14ac:dyDescent="0.2"/>
    <row r="51905" ht="12.75" hidden="1" customHeight="1" x14ac:dyDescent="0.2"/>
    <row r="51906" ht="12.75" hidden="1" customHeight="1" x14ac:dyDescent="0.2"/>
    <row r="51907" ht="12.75" hidden="1" customHeight="1" x14ac:dyDescent="0.2"/>
    <row r="51908" ht="12.75" hidden="1" customHeight="1" x14ac:dyDescent="0.2"/>
    <row r="51909" ht="12.75" hidden="1" customHeight="1" x14ac:dyDescent="0.2"/>
    <row r="51910" ht="12.75" hidden="1" customHeight="1" x14ac:dyDescent="0.2"/>
    <row r="51911" ht="12.75" hidden="1" customHeight="1" x14ac:dyDescent="0.2"/>
    <row r="51912" ht="12.75" hidden="1" customHeight="1" x14ac:dyDescent="0.2"/>
    <row r="51913" ht="12.75" hidden="1" customHeight="1" x14ac:dyDescent="0.2"/>
    <row r="51914" ht="12.75" hidden="1" customHeight="1" x14ac:dyDescent="0.2"/>
    <row r="51915" ht="12.75" hidden="1" customHeight="1" x14ac:dyDescent="0.2"/>
    <row r="51916" ht="12.75" hidden="1" customHeight="1" x14ac:dyDescent="0.2"/>
    <row r="51917" ht="12.75" hidden="1" customHeight="1" x14ac:dyDescent="0.2"/>
    <row r="51918" ht="12.75" hidden="1" customHeight="1" x14ac:dyDescent="0.2"/>
    <row r="51919" ht="12.75" hidden="1" customHeight="1" x14ac:dyDescent="0.2"/>
    <row r="51920" ht="12.75" hidden="1" customHeight="1" x14ac:dyDescent="0.2"/>
    <row r="51921" ht="12.75" hidden="1" customHeight="1" x14ac:dyDescent="0.2"/>
    <row r="51922" ht="12.75" hidden="1" customHeight="1" x14ac:dyDescent="0.2"/>
    <row r="51923" ht="12.75" hidden="1" customHeight="1" x14ac:dyDescent="0.2"/>
    <row r="51924" ht="12.75" hidden="1" customHeight="1" x14ac:dyDescent="0.2"/>
    <row r="51925" ht="12.75" hidden="1" customHeight="1" x14ac:dyDescent="0.2"/>
    <row r="51926" ht="12.75" hidden="1" customHeight="1" x14ac:dyDescent="0.2"/>
    <row r="51927" ht="12.75" hidden="1" customHeight="1" x14ac:dyDescent="0.2"/>
    <row r="51928" ht="12.75" hidden="1" customHeight="1" x14ac:dyDescent="0.2"/>
    <row r="51929" ht="12.75" hidden="1" customHeight="1" x14ac:dyDescent="0.2"/>
    <row r="51930" ht="12.75" hidden="1" customHeight="1" x14ac:dyDescent="0.2"/>
    <row r="51931" ht="12.75" hidden="1" customHeight="1" x14ac:dyDescent="0.2"/>
    <row r="51932" ht="12.75" hidden="1" customHeight="1" x14ac:dyDescent="0.2"/>
    <row r="51933" ht="12.75" hidden="1" customHeight="1" x14ac:dyDescent="0.2"/>
    <row r="51934" ht="12.75" hidden="1" customHeight="1" x14ac:dyDescent="0.2"/>
    <row r="51935" ht="12.75" hidden="1" customHeight="1" x14ac:dyDescent="0.2"/>
    <row r="51936" ht="12.75" hidden="1" customHeight="1" x14ac:dyDescent="0.2"/>
    <row r="51937" ht="12.75" hidden="1" customHeight="1" x14ac:dyDescent="0.2"/>
    <row r="51938" ht="12.75" hidden="1" customHeight="1" x14ac:dyDescent="0.2"/>
    <row r="51939" ht="12.75" hidden="1" customHeight="1" x14ac:dyDescent="0.2"/>
    <row r="51940" ht="12.75" hidden="1" customHeight="1" x14ac:dyDescent="0.2"/>
    <row r="51941" ht="12.75" hidden="1" customHeight="1" x14ac:dyDescent="0.2"/>
    <row r="51942" ht="12.75" hidden="1" customHeight="1" x14ac:dyDescent="0.2"/>
    <row r="51943" ht="12.75" hidden="1" customHeight="1" x14ac:dyDescent="0.2"/>
    <row r="51944" ht="12.75" hidden="1" customHeight="1" x14ac:dyDescent="0.2"/>
    <row r="51945" ht="12.75" hidden="1" customHeight="1" x14ac:dyDescent="0.2"/>
    <row r="51946" ht="12.75" hidden="1" customHeight="1" x14ac:dyDescent="0.2"/>
    <row r="51947" ht="12.75" hidden="1" customHeight="1" x14ac:dyDescent="0.2"/>
    <row r="51948" ht="12.75" hidden="1" customHeight="1" x14ac:dyDescent="0.2"/>
    <row r="51949" ht="12.75" hidden="1" customHeight="1" x14ac:dyDescent="0.2"/>
    <row r="51950" ht="12.75" hidden="1" customHeight="1" x14ac:dyDescent="0.2"/>
    <row r="51951" ht="12.75" hidden="1" customHeight="1" x14ac:dyDescent="0.2"/>
    <row r="51952" ht="12.75" hidden="1" customHeight="1" x14ac:dyDescent="0.2"/>
    <row r="51953" ht="12.75" hidden="1" customHeight="1" x14ac:dyDescent="0.2"/>
    <row r="51954" ht="12.75" hidden="1" customHeight="1" x14ac:dyDescent="0.2"/>
    <row r="51955" ht="12.75" hidden="1" customHeight="1" x14ac:dyDescent="0.2"/>
    <row r="51956" ht="12.75" hidden="1" customHeight="1" x14ac:dyDescent="0.2"/>
    <row r="51957" ht="12.75" hidden="1" customHeight="1" x14ac:dyDescent="0.2"/>
    <row r="51958" ht="12.75" hidden="1" customHeight="1" x14ac:dyDescent="0.2"/>
    <row r="51959" ht="12.75" hidden="1" customHeight="1" x14ac:dyDescent="0.2"/>
    <row r="51960" ht="12.75" hidden="1" customHeight="1" x14ac:dyDescent="0.2"/>
    <row r="51961" ht="12.75" hidden="1" customHeight="1" x14ac:dyDescent="0.2"/>
    <row r="51962" ht="12.75" hidden="1" customHeight="1" x14ac:dyDescent="0.2"/>
    <row r="51963" ht="12.75" hidden="1" customHeight="1" x14ac:dyDescent="0.2"/>
    <row r="51964" ht="12.75" hidden="1" customHeight="1" x14ac:dyDescent="0.2"/>
    <row r="51965" ht="12.75" hidden="1" customHeight="1" x14ac:dyDescent="0.2"/>
    <row r="51966" ht="12.75" hidden="1" customHeight="1" x14ac:dyDescent="0.2"/>
    <row r="51967" ht="12.75" hidden="1" customHeight="1" x14ac:dyDescent="0.2"/>
    <row r="51968" ht="12.75" hidden="1" customHeight="1" x14ac:dyDescent="0.2"/>
    <row r="51969" ht="12.75" hidden="1" customHeight="1" x14ac:dyDescent="0.2"/>
    <row r="51970" ht="12.75" hidden="1" customHeight="1" x14ac:dyDescent="0.2"/>
    <row r="51971" ht="12.75" hidden="1" customHeight="1" x14ac:dyDescent="0.2"/>
    <row r="51972" ht="12.75" hidden="1" customHeight="1" x14ac:dyDescent="0.2"/>
    <row r="51973" ht="12.75" hidden="1" customHeight="1" x14ac:dyDescent="0.2"/>
    <row r="51974" ht="12.75" hidden="1" customHeight="1" x14ac:dyDescent="0.2"/>
    <row r="51975" ht="12.75" hidden="1" customHeight="1" x14ac:dyDescent="0.2"/>
    <row r="51976" ht="12.75" hidden="1" customHeight="1" x14ac:dyDescent="0.2"/>
    <row r="51977" ht="12.75" hidden="1" customHeight="1" x14ac:dyDescent="0.2"/>
    <row r="51978" ht="12.75" hidden="1" customHeight="1" x14ac:dyDescent="0.2"/>
    <row r="51979" ht="12.75" hidden="1" customHeight="1" x14ac:dyDescent="0.2"/>
    <row r="51980" ht="12.75" hidden="1" customHeight="1" x14ac:dyDescent="0.2"/>
    <row r="51981" ht="12.75" hidden="1" customHeight="1" x14ac:dyDescent="0.2"/>
    <row r="51982" ht="12.75" hidden="1" customHeight="1" x14ac:dyDescent="0.2"/>
    <row r="51983" ht="12.75" hidden="1" customHeight="1" x14ac:dyDescent="0.2"/>
    <row r="51984" ht="12.75" hidden="1" customHeight="1" x14ac:dyDescent="0.2"/>
    <row r="51985" ht="12.75" hidden="1" customHeight="1" x14ac:dyDescent="0.2"/>
    <row r="51986" ht="12.75" hidden="1" customHeight="1" x14ac:dyDescent="0.2"/>
    <row r="51987" ht="12.75" hidden="1" customHeight="1" x14ac:dyDescent="0.2"/>
    <row r="51988" ht="12.75" hidden="1" customHeight="1" x14ac:dyDescent="0.2"/>
    <row r="51989" ht="12.75" hidden="1" customHeight="1" x14ac:dyDescent="0.2"/>
    <row r="51990" ht="12.75" hidden="1" customHeight="1" x14ac:dyDescent="0.2"/>
    <row r="51991" ht="12.75" hidden="1" customHeight="1" x14ac:dyDescent="0.2"/>
    <row r="51992" ht="12.75" hidden="1" customHeight="1" x14ac:dyDescent="0.2"/>
    <row r="51993" ht="12.75" hidden="1" customHeight="1" x14ac:dyDescent="0.2"/>
    <row r="51994" ht="12.75" hidden="1" customHeight="1" x14ac:dyDescent="0.2"/>
    <row r="51995" ht="12.75" hidden="1" customHeight="1" x14ac:dyDescent="0.2"/>
    <row r="51996" ht="12.75" hidden="1" customHeight="1" x14ac:dyDescent="0.2"/>
    <row r="51997" ht="12.75" hidden="1" customHeight="1" x14ac:dyDescent="0.2"/>
    <row r="51998" ht="12.75" hidden="1" customHeight="1" x14ac:dyDescent="0.2"/>
    <row r="51999" ht="12.75" hidden="1" customHeight="1" x14ac:dyDescent="0.2"/>
    <row r="52000" ht="12.75" hidden="1" customHeight="1" x14ac:dyDescent="0.2"/>
    <row r="52001" ht="12.75" hidden="1" customHeight="1" x14ac:dyDescent="0.2"/>
    <row r="52002" ht="12.75" hidden="1" customHeight="1" x14ac:dyDescent="0.2"/>
    <row r="52003" ht="12.75" hidden="1" customHeight="1" x14ac:dyDescent="0.2"/>
    <row r="52004" ht="12.75" hidden="1" customHeight="1" x14ac:dyDescent="0.2"/>
    <row r="52005" ht="12.75" hidden="1" customHeight="1" x14ac:dyDescent="0.2"/>
    <row r="52006" ht="12.75" hidden="1" customHeight="1" x14ac:dyDescent="0.2"/>
    <row r="52007" ht="12.75" hidden="1" customHeight="1" x14ac:dyDescent="0.2"/>
    <row r="52008" ht="12.75" hidden="1" customHeight="1" x14ac:dyDescent="0.2"/>
    <row r="52009" ht="12.75" hidden="1" customHeight="1" x14ac:dyDescent="0.2"/>
    <row r="52010" ht="12.75" hidden="1" customHeight="1" x14ac:dyDescent="0.2"/>
    <row r="52011" ht="12.75" hidden="1" customHeight="1" x14ac:dyDescent="0.2"/>
    <row r="52012" ht="12.75" hidden="1" customHeight="1" x14ac:dyDescent="0.2"/>
    <row r="52013" ht="12.75" hidden="1" customHeight="1" x14ac:dyDescent="0.2"/>
    <row r="52014" ht="12.75" hidden="1" customHeight="1" x14ac:dyDescent="0.2"/>
    <row r="52015" ht="12.75" hidden="1" customHeight="1" x14ac:dyDescent="0.2"/>
    <row r="52016" ht="12.75" hidden="1" customHeight="1" x14ac:dyDescent="0.2"/>
    <row r="52017" ht="12.75" hidden="1" customHeight="1" x14ac:dyDescent="0.2"/>
    <row r="52018" ht="12.75" hidden="1" customHeight="1" x14ac:dyDescent="0.2"/>
    <row r="52019" ht="12.75" hidden="1" customHeight="1" x14ac:dyDescent="0.2"/>
    <row r="52020" ht="12.75" hidden="1" customHeight="1" x14ac:dyDescent="0.2"/>
    <row r="52021" ht="12.75" hidden="1" customHeight="1" x14ac:dyDescent="0.2"/>
    <row r="52022" ht="12.75" hidden="1" customHeight="1" x14ac:dyDescent="0.2"/>
    <row r="52023" ht="12.75" hidden="1" customHeight="1" x14ac:dyDescent="0.2"/>
    <row r="52024" ht="12.75" hidden="1" customHeight="1" x14ac:dyDescent="0.2"/>
    <row r="52025" ht="12.75" hidden="1" customHeight="1" x14ac:dyDescent="0.2"/>
    <row r="52026" ht="12.75" hidden="1" customHeight="1" x14ac:dyDescent="0.2"/>
    <row r="52027" ht="12.75" hidden="1" customHeight="1" x14ac:dyDescent="0.2"/>
    <row r="52028" ht="12.75" hidden="1" customHeight="1" x14ac:dyDescent="0.2"/>
    <row r="52029" ht="12.75" hidden="1" customHeight="1" x14ac:dyDescent="0.2"/>
    <row r="52030" ht="12.75" hidden="1" customHeight="1" x14ac:dyDescent="0.2"/>
    <row r="52031" ht="12.75" hidden="1" customHeight="1" x14ac:dyDescent="0.2"/>
    <row r="52032" ht="12.75" hidden="1" customHeight="1" x14ac:dyDescent="0.2"/>
    <row r="52033" ht="12.75" hidden="1" customHeight="1" x14ac:dyDescent="0.2"/>
    <row r="52034" ht="12.75" hidden="1" customHeight="1" x14ac:dyDescent="0.2"/>
    <row r="52035" ht="12.75" hidden="1" customHeight="1" x14ac:dyDescent="0.2"/>
    <row r="52036" ht="12.75" hidden="1" customHeight="1" x14ac:dyDescent="0.2"/>
    <row r="52037" ht="12.75" hidden="1" customHeight="1" x14ac:dyDescent="0.2"/>
    <row r="52038" ht="12.75" hidden="1" customHeight="1" x14ac:dyDescent="0.2"/>
    <row r="52039" ht="12.75" hidden="1" customHeight="1" x14ac:dyDescent="0.2"/>
    <row r="52040" ht="12.75" hidden="1" customHeight="1" x14ac:dyDescent="0.2"/>
    <row r="52041" ht="12.75" hidden="1" customHeight="1" x14ac:dyDescent="0.2"/>
    <row r="52042" ht="12.75" hidden="1" customHeight="1" x14ac:dyDescent="0.2"/>
    <row r="52043" ht="12.75" hidden="1" customHeight="1" x14ac:dyDescent="0.2"/>
    <row r="52044" ht="12.75" hidden="1" customHeight="1" x14ac:dyDescent="0.2"/>
    <row r="52045" ht="12.75" hidden="1" customHeight="1" x14ac:dyDescent="0.2"/>
    <row r="52046" ht="12.75" hidden="1" customHeight="1" x14ac:dyDescent="0.2"/>
    <row r="52047" ht="12.75" hidden="1" customHeight="1" x14ac:dyDescent="0.2"/>
    <row r="52048" ht="12.75" hidden="1" customHeight="1" x14ac:dyDescent="0.2"/>
    <row r="52049" ht="12.75" hidden="1" customHeight="1" x14ac:dyDescent="0.2"/>
    <row r="52050" ht="12.75" hidden="1" customHeight="1" x14ac:dyDescent="0.2"/>
    <row r="52051" ht="12.75" hidden="1" customHeight="1" x14ac:dyDescent="0.2"/>
    <row r="52052" ht="12.75" hidden="1" customHeight="1" x14ac:dyDescent="0.2"/>
    <row r="52053" ht="12.75" hidden="1" customHeight="1" x14ac:dyDescent="0.2"/>
    <row r="52054" ht="12.75" hidden="1" customHeight="1" x14ac:dyDescent="0.2"/>
    <row r="52055" ht="12.75" hidden="1" customHeight="1" x14ac:dyDescent="0.2"/>
    <row r="52056" ht="12.75" hidden="1" customHeight="1" x14ac:dyDescent="0.2"/>
    <row r="52057" ht="12.75" hidden="1" customHeight="1" x14ac:dyDescent="0.2"/>
    <row r="52058" ht="12.75" hidden="1" customHeight="1" x14ac:dyDescent="0.2"/>
    <row r="52059" ht="12.75" hidden="1" customHeight="1" x14ac:dyDescent="0.2"/>
    <row r="52060" ht="12.75" hidden="1" customHeight="1" x14ac:dyDescent="0.2"/>
    <row r="52061" ht="12.75" hidden="1" customHeight="1" x14ac:dyDescent="0.2"/>
    <row r="52062" ht="12.75" hidden="1" customHeight="1" x14ac:dyDescent="0.2"/>
    <row r="52063" ht="12.75" hidden="1" customHeight="1" x14ac:dyDescent="0.2"/>
    <row r="52064" ht="12.75" hidden="1" customHeight="1" x14ac:dyDescent="0.2"/>
    <row r="52065" ht="12.75" hidden="1" customHeight="1" x14ac:dyDescent="0.2"/>
    <row r="52066" ht="12.75" hidden="1" customHeight="1" x14ac:dyDescent="0.2"/>
    <row r="52067" ht="12.75" hidden="1" customHeight="1" x14ac:dyDescent="0.2"/>
    <row r="52068" ht="12.75" hidden="1" customHeight="1" x14ac:dyDescent="0.2"/>
    <row r="52069" ht="12.75" hidden="1" customHeight="1" x14ac:dyDescent="0.2"/>
    <row r="52070" ht="12.75" hidden="1" customHeight="1" x14ac:dyDescent="0.2"/>
    <row r="52071" ht="12.75" hidden="1" customHeight="1" x14ac:dyDescent="0.2"/>
    <row r="52072" ht="12.75" hidden="1" customHeight="1" x14ac:dyDescent="0.2"/>
    <row r="52073" ht="12.75" hidden="1" customHeight="1" x14ac:dyDescent="0.2"/>
    <row r="52074" ht="12.75" hidden="1" customHeight="1" x14ac:dyDescent="0.2"/>
    <row r="52075" ht="12.75" hidden="1" customHeight="1" x14ac:dyDescent="0.2"/>
    <row r="52076" ht="12.75" hidden="1" customHeight="1" x14ac:dyDescent="0.2"/>
    <row r="52077" ht="12.75" hidden="1" customHeight="1" x14ac:dyDescent="0.2"/>
    <row r="52078" ht="12.75" hidden="1" customHeight="1" x14ac:dyDescent="0.2"/>
    <row r="52079" ht="12.75" hidden="1" customHeight="1" x14ac:dyDescent="0.2"/>
    <row r="52080" ht="12.75" hidden="1" customHeight="1" x14ac:dyDescent="0.2"/>
    <row r="52081" ht="12.75" hidden="1" customHeight="1" x14ac:dyDescent="0.2"/>
    <row r="52082" ht="12.75" hidden="1" customHeight="1" x14ac:dyDescent="0.2"/>
    <row r="52083" ht="12.75" hidden="1" customHeight="1" x14ac:dyDescent="0.2"/>
    <row r="52084" ht="12.75" hidden="1" customHeight="1" x14ac:dyDescent="0.2"/>
    <row r="52085" ht="12.75" hidden="1" customHeight="1" x14ac:dyDescent="0.2"/>
    <row r="52086" ht="12.75" hidden="1" customHeight="1" x14ac:dyDescent="0.2"/>
    <row r="52087" ht="12.75" hidden="1" customHeight="1" x14ac:dyDescent="0.2"/>
    <row r="52088" ht="12.75" hidden="1" customHeight="1" x14ac:dyDescent="0.2"/>
    <row r="52089" ht="12.75" hidden="1" customHeight="1" x14ac:dyDescent="0.2"/>
    <row r="52090" ht="12.75" hidden="1" customHeight="1" x14ac:dyDescent="0.2"/>
    <row r="52091" ht="12.75" hidden="1" customHeight="1" x14ac:dyDescent="0.2"/>
    <row r="52092" ht="12.75" hidden="1" customHeight="1" x14ac:dyDescent="0.2"/>
    <row r="52093" ht="12.75" hidden="1" customHeight="1" x14ac:dyDescent="0.2"/>
    <row r="52094" ht="12.75" hidden="1" customHeight="1" x14ac:dyDescent="0.2"/>
    <row r="52095" ht="12.75" hidden="1" customHeight="1" x14ac:dyDescent="0.2"/>
    <row r="52096" ht="12.75" hidden="1" customHeight="1" x14ac:dyDescent="0.2"/>
    <row r="52097" ht="12.75" hidden="1" customHeight="1" x14ac:dyDescent="0.2"/>
    <row r="52098" ht="12.75" hidden="1" customHeight="1" x14ac:dyDescent="0.2"/>
    <row r="52099" ht="12.75" hidden="1" customHeight="1" x14ac:dyDescent="0.2"/>
    <row r="52100" ht="12.75" hidden="1" customHeight="1" x14ac:dyDescent="0.2"/>
    <row r="52101" ht="12.75" hidden="1" customHeight="1" x14ac:dyDescent="0.2"/>
    <row r="52102" ht="12.75" hidden="1" customHeight="1" x14ac:dyDescent="0.2"/>
    <row r="52103" ht="12.75" hidden="1" customHeight="1" x14ac:dyDescent="0.2"/>
    <row r="52104" ht="12.75" hidden="1" customHeight="1" x14ac:dyDescent="0.2"/>
    <row r="52105" ht="12.75" hidden="1" customHeight="1" x14ac:dyDescent="0.2"/>
    <row r="52106" ht="12.75" hidden="1" customHeight="1" x14ac:dyDescent="0.2"/>
    <row r="52107" ht="12.75" hidden="1" customHeight="1" x14ac:dyDescent="0.2"/>
    <row r="52108" ht="12.75" hidden="1" customHeight="1" x14ac:dyDescent="0.2"/>
    <row r="52109" ht="12.75" hidden="1" customHeight="1" x14ac:dyDescent="0.2"/>
    <row r="52110" ht="12.75" hidden="1" customHeight="1" x14ac:dyDescent="0.2"/>
    <row r="52111" ht="12.75" hidden="1" customHeight="1" x14ac:dyDescent="0.2"/>
    <row r="52112" ht="12.75" hidden="1" customHeight="1" x14ac:dyDescent="0.2"/>
    <row r="52113" ht="12.75" hidden="1" customHeight="1" x14ac:dyDescent="0.2"/>
    <row r="52114" ht="12.75" hidden="1" customHeight="1" x14ac:dyDescent="0.2"/>
    <row r="52115" ht="12.75" hidden="1" customHeight="1" x14ac:dyDescent="0.2"/>
    <row r="52116" ht="12.75" hidden="1" customHeight="1" x14ac:dyDescent="0.2"/>
    <row r="52117" ht="12.75" hidden="1" customHeight="1" x14ac:dyDescent="0.2"/>
    <row r="52118" ht="12.75" hidden="1" customHeight="1" x14ac:dyDescent="0.2"/>
    <row r="52119" ht="12.75" hidden="1" customHeight="1" x14ac:dyDescent="0.2"/>
    <row r="52120" ht="12.75" hidden="1" customHeight="1" x14ac:dyDescent="0.2"/>
    <row r="52121" ht="12.75" hidden="1" customHeight="1" x14ac:dyDescent="0.2"/>
    <row r="52122" ht="12.75" hidden="1" customHeight="1" x14ac:dyDescent="0.2"/>
    <row r="52123" ht="12.75" hidden="1" customHeight="1" x14ac:dyDescent="0.2"/>
    <row r="52124" ht="12.75" hidden="1" customHeight="1" x14ac:dyDescent="0.2"/>
    <row r="52125" ht="12.75" hidden="1" customHeight="1" x14ac:dyDescent="0.2"/>
    <row r="52126" ht="12.75" hidden="1" customHeight="1" x14ac:dyDescent="0.2"/>
    <row r="52127" ht="12.75" hidden="1" customHeight="1" x14ac:dyDescent="0.2"/>
    <row r="52128" ht="12.75" hidden="1" customHeight="1" x14ac:dyDescent="0.2"/>
    <row r="52129" ht="12.75" hidden="1" customHeight="1" x14ac:dyDescent="0.2"/>
    <row r="52130" ht="12.75" hidden="1" customHeight="1" x14ac:dyDescent="0.2"/>
    <row r="52131" ht="12.75" hidden="1" customHeight="1" x14ac:dyDescent="0.2"/>
    <row r="52132" ht="12.75" hidden="1" customHeight="1" x14ac:dyDescent="0.2"/>
    <row r="52133" ht="12.75" hidden="1" customHeight="1" x14ac:dyDescent="0.2"/>
    <row r="52134" ht="12.75" hidden="1" customHeight="1" x14ac:dyDescent="0.2"/>
    <row r="52135" ht="12.75" hidden="1" customHeight="1" x14ac:dyDescent="0.2"/>
    <row r="52136" ht="12.75" hidden="1" customHeight="1" x14ac:dyDescent="0.2"/>
    <row r="52137" ht="12.75" hidden="1" customHeight="1" x14ac:dyDescent="0.2"/>
    <row r="52138" ht="12.75" hidden="1" customHeight="1" x14ac:dyDescent="0.2"/>
    <row r="52139" ht="12.75" hidden="1" customHeight="1" x14ac:dyDescent="0.2"/>
    <row r="52140" ht="12.75" hidden="1" customHeight="1" x14ac:dyDescent="0.2"/>
    <row r="52141" ht="12.75" hidden="1" customHeight="1" x14ac:dyDescent="0.2"/>
    <row r="52142" ht="12.75" hidden="1" customHeight="1" x14ac:dyDescent="0.2"/>
    <row r="52143" ht="12.75" hidden="1" customHeight="1" x14ac:dyDescent="0.2"/>
    <row r="52144" ht="12.75" hidden="1" customHeight="1" x14ac:dyDescent="0.2"/>
    <row r="52145" ht="12.75" hidden="1" customHeight="1" x14ac:dyDescent="0.2"/>
    <row r="52146" ht="12.75" hidden="1" customHeight="1" x14ac:dyDescent="0.2"/>
    <row r="52147" ht="12.75" hidden="1" customHeight="1" x14ac:dyDescent="0.2"/>
    <row r="52148" ht="12.75" hidden="1" customHeight="1" x14ac:dyDescent="0.2"/>
    <row r="52149" ht="12.75" hidden="1" customHeight="1" x14ac:dyDescent="0.2"/>
    <row r="52150" ht="12.75" hidden="1" customHeight="1" x14ac:dyDescent="0.2"/>
    <row r="52151" ht="12.75" hidden="1" customHeight="1" x14ac:dyDescent="0.2"/>
    <row r="52152" ht="12.75" hidden="1" customHeight="1" x14ac:dyDescent="0.2"/>
    <row r="52153" ht="12.75" hidden="1" customHeight="1" x14ac:dyDescent="0.2"/>
    <row r="52154" ht="12.75" hidden="1" customHeight="1" x14ac:dyDescent="0.2"/>
    <row r="52155" ht="12.75" hidden="1" customHeight="1" x14ac:dyDescent="0.2"/>
    <row r="52156" ht="12.75" hidden="1" customHeight="1" x14ac:dyDescent="0.2"/>
    <row r="52157" ht="12.75" hidden="1" customHeight="1" x14ac:dyDescent="0.2"/>
    <row r="52158" ht="12.75" hidden="1" customHeight="1" x14ac:dyDescent="0.2"/>
    <row r="52159" ht="12.75" hidden="1" customHeight="1" x14ac:dyDescent="0.2"/>
    <row r="52160" ht="12.75" hidden="1" customHeight="1" x14ac:dyDescent="0.2"/>
    <row r="52161" ht="12.75" hidden="1" customHeight="1" x14ac:dyDescent="0.2"/>
    <row r="52162" ht="12.75" hidden="1" customHeight="1" x14ac:dyDescent="0.2"/>
    <row r="52163" ht="12.75" hidden="1" customHeight="1" x14ac:dyDescent="0.2"/>
    <row r="52164" ht="12.75" hidden="1" customHeight="1" x14ac:dyDescent="0.2"/>
    <row r="52165" ht="12.75" hidden="1" customHeight="1" x14ac:dyDescent="0.2"/>
    <row r="52166" ht="12.75" hidden="1" customHeight="1" x14ac:dyDescent="0.2"/>
    <row r="52167" ht="12.75" hidden="1" customHeight="1" x14ac:dyDescent="0.2"/>
    <row r="52168" ht="12.75" hidden="1" customHeight="1" x14ac:dyDescent="0.2"/>
    <row r="52169" ht="12.75" hidden="1" customHeight="1" x14ac:dyDescent="0.2"/>
    <row r="52170" ht="12.75" hidden="1" customHeight="1" x14ac:dyDescent="0.2"/>
    <row r="52171" ht="12.75" hidden="1" customHeight="1" x14ac:dyDescent="0.2"/>
    <row r="52172" ht="12.75" hidden="1" customHeight="1" x14ac:dyDescent="0.2"/>
    <row r="52173" ht="12.75" hidden="1" customHeight="1" x14ac:dyDescent="0.2"/>
    <row r="52174" ht="12.75" hidden="1" customHeight="1" x14ac:dyDescent="0.2"/>
    <row r="52175" ht="12.75" hidden="1" customHeight="1" x14ac:dyDescent="0.2"/>
    <row r="52176" ht="12.75" hidden="1" customHeight="1" x14ac:dyDescent="0.2"/>
    <row r="52177" ht="12.75" hidden="1" customHeight="1" x14ac:dyDescent="0.2"/>
    <row r="52178" ht="12.75" hidden="1" customHeight="1" x14ac:dyDescent="0.2"/>
    <row r="52179" ht="12.75" hidden="1" customHeight="1" x14ac:dyDescent="0.2"/>
    <row r="52180" ht="12.75" hidden="1" customHeight="1" x14ac:dyDescent="0.2"/>
    <row r="52181" ht="12.75" hidden="1" customHeight="1" x14ac:dyDescent="0.2"/>
    <row r="52182" ht="12.75" hidden="1" customHeight="1" x14ac:dyDescent="0.2"/>
    <row r="52183" ht="12.75" hidden="1" customHeight="1" x14ac:dyDescent="0.2"/>
    <row r="52184" ht="12.75" hidden="1" customHeight="1" x14ac:dyDescent="0.2"/>
    <row r="52185" ht="12.75" hidden="1" customHeight="1" x14ac:dyDescent="0.2"/>
    <row r="52186" ht="12.75" hidden="1" customHeight="1" x14ac:dyDescent="0.2"/>
    <row r="52187" ht="12.75" hidden="1" customHeight="1" x14ac:dyDescent="0.2"/>
    <row r="52188" ht="12.75" hidden="1" customHeight="1" x14ac:dyDescent="0.2"/>
    <row r="52189" ht="12.75" hidden="1" customHeight="1" x14ac:dyDescent="0.2"/>
    <row r="52190" ht="12.75" hidden="1" customHeight="1" x14ac:dyDescent="0.2"/>
    <row r="52191" ht="12.75" hidden="1" customHeight="1" x14ac:dyDescent="0.2"/>
    <row r="52192" ht="12.75" hidden="1" customHeight="1" x14ac:dyDescent="0.2"/>
    <row r="52193" ht="12.75" hidden="1" customHeight="1" x14ac:dyDescent="0.2"/>
    <row r="52194" ht="12.75" hidden="1" customHeight="1" x14ac:dyDescent="0.2"/>
    <row r="52195" ht="12.75" hidden="1" customHeight="1" x14ac:dyDescent="0.2"/>
    <row r="52196" ht="12.75" hidden="1" customHeight="1" x14ac:dyDescent="0.2"/>
    <row r="52197" ht="12.75" hidden="1" customHeight="1" x14ac:dyDescent="0.2"/>
    <row r="52198" ht="12.75" hidden="1" customHeight="1" x14ac:dyDescent="0.2"/>
    <row r="52199" ht="12.75" hidden="1" customHeight="1" x14ac:dyDescent="0.2"/>
    <row r="52200" ht="12.75" hidden="1" customHeight="1" x14ac:dyDescent="0.2"/>
    <row r="52201" ht="12.75" hidden="1" customHeight="1" x14ac:dyDescent="0.2"/>
    <row r="52202" ht="12.75" hidden="1" customHeight="1" x14ac:dyDescent="0.2"/>
    <row r="52203" ht="12.75" hidden="1" customHeight="1" x14ac:dyDescent="0.2"/>
    <row r="52204" ht="12.75" hidden="1" customHeight="1" x14ac:dyDescent="0.2"/>
    <row r="52205" ht="12.75" hidden="1" customHeight="1" x14ac:dyDescent="0.2"/>
    <row r="52206" ht="12.75" hidden="1" customHeight="1" x14ac:dyDescent="0.2"/>
    <row r="52207" ht="12.75" hidden="1" customHeight="1" x14ac:dyDescent="0.2"/>
    <row r="52208" ht="12.75" hidden="1" customHeight="1" x14ac:dyDescent="0.2"/>
    <row r="52209" ht="12.75" hidden="1" customHeight="1" x14ac:dyDescent="0.2"/>
    <row r="52210" ht="12.75" hidden="1" customHeight="1" x14ac:dyDescent="0.2"/>
    <row r="52211" ht="12.75" hidden="1" customHeight="1" x14ac:dyDescent="0.2"/>
    <row r="52212" ht="12.75" hidden="1" customHeight="1" x14ac:dyDescent="0.2"/>
    <row r="52213" ht="12.75" hidden="1" customHeight="1" x14ac:dyDescent="0.2"/>
    <row r="52214" ht="12.75" hidden="1" customHeight="1" x14ac:dyDescent="0.2"/>
    <row r="52215" ht="12.75" hidden="1" customHeight="1" x14ac:dyDescent="0.2"/>
    <row r="52216" ht="12.75" hidden="1" customHeight="1" x14ac:dyDescent="0.2"/>
    <row r="52217" ht="12.75" hidden="1" customHeight="1" x14ac:dyDescent="0.2"/>
    <row r="52218" ht="12.75" hidden="1" customHeight="1" x14ac:dyDescent="0.2"/>
    <row r="52219" ht="12.75" hidden="1" customHeight="1" x14ac:dyDescent="0.2"/>
    <row r="52220" ht="12.75" hidden="1" customHeight="1" x14ac:dyDescent="0.2"/>
    <row r="52221" ht="12.75" hidden="1" customHeight="1" x14ac:dyDescent="0.2"/>
    <row r="52222" ht="12.75" hidden="1" customHeight="1" x14ac:dyDescent="0.2"/>
    <row r="52223" ht="12.75" hidden="1" customHeight="1" x14ac:dyDescent="0.2"/>
    <row r="52224" ht="12.75" hidden="1" customHeight="1" x14ac:dyDescent="0.2"/>
    <row r="52225" ht="12.75" hidden="1" customHeight="1" x14ac:dyDescent="0.2"/>
    <row r="52226" ht="12.75" hidden="1" customHeight="1" x14ac:dyDescent="0.2"/>
    <row r="52227" ht="12.75" hidden="1" customHeight="1" x14ac:dyDescent="0.2"/>
    <row r="52228" ht="12.75" hidden="1" customHeight="1" x14ac:dyDescent="0.2"/>
    <row r="52229" ht="12.75" hidden="1" customHeight="1" x14ac:dyDescent="0.2"/>
    <row r="52230" ht="12.75" hidden="1" customHeight="1" x14ac:dyDescent="0.2"/>
    <row r="52231" ht="12.75" hidden="1" customHeight="1" x14ac:dyDescent="0.2"/>
    <row r="52232" ht="12.75" hidden="1" customHeight="1" x14ac:dyDescent="0.2"/>
    <row r="52233" ht="12.75" hidden="1" customHeight="1" x14ac:dyDescent="0.2"/>
    <row r="52234" ht="12.75" hidden="1" customHeight="1" x14ac:dyDescent="0.2"/>
    <row r="52235" ht="12.75" hidden="1" customHeight="1" x14ac:dyDescent="0.2"/>
    <row r="52236" ht="12.75" hidden="1" customHeight="1" x14ac:dyDescent="0.2"/>
    <row r="52237" ht="12.75" hidden="1" customHeight="1" x14ac:dyDescent="0.2"/>
    <row r="52238" ht="12.75" hidden="1" customHeight="1" x14ac:dyDescent="0.2"/>
    <row r="52239" ht="12.75" hidden="1" customHeight="1" x14ac:dyDescent="0.2"/>
    <row r="52240" ht="12.75" hidden="1" customHeight="1" x14ac:dyDescent="0.2"/>
    <row r="52241" ht="12.75" hidden="1" customHeight="1" x14ac:dyDescent="0.2"/>
    <row r="52242" ht="12.75" hidden="1" customHeight="1" x14ac:dyDescent="0.2"/>
    <row r="52243" ht="12.75" hidden="1" customHeight="1" x14ac:dyDescent="0.2"/>
    <row r="52244" ht="12.75" hidden="1" customHeight="1" x14ac:dyDescent="0.2"/>
    <row r="52245" ht="12.75" hidden="1" customHeight="1" x14ac:dyDescent="0.2"/>
    <row r="52246" ht="12.75" hidden="1" customHeight="1" x14ac:dyDescent="0.2"/>
    <row r="52247" ht="12.75" hidden="1" customHeight="1" x14ac:dyDescent="0.2"/>
    <row r="52248" ht="12.75" hidden="1" customHeight="1" x14ac:dyDescent="0.2"/>
    <row r="52249" ht="12.75" hidden="1" customHeight="1" x14ac:dyDescent="0.2"/>
    <row r="52250" ht="12.75" hidden="1" customHeight="1" x14ac:dyDescent="0.2"/>
    <row r="52251" ht="12.75" hidden="1" customHeight="1" x14ac:dyDescent="0.2"/>
    <row r="52252" ht="12.75" hidden="1" customHeight="1" x14ac:dyDescent="0.2"/>
    <row r="52253" ht="12.75" hidden="1" customHeight="1" x14ac:dyDescent="0.2"/>
    <row r="52254" ht="12.75" hidden="1" customHeight="1" x14ac:dyDescent="0.2"/>
    <row r="52255" ht="12.75" hidden="1" customHeight="1" x14ac:dyDescent="0.2"/>
    <row r="52256" ht="12.75" hidden="1" customHeight="1" x14ac:dyDescent="0.2"/>
    <row r="52257" ht="12.75" hidden="1" customHeight="1" x14ac:dyDescent="0.2"/>
    <row r="52258" ht="12.75" hidden="1" customHeight="1" x14ac:dyDescent="0.2"/>
    <row r="52259" ht="12.75" hidden="1" customHeight="1" x14ac:dyDescent="0.2"/>
    <row r="52260" ht="12.75" hidden="1" customHeight="1" x14ac:dyDescent="0.2"/>
    <row r="52261" ht="12.75" hidden="1" customHeight="1" x14ac:dyDescent="0.2"/>
    <row r="52262" ht="12.75" hidden="1" customHeight="1" x14ac:dyDescent="0.2"/>
    <row r="52263" ht="12.75" hidden="1" customHeight="1" x14ac:dyDescent="0.2"/>
    <row r="52264" ht="12.75" hidden="1" customHeight="1" x14ac:dyDescent="0.2"/>
    <row r="52265" ht="12.75" hidden="1" customHeight="1" x14ac:dyDescent="0.2"/>
    <row r="52266" ht="12.75" hidden="1" customHeight="1" x14ac:dyDescent="0.2"/>
    <row r="52267" ht="12.75" hidden="1" customHeight="1" x14ac:dyDescent="0.2"/>
    <row r="52268" ht="12.75" hidden="1" customHeight="1" x14ac:dyDescent="0.2"/>
    <row r="52269" ht="12.75" hidden="1" customHeight="1" x14ac:dyDescent="0.2"/>
    <row r="52270" ht="12.75" hidden="1" customHeight="1" x14ac:dyDescent="0.2"/>
    <row r="52271" ht="12.75" hidden="1" customHeight="1" x14ac:dyDescent="0.2"/>
    <row r="52272" ht="12.75" hidden="1" customHeight="1" x14ac:dyDescent="0.2"/>
    <row r="52273" ht="12.75" hidden="1" customHeight="1" x14ac:dyDescent="0.2"/>
    <row r="52274" ht="12.75" hidden="1" customHeight="1" x14ac:dyDescent="0.2"/>
    <row r="52275" ht="12.75" hidden="1" customHeight="1" x14ac:dyDescent="0.2"/>
    <row r="52276" ht="12.75" hidden="1" customHeight="1" x14ac:dyDescent="0.2"/>
    <row r="52277" ht="12.75" hidden="1" customHeight="1" x14ac:dyDescent="0.2"/>
    <row r="52278" ht="12.75" hidden="1" customHeight="1" x14ac:dyDescent="0.2"/>
    <row r="52279" ht="12.75" hidden="1" customHeight="1" x14ac:dyDescent="0.2"/>
    <row r="52280" ht="12.75" hidden="1" customHeight="1" x14ac:dyDescent="0.2"/>
    <row r="52281" ht="12.75" hidden="1" customHeight="1" x14ac:dyDescent="0.2"/>
    <row r="52282" ht="12.75" hidden="1" customHeight="1" x14ac:dyDescent="0.2"/>
    <row r="52283" ht="12.75" hidden="1" customHeight="1" x14ac:dyDescent="0.2"/>
    <row r="52284" ht="12.75" hidden="1" customHeight="1" x14ac:dyDescent="0.2"/>
    <row r="52285" ht="12.75" hidden="1" customHeight="1" x14ac:dyDescent="0.2"/>
    <row r="52286" ht="12.75" hidden="1" customHeight="1" x14ac:dyDescent="0.2"/>
    <row r="52287" ht="12.75" hidden="1" customHeight="1" x14ac:dyDescent="0.2"/>
    <row r="52288" ht="12.75" hidden="1" customHeight="1" x14ac:dyDescent="0.2"/>
    <row r="52289" ht="12.75" hidden="1" customHeight="1" x14ac:dyDescent="0.2"/>
    <row r="52290" ht="12.75" hidden="1" customHeight="1" x14ac:dyDescent="0.2"/>
    <row r="52291" ht="12.75" hidden="1" customHeight="1" x14ac:dyDescent="0.2"/>
    <row r="52292" ht="12.75" hidden="1" customHeight="1" x14ac:dyDescent="0.2"/>
    <row r="52293" ht="12.75" hidden="1" customHeight="1" x14ac:dyDescent="0.2"/>
    <row r="52294" ht="12.75" hidden="1" customHeight="1" x14ac:dyDescent="0.2"/>
    <row r="52295" ht="12.75" hidden="1" customHeight="1" x14ac:dyDescent="0.2"/>
    <row r="52296" ht="12.75" hidden="1" customHeight="1" x14ac:dyDescent="0.2"/>
    <row r="52297" ht="12.75" hidden="1" customHeight="1" x14ac:dyDescent="0.2"/>
    <row r="52298" ht="12.75" hidden="1" customHeight="1" x14ac:dyDescent="0.2"/>
    <row r="52299" ht="12.75" hidden="1" customHeight="1" x14ac:dyDescent="0.2"/>
    <row r="52300" ht="12.75" hidden="1" customHeight="1" x14ac:dyDescent="0.2"/>
    <row r="52301" ht="12.75" hidden="1" customHeight="1" x14ac:dyDescent="0.2"/>
    <row r="52302" ht="12.75" hidden="1" customHeight="1" x14ac:dyDescent="0.2"/>
    <row r="52303" ht="12.75" hidden="1" customHeight="1" x14ac:dyDescent="0.2"/>
    <row r="52304" ht="12.75" hidden="1" customHeight="1" x14ac:dyDescent="0.2"/>
    <row r="52305" ht="12.75" hidden="1" customHeight="1" x14ac:dyDescent="0.2"/>
    <row r="52306" ht="12.75" hidden="1" customHeight="1" x14ac:dyDescent="0.2"/>
    <row r="52307" ht="12.75" hidden="1" customHeight="1" x14ac:dyDescent="0.2"/>
    <row r="52308" ht="12.75" hidden="1" customHeight="1" x14ac:dyDescent="0.2"/>
    <row r="52309" ht="12.75" hidden="1" customHeight="1" x14ac:dyDescent="0.2"/>
    <row r="52310" ht="12.75" hidden="1" customHeight="1" x14ac:dyDescent="0.2"/>
    <row r="52311" ht="12.75" hidden="1" customHeight="1" x14ac:dyDescent="0.2"/>
    <row r="52312" ht="12.75" hidden="1" customHeight="1" x14ac:dyDescent="0.2"/>
    <row r="52313" ht="12.75" hidden="1" customHeight="1" x14ac:dyDescent="0.2"/>
    <row r="52314" ht="12.75" hidden="1" customHeight="1" x14ac:dyDescent="0.2"/>
    <row r="52315" ht="12.75" hidden="1" customHeight="1" x14ac:dyDescent="0.2"/>
    <row r="52316" ht="12.75" hidden="1" customHeight="1" x14ac:dyDescent="0.2"/>
    <row r="52317" ht="12.75" hidden="1" customHeight="1" x14ac:dyDescent="0.2"/>
    <row r="52318" ht="12.75" hidden="1" customHeight="1" x14ac:dyDescent="0.2"/>
    <row r="52319" ht="12.75" hidden="1" customHeight="1" x14ac:dyDescent="0.2"/>
    <row r="52320" ht="12.75" hidden="1" customHeight="1" x14ac:dyDescent="0.2"/>
    <row r="52321" ht="12.75" hidden="1" customHeight="1" x14ac:dyDescent="0.2"/>
    <row r="52322" ht="12.75" hidden="1" customHeight="1" x14ac:dyDescent="0.2"/>
    <row r="52323" ht="12.75" hidden="1" customHeight="1" x14ac:dyDescent="0.2"/>
    <row r="52324" ht="12.75" hidden="1" customHeight="1" x14ac:dyDescent="0.2"/>
    <row r="52325" ht="12.75" hidden="1" customHeight="1" x14ac:dyDescent="0.2"/>
    <row r="52326" ht="12.75" hidden="1" customHeight="1" x14ac:dyDescent="0.2"/>
    <row r="52327" ht="12.75" hidden="1" customHeight="1" x14ac:dyDescent="0.2"/>
    <row r="52328" ht="12.75" hidden="1" customHeight="1" x14ac:dyDescent="0.2"/>
    <row r="52329" ht="12.75" hidden="1" customHeight="1" x14ac:dyDescent="0.2"/>
    <row r="52330" ht="12.75" hidden="1" customHeight="1" x14ac:dyDescent="0.2"/>
    <row r="52331" ht="12.75" hidden="1" customHeight="1" x14ac:dyDescent="0.2"/>
    <row r="52332" ht="12.75" hidden="1" customHeight="1" x14ac:dyDescent="0.2"/>
    <row r="52333" ht="12.75" hidden="1" customHeight="1" x14ac:dyDescent="0.2"/>
    <row r="52334" ht="12.75" hidden="1" customHeight="1" x14ac:dyDescent="0.2"/>
    <row r="52335" ht="12.75" hidden="1" customHeight="1" x14ac:dyDescent="0.2"/>
    <row r="52336" ht="12.75" hidden="1" customHeight="1" x14ac:dyDescent="0.2"/>
    <row r="52337" ht="12.75" hidden="1" customHeight="1" x14ac:dyDescent="0.2"/>
    <row r="52338" ht="12.75" hidden="1" customHeight="1" x14ac:dyDescent="0.2"/>
    <row r="52339" ht="12.75" hidden="1" customHeight="1" x14ac:dyDescent="0.2"/>
    <row r="52340" ht="12.75" hidden="1" customHeight="1" x14ac:dyDescent="0.2"/>
    <row r="52341" ht="12.75" hidden="1" customHeight="1" x14ac:dyDescent="0.2"/>
    <row r="52342" ht="12.75" hidden="1" customHeight="1" x14ac:dyDescent="0.2"/>
    <row r="52343" ht="12.75" hidden="1" customHeight="1" x14ac:dyDescent="0.2"/>
    <row r="52344" ht="12.75" hidden="1" customHeight="1" x14ac:dyDescent="0.2"/>
    <row r="52345" ht="12.75" hidden="1" customHeight="1" x14ac:dyDescent="0.2"/>
    <row r="52346" ht="12.75" hidden="1" customHeight="1" x14ac:dyDescent="0.2"/>
    <row r="52347" ht="12.75" hidden="1" customHeight="1" x14ac:dyDescent="0.2"/>
    <row r="52348" ht="12.75" hidden="1" customHeight="1" x14ac:dyDescent="0.2"/>
    <row r="52349" ht="12.75" hidden="1" customHeight="1" x14ac:dyDescent="0.2"/>
    <row r="52350" ht="12.75" hidden="1" customHeight="1" x14ac:dyDescent="0.2"/>
    <row r="52351" ht="12.75" hidden="1" customHeight="1" x14ac:dyDescent="0.2"/>
    <row r="52352" ht="12.75" hidden="1" customHeight="1" x14ac:dyDescent="0.2"/>
    <row r="52353" ht="12.75" hidden="1" customHeight="1" x14ac:dyDescent="0.2"/>
    <row r="52354" ht="12.75" hidden="1" customHeight="1" x14ac:dyDescent="0.2"/>
    <row r="52355" ht="12.75" hidden="1" customHeight="1" x14ac:dyDescent="0.2"/>
    <row r="52356" ht="12.75" hidden="1" customHeight="1" x14ac:dyDescent="0.2"/>
    <row r="52357" ht="12.75" hidden="1" customHeight="1" x14ac:dyDescent="0.2"/>
    <row r="52358" ht="12.75" hidden="1" customHeight="1" x14ac:dyDescent="0.2"/>
    <row r="52359" ht="12.75" hidden="1" customHeight="1" x14ac:dyDescent="0.2"/>
    <row r="52360" ht="12.75" hidden="1" customHeight="1" x14ac:dyDescent="0.2"/>
    <row r="52361" ht="12.75" hidden="1" customHeight="1" x14ac:dyDescent="0.2"/>
    <row r="52362" ht="12.75" hidden="1" customHeight="1" x14ac:dyDescent="0.2"/>
    <row r="52363" ht="12.75" hidden="1" customHeight="1" x14ac:dyDescent="0.2"/>
    <row r="52364" ht="12.75" hidden="1" customHeight="1" x14ac:dyDescent="0.2"/>
    <row r="52365" ht="12.75" hidden="1" customHeight="1" x14ac:dyDescent="0.2"/>
    <row r="52366" ht="12.75" hidden="1" customHeight="1" x14ac:dyDescent="0.2"/>
    <row r="52367" ht="12.75" hidden="1" customHeight="1" x14ac:dyDescent="0.2"/>
    <row r="52368" ht="12.75" hidden="1" customHeight="1" x14ac:dyDescent="0.2"/>
    <row r="52369" ht="12.75" hidden="1" customHeight="1" x14ac:dyDescent="0.2"/>
    <row r="52370" ht="12.75" hidden="1" customHeight="1" x14ac:dyDescent="0.2"/>
    <row r="52371" ht="12.75" hidden="1" customHeight="1" x14ac:dyDescent="0.2"/>
    <row r="52372" ht="12.75" hidden="1" customHeight="1" x14ac:dyDescent="0.2"/>
    <row r="52373" ht="12.75" hidden="1" customHeight="1" x14ac:dyDescent="0.2"/>
    <row r="52374" ht="12.75" hidden="1" customHeight="1" x14ac:dyDescent="0.2"/>
    <row r="52375" ht="12.75" hidden="1" customHeight="1" x14ac:dyDescent="0.2"/>
    <row r="52376" ht="12.75" hidden="1" customHeight="1" x14ac:dyDescent="0.2"/>
    <row r="52377" ht="12.75" hidden="1" customHeight="1" x14ac:dyDescent="0.2"/>
    <row r="52378" ht="12.75" hidden="1" customHeight="1" x14ac:dyDescent="0.2"/>
    <row r="52379" ht="12.75" hidden="1" customHeight="1" x14ac:dyDescent="0.2"/>
    <row r="52380" ht="12.75" hidden="1" customHeight="1" x14ac:dyDescent="0.2"/>
    <row r="52381" ht="12.75" hidden="1" customHeight="1" x14ac:dyDescent="0.2"/>
    <row r="52382" ht="12.75" hidden="1" customHeight="1" x14ac:dyDescent="0.2"/>
    <row r="52383" ht="12.75" hidden="1" customHeight="1" x14ac:dyDescent="0.2"/>
    <row r="52384" ht="12.75" hidden="1" customHeight="1" x14ac:dyDescent="0.2"/>
    <row r="52385" ht="12.75" hidden="1" customHeight="1" x14ac:dyDescent="0.2"/>
    <row r="52386" ht="12.75" hidden="1" customHeight="1" x14ac:dyDescent="0.2"/>
    <row r="52387" ht="12.75" hidden="1" customHeight="1" x14ac:dyDescent="0.2"/>
    <row r="52388" ht="12.75" hidden="1" customHeight="1" x14ac:dyDescent="0.2"/>
    <row r="52389" ht="12.75" hidden="1" customHeight="1" x14ac:dyDescent="0.2"/>
    <row r="52390" ht="12.75" hidden="1" customHeight="1" x14ac:dyDescent="0.2"/>
    <row r="52391" ht="12.75" hidden="1" customHeight="1" x14ac:dyDescent="0.2"/>
    <row r="52392" ht="12.75" hidden="1" customHeight="1" x14ac:dyDescent="0.2"/>
    <row r="52393" ht="12.75" hidden="1" customHeight="1" x14ac:dyDescent="0.2"/>
    <row r="52394" ht="12.75" hidden="1" customHeight="1" x14ac:dyDescent="0.2"/>
    <row r="52395" ht="12.75" hidden="1" customHeight="1" x14ac:dyDescent="0.2"/>
    <row r="52396" ht="12.75" hidden="1" customHeight="1" x14ac:dyDescent="0.2"/>
    <row r="52397" ht="12.75" hidden="1" customHeight="1" x14ac:dyDescent="0.2"/>
    <row r="52398" ht="12.75" hidden="1" customHeight="1" x14ac:dyDescent="0.2"/>
    <row r="52399" ht="12.75" hidden="1" customHeight="1" x14ac:dyDescent="0.2"/>
    <row r="52400" ht="12.75" hidden="1" customHeight="1" x14ac:dyDescent="0.2"/>
    <row r="52401" ht="12.75" hidden="1" customHeight="1" x14ac:dyDescent="0.2"/>
    <row r="52402" ht="12.75" hidden="1" customHeight="1" x14ac:dyDescent="0.2"/>
    <row r="52403" ht="12.75" hidden="1" customHeight="1" x14ac:dyDescent="0.2"/>
    <row r="52404" ht="12.75" hidden="1" customHeight="1" x14ac:dyDescent="0.2"/>
    <row r="52405" ht="12.75" hidden="1" customHeight="1" x14ac:dyDescent="0.2"/>
    <row r="52406" ht="12.75" hidden="1" customHeight="1" x14ac:dyDescent="0.2"/>
    <row r="52407" ht="12.75" hidden="1" customHeight="1" x14ac:dyDescent="0.2"/>
    <row r="52408" ht="12.75" hidden="1" customHeight="1" x14ac:dyDescent="0.2"/>
    <row r="52409" ht="12.75" hidden="1" customHeight="1" x14ac:dyDescent="0.2"/>
    <row r="52410" ht="12.75" hidden="1" customHeight="1" x14ac:dyDescent="0.2"/>
    <row r="52411" ht="12.75" hidden="1" customHeight="1" x14ac:dyDescent="0.2"/>
    <row r="52412" ht="12.75" hidden="1" customHeight="1" x14ac:dyDescent="0.2"/>
    <row r="52413" ht="12.75" hidden="1" customHeight="1" x14ac:dyDescent="0.2"/>
    <row r="52414" ht="12.75" hidden="1" customHeight="1" x14ac:dyDescent="0.2"/>
    <row r="52415" ht="12.75" hidden="1" customHeight="1" x14ac:dyDescent="0.2"/>
    <row r="52416" ht="12.75" hidden="1" customHeight="1" x14ac:dyDescent="0.2"/>
    <row r="52417" ht="12.75" hidden="1" customHeight="1" x14ac:dyDescent="0.2"/>
    <row r="52418" ht="12.75" hidden="1" customHeight="1" x14ac:dyDescent="0.2"/>
    <row r="52419" ht="12.75" hidden="1" customHeight="1" x14ac:dyDescent="0.2"/>
    <row r="52420" ht="12.75" hidden="1" customHeight="1" x14ac:dyDescent="0.2"/>
    <row r="52421" ht="12.75" hidden="1" customHeight="1" x14ac:dyDescent="0.2"/>
    <row r="52422" ht="12.75" hidden="1" customHeight="1" x14ac:dyDescent="0.2"/>
    <row r="52423" ht="12.75" hidden="1" customHeight="1" x14ac:dyDescent="0.2"/>
    <row r="52424" ht="12.75" hidden="1" customHeight="1" x14ac:dyDescent="0.2"/>
    <row r="52425" ht="12.75" hidden="1" customHeight="1" x14ac:dyDescent="0.2"/>
    <row r="52426" ht="12.75" hidden="1" customHeight="1" x14ac:dyDescent="0.2"/>
    <row r="52427" ht="12.75" hidden="1" customHeight="1" x14ac:dyDescent="0.2"/>
    <row r="52428" ht="12.75" hidden="1" customHeight="1" x14ac:dyDescent="0.2"/>
    <row r="52429" ht="12.75" hidden="1" customHeight="1" x14ac:dyDescent="0.2"/>
    <row r="52430" ht="12.75" hidden="1" customHeight="1" x14ac:dyDescent="0.2"/>
    <row r="52431" ht="12.75" hidden="1" customHeight="1" x14ac:dyDescent="0.2"/>
    <row r="52432" ht="12.75" hidden="1" customHeight="1" x14ac:dyDescent="0.2"/>
    <row r="52433" ht="12.75" hidden="1" customHeight="1" x14ac:dyDescent="0.2"/>
    <row r="52434" ht="12.75" hidden="1" customHeight="1" x14ac:dyDescent="0.2"/>
    <row r="52435" ht="12.75" hidden="1" customHeight="1" x14ac:dyDescent="0.2"/>
    <row r="52436" ht="12.75" hidden="1" customHeight="1" x14ac:dyDescent="0.2"/>
    <row r="52437" ht="12.75" hidden="1" customHeight="1" x14ac:dyDescent="0.2"/>
    <row r="52438" ht="12.75" hidden="1" customHeight="1" x14ac:dyDescent="0.2"/>
    <row r="52439" ht="12.75" hidden="1" customHeight="1" x14ac:dyDescent="0.2"/>
    <row r="52440" ht="12.75" hidden="1" customHeight="1" x14ac:dyDescent="0.2"/>
    <row r="52441" ht="12.75" hidden="1" customHeight="1" x14ac:dyDescent="0.2"/>
    <row r="52442" ht="12.75" hidden="1" customHeight="1" x14ac:dyDescent="0.2"/>
    <row r="52443" ht="12.75" hidden="1" customHeight="1" x14ac:dyDescent="0.2"/>
    <row r="52444" ht="12.75" hidden="1" customHeight="1" x14ac:dyDescent="0.2"/>
    <row r="52445" ht="12.75" hidden="1" customHeight="1" x14ac:dyDescent="0.2"/>
    <row r="52446" ht="12.75" hidden="1" customHeight="1" x14ac:dyDescent="0.2"/>
    <row r="52447" ht="12.75" hidden="1" customHeight="1" x14ac:dyDescent="0.2"/>
    <row r="52448" ht="12.75" hidden="1" customHeight="1" x14ac:dyDescent="0.2"/>
    <row r="52449" ht="12.75" hidden="1" customHeight="1" x14ac:dyDescent="0.2"/>
    <row r="52450" ht="12.75" hidden="1" customHeight="1" x14ac:dyDescent="0.2"/>
    <row r="52451" ht="12.75" hidden="1" customHeight="1" x14ac:dyDescent="0.2"/>
    <row r="52452" ht="12.75" hidden="1" customHeight="1" x14ac:dyDescent="0.2"/>
    <row r="52453" ht="12.75" hidden="1" customHeight="1" x14ac:dyDescent="0.2"/>
    <row r="52454" ht="12.75" hidden="1" customHeight="1" x14ac:dyDescent="0.2"/>
    <row r="52455" ht="12.75" hidden="1" customHeight="1" x14ac:dyDescent="0.2"/>
    <row r="52456" ht="12.75" hidden="1" customHeight="1" x14ac:dyDescent="0.2"/>
    <row r="52457" ht="12.75" hidden="1" customHeight="1" x14ac:dyDescent="0.2"/>
    <row r="52458" ht="12.75" hidden="1" customHeight="1" x14ac:dyDescent="0.2"/>
    <row r="52459" ht="12.75" hidden="1" customHeight="1" x14ac:dyDescent="0.2"/>
    <row r="52460" ht="12.75" hidden="1" customHeight="1" x14ac:dyDescent="0.2"/>
    <row r="52461" ht="12.75" hidden="1" customHeight="1" x14ac:dyDescent="0.2"/>
    <row r="52462" ht="12.75" hidden="1" customHeight="1" x14ac:dyDescent="0.2"/>
    <row r="52463" ht="12.75" hidden="1" customHeight="1" x14ac:dyDescent="0.2"/>
    <row r="52464" ht="12.75" hidden="1" customHeight="1" x14ac:dyDescent="0.2"/>
    <row r="52465" ht="12.75" hidden="1" customHeight="1" x14ac:dyDescent="0.2"/>
    <row r="52466" ht="12.75" hidden="1" customHeight="1" x14ac:dyDescent="0.2"/>
    <row r="52467" ht="12.75" hidden="1" customHeight="1" x14ac:dyDescent="0.2"/>
    <row r="52468" ht="12.75" hidden="1" customHeight="1" x14ac:dyDescent="0.2"/>
    <row r="52469" ht="12.75" hidden="1" customHeight="1" x14ac:dyDescent="0.2"/>
    <row r="52470" ht="12.75" hidden="1" customHeight="1" x14ac:dyDescent="0.2"/>
    <row r="52471" ht="12.75" hidden="1" customHeight="1" x14ac:dyDescent="0.2"/>
    <row r="52472" ht="12.75" hidden="1" customHeight="1" x14ac:dyDescent="0.2"/>
    <row r="52473" ht="12.75" hidden="1" customHeight="1" x14ac:dyDescent="0.2"/>
    <row r="52474" ht="12.75" hidden="1" customHeight="1" x14ac:dyDescent="0.2"/>
    <row r="52475" ht="12.75" hidden="1" customHeight="1" x14ac:dyDescent="0.2"/>
    <row r="52476" ht="12.75" hidden="1" customHeight="1" x14ac:dyDescent="0.2"/>
    <row r="52477" ht="12.75" hidden="1" customHeight="1" x14ac:dyDescent="0.2"/>
    <row r="52478" ht="12.75" hidden="1" customHeight="1" x14ac:dyDescent="0.2"/>
    <row r="52479" ht="12.75" hidden="1" customHeight="1" x14ac:dyDescent="0.2"/>
    <row r="52480" ht="12.75" hidden="1" customHeight="1" x14ac:dyDescent="0.2"/>
    <row r="52481" ht="12.75" hidden="1" customHeight="1" x14ac:dyDescent="0.2"/>
    <row r="52482" ht="12.75" hidden="1" customHeight="1" x14ac:dyDescent="0.2"/>
    <row r="52483" ht="12.75" hidden="1" customHeight="1" x14ac:dyDescent="0.2"/>
    <row r="52484" ht="12.75" hidden="1" customHeight="1" x14ac:dyDescent="0.2"/>
    <row r="52485" ht="12.75" hidden="1" customHeight="1" x14ac:dyDescent="0.2"/>
    <row r="52486" ht="12.75" hidden="1" customHeight="1" x14ac:dyDescent="0.2"/>
    <row r="52487" ht="12.75" hidden="1" customHeight="1" x14ac:dyDescent="0.2"/>
    <row r="52488" ht="12.75" hidden="1" customHeight="1" x14ac:dyDescent="0.2"/>
    <row r="52489" ht="12.75" hidden="1" customHeight="1" x14ac:dyDescent="0.2"/>
    <row r="52490" ht="12.75" hidden="1" customHeight="1" x14ac:dyDescent="0.2"/>
    <row r="52491" ht="12.75" hidden="1" customHeight="1" x14ac:dyDescent="0.2"/>
    <row r="52492" ht="12.75" hidden="1" customHeight="1" x14ac:dyDescent="0.2"/>
    <row r="52493" ht="12.75" hidden="1" customHeight="1" x14ac:dyDescent="0.2"/>
    <row r="52494" ht="12.75" hidden="1" customHeight="1" x14ac:dyDescent="0.2"/>
    <row r="52495" ht="12.75" hidden="1" customHeight="1" x14ac:dyDescent="0.2"/>
    <row r="52496" ht="12.75" hidden="1" customHeight="1" x14ac:dyDescent="0.2"/>
    <row r="52497" ht="12.75" hidden="1" customHeight="1" x14ac:dyDescent="0.2"/>
    <row r="52498" ht="12.75" hidden="1" customHeight="1" x14ac:dyDescent="0.2"/>
    <row r="52499" ht="12.75" hidden="1" customHeight="1" x14ac:dyDescent="0.2"/>
    <row r="52500" ht="12.75" hidden="1" customHeight="1" x14ac:dyDescent="0.2"/>
    <row r="52501" ht="12.75" hidden="1" customHeight="1" x14ac:dyDescent="0.2"/>
    <row r="52502" ht="12.75" hidden="1" customHeight="1" x14ac:dyDescent="0.2"/>
    <row r="52503" ht="12.75" hidden="1" customHeight="1" x14ac:dyDescent="0.2"/>
    <row r="52504" ht="12.75" hidden="1" customHeight="1" x14ac:dyDescent="0.2"/>
    <row r="52505" ht="12.75" hidden="1" customHeight="1" x14ac:dyDescent="0.2"/>
    <row r="52506" ht="12.75" hidden="1" customHeight="1" x14ac:dyDescent="0.2"/>
    <row r="52507" ht="12.75" hidden="1" customHeight="1" x14ac:dyDescent="0.2"/>
    <row r="52508" ht="12.75" hidden="1" customHeight="1" x14ac:dyDescent="0.2"/>
    <row r="52509" ht="12.75" hidden="1" customHeight="1" x14ac:dyDescent="0.2"/>
    <row r="52510" ht="12.75" hidden="1" customHeight="1" x14ac:dyDescent="0.2"/>
    <row r="52511" ht="12.75" hidden="1" customHeight="1" x14ac:dyDescent="0.2"/>
    <row r="52512" ht="12.75" hidden="1" customHeight="1" x14ac:dyDescent="0.2"/>
    <row r="52513" ht="12.75" hidden="1" customHeight="1" x14ac:dyDescent="0.2"/>
    <row r="52514" ht="12.75" hidden="1" customHeight="1" x14ac:dyDescent="0.2"/>
    <row r="52515" ht="12.75" hidden="1" customHeight="1" x14ac:dyDescent="0.2"/>
    <row r="52516" ht="12.75" hidden="1" customHeight="1" x14ac:dyDescent="0.2"/>
    <row r="52517" ht="12.75" hidden="1" customHeight="1" x14ac:dyDescent="0.2"/>
    <row r="52518" ht="12.75" hidden="1" customHeight="1" x14ac:dyDescent="0.2"/>
    <row r="52519" ht="12.75" hidden="1" customHeight="1" x14ac:dyDescent="0.2"/>
    <row r="52520" ht="12.75" hidden="1" customHeight="1" x14ac:dyDescent="0.2"/>
    <row r="52521" ht="12.75" hidden="1" customHeight="1" x14ac:dyDescent="0.2"/>
    <row r="52522" ht="12.75" hidden="1" customHeight="1" x14ac:dyDescent="0.2"/>
    <row r="52523" ht="12.75" hidden="1" customHeight="1" x14ac:dyDescent="0.2"/>
    <row r="52524" ht="12.75" hidden="1" customHeight="1" x14ac:dyDescent="0.2"/>
    <row r="52525" ht="12.75" hidden="1" customHeight="1" x14ac:dyDescent="0.2"/>
    <row r="52526" ht="12.75" hidden="1" customHeight="1" x14ac:dyDescent="0.2"/>
    <row r="52527" ht="12.75" hidden="1" customHeight="1" x14ac:dyDescent="0.2"/>
    <row r="52528" ht="12.75" hidden="1" customHeight="1" x14ac:dyDescent="0.2"/>
    <row r="52529" ht="12.75" hidden="1" customHeight="1" x14ac:dyDescent="0.2"/>
    <row r="52530" ht="12.75" hidden="1" customHeight="1" x14ac:dyDescent="0.2"/>
    <row r="52531" ht="12.75" hidden="1" customHeight="1" x14ac:dyDescent="0.2"/>
    <row r="52532" ht="12.75" hidden="1" customHeight="1" x14ac:dyDescent="0.2"/>
    <row r="52533" ht="12.75" hidden="1" customHeight="1" x14ac:dyDescent="0.2"/>
    <row r="52534" ht="12.75" hidden="1" customHeight="1" x14ac:dyDescent="0.2"/>
    <row r="52535" ht="12.75" hidden="1" customHeight="1" x14ac:dyDescent="0.2"/>
    <row r="52536" ht="12.75" hidden="1" customHeight="1" x14ac:dyDescent="0.2"/>
    <row r="52537" ht="12.75" hidden="1" customHeight="1" x14ac:dyDescent="0.2"/>
    <row r="52538" ht="12.75" hidden="1" customHeight="1" x14ac:dyDescent="0.2"/>
    <row r="52539" ht="12.75" hidden="1" customHeight="1" x14ac:dyDescent="0.2"/>
    <row r="52540" ht="12.75" hidden="1" customHeight="1" x14ac:dyDescent="0.2"/>
    <row r="52541" ht="12.75" hidden="1" customHeight="1" x14ac:dyDescent="0.2"/>
    <row r="52542" ht="12.75" hidden="1" customHeight="1" x14ac:dyDescent="0.2"/>
    <row r="52543" ht="12.75" hidden="1" customHeight="1" x14ac:dyDescent="0.2"/>
    <row r="52544" ht="12.75" hidden="1" customHeight="1" x14ac:dyDescent="0.2"/>
    <row r="52545" ht="12.75" hidden="1" customHeight="1" x14ac:dyDescent="0.2"/>
    <row r="52546" ht="12.75" hidden="1" customHeight="1" x14ac:dyDescent="0.2"/>
    <row r="52547" ht="12.75" hidden="1" customHeight="1" x14ac:dyDescent="0.2"/>
    <row r="52548" ht="12.75" hidden="1" customHeight="1" x14ac:dyDescent="0.2"/>
    <row r="52549" ht="12.75" hidden="1" customHeight="1" x14ac:dyDescent="0.2"/>
    <row r="52550" ht="12.75" hidden="1" customHeight="1" x14ac:dyDescent="0.2"/>
    <row r="52551" ht="12.75" hidden="1" customHeight="1" x14ac:dyDescent="0.2"/>
    <row r="52552" ht="12.75" hidden="1" customHeight="1" x14ac:dyDescent="0.2"/>
    <row r="52553" ht="12.75" hidden="1" customHeight="1" x14ac:dyDescent="0.2"/>
    <row r="52554" ht="12.75" hidden="1" customHeight="1" x14ac:dyDescent="0.2"/>
    <row r="52555" ht="12.75" hidden="1" customHeight="1" x14ac:dyDescent="0.2"/>
    <row r="52556" ht="12.75" hidden="1" customHeight="1" x14ac:dyDescent="0.2"/>
    <row r="52557" ht="12.75" hidden="1" customHeight="1" x14ac:dyDescent="0.2"/>
    <row r="52558" ht="12.75" hidden="1" customHeight="1" x14ac:dyDescent="0.2"/>
    <row r="52559" ht="12.75" hidden="1" customHeight="1" x14ac:dyDescent="0.2"/>
    <row r="52560" ht="12.75" hidden="1" customHeight="1" x14ac:dyDescent="0.2"/>
    <row r="52561" ht="12.75" hidden="1" customHeight="1" x14ac:dyDescent="0.2"/>
    <row r="52562" ht="12.75" hidden="1" customHeight="1" x14ac:dyDescent="0.2"/>
    <row r="52563" ht="12.75" hidden="1" customHeight="1" x14ac:dyDescent="0.2"/>
    <row r="52564" ht="12.75" hidden="1" customHeight="1" x14ac:dyDescent="0.2"/>
    <row r="52565" ht="12.75" hidden="1" customHeight="1" x14ac:dyDescent="0.2"/>
    <row r="52566" ht="12.75" hidden="1" customHeight="1" x14ac:dyDescent="0.2"/>
    <row r="52567" ht="12.75" hidden="1" customHeight="1" x14ac:dyDescent="0.2"/>
    <row r="52568" ht="12.75" hidden="1" customHeight="1" x14ac:dyDescent="0.2"/>
    <row r="52569" ht="12.75" hidden="1" customHeight="1" x14ac:dyDescent="0.2"/>
    <row r="52570" ht="12.75" hidden="1" customHeight="1" x14ac:dyDescent="0.2"/>
    <row r="52571" ht="12.75" hidden="1" customHeight="1" x14ac:dyDescent="0.2"/>
    <row r="52572" ht="12.75" hidden="1" customHeight="1" x14ac:dyDescent="0.2"/>
    <row r="52573" ht="12.75" hidden="1" customHeight="1" x14ac:dyDescent="0.2"/>
    <row r="52574" ht="12.75" hidden="1" customHeight="1" x14ac:dyDescent="0.2"/>
    <row r="52575" ht="12.75" hidden="1" customHeight="1" x14ac:dyDescent="0.2"/>
    <row r="52576" ht="12.75" hidden="1" customHeight="1" x14ac:dyDescent="0.2"/>
    <row r="52577" ht="12.75" hidden="1" customHeight="1" x14ac:dyDescent="0.2"/>
    <row r="52578" ht="12.75" hidden="1" customHeight="1" x14ac:dyDescent="0.2"/>
    <row r="52579" ht="12.75" hidden="1" customHeight="1" x14ac:dyDescent="0.2"/>
    <row r="52580" ht="12.75" hidden="1" customHeight="1" x14ac:dyDescent="0.2"/>
    <row r="52581" ht="12.75" hidden="1" customHeight="1" x14ac:dyDescent="0.2"/>
    <row r="52582" ht="12.75" hidden="1" customHeight="1" x14ac:dyDescent="0.2"/>
    <row r="52583" ht="12.75" hidden="1" customHeight="1" x14ac:dyDescent="0.2"/>
    <row r="52584" ht="12.75" hidden="1" customHeight="1" x14ac:dyDescent="0.2"/>
    <row r="52585" ht="12.75" hidden="1" customHeight="1" x14ac:dyDescent="0.2"/>
    <row r="52586" ht="12.75" hidden="1" customHeight="1" x14ac:dyDescent="0.2"/>
    <row r="52587" ht="12.75" hidden="1" customHeight="1" x14ac:dyDescent="0.2"/>
    <row r="52588" ht="12.75" hidden="1" customHeight="1" x14ac:dyDescent="0.2"/>
    <row r="52589" ht="12.75" hidden="1" customHeight="1" x14ac:dyDescent="0.2"/>
    <row r="52590" ht="12.75" hidden="1" customHeight="1" x14ac:dyDescent="0.2"/>
    <row r="52591" ht="12.75" hidden="1" customHeight="1" x14ac:dyDescent="0.2"/>
    <row r="52592" ht="12.75" hidden="1" customHeight="1" x14ac:dyDescent="0.2"/>
    <row r="52593" ht="12.75" hidden="1" customHeight="1" x14ac:dyDescent="0.2"/>
    <row r="52594" ht="12.75" hidden="1" customHeight="1" x14ac:dyDescent="0.2"/>
    <row r="52595" ht="12.75" hidden="1" customHeight="1" x14ac:dyDescent="0.2"/>
    <row r="52596" ht="12.75" hidden="1" customHeight="1" x14ac:dyDescent="0.2"/>
    <row r="52597" ht="12.75" hidden="1" customHeight="1" x14ac:dyDescent="0.2"/>
    <row r="52598" ht="12.75" hidden="1" customHeight="1" x14ac:dyDescent="0.2"/>
    <row r="52599" ht="12.75" hidden="1" customHeight="1" x14ac:dyDescent="0.2"/>
    <row r="52600" ht="12.75" hidden="1" customHeight="1" x14ac:dyDescent="0.2"/>
    <row r="52601" ht="12.75" hidden="1" customHeight="1" x14ac:dyDescent="0.2"/>
    <row r="52602" ht="12.75" hidden="1" customHeight="1" x14ac:dyDescent="0.2"/>
    <row r="52603" ht="12.75" hidden="1" customHeight="1" x14ac:dyDescent="0.2"/>
    <row r="52604" ht="12.75" hidden="1" customHeight="1" x14ac:dyDescent="0.2"/>
    <row r="52605" ht="12.75" hidden="1" customHeight="1" x14ac:dyDescent="0.2"/>
    <row r="52606" ht="12.75" hidden="1" customHeight="1" x14ac:dyDescent="0.2"/>
    <row r="52607" ht="12.75" hidden="1" customHeight="1" x14ac:dyDescent="0.2"/>
    <row r="52608" ht="12.75" hidden="1" customHeight="1" x14ac:dyDescent="0.2"/>
    <row r="52609" ht="12.75" hidden="1" customHeight="1" x14ac:dyDescent="0.2"/>
    <row r="52610" ht="12.75" hidden="1" customHeight="1" x14ac:dyDescent="0.2"/>
    <row r="52611" ht="12.75" hidden="1" customHeight="1" x14ac:dyDescent="0.2"/>
    <row r="52612" ht="12.75" hidden="1" customHeight="1" x14ac:dyDescent="0.2"/>
    <row r="52613" ht="12.75" hidden="1" customHeight="1" x14ac:dyDescent="0.2"/>
    <row r="52614" ht="12.75" hidden="1" customHeight="1" x14ac:dyDescent="0.2"/>
    <row r="52615" ht="12.75" hidden="1" customHeight="1" x14ac:dyDescent="0.2"/>
    <row r="52616" ht="12.75" hidden="1" customHeight="1" x14ac:dyDescent="0.2"/>
    <row r="52617" ht="12.75" hidden="1" customHeight="1" x14ac:dyDescent="0.2"/>
    <row r="52618" ht="12.75" hidden="1" customHeight="1" x14ac:dyDescent="0.2"/>
    <row r="52619" ht="12.75" hidden="1" customHeight="1" x14ac:dyDescent="0.2"/>
    <row r="52620" ht="12.75" hidden="1" customHeight="1" x14ac:dyDescent="0.2"/>
    <row r="52621" ht="12.75" hidden="1" customHeight="1" x14ac:dyDescent="0.2"/>
    <row r="52622" ht="12.75" hidden="1" customHeight="1" x14ac:dyDescent="0.2"/>
    <row r="52623" ht="12.75" hidden="1" customHeight="1" x14ac:dyDescent="0.2"/>
    <row r="52624" ht="12.75" hidden="1" customHeight="1" x14ac:dyDescent="0.2"/>
    <row r="52625" ht="12.75" hidden="1" customHeight="1" x14ac:dyDescent="0.2"/>
    <row r="52626" ht="12.75" hidden="1" customHeight="1" x14ac:dyDescent="0.2"/>
    <row r="52627" ht="12.75" hidden="1" customHeight="1" x14ac:dyDescent="0.2"/>
    <row r="52628" ht="12.75" hidden="1" customHeight="1" x14ac:dyDescent="0.2"/>
    <row r="52629" ht="12.75" hidden="1" customHeight="1" x14ac:dyDescent="0.2"/>
    <row r="52630" ht="12.75" hidden="1" customHeight="1" x14ac:dyDescent="0.2"/>
    <row r="52631" ht="12.75" hidden="1" customHeight="1" x14ac:dyDescent="0.2"/>
    <row r="52632" ht="12.75" hidden="1" customHeight="1" x14ac:dyDescent="0.2"/>
    <row r="52633" ht="12.75" hidden="1" customHeight="1" x14ac:dyDescent="0.2"/>
    <row r="52634" ht="12.75" hidden="1" customHeight="1" x14ac:dyDescent="0.2"/>
    <row r="52635" ht="12.75" hidden="1" customHeight="1" x14ac:dyDescent="0.2"/>
    <row r="52636" ht="12.75" hidden="1" customHeight="1" x14ac:dyDescent="0.2"/>
    <row r="52637" ht="12.75" hidden="1" customHeight="1" x14ac:dyDescent="0.2"/>
    <row r="52638" ht="12.75" hidden="1" customHeight="1" x14ac:dyDescent="0.2"/>
    <row r="52639" ht="12.75" hidden="1" customHeight="1" x14ac:dyDescent="0.2"/>
    <row r="52640" ht="12.75" hidden="1" customHeight="1" x14ac:dyDescent="0.2"/>
    <row r="52641" ht="12.75" hidden="1" customHeight="1" x14ac:dyDescent="0.2"/>
    <row r="52642" ht="12.75" hidden="1" customHeight="1" x14ac:dyDescent="0.2"/>
    <row r="52643" ht="12.75" hidden="1" customHeight="1" x14ac:dyDescent="0.2"/>
    <row r="52644" ht="12.75" hidden="1" customHeight="1" x14ac:dyDescent="0.2"/>
    <row r="52645" ht="12.75" hidden="1" customHeight="1" x14ac:dyDescent="0.2"/>
    <row r="52646" ht="12.75" hidden="1" customHeight="1" x14ac:dyDescent="0.2"/>
    <row r="52647" ht="12.75" hidden="1" customHeight="1" x14ac:dyDescent="0.2"/>
    <row r="52648" ht="12.75" hidden="1" customHeight="1" x14ac:dyDescent="0.2"/>
    <row r="52649" ht="12.75" hidden="1" customHeight="1" x14ac:dyDescent="0.2"/>
    <row r="52650" ht="12.75" hidden="1" customHeight="1" x14ac:dyDescent="0.2"/>
    <row r="52651" ht="12.75" hidden="1" customHeight="1" x14ac:dyDescent="0.2"/>
    <row r="52652" ht="12.75" hidden="1" customHeight="1" x14ac:dyDescent="0.2"/>
    <row r="52653" ht="12.75" hidden="1" customHeight="1" x14ac:dyDescent="0.2"/>
    <row r="52654" ht="12.75" hidden="1" customHeight="1" x14ac:dyDescent="0.2"/>
    <row r="52655" ht="12.75" hidden="1" customHeight="1" x14ac:dyDescent="0.2"/>
    <row r="52656" ht="12.75" hidden="1" customHeight="1" x14ac:dyDescent="0.2"/>
    <row r="52657" ht="12.75" hidden="1" customHeight="1" x14ac:dyDescent="0.2"/>
    <row r="52658" ht="12.75" hidden="1" customHeight="1" x14ac:dyDescent="0.2"/>
    <row r="52659" ht="12.75" hidden="1" customHeight="1" x14ac:dyDescent="0.2"/>
    <row r="52660" ht="12.75" hidden="1" customHeight="1" x14ac:dyDescent="0.2"/>
    <row r="52661" ht="12.75" hidden="1" customHeight="1" x14ac:dyDescent="0.2"/>
    <row r="52662" ht="12.75" hidden="1" customHeight="1" x14ac:dyDescent="0.2"/>
    <row r="52663" ht="12.75" hidden="1" customHeight="1" x14ac:dyDescent="0.2"/>
    <row r="52664" ht="12.75" hidden="1" customHeight="1" x14ac:dyDescent="0.2"/>
    <row r="52665" ht="12.75" hidden="1" customHeight="1" x14ac:dyDescent="0.2"/>
    <row r="52666" ht="12.75" hidden="1" customHeight="1" x14ac:dyDescent="0.2"/>
    <row r="52667" ht="12.75" hidden="1" customHeight="1" x14ac:dyDescent="0.2"/>
    <row r="52668" ht="12.75" hidden="1" customHeight="1" x14ac:dyDescent="0.2"/>
    <row r="52669" ht="12.75" hidden="1" customHeight="1" x14ac:dyDescent="0.2"/>
    <row r="52670" ht="12.75" hidden="1" customHeight="1" x14ac:dyDescent="0.2"/>
    <row r="52671" ht="12.75" hidden="1" customHeight="1" x14ac:dyDescent="0.2"/>
    <row r="52672" ht="12.75" hidden="1" customHeight="1" x14ac:dyDescent="0.2"/>
    <row r="52673" ht="12.75" hidden="1" customHeight="1" x14ac:dyDescent="0.2"/>
    <row r="52674" ht="12.75" hidden="1" customHeight="1" x14ac:dyDescent="0.2"/>
    <row r="52675" ht="12.75" hidden="1" customHeight="1" x14ac:dyDescent="0.2"/>
    <row r="52676" ht="12.75" hidden="1" customHeight="1" x14ac:dyDescent="0.2"/>
    <row r="52677" ht="12.75" hidden="1" customHeight="1" x14ac:dyDescent="0.2"/>
    <row r="52678" ht="12.75" hidden="1" customHeight="1" x14ac:dyDescent="0.2"/>
    <row r="52679" ht="12.75" hidden="1" customHeight="1" x14ac:dyDescent="0.2"/>
    <row r="52680" ht="12.75" hidden="1" customHeight="1" x14ac:dyDescent="0.2"/>
    <row r="52681" ht="12.75" hidden="1" customHeight="1" x14ac:dyDescent="0.2"/>
    <row r="52682" ht="12.75" hidden="1" customHeight="1" x14ac:dyDescent="0.2"/>
    <row r="52683" ht="12.75" hidden="1" customHeight="1" x14ac:dyDescent="0.2"/>
    <row r="52684" ht="12.75" hidden="1" customHeight="1" x14ac:dyDescent="0.2"/>
    <row r="52685" ht="12.75" hidden="1" customHeight="1" x14ac:dyDescent="0.2"/>
    <row r="52686" ht="12.75" hidden="1" customHeight="1" x14ac:dyDescent="0.2"/>
    <row r="52687" ht="12.75" hidden="1" customHeight="1" x14ac:dyDescent="0.2"/>
    <row r="52688" ht="12.75" hidden="1" customHeight="1" x14ac:dyDescent="0.2"/>
    <row r="52689" ht="12.75" hidden="1" customHeight="1" x14ac:dyDescent="0.2"/>
    <row r="52690" ht="12.75" hidden="1" customHeight="1" x14ac:dyDescent="0.2"/>
    <row r="52691" ht="12.75" hidden="1" customHeight="1" x14ac:dyDescent="0.2"/>
    <row r="52692" ht="12.75" hidden="1" customHeight="1" x14ac:dyDescent="0.2"/>
    <row r="52693" ht="12.75" hidden="1" customHeight="1" x14ac:dyDescent="0.2"/>
    <row r="52694" ht="12.75" hidden="1" customHeight="1" x14ac:dyDescent="0.2"/>
    <row r="52695" ht="12.75" hidden="1" customHeight="1" x14ac:dyDescent="0.2"/>
    <row r="52696" ht="12.75" hidden="1" customHeight="1" x14ac:dyDescent="0.2"/>
    <row r="52697" ht="12.75" hidden="1" customHeight="1" x14ac:dyDescent="0.2"/>
    <row r="52698" ht="12.75" hidden="1" customHeight="1" x14ac:dyDescent="0.2"/>
    <row r="52699" ht="12.75" hidden="1" customHeight="1" x14ac:dyDescent="0.2"/>
    <row r="52700" ht="12.75" hidden="1" customHeight="1" x14ac:dyDescent="0.2"/>
    <row r="52701" ht="12.75" hidden="1" customHeight="1" x14ac:dyDescent="0.2"/>
    <row r="52702" ht="12.75" hidden="1" customHeight="1" x14ac:dyDescent="0.2"/>
    <row r="52703" ht="12.75" hidden="1" customHeight="1" x14ac:dyDescent="0.2"/>
    <row r="52704" ht="12.75" hidden="1" customHeight="1" x14ac:dyDescent="0.2"/>
    <row r="52705" ht="12.75" hidden="1" customHeight="1" x14ac:dyDescent="0.2"/>
    <row r="52706" ht="12.75" hidden="1" customHeight="1" x14ac:dyDescent="0.2"/>
    <row r="52707" ht="12.75" hidden="1" customHeight="1" x14ac:dyDescent="0.2"/>
    <row r="52708" ht="12.75" hidden="1" customHeight="1" x14ac:dyDescent="0.2"/>
    <row r="52709" ht="12.75" hidden="1" customHeight="1" x14ac:dyDescent="0.2"/>
    <row r="52710" ht="12.75" hidden="1" customHeight="1" x14ac:dyDescent="0.2"/>
    <row r="52711" ht="12.75" hidden="1" customHeight="1" x14ac:dyDescent="0.2"/>
    <row r="52712" ht="12.75" hidden="1" customHeight="1" x14ac:dyDescent="0.2"/>
    <row r="52713" ht="12.75" hidden="1" customHeight="1" x14ac:dyDescent="0.2"/>
    <row r="52714" ht="12.75" hidden="1" customHeight="1" x14ac:dyDescent="0.2"/>
    <row r="52715" ht="12.75" hidden="1" customHeight="1" x14ac:dyDescent="0.2"/>
    <row r="52716" ht="12.75" hidden="1" customHeight="1" x14ac:dyDescent="0.2"/>
    <row r="52717" ht="12.75" hidden="1" customHeight="1" x14ac:dyDescent="0.2"/>
    <row r="52718" ht="12.75" hidden="1" customHeight="1" x14ac:dyDescent="0.2"/>
    <row r="52719" ht="12.75" hidden="1" customHeight="1" x14ac:dyDescent="0.2"/>
    <row r="52720" ht="12.75" hidden="1" customHeight="1" x14ac:dyDescent="0.2"/>
    <row r="52721" ht="12.75" hidden="1" customHeight="1" x14ac:dyDescent="0.2"/>
    <row r="52722" ht="12.75" hidden="1" customHeight="1" x14ac:dyDescent="0.2"/>
    <row r="52723" ht="12.75" hidden="1" customHeight="1" x14ac:dyDescent="0.2"/>
    <row r="52724" ht="12.75" hidden="1" customHeight="1" x14ac:dyDescent="0.2"/>
    <row r="52725" ht="12.75" hidden="1" customHeight="1" x14ac:dyDescent="0.2"/>
    <row r="52726" ht="12.75" hidden="1" customHeight="1" x14ac:dyDescent="0.2"/>
    <row r="52727" ht="12.75" hidden="1" customHeight="1" x14ac:dyDescent="0.2"/>
    <row r="52728" ht="12.75" hidden="1" customHeight="1" x14ac:dyDescent="0.2"/>
    <row r="52729" ht="12.75" hidden="1" customHeight="1" x14ac:dyDescent="0.2"/>
    <row r="52730" ht="12.75" hidden="1" customHeight="1" x14ac:dyDescent="0.2"/>
    <row r="52731" ht="12.75" hidden="1" customHeight="1" x14ac:dyDescent="0.2"/>
    <row r="52732" ht="12.75" hidden="1" customHeight="1" x14ac:dyDescent="0.2"/>
    <row r="52733" ht="12.75" hidden="1" customHeight="1" x14ac:dyDescent="0.2"/>
    <row r="52734" ht="12.75" hidden="1" customHeight="1" x14ac:dyDescent="0.2"/>
    <row r="52735" ht="12.75" hidden="1" customHeight="1" x14ac:dyDescent="0.2"/>
    <row r="52736" ht="12.75" hidden="1" customHeight="1" x14ac:dyDescent="0.2"/>
    <row r="52737" ht="12.75" hidden="1" customHeight="1" x14ac:dyDescent="0.2"/>
    <row r="52738" ht="12.75" hidden="1" customHeight="1" x14ac:dyDescent="0.2"/>
    <row r="52739" ht="12.75" hidden="1" customHeight="1" x14ac:dyDescent="0.2"/>
    <row r="52740" ht="12.75" hidden="1" customHeight="1" x14ac:dyDescent="0.2"/>
    <row r="52741" ht="12.75" hidden="1" customHeight="1" x14ac:dyDescent="0.2"/>
    <row r="52742" ht="12.75" hidden="1" customHeight="1" x14ac:dyDescent="0.2"/>
    <row r="52743" ht="12.75" hidden="1" customHeight="1" x14ac:dyDescent="0.2"/>
    <row r="52744" ht="12.75" hidden="1" customHeight="1" x14ac:dyDescent="0.2"/>
    <row r="52745" ht="12.75" hidden="1" customHeight="1" x14ac:dyDescent="0.2"/>
    <row r="52746" ht="12.75" hidden="1" customHeight="1" x14ac:dyDescent="0.2"/>
    <row r="52747" ht="12.75" hidden="1" customHeight="1" x14ac:dyDescent="0.2"/>
    <row r="52748" ht="12.75" hidden="1" customHeight="1" x14ac:dyDescent="0.2"/>
    <row r="52749" ht="12.75" hidden="1" customHeight="1" x14ac:dyDescent="0.2"/>
    <row r="52750" ht="12.75" hidden="1" customHeight="1" x14ac:dyDescent="0.2"/>
    <row r="52751" ht="12.75" hidden="1" customHeight="1" x14ac:dyDescent="0.2"/>
    <row r="52752" ht="12.75" hidden="1" customHeight="1" x14ac:dyDescent="0.2"/>
    <row r="52753" ht="12.75" hidden="1" customHeight="1" x14ac:dyDescent="0.2"/>
    <row r="52754" ht="12.75" hidden="1" customHeight="1" x14ac:dyDescent="0.2"/>
    <row r="52755" ht="12.75" hidden="1" customHeight="1" x14ac:dyDescent="0.2"/>
    <row r="52756" ht="12.75" hidden="1" customHeight="1" x14ac:dyDescent="0.2"/>
    <row r="52757" ht="12.75" hidden="1" customHeight="1" x14ac:dyDescent="0.2"/>
    <row r="52758" ht="12.75" hidden="1" customHeight="1" x14ac:dyDescent="0.2"/>
    <row r="52759" ht="12.75" hidden="1" customHeight="1" x14ac:dyDescent="0.2"/>
    <row r="52760" ht="12.75" hidden="1" customHeight="1" x14ac:dyDescent="0.2"/>
    <row r="52761" ht="12.75" hidden="1" customHeight="1" x14ac:dyDescent="0.2"/>
    <row r="52762" ht="12.75" hidden="1" customHeight="1" x14ac:dyDescent="0.2"/>
    <row r="52763" ht="12.75" hidden="1" customHeight="1" x14ac:dyDescent="0.2"/>
    <row r="52764" ht="12.75" hidden="1" customHeight="1" x14ac:dyDescent="0.2"/>
    <row r="52765" ht="12.75" hidden="1" customHeight="1" x14ac:dyDescent="0.2"/>
    <row r="52766" ht="12.75" hidden="1" customHeight="1" x14ac:dyDescent="0.2"/>
    <row r="52767" ht="12.75" hidden="1" customHeight="1" x14ac:dyDescent="0.2"/>
    <row r="52768" ht="12.75" hidden="1" customHeight="1" x14ac:dyDescent="0.2"/>
    <row r="52769" ht="12.75" hidden="1" customHeight="1" x14ac:dyDescent="0.2"/>
    <row r="52770" ht="12.75" hidden="1" customHeight="1" x14ac:dyDescent="0.2"/>
    <row r="52771" ht="12.75" hidden="1" customHeight="1" x14ac:dyDescent="0.2"/>
    <row r="52772" ht="12.75" hidden="1" customHeight="1" x14ac:dyDescent="0.2"/>
    <row r="52773" ht="12.75" hidden="1" customHeight="1" x14ac:dyDescent="0.2"/>
    <row r="52774" ht="12.75" hidden="1" customHeight="1" x14ac:dyDescent="0.2"/>
    <row r="52775" ht="12.75" hidden="1" customHeight="1" x14ac:dyDescent="0.2"/>
    <row r="52776" ht="12.75" hidden="1" customHeight="1" x14ac:dyDescent="0.2"/>
    <row r="52777" ht="12.75" hidden="1" customHeight="1" x14ac:dyDescent="0.2"/>
    <row r="52778" ht="12.75" hidden="1" customHeight="1" x14ac:dyDescent="0.2"/>
    <row r="52779" ht="12.75" hidden="1" customHeight="1" x14ac:dyDescent="0.2"/>
    <row r="52780" ht="12.75" hidden="1" customHeight="1" x14ac:dyDescent="0.2"/>
    <row r="52781" ht="12.75" hidden="1" customHeight="1" x14ac:dyDescent="0.2"/>
    <row r="52782" ht="12.75" hidden="1" customHeight="1" x14ac:dyDescent="0.2"/>
    <row r="52783" ht="12.75" hidden="1" customHeight="1" x14ac:dyDescent="0.2"/>
    <row r="52784" ht="12.75" hidden="1" customHeight="1" x14ac:dyDescent="0.2"/>
    <row r="52785" ht="12.75" hidden="1" customHeight="1" x14ac:dyDescent="0.2"/>
    <row r="52786" ht="12.75" hidden="1" customHeight="1" x14ac:dyDescent="0.2"/>
    <row r="52787" ht="12.75" hidden="1" customHeight="1" x14ac:dyDescent="0.2"/>
    <row r="52788" ht="12.75" hidden="1" customHeight="1" x14ac:dyDescent="0.2"/>
    <row r="52789" ht="12.75" hidden="1" customHeight="1" x14ac:dyDescent="0.2"/>
    <row r="52790" ht="12.75" hidden="1" customHeight="1" x14ac:dyDescent="0.2"/>
    <row r="52791" ht="12.75" hidden="1" customHeight="1" x14ac:dyDescent="0.2"/>
    <row r="52792" ht="12.75" hidden="1" customHeight="1" x14ac:dyDescent="0.2"/>
    <row r="52793" ht="12.75" hidden="1" customHeight="1" x14ac:dyDescent="0.2"/>
    <row r="52794" ht="12.75" hidden="1" customHeight="1" x14ac:dyDescent="0.2"/>
    <row r="52795" ht="12.75" hidden="1" customHeight="1" x14ac:dyDescent="0.2"/>
    <row r="52796" ht="12.75" hidden="1" customHeight="1" x14ac:dyDescent="0.2"/>
    <row r="52797" ht="12.75" hidden="1" customHeight="1" x14ac:dyDescent="0.2"/>
    <row r="52798" ht="12.75" hidden="1" customHeight="1" x14ac:dyDescent="0.2"/>
    <row r="52799" ht="12.75" hidden="1" customHeight="1" x14ac:dyDescent="0.2"/>
    <row r="52800" ht="12.75" hidden="1" customHeight="1" x14ac:dyDescent="0.2"/>
    <row r="52801" ht="12.75" hidden="1" customHeight="1" x14ac:dyDescent="0.2"/>
    <row r="52802" ht="12.75" hidden="1" customHeight="1" x14ac:dyDescent="0.2"/>
    <row r="52803" ht="12.75" hidden="1" customHeight="1" x14ac:dyDescent="0.2"/>
    <row r="52804" ht="12.75" hidden="1" customHeight="1" x14ac:dyDescent="0.2"/>
    <row r="52805" ht="12.75" hidden="1" customHeight="1" x14ac:dyDescent="0.2"/>
    <row r="52806" ht="12.75" hidden="1" customHeight="1" x14ac:dyDescent="0.2"/>
    <row r="52807" ht="12.75" hidden="1" customHeight="1" x14ac:dyDescent="0.2"/>
    <row r="52808" ht="12.75" hidden="1" customHeight="1" x14ac:dyDescent="0.2"/>
    <row r="52809" ht="12.75" hidden="1" customHeight="1" x14ac:dyDescent="0.2"/>
    <row r="52810" ht="12.75" hidden="1" customHeight="1" x14ac:dyDescent="0.2"/>
    <row r="52811" ht="12.75" hidden="1" customHeight="1" x14ac:dyDescent="0.2"/>
    <row r="52812" ht="12.75" hidden="1" customHeight="1" x14ac:dyDescent="0.2"/>
    <row r="52813" ht="12.75" hidden="1" customHeight="1" x14ac:dyDescent="0.2"/>
    <row r="52814" ht="12.75" hidden="1" customHeight="1" x14ac:dyDescent="0.2"/>
    <row r="52815" ht="12.75" hidden="1" customHeight="1" x14ac:dyDescent="0.2"/>
    <row r="52816" ht="12.75" hidden="1" customHeight="1" x14ac:dyDescent="0.2"/>
    <row r="52817" ht="12.75" hidden="1" customHeight="1" x14ac:dyDescent="0.2"/>
    <row r="52818" ht="12.75" hidden="1" customHeight="1" x14ac:dyDescent="0.2"/>
    <row r="52819" ht="12.75" hidden="1" customHeight="1" x14ac:dyDescent="0.2"/>
    <row r="52820" ht="12.75" hidden="1" customHeight="1" x14ac:dyDescent="0.2"/>
    <row r="52821" ht="12.75" hidden="1" customHeight="1" x14ac:dyDescent="0.2"/>
    <row r="52822" ht="12.75" hidden="1" customHeight="1" x14ac:dyDescent="0.2"/>
    <row r="52823" ht="12.75" hidden="1" customHeight="1" x14ac:dyDescent="0.2"/>
    <row r="52824" ht="12.75" hidden="1" customHeight="1" x14ac:dyDescent="0.2"/>
    <row r="52825" ht="12.75" hidden="1" customHeight="1" x14ac:dyDescent="0.2"/>
    <row r="52826" ht="12.75" hidden="1" customHeight="1" x14ac:dyDescent="0.2"/>
    <row r="52827" ht="12.75" hidden="1" customHeight="1" x14ac:dyDescent="0.2"/>
    <row r="52828" ht="12.75" hidden="1" customHeight="1" x14ac:dyDescent="0.2"/>
    <row r="52829" ht="12.75" hidden="1" customHeight="1" x14ac:dyDescent="0.2"/>
    <row r="52830" ht="12.75" hidden="1" customHeight="1" x14ac:dyDescent="0.2"/>
    <row r="52831" ht="12.75" hidden="1" customHeight="1" x14ac:dyDescent="0.2"/>
    <row r="52832" ht="12.75" hidden="1" customHeight="1" x14ac:dyDescent="0.2"/>
    <row r="52833" ht="12.75" hidden="1" customHeight="1" x14ac:dyDescent="0.2"/>
    <row r="52834" ht="12.75" hidden="1" customHeight="1" x14ac:dyDescent="0.2"/>
    <row r="52835" ht="12.75" hidden="1" customHeight="1" x14ac:dyDescent="0.2"/>
    <row r="52836" ht="12.75" hidden="1" customHeight="1" x14ac:dyDescent="0.2"/>
    <row r="52837" ht="12.75" hidden="1" customHeight="1" x14ac:dyDescent="0.2"/>
    <row r="52838" ht="12.75" hidden="1" customHeight="1" x14ac:dyDescent="0.2"/>
    <row r="52839" ht="12.75" hidden="1" customHeight="1" x14ac:dyDescent="0.2"/>
    <row r="52840" ht="12.75" hidden="1" customHeight="1" x14ac:dyDescent="0.2"/>
    <row r="52841" ht="12.75" hidden="1" customHeight="1" x14ac:dyDescent="0.2"/>
    <row r="52842" ht="12.75" hidden="1" customHeight="1" x14ac:dyDescent="0.2"/>
    <row r="52843" ht="12.75" hidden="1" customHeight="1" x14ac:dyDescent="0.2"/>
    <row r="52844" ht="12.75" hidden="1" customHeight="1" x14ac:dyDescent="0.2"/>
    <row r="52845" ht="12.75" hidden="1" customHeight="1" x14ac:dyDescent="0.2"/>
    <row r="52846" ht="12.75" hidden="1" customHeight="1" x14ac:dyDescent="0.2"/>
    <row r="52847" ht="12.75" hidden="1" customHeight="1" x14ac:dyDescent="0.2"/>
    <row r="52848" ht="12.75" hidden="1" customHeight="1" x14ac:dyDescent="0.2"/>
    <row r="52849" ht="12.75" hidden="1" customHeight="1" x14ac:dyDescent="0.2"/>
    <row r="52850" ht="12.75" hidden="1" customHeight="1" x14ac:dyDescent="0.2"/>
    <row r="52851" ht="12.75" hidden="1" customHeight="1" x14ac:dyDescent="0.2"/>
    <row r="52852" ht="12.75" hidden="1" customHeight="1" x14ac:dyDescent="0.2"/>
    <row r="52853" ht="12.75" hidden="1" customHeight="1" x14ac:dyDescent="0.2"/>
    <row r="52854" ht="12.75" hidden="1" customHeight="1" x14ac:dyDescent="0.2"/>
    <row r="52855" ht="12.75" hidden="1" customHeight="1" x14ac:dyDescent="0.2"/>
    <row r="52856" ht="12.75" hidden="1" customHeight="1" x14ac:dyDescent="0.2"/>
    <row r="52857" ht="12.75" hidden="1" customHeight="1" x14ac:dyDescent="0.2"/>
    <row r="52858" ht="12.75" hidden="1" customHeight="1" x14ac:dyDescent="0.2"/>
    <row r="52859" ht="12.75" hidden="1" customHeight="1" x14ac:dyDescent="0.2"/>
    <row r="52860" ht="12.75" hidden="1" customHeight="1" x14ac:dyDescent="0.2"/>
    <row r="52861" ht="12.75" hidden="1" customHeight="1" x14ac:dyDescent="0.2"/>
    <row r="52862" ht="12.75" hidden="1" customHeight="1" x14ac:dyDescent="0.2"/>
    <row r="52863" ht="12.75" hidden="1" customHeight="1" x14ac:dyDescent="0.2"/>
    <row r="52864" ht="12.75" hidden="1" customHeight="1" x14ac:dyDescent="0.2"/>
    <row r="52865" ht="12.75" hidden="1" customHeight="1" x14ac:dyDescent="0.2"/>
    <row r="52866" ht="12.75" hidden="1" customHeight="1" x14ac:dyDescent="0.2"/>
    <row r="52867" ht="12.75" hidden="1" customHeight="1" x14ac:dyDescent="0.2"/>
    <row r="52868" ht="12.75" hidden="1" customHeight="1" x14ac:dyDescent="0.2"/>
    <row r="52869" ht="12.75" hidden="1" customHeight="1" x14ac:dyDescent="0.2"/>
    <row r="52870" ht="12.75" hidden="1" customHeight="1" x14ac:dyDescent="0.2"/>
    <row r="52871" ht="12.75" hidden="1" customHeight="1" x14ac:dyDescent="0.2"/>
    <row r="52872" ht="12.75" hidden="1" customHeight="1" x14ac:dyDescent="0.2"/>
    <row r="52873" ht="12.75" hidden="1" customHeight="1" x14ac:dyDescent="0.2"/>
    <row r="52874" ht="12.75" hidden="1" customHeight="1" x14ac:dyDescent="0.2"/>
    <row r="52875" ht="12.75" hidden="1" customHeight="1" x14ac:dyDescent="0.2"/>
    <row r="52876" ht="12.75" hidden="1" customHeight="1" x14ac:dyDescent="0.2"/>
    <row r="52877" ht="12.75" hidden="1" customHeight="1" x14ac:dyDescent="0.2"/>
    <row r="52878" ht="12.75" hidden="1" customHeight="1" x14ac:dyDescent="0.2"/>
    <row r="52879" ht="12.75" hidden="1" customHeight="1" x14ac:dyDescent="0.2"/>
    <row r="52880" ht="12.75" hidden="1" customHeight="1" x14ac:dyDescent="0.2"/>
    <row r="52881" ht="12.75" hidden="1" customHeight="1" x14ac:dyDescent="0.2"/>
    <row r="52882" ht="12.75" hidden="1" customHeight="1" x14ac:dyDescent="0.2"/>
    <row r="52883" ht="12.75" hidden="1" customHeight="1" x14ac:dyDescent="0.2"/>
    <row r="52884" ht="12.75" hidden="1" customHeight="1" x14ac:dyDescent="0.2"/>
    <row r="52885" ht="12.75" hidden="1" customHeight="1" x14ac:dyDescent="0.2"/>
    <row r="52886" ht="12.75" hidden="1" customHeight="1" x14ac:dyDescent="0.2"/>
    <row r="52887" ht="12.75" hidden="1" customHeight="1" x14ac:dyDescent="0.2"/>
    <row r="52888" ht="12.75" hidden="1" customHeight="1" x14ac:dyDescent="0.2"/>
    <row r="52889" ht="12.75" hidden="1" customHeight="1" x14ac:dyDescent="0.2"/>
    <row r="52890" ht="12.75" hidden="1" customHeight="1" x14ac:dyDescent="0.2"/>
    <row r="52891" ht="12.75" hidden="1" customHeight="1" x14ac:dyDescent="0.2"/>
    <row r="52892" ht="12.75" hidden="1" customHeight="1" x14ac:dyDescent="0.2"/>
    <row r="52893" ht="12.75" hidden="1" customHeight="1" x14ac:dyDescent="0.2"/>
    <row r="52894" ht="12.75" hidden="1" customHeight="1" x14ac:dyDescent="0.2"/>
    <row r="52895" ht="12.75" hidden="1" customHeight="1" x14ac:dyDescent="0.2"/>
    <row r="52896" ht="12.75" hidden="1" customHeight="1" x14ac:dyDescent="0.2"/>
    <row r="52897" ht="12.75" hidden="1" customHeight="1" x14ac:dyDescent="0.2"/>
    <row r="52898" ht="12.75" hidden="1" customHeight="1" x14ac:dyDescent="0.2"/>
    <row r="52899" ht="12.75" hidden="1" customHeight="1" x14ac:dyDescent="0.2"/>
    <row r="52900" ht="12.75" hidden="1" customHeight="1" x14ac:dyDescent="0.2"/>
    <row r="52901" ht="12.75" hidden="1" customHeight="1" x14ac:dyDescent="0.2"/>
    <row r="52902" ht="12.75" hidden="1" customHeight="1" x14ac:dyDescent="0.2"/>
    <row r="52903" ht="12.75" hidden="1" customHeight="1" x14ac:dyDescent="0.2"/>
    <row r="52904" ht="12.75" hidden="1" customHeight="1" x14ac:dyDescent="0.2"/>
    <row r="52905" ht="12.75" hidden="1" customHeight="1" x14ac:dyDescent="0.2"/>
    <row r="52906" ht="12.75" hidden="1" customHeight="1" x14ac:dyDescent="0.2"/>
    <row r="52907" ht="12.75" hidden="1" customHeight="1" x14ac:dyDescent="0.2"/>
    <row r="52908" ht="12.75" hidden="1" customHeight="1" x14ac:dyDescent="0.2"/>
    <row r="52909" ht="12.75" hidden="1" customHeight="1" x14ac:dyDescent="0.2"/>
    <row r="52910" ht="12.75" hidden="1" customHeight="1" x14ac:dyDescent="0.2"/>
    <row r="52911" ht="12.75" hidden="1" customHeight="1" x14ac:dyDescent="0.2"/>
    <row r="52912" ht="12.75" hidden="1" customHeight="1" x14ac:dyDescent="0.2"/>
    <row r="52913" ht="12.75" hidden="1" customHeight="1" x14ac:dyDescent="0.2"/>
    <row r="52914" ht="12.75" hidden="1" customHeight="1" x14ac:dyDescent="0.2"/>
    <row r="52915" ht="12.75" hidden="1" customHeight="1" x14ac:dyDescent="0.2"/>
    <row r="52916" ht="12.75" hidden="1" customHeight="1" x14ac:dyDescent="0.2"/>
    <row r="52917" ht="12.75" hidden="1" customHeight="1" x14ac:dyDescent="0.2"/>
    <row r="52918" ht="12.75" hidden="1" customHeight="1" x14ac:dyDescent="0.2"/>
    <row r="52919" ht="12.75" hidden="1" customHeight="1" x14ac:dyDescent="0.2"/>
    <row r="52920" ht="12.75" hidden="1" customHeight="1" x14ac:dyDescent="0.2"/>
    <row r="52921" ht="12.75" hidden="1" customHeight="1" x14ac:dyDescent="0.2"/>
    <row r="52922" ht="12.75" hidden="1" customHeight="1" x14ac:dyDescent="0.2"/>
    <row r="52923" ht="12.75" hidden="1" customHeight="1" x14ac:dyDescent="0.2"/>
    <row r="52924" ht="12.75" hidden="1" customHeight="1" x14ac:dyDescent="0.2"/>
    <row r="52925" ht="12.75" hidden="1" customHeight="1" x14ac:dyDescent="0.2"/>
    <row r="52926" ht="12.75" hidden="1" customHeight="1" x14ac:dyDescent="0.2"/>
    <row r="52927" ht="12.75" hidden="1" customHeight="1" x14ac:dyDescent="0.2"/>
    <row r="52928" ht="12.75" hidden="1" customHeight="1" x14ac:dyDescent="0.2"/>
    <row r="52929" ht="12.75" hidden="1" customHeight="1" x14ac:dyDescent="0.2"/>
    <row r="52930" ht="12.75" hidden="1" customHeight="1" x14ac:dyDescent="0.2"/>
    <row r="52931" ht="12.75" hidden="1" customHeight="1" x14ac:dyDescent="0.2"/>
    <row r="52932" ht="12.75" hidden="1" customHeight="1" x14ac:dyDescent="0.2"/>
    <row r="52933" ht="12.75" hidden="1" customHeight="1" x14ac:dyDescent="0.2"/>
    <row r="52934" ht="12.75" hidden="1" customHeight="1" x14ac:dyDescent="0.2"/>
    <row r="52935" ht="12.75" hidden="1" customHeight="1" x14ac:dyDescent="0.2"/>
    <row r="52936" ht="12.75" hidden="1" customHeight="1" x14ac:dyDescent="0.2"/>
    <row r="52937" ht="12.75" hidden="1" customHeight="1" x14ac:dyDescent="0.2"/>
    <row r="52938" ht="12.75" hidden="1" customHeight="1" x14ac:dyDescent="0.2"/>
    <row r="52939" ht="12.75" hidden="1" customHeight="1" x14ac:dyDescent="0.2"/>
    <row r="52940" ht="12.75" hidden="1" customHeight="1" x14ac:dyDescent="0.2"/>
    <row r="52941" ht="12.75" hidden="1" customHeight="1" x14ac:dyDescent="0.2"/>
    <row r="52942" ht="12.75" hidden="1" customHeight="1" x14ac:dyDescent="0.2"/>
    <row r="52943" ht="12.75" hidden="1" customHeight="1" x14ac:dyDescent="0.2"/>
    <row r="52944" ht="12.75" hidden="1" customHeight="1" x14ac:dyDescent="0.2"/>
    <row r="52945" ht="12.75" hidden="1" customHeight="1" x14ac:dyDescent="0.2"/>
    <row r="52946" ht="12.75" hidden="1" customHeight="1" x14ac:dyDescent="0.2"/>
    <row r="52947" ht="12.75" hidden="1" customHeight="1" x14ac:dyDescent="0.2"/>
    <row r="52948" ht="12.75" hidden="1" customHeight="1" x14ac:dyDescent="0.2"/>
    <row r="52949" ht="12.75" hidden="1" customHeight="1" x14ac:dyDescent="0.2"/>
    <row r="52950" ht="12.75" hidden="1" customHeight="1" x14ac:dyDescent="0.2"/>
    <row r="52951" ht="12.75" hidden="1" customHeight="1" x14ac:dyDescent="0.2"/>
    <row r="52952" ht="12.75" hidden="1" customHeight="1" x14ac:dyDescent="0.2"/>
    <row r="52953" ht="12.75" hidden="1" customHeight="1" x14ac:dyDescent="0.2"/>
    <row r="52954" ht="12.75" hidden="1" customHeight="1" x14ac:dyDescent="0.2"/>
    <row r="52955" ht="12.75" hidden="1" customHeight="1" x14ac:dyDescent="0.2"/>
    <row r="52956" ht="12.75" hidden="1" customHeight="1" x14ac:dyDescent="0.2"/>
    <row r="52957" ht="12.75" hidden="1" customHeight="1" x14ac:dyDescent="0.2"/>
    <row r="52958" ht="12.75" hidden="1" customHeight="1" x14ac:dyDescent="0.2"/>
    <row r="52959" ht="12.75" hidden="1" customHeight="1" x14ac:dyDescent="0.2"/>
    <row r="52960" ht="12.75" hidden="1" customHeight="1" x14ac:dyDescent="0.2"/>
    <row r="52961" ht="12.75" hidden="1" customHeight="1" x14ac:dyDescent="0.2"/>
    <row r="52962" ht="12.75" hidden="1" customHeight="1" x14ac:dyDescent="0.2"/>
    <row r="52963" ht="12.75" hidden="1" customHeight="1" x14ac:dyDescent="0.2"/>
    <row r="52964" ht="12.75" hidden="1" customHeight="1" x14ac:dyDescent="0.2"/>
    <row r="52965" ht="12.75" hidden="1" customHeight="1" x14ac:dyDescent="0.2"/>
    <row r="52966" ht="12.75" hidden="1" customHeight="1" x14ac:dyDescent="0.2"/>
    <row r="52967" ht="12.75" hidden="1" customHeight="1" x14ac:dyDescent="0.2"/>
    <row r="52968" ht="12.75" hidden="1" customHeight="1" x14ac:dyDescent="0.2"/>
    <row r="52969" ht="12.75" hidden="1" customHeight="1" x14ac:dyDescent="0.2"/>
    <row r="52970" ht="12.75" hidden="1" customHeight="1" x14ac:dyDescent="0.2"/>
    <row r="52971" ht="12.75" hidden="1" customHeight="1" x14ac:dyDescent="0.2"/>
    <row r="52972" ht="12.75" hidden="1" customHeight="1" x14ac:dyDescent="0.2"/>
    <row r="52973" ht="12.75" hidden="1" customHeight="1" x14ac:dyDescent="0.2"/>
    <row r="52974" ht="12.75" hidden="1" customHeight="1" x14ac:dyDescent="0.2"/>
    <row r="52975" ht="12.75" hidden="1" customHeight="1" x14ac:dyDescent="0.2"/>
    <row r="52976" ht="12.75" hidden="1" customHeight="1" x14ac:dyDescent="0.2"/>
    <row r="52977" ht="12.75" hidden="1" customHeight="1" x14ac:dyDescent="0.2"/>
    <row r="52978" ht="12.75" hidden="1" customHeight="1" x14ac:dyDescent="0.2"/>
    <row r="52979" ht="12.75" hidden="1" customHeight="1" x14ac:dyDescent="0.2"/>
    <row r="52980" ht="12.75" hidden="1" customHeight="1" x14ac:dyDescent="0.2"/>
    <row r="52981" ht="12.75" hidden="1" customHeight="1" x14ac:dyDescent="0.2"/>
    <row r="52982" ht="12.75" hidden="1" customHeight="1" x14ac:dyDescent="0.2"/>
    <row r="52983" ht="12.75" hidden="1" customHeight="1" x14ac:dyDescent="0.2"/>
    <row r="52984" ht="12.75" hidden="1" customHeight="1" x14ac:dyDescent="0.2"/>
    <row r="52985" ht="12.75" hidden="1" customHeight="1" x14ac:dyDescent="0.2"/>
    <row r="52986" ht="12.75" hidden="1" customHeight="1" x14ac:dyDescent="0.2"/>
    <row r="52987" ht="12.75" hidden="1" customHeight="1" x14ac:dyDescent="0.2"/>
    <row r="52988" ht="12.75" hidden="1" customHeight="1" x14ac:dyDescent="0.2"/>
    <row r="52989" ht="12.75" hidden="1" customHeight="1" x14ac:dyDescent="0.2"/>
    <row r="52990" ht="12.75" hidden="1" customHeight="1" x14ac:dyDescent="0.2"/>
    <row r="52991" ht="12.75" hidden="1" customHeight="1" x14ac:dyDescent="0.2"/>
    <row r="52992" ht="12.75" hidden="1" customHeight="1" x14ac:dyDescent="0.2"/>
    <row r="52993" ht="12.75" hidden="1" customHeight="1" x14ac:dyDescent="0.2"/>
    <row r="52994" ht="12.75" hidden="1" customHeight="1" x14ac:dyDescent="0.2"/>
    <row r="52995" ht="12.75" hidden="1" customHeight="1" x14ac:dyDescent="0.2"/>
    <row r="52996" ht="12.75" hidden="1" customHeight="1" x14ac:dyDescent="0.2"/>
    <row r="52997" ht="12.75" hidden="1" customHeight="1" x14ac:dyDescent="0.2"/>
    <row r="52998" ht="12.75" hidden="1" customHeight="1" x14ac:dyDescent="0.2"/>
    <row r="52999" ht="12.75" hidden="1" customHeight="1" x14ac:dyDescent="0.2"/>
    <row r="53000" ht="12.75" hidden="1" customHeight="1" x14ac:dyDescent="0.2"/>
    <row r="53001" ht="12.75" hidden="1" customHeight="1" x14ac:dyDescent="0.2"/>
    <row r="53002" ht="12.75" hidden="1" customHeight="1" x14ac:dyDescent="0.2"/>
    <row r="53003" ht="12.75" hidden="1" customHeight="1" x14ac:dyDescent="0.2"/>
    <row r="53004" ht="12.75" hidden="1" customHeight="1" x14ac:dyDescent="0.2"/>
    <row r="53005" ht="12.75" hidden="1" customHeight="1" x14ac:dyDescent="0.2"/>
    <row r="53006" ht="12.75" hidden="1" customHeight="1" x14ac:dyDescent="0.2"/>
    <row r="53007" ht="12.75" hidden="1" customHeight="1" x14ac:dyDescent="0.2"/>
    <row r="53008" ht="12.75" hidden="1" customHeight="1" x14ac:dyDescent="0.2"/>
    <row r="53009" ht="12.75" hidden="1" customHeight="1" x14ac:dyDescent="0.2"/>
    <row r="53010" ht="12.75" hidden="1" customHeight="1" x14ac:dyDescent="0.2"/>
    <row r="53011" ht="12.75" hidden="1" customHeight="1" x14ac:dyDescent="0.2"/>
    <row r="53012" ht="12.75" hidden="1" customHeight="1" x14ac:dyDescent="0.2"/>
    <row r="53013" ht="12.75" hidden="1" customHeight="1" x14ac:dyDescent="0.2"/>
    <row r="53014" ht="12.75" hidden="1" customHeight="1" x14ac:dyDescent="0.2"/>
    <row r="53015" ht="12.75" hidden="1" customHeight="1" x14ac:dyDescent="0.2"/>
    <row r="53016" ht="12.75" hidden="1" customHeight="1" x14ac:dyDescent="0.2"/>
    <row r="53017" ht="12.75" hidden="1" customHeight="1" x14ac:dyDescent="0.2"/>
    <row r="53018" ht="12.75" hidden="1" customHeight="1" x14ac:dyDescent="0.2"/>
    <row r="53019" ht="12.75" hidden="1" customHeight="1" x14ac:dyDescent="0.2"/>
    <row r="53020" ht="12.75" hidden="1" customHeight="1" x14ac:dyDescent="0.2"/>
    <row r="53021" ht="12.75" hidden="1" customHeight="1" x14ac:dyDescent="0.2"/>
    <row r="53022" ht="12.75" hidden="1" customHeight="1" x14ac:dyDescent="0.2"/>
    <row r="53023" ht="12.75" hidden="1" customHeight="1" x14ac:dyDescent="0.2"/>
    <row r="53024" ht="12.75" hidden="1" customHeight="1" x14ac:dyDescent="0.2"/>
    <row r="53025" ht="12.75" hidden="1" customHeight="1" x14ac:dyDescent="0.2"/>
    <row r="53026" ht="12.75" hidden="1" customHeight="1" x14ac:dyDescent="0.2"/>
    <row r="53027" ht="12.75" hidden="1" customHeight="1" x14ac:dyDescent="0.2"/>
    <row r="53028" ht="12.75" hidden="1" customHeight="1" x14ac:dyDescent="0.2"/>
    <row r="53029" ht="12.75" hidden="1" customHeight="1" x14ac:dyDescent="0.2"/>
    <row r="53030" ht="12.75" hidden="1" customHeight="1" x14ac:dyDescent="0.2"/>
    <row r="53031" ht="12.75" hidden="1" customHeight="1" x14ac:dyDescent="0.2"/>
    <row r="53032" ht="12.75" hidden="1" customHeight="1" x14ac:dyDescent="0.2"/>
    <row r="53033" ht="12.75" hidden="1" customHeight="1" x14ac:dyDescent="0.2"/>
    <row r="53034" ht="12.75" hidden="1" customHeight="1" x14ac:dyDescent="0.2"/>
    <row r="53035" ht="12.75" hidden="1" customHeight="1" x14ac:dyDescent="0.2"/>
    <row r="53036" ht="12.75" hidden="1" customHeight="1" x14ac:dyDescent="0.2"/>
    <row r="53037" ht="12.75" hidden="1" customHeight="1" x14ac:dyDescent="0.2"/>
    <row r="53038" ht="12.75" hidden="1" customHeight="1" x14ac:dyDescent="0.2"/>
    <row r="53039" ht="12.75" hidden="1" customHeight="1" x14ac:dyDescent="0.2"/>
    <row r="53040" ht="12.75" hidden="1" customHeight="1" x14ac:dyDescent="0.2"/>
    <row r="53041" ht="12.75" hidden="1" customHeight="1" x14ac:dyDescent="0.2"/>
    <row r="53042" ht="12.75" hidden="1" customHeight="1" x14ac:dyDescent="0.2"/>
    <row r="53043" ht="12.75" hidden="1" customHeight="1" x14ac:dyDescent="0.2"/>
    <row r="53044" ht="12.75" hidden="1" customHeight="1" x14ac:dyDescent="0.2"/>
    <row r="53045" ht="12.75" hidden="1" customHeight="1" x14ac:dyDescent="0.2"/>
    <row r="53046" ht="12.75" hidden="1" customHeight="1" x14ac:dyDescent="0.2"/>
    <row r="53047" ht="12.75" hidden="1" customHeight="1" x14ac:dyDescent="0.2"/>
    <row r="53048" ht="12.75" hidden="1" customHeight="1" x14ac:dyDescent="0.2"/>
    <row r="53049" ht="12.75" hidden="1" customHeight="1" x14ac:dyDescent="0.2"/>
    <row r="53050" ht="12.75" hidden="1" customHeight="1" x14ac:dyDescent="0.2"/>
    <row r="53051" ht="12.75" hidden="1" customHeight="1" x14ac:dyDescent="0.2"/>
    <row r="53052" ht="12.75" hidden="1" customHeight="1" x14ac:dyDescent="0.2"/>
    <row r="53053" ht="12.75" hidden="1" customHeight="1" x14ac:dyDescent="0.2"/>
    <row r="53054" ht="12.75" hidden="1" customHeight="1" x14ac:dyDescent="0.2"/>
    <row r="53055" ht="12.75" hidden="1" customHeight="1" x14ac:dyDescent="0.2"/>
    <row r="53056" ht="12.75" hidden="1" customHeight="1" x14ac:dyDescent="0.2"/>
    <row r="53057" ht="12.75" hidden="1" customHeight="1" x14ac:dyDescent="0.2"/>
    <row r="53058" ht="12.75" hidden="1" customHeight="1" x14ac:dyDescent="0.2"/>
    <row r="53059" ht="12.75" hidden="1" customHeight="1" x14ac:dyDescent="0.2"/>
    <row r="53060" ht="12.75" hidden="1" customHeight="1" x14ac:dyDescent="0.2"/>
    <row r="53061" ht="12.75" hidden="1" customHeight="1" x14ac:dyDescent="0.2"/>
    <row r="53062" ht="12.75" hidden="1" customHeight="1" x14ac:dyDescent="0.2"/>
    <row r="53063" ht="12.75" hidden="1" customHeight="1" x14ac:dyDescent="0.2"/>
    <row r="53064" ht="12.75" hidden="1" customHeight="1" x14ac:dyDescent="0.2"/>
    <row r="53065" ht="12.75" hidden="1" customHeight="1" x14ac:dyDescent="0.2"/>
    <row r="53066" ht="12.75" hidden="1" customHeight="1" x14ac:dyDescent="0.2"/>
    <row r="53067" ht="12.75" hidden="1" customHeight="1" x14ac:dyDescent="0.2"/>
    <row r="53068" ht="12.75" hidden="1" customHeight="1" x14ac:dyDescent="0.2"/>
    <row r="53069" ht="12.75" hidden="1" customHeight="1" x14ac:dyDescent="0.2"/>
    <row r="53070" ht="12.75" hidden="1" customHeight="1" x14ac:dyDescent="0.2"/>
    <row r="53071" ht="12.75" hidden="1" customHeight="1" x14ac:dyDescent="0.2"/>
    <row r="53072" ht="12.75" hidden="1" customHeight="1" x14ac:dyDescent="0.2"/>
    <row r="53073" ht="12.75" hidden="1" customHeight="1" x14ac:dyDescent="0.2"/>
    <row r="53074" ht="12.75" hidden="1" customHeight="1" x14ac:dyDescent="0.2"/>
    <row r="53075" ht="12.75" hidden="1" customHeight="1" x14ac:dyDescent="0.2"/>
    <row r="53076" ht="12.75" hidden="1" customHeight="1" x14ac:dyDescent="0.2"/>
    <row r="53077" ht="12.75" hidden="1" customHeight="1" x14ac:dyDescent="0.2"/>
    <row r="53078" ht="12.75" hidden="1" customHeight="1" x14ac:dyDescent="0.2"/>
    <row r="53079" ht="12.75" hidden="1" customHeight="1" x14ac:dyDescent="0.2"/>
    <row r="53080" ht="12.75" hidden="1" customHeight="1" x14ac:dyDescent="0.2"/>
    <row r="53081" ht="12.75" hidden="1" customHeight="1" x14ac:dyDescent="0.2"/>
    <row r="53082" ht="12.75" hidden="1" customHeight="1" x14ac:dyDescent="0.2"/>
    <row r="53083" ht="12.75" hidden="1" customHeight="1" x14ac:dyDescent="0.2"/>
    <row r="53084" ht="12.75" hidden="1" customHeight="1" x14ac:dyDescent="0.2"/>
    <row r="53085" ht="12.75" hidden="1" customHeight="1" x14ac:dyDescent="0.2"/>
    <row r="53086" ht="12.75" hidden="1" customHeight="1" x14ac:dyDescent="0.2"/>
    <row r="53087" ht="12.75" hidden="1" customHeight="1" x14ac:dyDescent="0.2"/>
    <row r="53088" ht="12.75" hidden="1" customHeight="1" x14ac:dyDescent="0.2"/>
    <row r="53089" ht="12.75" hidden="1" customHeight="1" x14ac:dyDescent="0.2"/>
    <row r="53090" ht="12.75" hidden="1" customHeight="1" x14ac:dyDescent="0.2"/>
    <row r="53091" ht="12.75" hidden="1" customHeight="1" x14ac:dyDescent="0.2"/>
    <row r="53092" ht="12.75" hidden="1" customHeight="1" x14ac:dyDescent="0.2"/>
    <row r="53093" ht="12.75" hidden="1" customHeight="1" x14ac:dyDescent="0.2"/>
    <row r="53094" ht="12.75" hidden="1" customHeight="1" x14ac:dyDescent="0.2"/>
    <row r="53095" ht="12.75" hidden="1" customHeight="1" x14ac:dyDescent="0.2"/>
    <row r="53096" ht="12.75" hidden="1" customHeight="1" x14ac:dyDescent="0.2"/>
    <row r="53097" ht="12.75" hidden="1" customHeight="1" x14ac:dyDescent="0.2"/>
    <row r="53098" ht="12.75" hidden="1" customHeight="1" x14ac:dyDescent="0.2"/>
    <row r="53099" ht="12.75" hidden="1" customHeight="1" x14ac:dyDescent="0.2"/>
    <row r="53100" ht="12.75" hidden="1" customHeight="1" x14ac:dyDescent="0.2"/>
    <row r="53101" ht="12.75" hidden="1" customHeight="1" x14ac:dyDescent="0.2"/>
    <row r="53102" ht="12.75" hidden="1" customHeight="1" x14ac:dyDescent="0.2"/>
    <row r="53103" ht="12.75" hidden="1" customHeight="1" x14ac:dyDescent="0.2"/>
    <row r="53104" ht="12.75" hidden="1" customHeight="1" x14ac:dyDescent="0.2"/>
    <row r="53105" ht="12.75" hidden="1" customHeight="1" x14ac:dyDescent="0.2"/>
    <row r="53106" ht="12.75" hidden="1" customHeight="1" x14ac:dyDescent="0.2"/>
    <row r="53107" ht="12.75" hidden="1" customHeight="1" x14ac:dyDescent="0.2"/>
    <row r="53108" ht="12.75" hidden="1" customHeight="1" x14ac:dyDescent="0.2"/>
    <row r="53109" ht="12.75" hidden="1" customHeight="1" x14ac:dyDescent="0.2"/>
    <row r="53110" ht="12.75" hidden="1" customHeight="1" x14ac:dyDescent="0.2"/>
    <row r="53111" ht="12.75" hidden="1" customHeight="1" x14ac:dyDescent="0.2"/>
    <row r="53112" ht="12.75" hidden="1" customHeight="1" x14ac:dyDescent="0.2"/>
    <row r="53113" ht="12.75" hidden="1" customHeight="1" x14ac:dyDescent="0.2"/>
    <row r="53114" ht="12.75" hidden="1" customHeight="1" x14ac:dyDescent="0.2"/>
    <row r="53115" ht="12.75" hidden="1" customHeight="1" x14ac:dyDescent="0.2"/>
    <row r="53116" ht="12.75" hidden="1" customHeight="1" x14ac:dyDescent="0.2"/>
    <row r="53117" ht="12.75" hidden="1" customHeight="1" x14ac:dyDescent="0.2"/>
    <row r="53118" ht="12.75" hidden="1" customHeight="1" x14ac:dyDescent="0.2"/>
    <row r="53119" ht="12.75" hidden="1" customHeight="1" x14ac:dyDescent="0.2"/>
    <row r="53120" ht="12.75" hidden="1" customHeight="1" x14ac:dyDescent="0.2"/>
    <row r="53121" ht="12.75" hidden="1" customHeight="1" x14ac:dyDescent="0.2"/>
    <row r="53122" ht="12.75" hidden="1" customHeight="1" x14ac:dyDescent="0.2"/>
    <row r="53123" ht="12.75" hidden="1" customHeight="1" x14ac:dyDescent="0.2"/>
    <row r="53124" ht="12.75" hidden="1" customHeight="1" x14ac:dyDescent="0.2"/>
    <row r="53125" ht="12.75" hidden="1" customHeight="1" x14ac:dyDescent="0.2"/>
    <row r="53126" ht="12.75" hidden="1" customHeight="1" x14ac:dyDescent="0.2"/>
    <row r="53127" ht="12.75" hidden="1" customHeight="1" x14ac:dyDescent="0.2"/>
    <row r="53128" ht="12.75" hidden="1" customHeight="1" x14ac:dyDescent="0.2"/>
    <row r="53129" ht="12.75" hidden="1" customHeight="1" x14ac:dyDescent="0.2"/>
    <row r="53130" ht="12.75" hidden="1" customHeight="1" x14ac:dyDescent="0.2"/>
    <row r="53131" ht="12.75" hidden="1" customHeight="1" x14ac:dyDescent="0.2"/>
    <row r="53132" ht="12.75" hidden="1" customHeight="1" x14ac:dyDescent="0.2"/>
    <row r="53133" ht="12.75" hidden="1" customHeight="1" x14ac:dyDescent="0.2"/>
    <row r="53134" ht="12.75" hidden="1" customHeight="1" x14ac:dyDescent="0.2"/>
    <row r="53135" ht="12.75" hidden="1" customHeight="1" x14ac:dyDescent="0.2"/>
    <row r="53136" ht="12.75" hidden="1" customHeight="1" x14ac:dyDescent="0.2"/>
    <row r="53137" ht="12.75" hidden="1" customHeight="1" x14ac:dyDescent="0.2"/>
    <row r="53138" ht="12.75" hidden="1" customHeight="1" x14ac:dyDescent="0.2"/>
    <row r="53139" ht="12.75" hidden="1" customHeight="1" x14ac:dyDescent="0.2"/>
    <row r="53140" ht="12.75" hidden="1" customHeight="1" x14ac:dyDescent="0.2"/>
    <row r="53141" ht="12.75" hidden="1" customHeight="1" x14ac:dyDescent="0.2"/>
    <row r="53142" ht="12.75" hidden="1" customHeight="1" x14ac:dyDescent="0.2"/>
    <row r="53143" ht="12.75" hidden="1" customHeight="1" x14ac:dyDescent="0.2"/>
    <row r="53144" ht="12.75" hidden="1" customHeight="1" x14ac:dyDescent="0.2"/>
    <row r="53145" ht="12.75" hidden="1" customHeight="1" x14ac:dyDescent="0.2"/>
    <row r="53146" ht="12.75" hidden="1" customHeight="1" x14ac:dyDescent="0.2"/>
    <row r="53147" ht="12.75" hidden="1" customHeight="1" x14ac:dyDescent="0.2"/>
    <row r="53148" ht="12.75" hidden="1" customHeight="1" x14ac:dyDescent="0.2"/>
    <row r="53149" ht="12.75" hidden="1" customHeight="1" x14ac:dyDescent="0.2"/>
    <row r="53150" ht="12.75" hidden="1" customHeight="1" x14ac:dyDescent="0.2"/>
    <row r="53151" ht="12.75" hidden="1" customHeight="1" x14ac:dyDescent="0.2"/>
    <row r="53152" ht="12.75" hidden="1" customHeight="1" x14ac:dyDescent="0.2"/>
    <row r="53153" ht="12.75" hidden="1" customHeight="1" x14ac:dyDescent="0.2"/>
    <row r="53154" ht="12.75" hidden="1" customHeight="1" x14ac:dyDescent="0.2"/>
    <row r="53155" ht="12.75" hidden="1" customHeight="1" x14ac:dyDescent="0.2"/>
    <row r="53156" ht="12.75" hidden="1" customHeight="1" x14ac:dyDescent="0.2"/>
    <row r="53157" ht="12.75" hidden="1" customHeight="1" x14ac:dyDescent="0.2"/>
    <row r="53158" ht="12.75" hidden="1" customHeight="1" x14ac:dyDescent="0.2"/>
    <row r="53159" ht="12.75" hidden="1" customHeight="1" x14ac:dyDescent="0.2"/>
    <row r="53160" ht="12.75" hidden="1" customHeight="1" x14ac:dyDescent="0.2"/>
    <row r="53161" ht="12.75" hidden="1" customHeight="1" x14ac:dyDescent="0.2"/>
    <row r="53162" ht="12.75" hidden="1" customHeight="1" x14ac:dyDescent="0.2"/>
    <row r="53163" ht="12.75" hidden="1" customHeight="1" x14ac:dyDescent="0.2"/>
    <row r="53164" ht="12.75" hidden="1" customHeight="1" x14ac:dyDescent="0.2"/>
    <row r="53165" ht="12.75" hidden="1" customHeight="1" x14ac:dyDescent="0.2"/>
    <row r="53166" ht="12.75" hidden="1" customHeight="1" x14ac:dyDescent="0.2"/>
    <row r="53167" ht="12.75" hidden="1" customHeight="1" x14ac:dyDescent="0.2"/>
    <row r="53168" ht="12.75" hidden="1" customHeight="1" x14ac:dyDescent="0.2"/>
    <row r="53169" ht="12.75" hidden="1" customHeight="1" x14ac:dyDescent="0.2"/>
    <row r="53170" ht="12.75" hidden="1" customHeight="1" x14ac:dyDescent="0.2"/>
    <row r="53171" ht="12.75" hidden="1" customHeight="1" x14ac:dyDescent="0.2"/>
    <row r="53172" ht="12.75" hidden="1" customHeight="1" x14ac:dyDescent="0.2"/>
    <row r="53173" ht="12.75" hidden="1" customHeight="1" x14ac:dyDescent="0.2"/>
    <row r="53174" ht="12.75" hidden="1" customHeight="1" x14ac:dyDescent="0.2"/>
    <row r="53175" ht="12.75" hidden="1" customHeight="1" x14ac:dyDescent="0.2"/>
    <row r="53176" ht="12.75" hidden="1" customHeight="1" x14ac:dyDescent="0.2"/>
    <row r="53177" ht="12.75" hidden="1" customHeight="1" x14ac:dyDescent="0.2"/>
    <row r="53178" ht="12.75" hidden="1" customHeight="1" x14ac:dyDescent="0.2"/>
    <row r="53179" ht="12.75" hidden="1" customHeight="1" x14ac:dyDescent="0.2"/>
    <row r="53180" ht="12.75" hidden="1" customHeight="1" x14ac:dyDescent="0.2"/>
    <row r="53181" ht="12.75" hidden="1" customHeight="1" x14ac:dyDescent="0.2"/>
    <row r="53182" ht="12.75" hidden="1" customHeight="1" x14ac:dyDescent="0.2"/>
    <row r="53183" ht="12.75" hidden="1" customHeight="1" x14ac:dyDescent="0.2"/>
    <row r="53184" ht="12.75" hidden="1" customHeight="1" x14ac:dyDescent="0.2"/>
    <row r="53185" ht="12.75" hidden="1" customHeight="1" x14ac:dyDescent="0.2"/>
    <row r="53186" ht="12.75" hidden="1" customHeight="1" x14ac:dyDescent="0.2"/>
    <row r="53187" ht="12.75" hidden="1" customHeight="1" x14ac:dyDescent="0.2"/>
    <row r="53188" ht="12.75" hidden="1" customHeight="1" x14ac:dyDescent="0.2"/>
    <row r="53189" ht="12.75" hidden="1" customHeight="1" x14ac:dyDescent="0.2"/>
    <row r="53190" ht="12.75" hidden="1" customHeight="1" x14ac:dyDescent="0.2"/>
    <row r="53191" ht="12.75" hidden="1" customHeight="1" x14ac:dyDescent="0.2"/>
    <row r="53192" ht="12.75" hidden="1" customHeight="1" x14ac:dyDescent="0.2"/>
    <row r="53193" ht="12.75" hidden="1" customHeight="1" x14ac:dyDescent="0.2"/>
    <row r="53194" ht="12.75" hidden="1" customHeight="1" x14ac:dyDescent="0.2"/>
    <row r="53195" ht="12.75" hidden="1" customHeight="1" x14ac:dyDescent="0.2"/>
    <row r="53196" ht="12.75" hidden="1" customHeight="1" x14ac:dyDescent="0.2"/>
    <row r="53197" ht="12.75" hidden="1" customHeight="1" x14ac:dyDescent="0.2"/>
    <row r="53198" ht="12.75" hidden="1" customHeight="1" x14ac:dyDescent="0.2"/>
    <row r="53199" ht="12.75" hidden="1" customHeight="1" x14ac:dyDescent="0.2"/>
    <row r="53200" ht="12.75" hidden="1" customHeight="1" x14ac:dyDescent="0.2"/>
    <row r="53201" ht="12.75" hidden="1" customHeight="1" x14ac:dyDescent="0.2"/>
    <row r="53202" ht="12.75" hidden="1" customHeight="1" x14ac:dyDescent="0.2"/>
    <row r="53203" ht="12.75" hidden="1" customHeight="1" x14ac:dyDescent="0.2"/>
    <row r="53204" ht="12.75" hidden="1" customHeight="1" x14ac:dyDescent="0.2"/>
    <row r="53205" ht="12.75" hidden="1" customHeight="1" x14ac:dyDescent="0.2"/>
    <row r="53206" ht="12.75" hidden="1" customHeight="1" x14ac:dyDescent="0.2"/>
    <row r="53207" ht="12.75" hidden="1" customHeight="1" x14ac:dyDescent="0.2"/>
    <row r="53208" ht="12.75" hidden="1" customHeight="1" x14ac:dyDescent="0.2"/>
    <row r="53209" ht="12.75" hidden="1" customHeight="1" x14ac:dyDescent="0.2"/>
    <row r="53210" ht="12.75" hidden="1" customHeight="1" x14ac:dyDescent="0.2"/>
    <row r="53211" ht="12.75" hidden="1" customHeight="1" x14ac:dyDescent="0.2"/>
    <row r="53212" ht="12.75" hidden="1" customHeight="1" x14ac:dyDescent="0.2"/>
    <row r="53213" ht="12.75" hidden="1" customHeight="1" x14ac:dyDescent="0.2"/>
    <row r="53214" ht="12.75" hidden="1" customHeight="1" x14ac:dyDescent="0.2"/>
    <row r="53215" ht="12.75" hidden="1" customHeight="1" x14ac:dyDescent="0.2"/>
    <row r="53216" ht="12.75" hidden="1" customHeight="1" x14ac:dyDescent="0.2"/>
    <row r="53217" ht="12.75" hidden="1" customHeight="1" x14ac:dyDescent="0.2"/>
    <row r="53218" ht="12.75" hidden="1" customHeight="1" x14ac:dyDescent="0.2"/>
    <row r="53219" ht="12.75" hidden="1" customHeight="1" x14ac:dyDescent="0.2"/>
    <row r="53220" ht="12.75" hidden="1" customHeight="1" x14ac:dyDescent="0.2"/>
    <row r="53221" ht="12.75" hidden="1" customHeight="1" x14ac:dyDescent="0.2"/>
    <row r="53222" ht="12.75" hidden="1" customHeight="1" x14ac:dyDescent="0.2"/>
    <row r="53223" ht="12.75" hidden="1" customHeight="1" x14ac:dyDescent="0.2"/>
    <row r="53224" ht="12.75" hidden="1" customHeight="1" x14ac:dyDescent="0.2"/>
    <row r="53225" ht="12.75" hidden="1" customHeight="1" x14ac:dyDescent="0.2"/>
    <row r="53226" ht="12.75" hidden="1" customHeight="1" x14ac:dyDescent="0.2"/>
    <row r="53227" ht="12.75" hidden="1" customHeight="1" x14ac:dyDescent="0.2"/>
    <row r="53228" ht="12.75" hidden="1" customHeight="1" x14ac:dyDescent="0.2"/>
    <row r="53229" ht="12.75" hidden="1" customHeight="1" x14ac:dyDescent="0.2"/>
    <row r="53230" ht="12.75" hidden="1" customHeight="1" x14ac:dyDescent="0.2"/>
    <row r="53231" ht="12.75" hidden="1" customHeight="1" x14ac:dyDescent="0.2"/>
    <row r="53232" ht="12.75" hidden="1" customHeight="1" x14ac:dyDescent="0.2"/>
    <row r="53233" ht="12.75" hidden="1" customHeight="1" x14ac:dyDescent="0.2"/>
    <row r="53234" ht="12.75" hidden="1" customHeight="1" x14ac:dyDescent="0.2"/>
    <row r="53235" ht="12.75" hidden="1" customHeight="1" x14ac:dyDescent="0.2"/>
    <row r="53236" ht="12.75" hidden="1" customHeight="1" x14ac:dyDescent="0.2"/>
    <row r="53237" ht="12.75" hidden="1" customHeight="1" x14ac:dyDescent="0.2"/>
    <row r="53238" ht="12.75" hidden="1" customHeight="1" x14ac:dyDescent="0.2"/>
    <row r="53239" ht="12.75" hidden="1" customHeight="1" x14ac:dyDescent="0.2"/>
    <row r="53240" ht="12.75" hidden="1" customHeight="1" x14ac:dyDescent="0.2"/>
    <row r="53241" ht="12.75" hidden="1" customHeight="1" x14ac:dyDescent="0.2"/>
    <row r="53242" ht="12.75" hidden="1" customHeight="1" x14ac:dyDescent="0.2"/>
    <row r="53243" ht="12.75" hidden="1" customHeight="1" x14ac:dyDescent="0.2"/>
    <row r="53244" ht="12.75" hidden="1" customHeight="1" x14ac:dyDescent="0.2"/>
    <row r="53245" ht="12.75" hidden="1" customHeight="1" x14ac:dyDescent="0.2"/>
    <row r="53246" ht="12.75" hidden="1" customHeight="1" x14ac:dyDescent="0.2"/>
    <row r="53247" ht="12.75" hidden="1" customHeight="1" x14ac:dyDescent="0.2"/>
    <row r="53248" ht="12.75" hidden="1" customHeight="1" x14ac:dyDescent="0.2"/>
    <row r="53249" ht="12.75" hidden="1" customHeight="1" x14ac:dyDescent="0.2"/>
    <row r="53250" ht="12.75" hidden="1" customHeight="1" x14ac:dyDescent="0.2"/>
    <row r="53251" ht="12.75" hidden="1" customHeight="1" x14ac:dyDescent="0.2"/>
    <row r="53252" ht="12.75" hidden="1" customHeight="1" x14ac:dyDescent="0.2"/>
    <row r="53253" ht="12.75" hidden="1" customHeight="1" x14ac:dyDescent="0.2"/>
    <row r="53254" ht="12.75" hidden="1" customHeight="1" x14ac:dyDescent="0.2"/>
    <row r="53255" ht="12.75" hidden="1" customHeight="1" x14ac:dyDescent="0.2"/>
    <row r="53256" ht="12.75" hidden="1" customHeight="1" x14ac:dyDescent="0.2"/>
    <row r="53257" ht="12.75" hidden="1" customHeight="1" x14ac:dyDescent="0.2"/>
    <row r="53258" ht="12.75" hidden="1" customHeight="1" x14ac:dyDescent="0.2"/>
    <row r="53259" ht="12.75" hidden="1" customHeight="1" x14ac:dyDescent="0.2"/>
    <row r="53260" ht="12.75" hidden="1" customHeight="1" x14ac:dyDescent="0.2"/>
    <row r="53261" ht="12.75" hidden="1" customHeight="1" x14ac:dyDescent="0.2"/>
    <row r="53262" ht="12.75" hidden="1" customHeight="1" x14ac:dyDescent="0.2"/>
    <row r="53263" ht="12.75" hidden="1" customHeight="1" x14ac:dyDescent="0.2"/>
    <row r="53264" ht="12.75" hidden="1" customHeight="1" x14ac:dyDescent="0.2"/>
    <row r="53265" ht="12.75" hidden="1" customHeight="1" x14ac:dyDescent="0.2"/>
    <row r="53266" ht="12.75" hidden="1" customHeight="1" x14ac:dyDescent="0.2"/>
    <row r="53267" ht="12.75" hidden="1" customHeight="1" x14ac:dyDescent="0.2"/>
    <row r="53268" ht="12.75" hidden="1" customHeight="1" x14ac:dyDescent="0.2"/>
    <row r="53269" ht="12.75" hidden="1" customHeight="1" x14ac:dyDescent="0.2"/>
    <row r="53270" ht="12.75" hidden="1" customHeight="1" x14ac:dyDescent="0.2"/>
    <row r="53271" ht="12.75" hidden="1" customHeight="1" x14ac:dyDescent="0.2"/>
    <row r="53272" ht="12.75" hidden="1" customHeight="1" x14ac:dyDescent="0.2"/>
    <row r="53273" ht="12.75" hidden="1" customHeight="1" x14ac:dyDescent="0.2"/>
    <row r="53274" ht="12.75" hidden="1" customHeight="1" x14ac:dyDescent="0.2"/>
    <row r="53275" ht="12.75" hidden="1" customHeight="1" x14ac:dyDescent="0.2"/>
    <row r="53276" ht="12.75" hidden="1" customHeight="1" x14ac:dyDescent="0.2"/>
    <row r="53277" ht="12.75" hidden="1" customHeight="1" x14ac:dyDescent="0.2"/>
    <row r="53278" ht="12.75" hidden="1" customHeight="1" x14ac:dyDescent="0.2"/>
    <row r="53279" ht="12.75" hidden="1" customHeight="1" x14ac:dyDescent="0.2"/>
    <row r="53280" ht="12.75" hidden="1" customHeight="1" x14ac:dyDescent="0.2"/>
    <row r="53281" ht="12.75" hidden="1" customHeight="1" x14ac:dyDescent="0.2"/>
    <row r="53282" ht="12.75" hidden="1" customHeight="1" x14ac:dyDescent="0.2"/>
    <row r="53283" ht="12.75" hidden="1" customHeight="1" x14ac:dyDescent="0.2"/>
    <row r="53284" ht="12.75" hidden="1" customHeight="1" x14ac:dyDescent="0.2"/>
    <row r="53285" ht="12.75" hidden="1" customHeight="1" x14ac:dyDescent="0.2"/>
    <row r="53286" ht="12.75" hidden="1" customHeight="1" x14ac:dyDescent="0.2"/>
    <row r="53287" ht="12.75" hidden="1" customHeight="1" x14ac:dyDescent="0.2"/>
    <row r="53288" ht="12.75" hidden="1" customHeight="1" x14ac:dyDescent="0.2"/>
    <row r="53289" ht="12.75" hidden="1" customHeight="1" x14ac:dyDescent="0.2"/>
    <row r="53290" ht="12.75" hidden="1" customHeight="1" x14ac:dyDescent="0.2"/>
    <row r="53291" ht="12.75" hidden="1" customHeight="1" x14ac:dyDescent="0.2"/>
    <row r="53292" ht="12.75" hidden="1" customHeight="1" x14ac:dyDescent="0.2"/>
    <row r="53293" ht="12.75" hidden="1" customHeight="1" x14ac:dyDescent="0.2"/>
    <row r="53294" ht="12.75" hidden="1" customHeight="1" x14ac:dyDescent="0.2"/>
    <row r="53295" ht="12.75" hidden="1" customHeight="1" x14ac:dyDescent="0.2"/>
    <row r="53296" ht="12.75" hidden="1" customHeight="1" x14ac:dyDescent="0.2"/>
    <row r="53297" ht="12.75" hidden="1" customHeight="1" x14ac:dyDescent="0.2"/>
    <row r="53298" ht="12.75" hidden="1" customHeight="1" x14ac:dyDescent="0.2"/>
    <row r="53299" ht="12.75" hidden="1" customHeight="1" x14ac:dyDescent="0.2"/>
    <row r="53300" ht="12.75" hidden="1" customHeight="1" x14ac:dyDescent="0.2"/>
    <row r="53301" ht="12.75" hidden="1" customHeight="1" x14ac:dyDescent="0.2"/>
    <row r="53302" ht="12.75" hidden="1" customHeight="1" x14ac:dyDescent="0.2"/>
    <row r="53303" ht="12.75" hidden="1" customHeight="1" x14ac:dyDescent="0.2"/>
    <row r="53304" ht="12.75" hidden="1" customHeight="1" x14ac:dyDescent="0.2"/>
    <row r="53305" ht="12.75" hidden="1" customHeight="1" x14ac:dyDescent="0.2"/>
    <row r="53306" ht="12.75" hidden="1" customHeight="1" x14ac:dyDescent="0.2"/>
    <row r="53307" ht="12.75" hidden="1" customHeight="1" x14ac:dyDescent="0.2"/>
    <row r="53308" ht="12.75" hidden="1" customHeight="1" x14ac:dyDescent="0.2"/>
    <row r="53309" ht="12.75" hidden="1" customHeight="1" x14ac:dyDescent="0.2"/>
    <row r="53310" ht="12.75" hidden="1" customHeight="1" x14ac:dyDescent="0.2"/>
    <row r="53311" ht="12.75" hidden="1" customHeight="1" x14ac:dyDescent="0.2"/>
    <row r="53312" ht="12.75" hidden="1" customHeight="1" x14ac:dyDescent="0.2"/>
    <row r="53313" ht="12.75" hidden="1" customHeight="1" x14ac:dyDescent="0.2"/>
    <row r="53314" ht="12.75" hidden="1" customHeight="1" x14ac:dyDescent="0.2"/>
    <row r="53315" ht="12.75" hidden="1" customHeight="1" x14ac:dyDescent="0.2"/>
    <row r="53316" ht="12.75" hidden="1" customHeight="1" x14ac:dyDescent="0.2"/>
    <row r="53317" ht="12.75" hidden="1" customHeight="1" x14ac:dyDescent="0.2"/>
    <row r="53318" ht="12.75" hidden="1" customHeight="1" x14ac:dyDescent="0.2"/>
    <row r="53319" ht="12.75" hidden="1" customHeight="1" x14ac:dyDescent="0.2"/>
    <row r="53320" ht="12.75" hidden="1" customHeight="1" x14ac:dyDescent="0.2"/>
    <row r="53321" ht="12.75" hidden="1" customHeight="1" x14ac:dyDescent="0.2"/>
    <row r="53322" ht="12.75" hidden="1" customHeight="1" x14ac:dyDescent="0.2"/>
    <row r="53323" ht="12.75" hidden="1" customHeight="1" x14ac:dyDescent="0.2"/>
    <row r="53324" ht="12.75" hidden="1" customHeight="1" x14ac:dyDescent="0.2"/>
    <row r="53325" ht="12.75" hidden="1" customHeight="1" x14ac:dyDescent="0.2"/>
    <row r="53326" ht="12.75" hidden="1" customHeight="1" x14ac:dyDescent="0.2"/>
    <row r="53327" ht="12.75" hidden="1" customHeight="1" x14ac:dyDescent="0.2"/>
    <row r="53328" ht="12.75" hidden="1" customHeight="1" x14ac:dyDescent="0.2"/>
    <row r="53329" ht="12.75" hidden="1" customHeight="1" x14ac:dyDescent="0.2"/>
    <row r="53330" ht="12.75" hidden="1" customHeight="1" x14ac:dyDescent="0.2"/>
    <row r="53331" ht="12.75" hidden="1" customHeight="1" x14ac:dyDescent="0.2"/>
    <row r="53332" ht="12.75" hidden="1" customHeight="1" x14ac:dyDescent="0.2"/>
    <row r="53333" ht="12.75" hidden="1" customHeight="1" x14ac:dyDescent="0.2"/>
    <row r="53334" ht="12.75" hidden="1" customHeight="1" x14ac:dyDescent="0.2"/>
    <row r="53335" ht="12.75" hidden="1" customHeight="1" x14ac:dyDescent="0.2"/>
    <row r="53336" ht="12.75" hidden="1" customHeight="1" x14ac:dyDescent="0.2"/>
    <row r="53337" ht="12.75" hidden="1" customHeight="1" x14ac:dyDescent="0.2"/>
    <row r="53338" ht="12.75" hidden="1" customHeight="1" x14ac:dyDescent="0.2"/>
    <row r="53339" ht="12.75" hidden="1" customHeight="1" x14ac:dyDescent="0.2"/>
    <row r="53340" ht="12.75" hidden="1" customHeight="1" x14ac:dyDescent="0.2"/>
    <row r="53341" ht="12.75" hidden="1" customHeight="1" x14ac:dyDescent="0.2"/>
    <row r="53342" ht="12.75" hidden="1" customHeight="1" x14ac:dyDescent="0.2"/>
    <row r="53343" ht="12.75" hidden="1" customHeight="1" x14ac:dyDescent="0.2"/>
    <row r="53344" ht="12.75" hidden="1" customHeight="1" x14ac:dyDescent="0.2"/>
    <row r="53345" ht="12.75" hidden="1" customHeight="1" x14ac:dyDescent="0.2"/>
    <row r="53346" ht="12.75" hidden="1" customHeight="1" x14ac:dyDescent="0.2"/>
    <row r="53347" ht="12.75" hidden="1" customHeight="1" x14ac:dyDescent="0.2"/>
    <row r="53348" ht="12.75" hidden="1" customHeight="1" x14ac:dyDescent="0.2"/>
    <row r="53349" ht="12.75" hidden="1" customHeight="1" x14ac:dyDescent="0.2"/>
    <row r="53350" ht="12.75" hidden="1" customHeight="1" x14ac:dyDescent="0.2"/>
    <row r="53351" ht="12.75" hidden="1" customHeight="1" x14ac:dyDescent="0.2"/>
    <row r="53352" ht="12.75" hidden="1" customHeight="1" x14ac:dyDescent="0.2"/>
    <row r="53353" ht="12.75" hidden="1" customHeight="1" x14ac:dyDescent="0.2"/>
    <row r="53354" ht="12.75" hidden="1" customHeight="1" x14ac:dyDescent="0.2"/>
    <row r="53355" ht="12.75" hidden="1" customHeight="1" x14ac:dyDescent="0.2"/>
    <row r="53356" ht="12.75" hidden="1" customHeight="1" x14ac:dyDescent="0.2"/>
    <row r="53357" ht="12.75" hidden="1" customHeight="1" x14ac:dyDescent="0.2"/>
    <row r="53358" ht="12.75" hidden="1" customHeight="1" x14ac:dyDescent="0.2"/>
    <row r="53359" ht="12.75" hidden="1" customHeight="1" x14ac:dyDescent="0.2"/>
    <row r="53360" ht="12.75" hidden="1" customHeight="1" x14ac:dyDescent="0.2"/>
    <row r="53361" ht="12.75" hidden="1" customHeight="1" x14ac:dyDescent="0.2"/>
    <row r="53362" ht="12.75" hidden="1" customHeight="1" x14ac:dyDescent="0.2"/>
    <row r="53363" ht="12.75" hidden="1" customHeight="1" x14ac:dyDescent="0.2"/>
    <row r="53364" ht="12.75" hidden="1" customHeight="1" x14ac:dyDescent="0.2"/>
    <row r="53365" ht="12.75" hidden="1" customHeight="1" x14ac:dyDescent="0.2"/>
    <row r="53366" ht="12.75" hidden="1" customHeight="1" x14ac:dyDescent="0.2"/>
    <row r="53367" ht="12.75" hidden="1" customHeight="1" x14ac:dyDescent="0.2"/>
    <row r="53368" ht="12.75" hidden="1" customHeight="1" x14ac:dyDescent="0.2"/>
    <row r="53369" ht="12.75" hidden="1" customHeight="1" x14ac:dyDescent="0.2"/>
    <row r="53370" ht="12.75" hidden="1" customHeight="1" x14ac:dyDescent="0.2"/>
    <row r="53371" ht="12.75" hidden="1" customHeight="1" x14ac:dyDescent="0.2"/>
    <row r="53372" ht="12.75" hidden="1" customHeight="1" x14ac:dyDescent="0.2"/>
    <row r="53373" ht="12.75" hidden="1" customHeight="1" x14ac:dyDescent="0.2"/>
    <row r="53374" ht="12.75" hidden="1" customHeight="1" x14ac:dyDescent="0.2"/>
    <row r="53375" ht="12.75" hidden="1" customHeight="1" x14ac:dyDescent="0.2"/>
    <row r="53376" ht="12.75" hidden="1" customHeight="1" x14ac:dyDescent="0.2"/>
    <row r="53377" ht="12.75" hidden="1" customHeight="1" x14ac:dyDescent="0.2"/>
    <row r="53378" ht="12.75" hidden="1" customHeight="1" x14ac:dyDescent="0.2"/>
    <row r="53379" ht="12.75" hidden="1" customHeight="1" x14ac:dyDescent="0.2"/>
    <row r="53380" ht="12.75" hidden="1" customHeight="1" x14ac:dyDescent="0.2"/>
    <row r="53381" ht="12.75" hidden="1" customHeight="1" x14ac:dyDescent="0.2"/>
    <row r="53382" ht="12.75" hidden="1" customHeight="1" x14ac:dyDescent="0.2"/>
    <row r="53383" ht="12.75" hidden="1" customHeight="1" x14ac:dyDescent="0.2"/>
    <row r="53384" ht="12.75" hidden="1" customHeight="1" x14ac:dyDescent="0.2"/>
    <row r="53385" ht="12.75" hidden="1" customHeight="1" x14ac:dyDescent="0.2"/>
    <row r="53386" ht="12.75" hidden="1" customHeight="1" x14ac:dyDescent="0.2"/>
    <row r="53387" ht="12.75" hidden="1" customHeight="1" x14ac:dyDescent="0.2"/>
    <row r="53388" ht="12.75" hidden="1" customHeight="1" x14ac:dyDescent="0.2"/>
    <row r="53389" ht="12.75" hidden="1" customHeight="1" x14ac:dyDescent="0.2"/>
    <row r="53390" ht="12.75" hidden="1" customHeight="1" x14ac:dyDescent="0.2"/>
    <row r="53391" ht="12.75" hidden="1" customHeight="1" x14ac:dyDescent="0.2"/>
    <row r="53392" ht="12.75" hidden="1" customHeight="1" x14ac:dyDescent="0.2"/>
    <row r="53393" ht="12.75" hidden="1" customHeight="1" x14ac:dyDescent="0.2"/>
    <row r="53394" ht="12.75" hidden="1" customHeight="1" x14ac:dyDescent="0.2"/>
    <row r="53395" ht="12.75" hidden="1" customHeight="1" x14ac:dyDescent="0.2"/>
    <row r="53396" ht="12.75" hidden="1" customHeight="1" x14ac:dyDescent="0.2"/>
    <row r="53397" ht="12.75" hidden="1" customHeight="1" x14ac:dyDescent="0.2"/>
    <row r="53398" ht="12.75" hidden="1" customHeight="1" x14ac:dyDescent="0.2"/>
    <row r="53399" ht="12.75" hidden="1" customHeight="1" x14ac:dyDescent="0.2"/>
    <row r="53400" ht="12.75" hidden="1" customHeight="1" x14ac:dyDescent="0.2"/>
    <row r="53401" ht="12.75" hidden="1" customHeight="1" x14ac:dyDescent="0.2"/>
    <row r="53402" ht="12.75" hidden="1" customHeight="1" x14ac:dyDescent="0.2"/>
    <row r="53403" ht="12.75" hidden="1" customHeight="1" x14ac:dyDescent="0.2"/>
    <row r="53404" ht="12.75" hidden="1" customHeight="1" x14ac:dyDescent="0.2"/>
    <row r="53405" ht="12.75" hidden="1" customHeight="1" x14ac:dyDescent="0.2"/>
    <row r="53406" ht="12.75" hidden="1" customHeight="1" x14ac:dyDescent="0.2"/>
    <row r="53407" ht="12.75" hidden="1" customHeight="1" x14ac:dyDescent="0.2"/>
    <row r="53408" ht="12.75" hidden="1" customHeight="1" x14ac:dyDescent="0.2"/>
    <row r="53409" ht="12.75" hidden="1" customHeight="1" x14ac:dyDescent="0.2"/>
    <row r="53410" ht="12.75" hidden="1" customHeight="1" x14ac:dyDescent="0.2"/>
    <row r="53411" ht="12.75" hidden="1" customHeight="1" x14ac:dyDescent="0.2"/>
    <row r="53412" ht="12.75" hidden="1" customHeight="1" x14ac:dyDescent="0.2"/>
    <row r="53413" ht="12.75" hidden="1" customHeight="1" x14ac:dyDescent="0.2"/>
    <row r="53414" ht="12.75" hidden="1" customHeight="1" x14ac:dyDescent="0.2"/>
    <row r="53415" ht="12.75" hidden="1" customHeight="1" x14ac:dyDescent="0.2"/>
    <row r="53416" ht="12.75" hidden="1" customHeight="1" x14ac:dyDescent="0.2"/>
    <row r="53417" ht="12.75" hidden="1" customHeight="1" x14ac:dyDescent="0.2"/>
    <row r="53418" ht="12.75" hidden="1" customHeight="1" x14ac:dyDescent="0.2"/>
    <row r="53419" ht="12.75" hidden="1" customHeight="1" x14ac:dyDescent="0.2"/>
    <row r="53420" ht="12.75" hidden="1" customHeight="1" x14ac:dyDescent="0.2"/>
    <row r="53421" ht="12.75" hidden="1" customHeight="1" x14ac:dyDescent="0.2"/>
    <row r="53422" ht="12.75" hidden="1" customHeight="1" x14ac:dyDescent="0.2"/>
    <row r="53423" ht="12.75" hidden="1" customHeight="1" x14ac:dyDescent="0.2"/>
    <row r="53424" ht="12.75" hidden="1" customHeight="1" x14ac:dyDescent="0.2"/>
    <row r="53425" ht="12.75" hidden="1" customHeight="1" x14ac:dyDescent="0.2"/>
    <row r="53426" ht="12.75" hidden="1" customHeight="1" x14ac:dyDescent="0.2"/>
    <row r="53427" ht="12.75" hidden="1" customHeight="1" x14ac:dyDescent="0.2"/>
    <row r="53428" ht="12.75" hidden="1" customHeight="1" x14ac:dyDescent="0.2"/>
    <row r="53429" ht="12.75" hidden="1" customHeight="1" x14ac:dyDescent="0.2"/>
    <row r="53430" ht="12.75" hidden="1" customHeight="1" x14ac:dyDescent="0.2"/>
    <row r="53431" ht="12.75" hidden="1" customHeight="1" x14ac:dyDescent="0.2"/>
    <row r="53432" ht="12.75" hidden="1" customHeight="1" x14ac:dyDescent="0.2"/>
    <row r="53433" ht="12.75" hidden="1" customHeight="1" x14ac:dyDescent="0.2"/>
    <row r="53434" ht="12.75" hidden="1" customHeight="1" x14ac:dyDescent="0.2"/>
    <row r="53435" ht="12.75" hidden="1" customHeight="1" x14ac:dyDescent="0.2"/>
    <row r="53436" ht="12.75" hidden="1" customHeight="1" x14ac:dyDescent="0.2"/>
    <row r="53437" ht="12.75" hidden="1" customHeight="1" x14ac:dyDescent="0.2"/>
    <row r="53438" ht="12.75" hidden="1" customHeight="1" x14ac:dyDescent="0.2"/>
    <row r="53439" ht="12.75" hidden="1" customHeight="1" x14ac:dyDescent="0.2"/>
    <row r="53440" ht="12.75" hidden="1" customHeight="1" x14ac:dyDescent="0.2"/>
    <row r="53441" ht="12.75" hidden="1" customHeight="1" x14ac:dyDescent="0.2"/>
    <row r="53442" ht="12.75" hidden="1" customHeight="1" x14ac:dyDescent="0.2"/>
    <row r="53443" ht="12.75" hidden="1" customHeight="1" x14ac:dyDescent="0.2"/>
    <row r="53444" ht="12.75" hidden="1" customHeight="1" x14ac:dyDescent="0.2"/>
    <row r="53445" ht="12.75" hidden="1" customHeight="1" x14ac:dyDescent="0.2"/>
    <row r="53446" ht="12.75" hidden="1" customHeight="1" x14ac:dyDescent="0.2"/>
    <row r="53447" ht="12.75" hidden="1" customHeight="1" x14ac:dyDescent="0.2"/>
    <row r="53448" ht="12.75" hidden="1" customHeight="1" x14ac:dyDescent="0.2"/>
    <row r="53449" ht="12.75" hidden="1" customHeight="1" x14ac:dyDescent="0.2"/>
    <row r="53450" ht="12.75" hidden="1" customHeight="1" x14ac:dyDescent="0.2"/>
    <row r="53451" ht="12.75" hidden="1" customHeight="1" x14ac:dyDescent="0.2"/>
    <row r="53452" ht="12.75" hidden="1" customHeight="1" x14ac:dyDescent="0.2"/>
    <row r="53453" ht="12.75" hidden="1" customHeight="1" x14ac:dyDescent="0.2"/>
    <row r="53454" ht="12.75" hidden="1" customHeight="1" x14ac:dyDescent="0.2"/>
    <row r="53455" ht="12.75" hidden="1" customHeight="1" x14ac:dyDescent="0.2"/>
    <row r="53456" ht="12.75" hidden="1" customHeight="1" x14ac:dyDescent="0.2"/>
    <row r="53457" ht="12.75" hidden="1" customHeight="1" x14ac:dyDescent="0.2"/>
    <row r="53458" ht="12.75" hidden="1" customHeight="1" x14ac:dyDescent="0.2"/>
    <row r="53459" ht="12.75" hidden="1" customHeight="1" x14ac:dyDescent="0.2"/>
    <row r="53460" ht="12.75" hidden="1" customHeight="1" x14ac:dyDescent="0.2"/>
    <row r="53461" ht="12.75" hidden="1" customHeight="1" x14ac:dyDescent="0.2"/>
    <row r="53462" ht="12.75" hidden="1" customHeight="1" x14ac:dyDescent="0.2"/>
    <row r="53463" ht="12.75" hidden="1" customHeight="1" x14ac:dyDescent="0.2"/>
    <row r="53464" ht="12.75" hidden="1" customHeight="1" x14ac:dyDescent="0.2"/>
    <row r="53465" ht="12.75" hidden="1" customHeight="1" x14ac:dyDescent="0.2"/>
    <row r="53466" ht="12.75" hidden="1" customHeight="1" x14ac:dyDescent="0.2"/>
    <row r="53467" ht="12.75" hidden="1" customHeight="1" x14ac:dyDescent="0.2"/>
    <row r="53468" ht="12.75" hidden="1" customHeight="1" x14ac:dyDescent="0.2"/>
    <row r="53469" ht="12.75" hidden="1" customHeight="1" x14ac:dyDescent="0.2"/>
    <row r="53470" ht="12.75" hidden="1" customHeight="1" x14ac:dyDescent="0.2"/>
    <row r="53471" ht="12.75" hidden="1" customHeight="1" x14ac:dyDescent="0.2"/>
    <row r="53472" ht="12.75" hidden="1" customHeight="1" x14ac:dyDescent="0.2"/>
    <row r="53473" ht="12.75" hidden="1" customHeight="1" x14ac:dyDescent="0.2"/>
    <row r="53474" ht="12.75" hidden="1" customHeight="1" x14ac:dyDescent="0.2"/>
    <row r="53475" ht="12.75" hidden="1" customHeight="1" x14ac:dyDescent="0.2"/>
    <row r="53476" ht="12.75" hidden="1" customHeight="1" x14ac:dyDescent="0.2"/>
    <row r="53477" ht="12.75" hidden="1" customHeight="1" x14ac:dyDescent="0.2"/>
    <row r="53478" ht="12.75" hidden="1" customHeight="1" x14ac:dyDescent="0.2"/>
    <row r="53479" ht="12.75" hidden="1" customHeight="1" x14ac:dyDescent="0.2"/>
    <row r="53480" ht="12.75" hidden="1" customHeight="1" x14ac:dyDescent="0.2"/>
    <row r="53481" ht="12.75" hidden="1" customHeight="1" x14ac:dyDescent="0.2"/>
    <row r="53482" ht="12.75" hidden="1" customHeight="1" x14ac:dyDescent="0.2"/>
    <row r="53483" ht="12.75" hidden="1" customHeight="1" x14ac:dyDescent="0.2"/>
    <row r="53484" ht="12.75" hidden="1" customHeight="1" x14ac:dyDescent="0.2"/>
    <row r="53485" ht="12.75" hidden="1" customHeight="1" x14ac:dyDescent="0.2"/>
    <row r="53486" ht="12.75" hidden="1" customHeight="1" x14ac:dyDescent="0.2"/>
    <row r="53487" ht="12.75" hidden="1" customHeight="1" x14ac:dyDescent="0.2"/>
    <row r="53488" ht="12.75" hidden="1" customHeight="1" x14ac:dyDescent="0.2"/>
    <row r="53489" ht="12.75" hidden="1" customHeight="1" x14ac:dyDescent="0.2"/>
    <row r="53490" ht="12.75" hidden="1" customHeight="1" x14ac:dyDescent="0.2"/>
    <row r="53491" ht="12.75" hidden="1" customHeight="1" x14ac:dyDescent="0.2"/>
    <row r="53492" ht="12.75" hidden="1" customHeight="1" x14ac:dyDescent="0.2"/>
    <row r="53493" ht="12.75" hidden="1" customHeight="1" x14ac:dyDescent="0.2"/>
    <row r="53494" ht="12.75" hidden="1" customHeight="1" x14ac:dyDescent="0.2"/>
    <row r="53495" ht="12.75" hidden="1" customHeight="1" x14ac:dyDescent="0.2"/>
    <row r="53496" ht="12.75" hidden="1" customHeight="1" x14ac:dyDescent="0.2"/>
    <row r="53497" ht="12.75" hidden="1" customHeight="1" x14ac:dyDescent="0.2"/>
    <row r="53498" ht="12.75" hidden="1" customHeight="1" x14ac:dyDescent="0.2"/>
    <row r="53499" ht="12.75" hidden="1" customHeight="1" x14ac:dyDescent="0.2"/>
    <row r="53500" ht="12.75" hidden="1" customHeight="1" x14ac:dyDescent="0.2"/>
    <row r="53501" ht="12.75" hidden="1" customHeight="1" x14ac:dyDescent="0.2"/>
    <row r="53502" ht="12.75" hidden="1" customHeight="1" x14ac:dyDescent="0.2"/>
    <row r="53503" ht="12.75" hidden="1" customHeight="1" x14ac:dyDescent="0.2"/>
    <row r="53504" ht="12.75" hidden="1" customHeight="1" x14ac:dyDescent="0.2"/>
    <row r="53505" ht="12.75" hidden="1" customHeight="1" x14ac:dyDescent="0.2"/>
    <row r="53506" ht="12.75" hidden="1" customHeight="1" x14ac:dyDescent="0.2"/>
    <row r="53507" ht="12.75" hidden="1" customHeight="1" x14ac:dyDescent="0.2"/>
    <row r="53508" ht="12.75" hidden="1" customHeight="1" x14ac:dyDescent="0.2"/>
    <row r="53509" ht="12.75" hidden="1" customHeight="1" x14ac:dyDescent="0.2"/>
    <row r="53510" ht="12.75" hidden="1" customHeight="1" x14ac:dyDescent="0.2"/>
    <row r="53511" ht="12.75" hidden="1" customHeight="1" x14ac:dyDescent="0.2"/>
    <row r="53512" ht="12.75" hidden="1" customHeight="1" x14ac:dyDescent="0.2"/>
    <row r="53513" ht="12.75" hidden="1" customHeight="1" x14ac:dyDescent="0.2"/>
    <row r="53514" ht="12.75" hidden="1" customHeight="1" x14ac:dyDescent="0.2"/>
    <row r="53515" ht="12.75" hidden="1" customHeight="1" x14ac:dyDescent="0.2"/>
    <row r="53516" ht="12.75" hidden="1" customHeight="1" x14ac:dyDescent="0.2"/>
    <row r="53517" ht="12.75" hidden="1" customHeight="1" x14ac:dyDescent="0.2"/>
    <row r="53518" ht="12.75" hidden="1" customHeight="1" x14ac:dyDescent="0.2"/>
    <row r="53519" ht="12.75" hidden="1" customHeight="1" x14ac:dyDescent="0.2"/>
    <row r="53520" ht="12.75" hidden="1" customHeight="1" x14ac:dyDescent="0.2"/>
    <row r="53521" ht="12.75" hidden="1" customHeight="1" x14ac:dyDescent="0.2"/>
    <row r="53522" ht="12.75" hidden="1" customHeight="1" x14ac:dyDescent="0.2"/>
    <row r="53523" ht="12.75" hidden="1" customHeight="1" x14ac:dyDescent="0.2"/>
    <row r="53524" ht="12.75" hidden="1" customHeight="1" x14ac:dyDescent="0.2"/>
    <row r="53525" ht="12.75" hidden="1" customHeight="1" x14ac:dyDescent="0.2"/>
    <row r="53526" ht="12.75" hidden="1" customHeight="1" x14ac:dyDescent="0.2"/>
    <row r="53527" ht="12.75" hidden="1" customHeight="1" x14ac:dyDescent="0.2"/>
    <row r="53528" ht="12.75" hidden="1" customHeight="1" x14ac:dyDescent="0.2"/>
    <row r="53529" ht="12.75" hidden="1" customHeight="1" x14ac:dyDescent="0.2"/>
    <row r="53530" ht="12.75" hidden="1" customHeight="1" x14ac:dyDescent="0.2"/>
    <row r="53531" ht="12.75" hidden="1" customHeight="1" x14ac:dyDescent="0.2"/>
    <row r="53532" ht="12.75" hidden="1" customHeight="1" x14ac:dyDescent="0.2"/>
    <row r="53533" ht="12.75" hidden="1" customHeight="1" x14ac:dyDescent="0.2"/>
    <row r="53534" ht="12.75" hidden="1" customHeight="1" x14ac:dyDescent="0.2"/>
    <row r="53535" ht="12.75" hidden="1" customHeight="1" x14ac:dyDescent="0.2"/>
    <row r="53536" ht="12.75" hidden="1" customHeight="1" x14ac:dyDescent="0.2"/>
    <row r="53537" ht="12.75" hidden="1" customHeight="1" x14ac:dyDescent="0.2"/>
    <row r="53538" ht="12.75" hidden="1" customHeight="1" x14ac:dyDescent="0.2"/>
    <row r="53539" ht="12.75" hidden="1" customHeight="1" x14ac:dyDescent="0.2"/>
    <row r="53540" ht="12.75" hidden="1" customHeight="1" x14ac:dyDescent="0.2"/>
    <row r="53541" ht="12.75" hidden="1" customHeight="1" x14ac:dyDescent="0.2"/>
    <row r="53542" ht="12.75" hidden="1" customHeight="1" x14ac:dyDescent="0.2"/>
    <row r="53543" ht="12.75" hidden="1" customHeight="1" x14ac:dyDescent="0.2"/>
    <row r="53544" ht="12.75" hidden="1" customHeight="1" x14ac:dyDescent="0.2"/>
    <row r="53545" ht="12.75" hidden="1" customHeight="1" x14ac:dyDescent="0.2"/>
    <row r="53546" ht="12.75" hidden="1" customHeight="1" x14ac:dyDescent="0.2"/>
    <row r="53547" ht="12.75" hidden="1" customHeight="1" x14ac:dyDescent="0.2"/>
    <row r="53548" ht="12.75" hidden="1" customHeight="1" x14ac:dyDescent="0.2"/>
    <row r="53549" ht="12.75" hidden="1" customHeight="1" x14ac:dyDescent="0.2"/>
    <row r="53550" ht="12.75" hidden="1" customHeight="1" x14ac:dyDescent="0.2"/>
    <row r="53551" ht="12.75" hidden="1" customHeight="1" x14ac:dyDescent="0.2"/>
    <row r="53552" ht="12.75" hidden="1" customHeight="1" x14ac:dyDescent="0.2"/>
    <row r="53553" ht="12.75" hidden="1" customHeight="1" x14ac:dyDescent="0.2"/>
    <row r="53554" ht="12.75" hidden="1" customHeight="1" x14ac:dyDescent="0.2"/>
    <row r="53555" ht="12.75" hidden="1" customHeight="1" x14ac:dyDescent="0.2"/>
    <row r="53556" ht="12.75" hidden="1" customHeight="1" x14ac:dyDescent="0.2"/>
    <row r="53557" ht="12.75" hidden="1" customHeight="1" x14ac:dyDescent="0.2"/>
    <row r="53558" ht="12.75" hidden="1" customHeight="1" x14ac:dyDescent="0.2"/>
    <row r="53559" ht="12.75" hidden="1" customHeight="1" x14ac:dyDescent="0.2"/>
    <row r="53560" ht="12.75" hidden="1" customHeight="1" x14ac:dyDescent="0.2"/>
    <row r="53561" ht="12.75" hidden="1" customHeight="1" x14ac:dyDescent="0.2"/>
    <row r="53562" ht="12.75" hidden="1" customHeight="1" x14ac:dyDescent="0.2"/>
    <row r="53563" ht="12.75" hidden="1" customHeight="1" x14ac:dyDescent="0.2"/>
    <row r="53564" ht="12.75" hidden="1" customHeight="1" x14ac:dyDescent="0.2"/>
    <row r="53565" ht="12.75" hidden="1" customHeight="1" x14ac:dyDescent="0.2"/>
    <row r="53566" ht="12.75" hidden="1" customHeight="1" x14ac:dyDescent="0.2"/>
    <row r="53567" ht="12.75" hidden="1" customHeight="1" x14ac:dyDescent="0.2"/>
    <row r="53568" ht="12.75" hidden="1" customHeight="1" x14ac:dyDescent="0.2"/>
    <row r="53569" ht="12.75" hidden="1" customHeight="1" x14ac:dyDescent="0.2"/>
    <row r="53570" ht="12.75" hidden="1" customHeight="1" x14ac:dyDescent="0.2"/>
    <row r="53571" ht="12.75" hidden="1" customHeight="1" x14ac:dyDescent="0.2"/>
    <row r="53572" ht="12.75" hidden="1" customHeight="1" x14ac:dyDescent="0.2"/>
    <row r="53573" ht="12.75" hidden="1" customHeight="1" x14ac:dyDescent="0.2"/>
    <row r="53574" ht="12.75" hidden="1" customHeight="1" x14ac:dyDescent="0.2"/>
    <row r="53575" ht="12.75" hidden="1" customHeight="1" x14ac:dyDescent="0.2"/>
    <row r="53576" ht="12.75" hidden="1" customHeight="1" x14ac:dyDescent="0.2"/>
    <row r="53577" ht="12.75" hidden="1" customHeight="1" x14ac:dyDescent="0.2"/>
    <row r="53578" ht="12.75" hidden="1" customHeight="1" x14ac:dyDescent="0.2"/>
    <row r="53579" ht="12.75" hidden="1" customHeight="1" x14ac:dyDescent="0.2"/>
    <row r="53580" ht="12.75" hidden="1" customHeight="1" x14ac:dyDescent="0.2"/>
    <row r="53581" ht="12.75" hidden="1" customHeight="1" x14ac:dyDescent="0.2"/>
    <row r="53582" ht="12.75" hidden="1" customHeight="1" x14ac:dyDescent="0.2"/>
    <row r="53583" ht="12.75" hidden="1" customHeight="1" x14ac:dyDescent="0.2"/>
    <row r="53584" ht="12.75" hidden="1" customHeight="1" x14ac:dyDescent="0.2"/>
    <row r="53585" ht="12.75" hidden="1" customHeight="1" x14ac:dyDescent="0.2"/>
    <row r="53586" ht="12.75" hidden="1" customHeight="1" x14ac:dyDescent="0.2"/>
    <row r="53587" ht="12.75" hidden="1" customHeight="1" x14ac:dyDescent="0.2"/>
    <row r="53588" ht="12.75" hidden="1" customHeight="1" x14ac:dyDescent="0.2"/>
    <row r="53589" ht="12.75" hidden="1" customHeight="1" x14ac:dyDescent="0.2"/>
    <row r="53590" ht="12.75" hidden="1" customHeight="1" x14ac:dyDescent="0.2"/>
    <row r="53591" ht="12.75" hidden="1" customHeight="1" x14ac:dyDescent="0.2"/>
    <row r="53592" ht="12.75" hidden="1" customHeight="1" x14ac:dyDescent="0.2"/>
    <row r="53593" ht="12.75" hidden="1" customHeight="1" x14ac:dyDescent="0.2"/>
    <row r="53594" ht="12.75" hidden="1" customHeight="1" x14ac:dyDescent="0.2"/>
    <row r="53595" ht="12.75" hidden="1" customHeight="1" x14ac:dyDescent="0.2"/>
    <row r="53596" ht="12.75" hidden="1" customHeight="1" x14ac:dyDescent="0.2"/>
    <row r="53597" ht="12.75" hidden="1" customHeight="1" x14ac:dyDescent="0.2"/>
    <row r="53598" ht="12.75" hidden="1" customHeight="1" x14ac:dyDescent="0.2"/>
    <row r="53599" ht="12.75" hidden="1" customHeight="1" x14ac:dyDescent="0.2"/>
    <row r="53600" ht="12.75" hidden="1" customHeight="1" x14ac:dyDescent="0.2"/>
    <row r="53601" ht="12.75" hidden="1" customHeight="1" x14ac:dyDescent="0.2"/>
    <row r="53602" ht="12.75" hidden="1" customHeight="1" x14ac:dyDescent="0.2"/>
    <row r="53603" ht="12.75" hidden="1" customHeight="1" x14ac:dyDescent="0.2"/>
    <row r="53604" ht="12.75" hidden="1" customHeight="1" x14ac:dyDescent="0.2"/>
    <row r="53605" ht="12.75" hidden="1" customHeight="1" x14ac:dyDescent="0.2"/>
    <row r="53606" ht="12.75" hidden="1" customHeight="1" x14ac:dyDescent="0.2"/>
    <row r="53607" ht="12.75" hidden="1" customHeight="1" x14ac:dyDescent="0.2"/>
    <row r="53608" ht="12.75" hidden="1" customHeight="1" x14ac:dyDescent="0.2"/>
    <row r="53609" ht="12.75" hidden="1" customHeight="1" x14ac:dyDescent="0.2"/>
    <row r="53610" ht="12.75" hidden="1" customHeight="1" x14ac:dyDescent="0.2"/>
    <row r="53611" ht="12.75" hidden="1" customHeight="1" x14ac:dyDescent="0.2"/>
    <row r="53612" ht="12.75" hidden="1" customHeight="1" x14ac:dyDescent="0.2"/>
    <row r="53613" ht="12.75" hidden="1" customHeight="1" x14ac:dyDescent="0.2"/>
    <row r="53614" ht="12.75" hidden="1" customHeight="1" x14ac:dyDescent="0.2"/>
    <row r="53615" ht="12.75" hidden="1" customHeight="1" x14ac:dyDescent="0.2"/>
    <row r="53616" ht="12.75" hidden="1" customHeight="1" x14ac:dyDescent="0.2"/>
    <row r="53617" ht="12.75" hidden="1" customHeight="1" x14ac:dyDescent="0.2"/>
    <row r="53618" ht="12.75" hidden="1" customHeight="1" x14ac:dyDescent="0.2"/>
    <row r="53619" ht="12.75" hidden="1" customHeight="1" x14ac:dyDescent="0.2"/>
    <row r="53620" ht="12.75" hidden="1" customHeight="1" x14ac:dyDescent="0.2"/>
    <row r="53621" ht="12.75" hidden="1" customHeight="1" x14ac:dyDescent="0.2"/>
    <row r="53622" ht="12.75" hidden="1" customHeight="1" x14ac:dyDescent="0.2"/>
    <row r="53623" ht="12.75" hidden="1" customHeight="1" x14ac:dyDescent="0.2"/>
    <row r="53624" ht="12.75" hidden="1" customHeight="1" x14ac:dyDescent="0.2"/>
    <row r="53625" ht="12.75" hidden="1" customHeight="1" x14ac:dyDescent="0.2"/>
    <row r="53626" ht="12.75" hidden="1" customHeight="1" x14ac:dyDescent="0.2"/>
    <row r="53627" ht="12.75" hidden="1" customHeight="1" x14ac:dyDescent="0.2"/>
    <row r="53628" ht="12.75" hidden="1" customHeight="1" x14ac:dyDescent="0.2"/>
    <row r="53629" ht="12.75" hidden="1" customHeight="1" x14ac:dyDescent="0.2"/>
    <row r="53630" ht="12.75" hidden="1" customHeight="1" x14ac:dyDescent="0.2"/>
    <row r="53631" ht="12.75" hidden="1" customHeight="1" x14ac:dyDescent="0.2"/>
    <row r="53632" ht="12.75" hidden="1" customHeight="1" x14ac:dyDescent="0.2"/>
    <row r="53633" ht="12.75" hidden="1" customHeight="1" x14ac:dyDescent="0.2"/>
    <row r="53634" ht="12.75" hidden="1" customHeight="1" x14ac:dyDescent="0.2"/>
    <row r="53635" ht="12.75" hidden="1" customHeight="1" x14ac:dyDescent="0.2"/>
    <row r="53636" ht="12.75" hidden="1" customHeight="1" x14ac:dyDescent="0.2"/>
    <row r="53637" ht="12.75" hidden="1" customHeight="1" x14ac:dyDescent="0.2"/>
    <row r="53638" ht="12.75" hidden="1" customHeight="1" x14ac:dyDescent="0.2"/>
    <row r="53639" ht="12.75" hidden="1" customHeight="1" x14ac:dyDescent="0.2"/>
    <row r="53640" ht="12.75" hidden="1" customHeight="1" x14ac:dyDescent="0.2"/>
    <row r="53641" ht="12.75" hidden="1" customHeight="1" x14ac:dyDescent="0.2"/>
    <row r="53642" ht="12.75" hidden="1" customHeight="1" x14ac:dyDescent="0.2"/>
    <row r="53643" ht="12.75" hidden="1" customHeight="1" x14ac:dyDescent="0.2"/>
    <row r="53644" ht="12.75" hidden="1" customHeight="1" x14ac:dyDescent="0.2"/>
    <row r="53645" ht="12.75" hidden="1" customHeight="1" x14ac:dyDescent="0.2"/>
    <row r="53646" ht="12.75" hidden="1" customHeight="1" x14ac:dyDescent="0.2"/>
    <row r="53647" ht="12.75" hidden="1" customHeight="1" x14ac:dyDescent="0.2"/>
    <row r="53648" ht="12.75" hidden="1" customHeight="1" x14ac:dyDescent="0.2"/>
    <row r="53649" ht="12.75" hidden="1" customHeight="1" x14ac:dyDescent="0.2"/>
    <row r="53650" ht="12.75" hidden="1" customHeight="1" x14ac:dyDescent="0.2"/>
    <row r="53651" ht="12.75" hidden="1" customHeight="1" x14ac:dyDescent="0.2"/>
    <row r="53652" ht="12.75" hidden="1" customHeight="1" x14ac:dyDescent="0.2"/>
    <row r="53653" ht="12.75" hidden="1" customHeight="1" x14ac:dyDescent="0.2"/>
    <row r="53654" ht="12.75" hidden="1" customHeight="1" x14ac:dyDescent="0.2"/>
    <row r="53655" ht="12.75" hidden="1" customHeight="1" x14ac:dyDescent="0.2"/>
    <row r="53656" ht="12.75" hidden="1" customHeight="1" x14ac:dyDescent="0.2"/>
    <row r="53657" ht="12.75" hidden="1" customHeight="1" x14ac:dyDescent="0.2"/>
    <row r="53658" ht="12.75" hidden="1" customHeight="1" x14ac:dyDescent="0.2"/>
    <row r="53659" ht="12.75" hidden="1" customHeight="1" x14ac:dyDescent="0.2"/>
    <row r="53660" ht="12.75" hidden="1" customHeight="1" x14ac:dyDescent="0.2"/>
    <row r="53661" ht="12.75" hidden="1" customHeight="1" x14ac:dyDescent="0.2"/>
    <row r="53662" ht="12.75" hidden="1" customHeight="1" x14ac:dyDescent="0.2"/>
    <row r="53663" ht="12.75" hidden="1" customHeight="1" x14ac:dyDescent="0.2"/>
    <row r="53664" ht="12.75" hidden="1" customHeight="1" x14ac:dyDescent="0.2"/>
    <row r="53665" ht="12.75" hidden="1" customHeight="1" x14ac:dyDescent="0.2"/>
    <row r="53666" ht="12.75" hidden="1" customHeight="1" x14ac:dyDescent="0.2"/>
    <row r="53667" ht="12.75" hidden="1" customHeight="1" x14ac:dyDescent="0.2"/>
    <row r="53668" ht="12.75" hidden="1" customHeight="1" x14ac:dyDescent="0.2"/>
    <row r="53669" ht="12.75" hidden="1" customHeight="1" x14ac:dyDescent="0.2"/>
    <row r="53670" ht="12.75" hidden="1" customHeight="1" x14ac:dyDescent="0.2"/>
    <row r="53671" ht="12.75" hidden="1" customHeight="1" x14ac:dyDescent="0.2"/>
    <row r="53672" ht="12.75" hidden="1" customHeight="1" x14ac:dyDescent="0.2"/>
    <row r="53673" ht="12.75" hidden="1" customHeight="1" x14ac:dyDescent="0.2"/>
    <row r="53674" ht="12.75" hidden="1" customHeight="1" x14ac:dyDescent="0.2"/>
    <row r="53675" ht="12.75" hidden="1" customHeight="1" x14ac:dyDescent="0.2"/>
    <row r="53676" ht="12.75" hidden="1" customHeight="1" x14ac:dyDescent="0.2"/>
    <row r="53677" ht="12.75" hidden="1" customHeight="1" x14ac:dyDescent="0.2"/>
    <row r="53678" ht="12.75" hidden="1" customHeight="1" x14ac:dyDescent="0.2"/>
    <row r="53679" ht="12.75" hidden="1" customHeight="1" x14ac:dyDescent="0.2"/>
    <row r="53680" ht="12.75" hidden="1" customHeight="1" x14ac:dyDescent="0.2"/>
    <row r="53681" ht="12.75" hidden="1" customHeight="1" x14ac:dyDescent="0.2"/>
    <row r="53682" ht="12.75" hidden="1" customHeight="1" x14ac:dyDescent="0.2"/>
    <row r="53683" ht="12.75" hidden="1" customHeight="1" x14ac:dyDescent="0.2"/>
    <row r="53684" ht="12.75" hidden="1" customHeight="1" x14ac:dyDescent="0.2"/>
    <row r="53685" ht="12.75" hidden="1" customHeight="1" x14ac:dyDescent="0.2"/>
    <row r="53686" ht="12.75" hidden="1" customHeight="1" x14ac:dyDescent="0.2"/>
    <row r="53687" ht="12.75" hidden="1" customHeight="1" x14ac:dyDescent="0.2"/>
    <row r="53688" ht="12.75" hidden="1" customHeight="1" x14ac:dyDescent="0.2"/>
    <row r="53689" ht="12.75" hidden="1" customHeight="1" x14ac:dyDescent="0.2"/>
    <row r="53690" ht="12.75" hidden="1" customHeight="1" x14ac:dyDescent="0.2"/>
    <row r="53691" ht="12.75" hidden="1" customHeight="1" x14ac:dyDescent="0.2"/>
    <row r="53692" ht="12.75" hidden="1" customHeight="1" x14ac:dyDescent="0.2"/>
    <row r="53693" ht="12.75" hidden="1" customHeight="1" x14ac:dyDescent="0.2"/>
    <row r="53694" ht="12.75" hidden="1" customHeight="1" x14ac:dyDescent="0.2"/>
    <row r="53695" ht="12.75" hidden="1" customHeight="1" x14ac:dyDescent="0.2"/>
    <row r="53696" ht="12.75" hidden="1" customHeight="1" x14ac:dyDescent="0.2"/>
    <row r="53697" ht="12.75" hidden="1" customHeight="1" x14ac:dyDescent="0.2"/>
    <row r="53698" ht="12.75" hidden="1" customHeight="1" x14ac:dyDescent="0.2"/>
    <row r="53699" ht="12.75" hidden="1" customHeight="1" x14ac:dyDescent="0.2"/>
    <row r="53700" ht="12.75" hidden="1" customHeight="1" x14ac:dyDescent="0.2"/>
    <row r="53701" ht="12.75" hidden="1" customHeight="1" x14ac:dyDescent="0.2"/>
    <row r="53702" ht="12.75" hidden="1" customHeight="1" x14ac:dyDescent="0.2"/>
    <row r="53703" ht="12.75" hidden="1" customHeight="1" x14ac:dyDescent="0.2"/>
    <row r="53704" ht="12.75" hidden="1" customHeight="1" x14ac:dyDescent="0.2"/>
    <row r="53705" ht="12.75" hidden="1" customHeight="1" x14ac:dyDescent="0.2"/>
    <row r="53706" ht="12.75" hidden="1" customHeight="1" x14ac:dyDescent="0.2"/>
    <row r="53707" ht="12.75" hidden="1" customHeight="1" x14ac:dyDescent="0.2"/>
    <row r="53708" ht="12.75" hidden="1" customHeight="1" x14ac:dyDescent="0.2"/>
    <row r="53709" ht="12.75" hidden="1" customHeight="1" x14ac:dyDescent="0.2"/>
    <row r="53710" ht="12.75" hidden="1" customHeight="1" x14ac:dyDescent="0.2"/>
    <row r="53711" ht="12.75" hidden="1" customHeight="1" x14ac:dyDescent="0.2"/>
    <row r="53712" ht="12.75" hidden="1" customHeight="1" x14ac:dyDescent="0.2"/>
    <row r="53713" ht="12.75" hidden="1" customHeight="1" x14ac:dyDescent="0.2"/>
    <row r="53714" ht="12.75" hidden="1" customHeight="1" x14ac:dyDescent="0.2"/>
    <row r="53715" ht="12.75" hidden="1" customHeight="1" x14ac:dyDescent="0.2"/>
    <row r="53716" ht="12.75" hidden="1" customHeight="1" x14ac:dyDescent="0.2"/>
    <row r="53717" ht="12.75" hidden="1" customHeight="1" x14ac:dyDescent="0.2"/>
    <row r="53718" ht="12.75" hidden="1" customHeight="1" x14ac:dyDescent="0.2"/>
    <row r="53719" ht="12.75" hidden="1" customHeight="1" x14ac:dyDescent="0.2"/>
    <row r="53720" ht="12.75" hidden="1" customHeight="1" x14ac:dyDescent="0.2"/>
    <row r="53721" ht="12.75" hidden="1" customHeight="1" x14ac:dyDescent="0.2"/>
    <row r="53722" ht="12.75" hidden="1" customHeight="1" x14ac:dyDescent="0.2"/>
    <row r="53723" ht="12.75" hidden="1" customHeight="1" x14ac:dyDescent="0.2"/>
    <row r="53724" ht="12.75" hidden="1" customHeight="1" x14ac:dyDescent="0.2"/>
    <row r="53725" ht="12.75" hidden="1" customHeight="1" x14ac:dyDescent="0.2"/>
    <row r="53726" ht="12.75" hidden="1" customHeight="1" x14ac:dyDescent="0.2"/>
    <row r="53727" ht="12.75" hidden="1" customHeight="1" x14ac:dyDescent="0.2"/>
    <row r="53728" ht="12.75" hidden="1" customHeight="1" x14ac:dyDescent="0.2"/>
    <row r="53729" ht="12.75" hidden="1" customHeight="1" x14ac:dyDescent="0.2"/>
    <row r="53730" ht="12.75" hidden="1" customHeight="1" x14ac:dyDescent="0.2"/>
    <row r="53731" ht="12.75" hidden="1" customHeight="1" x14ac:dyDescent="0.2"/>
    <row r="53732" ht="12.75" hidden="1" customHeight="1" x14ac:dyDescent="0.2"/>
    <row r="53733" ht="12.75" hidden="1" customHeight="1" x14ac:dyDescent="0.2"/>
    <row r="53734" ht="12.75" hidden="1" customHeight="1" x14ac:dyDescent="0.2"/>
    <row r="53735" ht="12.75" hidden="1" customHeight="1" x14ac:dyDescent="0.2"/>
    <row r="53736" ht="12.75" hidden="1" customHeight="1" x14ac:dyDescent="0.2"/>
    <row r="53737" ht="12.75" hidden="1" customHeight="1" x14ac:dyDescent="0.2"/>
    <row r="53738" ht="12.75" hidden="1" customHeight="1" x14ac:dyDescent="0.2"/>
    <row r="53739" ht="12.75" hidden="1" customHeight="1" x14ac:dyDescent="0.2"/>
    <row r="53740" ht="12.75" hidden="1" customHeight="1" x14ac:dyDescent="0.2"/>
    <row r="53741" ht="12.75" hidden="1" customHeight="1" x14ac:dyDescent="0.2"/>
    <row r="53742" ht="12.75" hidden="1" customHeight="1" x14ac:dyDescent="0.2"/>
    <row r="53743" ht="12.75" hidden="1" customHeight="1" x14ac:dyDescent="0.2"/>
    <row r="53744" ht="12.75" hidden="1" customHeight="1" x14ac:dyDescent="0.2"/>
    <row r="53745" ht="12.75" hidden="1" customHeight="1" x14ac:dyDescent="0.2"/>
    <row r="53746" ht="12.75" hidden="1" customHeight="1" x14ac:dyDescent="0.2"/>
    <row r="53747" ht="12.75" hidden="1" customHeight="1" x14ac:dyDescent="0.2"/>
    <row r="53748" ht="12.75" hidden="1" customHeight="1" x14ac:dyDescent="0.2"/>
    <row r="53749" ht="12.75" hidden="1" customHeight="1" x14ac:dyDescent="0.2"/>
    <row r="53750" ht="12.75" hidden="1" customHeight="1" x14ac:dyDescent="0.2"/>
    <row r="53751" ht="12.75" hidden="1" customHeight="1" x14ac:dyDescent="0.2"/>
    <row r="53752" ht="12.75" hidden="1" customHeight="1" x14ac:dyDescent="0.2"/>
    <row r="53753" ht="12.75" hidden="1" customHeight="1" x14ac:dyDescent="0.2"/>
    <row r="53754" ht="12.75" hidden="1" customHeight="1" x14ac:dyDescent="0.2"/>
    <row r="53755" ht="12.75" hidden="1" customHeight="1" x14ac:dyDescent="0.2"/>
    <row r="53756" ht="12.75" hidden="1" customHeight="1" x14ac:dyDescent="0.2"/>
    <row r="53757" ht="12.75" hidden="1" customHeight="1" x14ac:dyDescent="0.2"/>
    <row r="53758" ht="12.75" hidden="1" customHeight="1" x14ac:dyDescent="0.2"/>
    <row r="53759" ht="12.75" hidden="1" customHeight="1" x14ac:dyDescent="0.2"/>
    <row r="53760" ht="12.75" hidden="1" customHeight="1" x14ac:dyDescent="0.2"/>
    <row r="53761" ht="12.75" hidden="1" customHeight="1" x14ac:dyDescent="0.2"/>
    <row r="53762" ht="12.75" hidden="1" customHeight="1" x14ac:dyDescent="0.2"/>
    <row r="53763" ht="12.75" hidden="1" customHeight="1" x14ac:dyDescent="0.2"/>
    <row r="53764" ht="12.75" hidden="1" customHeight="1" x14ac:dyDescent="0.2"/>
    <row r="53765" ht="12.75" hidden="1" customHeight="1" x14ac:dyDescent="0.2"/>
    <row r="53766" ht="12.75" hidden="1" customHeight="1" x14ac:dyDescent="0.2"/>
    <row r="53767" ht="12.75" hidden="1" customHeight="1" x14ac:dyDescent="0.2"/>
    <row r="53768" ht="12.75" hidden="1" customHeight="1" x14ac:dyDescent="0.2"/>
    <row r="53769" ht="12.75" hidden="1" customHeight="1" x14ac:dyDescent="0.2"/>
    <row r="53770" ht="12.75" hidden="1" customHeight="1" x14ac:dyDescent="0.2"/>
    <row r="53771" ht="12.75" hidden="1" customHeight="1" x14ac:dyDescent="0.2"/>
    <row r="53772" ht="12.75" hidden="1" customHeight="1" x14ac:dyDescent="0.2"/>
    <row r="53773" ht="12.75" hidden="1" customHeight="1" x14ac:dyDescent="0.2"/>
    <row r="53774" ht="12.75" hidden="1" customHeight="1" x14ac:dyDescent="0.2"/>
    <row r="53775" ht="12.75" hidden="1" customHeight="1" x14ac:dyDescent="0.2"/>
    <row r="53776" ht="12.75" hidden="1" customHeight="1" x14ac:dyDescent="0.2"/>
    <row r="53777" ht="12.75" hidden="1" customHeight="1" x14ac:dyDescent="0.2"/>
    <row r="53778" ht="12.75" hidden="1" customHeight="1" x14ac:dyDescent="0.2"/>
    <row r="53779" ht="12.75" hidden="1" customHeight="1" x14ac:dyDescent="0.2"/>
    <row r="53780" ht="12.75" hidden="1" customHeight="1" x14ac:dyDescent="0.2"/>
    <row r="53781" ht="12.75" hidden="1" customHeight="1" x14ac:dyDescent="0.2"/>
    <row r="53782" ht="12.75" hidden="1" customHeight="1" x14ac:dyDescent="0.2"/>
    <row r="53783" ht="12.75" hidden="1" customHeight="1" x14ac:dyDescent="0.2"/>
    <row r="53784" ht="12.75" hidden="1" customHeight="1" x14ac:dyDescent="0.2"/>
    <row r="53785" ht="12.75" hidden="1" customHeight="1" x14ac:dyDescent="0.2"/>
    <row r="53786" ht="12.75" hidden="1" customHeight="1" x14ac:dyDescent="0.2"/>
    <row r="53787" ht="12.75" hidden="1" customHeight="1" x14ac:dyDescent="0.2"/>
    <row r="53788" ht="12.75" hidden="1" customHeight="1" x14ac:dyDescent="0.2"/>
    <row r="53789" ht="12.75" hidden="1" customHeight="1" x14ac:dyDescent="0.2"/>
    <row r="53790" ht="12.75" hidden="1" customHeight="1" x14ac:dyDescent="0.2"/>
    <row r="53791" ht="12.75" hidden="1" customHeight="1" x14ac:dyDescent="0.2"/>
    <row r="53792" ht="12.75" hidden="1" customHeight="1" x14ac:dyDescent="0.2"/>
    <row r="53793" ht="12.75" hidden="1" customHeight="1" x14ac:dyDescent="0.2"/>
    <row r="53794" ht="12.75" hidden="1" customHeight="1" x14ac:dyDescent="0.2"/>
    <row r="53795" ht="12.75" hidden="1" customHeight="1" x14ac:dyDescent="0.2"/>
    <row r="53796" ht="12.75" hidden="1" customHeight="1" x14ac:dyDescent="0.2"/>
    <row r="53797" ht="12.75" hidden="1" customHeight="1" x14ac:dyDescent="0.2"/>
    <row r="53798" ht="12.75" hidden="1" customHeight="1" x14ac:dyDescent="0.2"/>
    <row r="53799" ht="12.75" hidden="1" customHeight="1" x14ac:dyDescent="0.2"/>
    <row r="53800" ht="12.75" hidden="1" customHeight="1" x14ac:dyDescent="0.2"/>
    <row r="53801" ht="12.75" hidden="1" customHeight="1" x14ac:dyDescent="0.2"/>
    <row r="53802" ht="12.75" hidden="1" customHeight="1" x14ac:dyDescent="0.2"/>
    <row r="53803" ht="12.75" hidden="1" customHeight="1" x14ac:dyDescent="0.2"/>
    <row r="53804" ht="12.75" hidden="1" customHeight="1" x14ac:dyDescent="0.2"/>
    <row r="53805" ht="12.75" hidden="1" customHeight="1" x14ac:dyDescent="0.2"/>
    <row r="53806" ht="12.75" hidden="1" customHeight="1" x14ac:dyDescent="0.2"/>
    <row r="53807" ht="12.75" hidden="1" customHeight="1" x14ac:dyDescent="0.2"/>
    <row r="53808" ht="12.75" hidden="1" customHeight="1" x14ac:dyDescent="0.2"/>
    <row r="53809" ht="12.75" hidden="1" customHeight="1" x14ac:dyDescent="0.2"/>
    <row r="53810" ht="12.75" hidden="1" customHeight="1" x14ac:dyDescent="0.2"/>
    <row r="53811" ht="12.75" hidden="1" customHeight="1" x14ac:dyDescent="0.2"/>
    <row r="53812" ht="12.75" hidden="1" customHeight="1" x14ac:dyDescent="0.2"/>
    <row r="53813" ht="12.75" hidden="1" customHeight="1" x14ac:dyDescent="0.2"/>
    <row r="53814" ht="12.75" hidden="1" customHeight="1" x14ac:dyDescent="0.2"/>
    <row r="53815" ht="12.75" hidden="1" customHeight="1" x14ac:dyDescent="0.2"/>
    <row r="53816" ht="12.75" hidden="1" customHeight="1" x14ac:dyDescent="0.2"/>
    <row r="53817" ht="12.75" hidden="1" customHeight="1" x14ac:dyDescent="0.2"/>
    <row r="53818" ht="12.75" hidden="1" customHeight="1" x14ac:dyDescent="0.2"/>
    <row r="53819" ht="12.75" hidden="1" customHeight="1" x14ac:dyDescent="0.2"/>
    <row r="53820" ht="12.75" hidden="1" customHeight="1" x14ac:dyDescent="0.2"/>
    <row r="53821" ht="12.75" hidden="1" customHeight="1" x14ac:dyDescent="0.2"/>
    <row r="53822" ht="12.75" hidden="1" customHeight="1" x14ac:dyDescent="0.2"/>
    <row r="53823" ht="12.75" hidden="1" customHeight="1" x14ac:dyDescent="0.2"/>
    <row r="53824" ht="12.75" hidden="1" customHeight="1" x14ac:dyDescent="0.2"/>
    <row r="53825" ht="12.75" hidden="1" customHeight="1" x14ac:dyDescent="0.2"/>
    <row r="53826" ht="12.75" hidden="1" customHeight="1" x14ac:dyDescent="0.2"/>
    <row r="53827" ht="12.75" hidden="1" customHeight="1" x14ac:dyDescent="0.2"/>
    <row r="53828" ht="12.75" hidden="1" customHeight="1" x14ac:dyDescent="0.2"/>
    <row r="53829" ht="12.75" hidden="1" customHeight="1" x14ac:dyDescent="0.2"/>
    <row r="53830" ht="12.75" hidden="1" customHeight="1" x14ac:dyDescent="0.2"/>
    <row r="53831" ht="12.75" hidden="1" customHeight="1" x14ac:dyDescent="0.2"/>
    <row r="53832" ht="12.75" hidden="1" customHeight="1" x14ac:dyDescent="0.2"/>
    <row r="53833" ht="12.75" hidden="1" customHeight="1" x14ac:dyDescent="0.2"/>
    <row r="53834" ht="12.75" hidden="1" customHeight="1" x14ac:dyDescent="0.2"/>
    <row r="53835" ht="12.75" hidden="1" customHeight="1" x14ac:dyDescent="0.2"/>
    <row r="53836" ht="12.75" hidden="1" customHeight="1" x14ac:dyDescent="0.2"/>
    <row r="53837" ht="12.75" hidden="1" customHeight="1" x14ac:dyDescent="0.2"/>
    <row r="53838" ht="12.75" hidden="1" customHeight="1" x14ac:dyDescent="0.2"/>
    <row r="53839" ht="12.75" hidden="1" customHeight="1" x14ac:dyDescent="0.2"/>
    <row r="53840" ht="12.75" hidden="1" customHeight="1" x14ac:dyDescent="0.2"/>
    <row r="53841" ht="12.75" hidden="1" customHeight="1" x14ac:dyDescent="0.2"/>
    <row r="53842" ht="12.75" hidden="1" customHeight="1" x14ac:dyDescent="0.2"/>
    <row r="53843" ht="12.75" hidden="1" customHeight="1" x14ac:dyDescent="0.2"/>
    <row r="53844" ht="12.75" hidden="1" customHeight="1" x14ac:dyDescent="0.2"/>
    <row r="53845" ht="12.75" hidden="1" customHeight="1" x14ac:dyDescent="0.2"/>
    <row r="53846" ht="12.75" hidden="1" customHeight="1" x14ac:dyDescent="0.2"/>
    <row r="53847" ht="12.75" hidden="1" customHeight="1" x14ac:dyDescent="0.2"/>
    <row r="53848" ht="12.75" hidden="1" customHeight="1" x14ac:dyDescent="0.2"/>
    <row r="53849" ht="12.75" hidden="1" customHeight="1" x14ac:dyDescent="0.2"/>
    <row r="53850" ht="12.75" hidden="1" customHeight="1" x14ac:dyDescent="0.2"/>
    <row r="53851" ht="12.75" hidden="1" customHeight="1" x14ac:dyDescent="0.2"/>
    <row r="53852" ht="12.75" hidden="1" customHeight="1" x14ac:dyDescent="0.2"/>
    <row r="53853" ht="12.75" hidden="1" customHeight="1" x14ac:dyDescent="0.2"/>
    <row r="53854" ht="12.75" hidden="1" customHeight="1" x14ac:dyDescent="0.2"/>
    <row r="53855" ht="12.75" hidden="1" customHeight="1" x14ac:dyDescent="0.2"/>
    <row r="53856" ht="12.75" hidden="1" customHeight="1" x14ac:dyDescent="0.2"/>
    <row r="53857" ht="12.75" hidden="1" customHeight="1" x14ac:dyDescent="0.2"/>
    <row r="53858" ht="12.75" hidden="1" customHeight="1" x14ac:dyDescent="0.2"/>
    <row r="53859" ht="12.75" hidden="1" customHeight="1" x14ac:dyDescent="0.2"/>
    <row r="53860" ht="12.75" hidden="1" customHeight="1" x14ac:dyDescent="0.2"/>
    <row r="53861" ht="12.75" hidden="1" customHeight="1" x14ac:dyDescent="0.2"/>
    <row r="53862" ht="12.75" hidden="1" customHeight="1" x14ac:dyDescent="0.2"/>
    <row r="53863" ht="12.75" hidden="1" customHeight="1" x14ac:dyDescent="0.2"/>
    <row r="53864" ht="12.75" hidden="1" customHeight="1" x14ac:dyDescent="0.2"/>
    <row r="53865" ht="12.75" hidden="1" customHeight="1" x14ac:dyDescent="0.2"/>
    <row r="53866" ht="12.75" hidden="1" customHeight="1" x14ac:dyDescent="0.2"/>
    <row r="53867" ht="12.75" hidden="1" customHeight="1" x14ac:dyDescent="0.2"/>
    <row r="53868" ht="12.75" hidden="1" customHeight="1" x14ac:dyDescent="0.2"/>
    <row r="53869" ht="12.75" hidden="1" customHeight="1" x14ac:dyDescent="0.2"/>
    <row r="53870" ht="12.75" hidden="1" customHeight="1" x14ac:dyDescent="0.2"/>
    <row r="53871" ht="12.75" hidden="1" customHeight="1" x14ac:dyDescent="0.2"/>
    <row r="53872" ht="12.75" hidden="1" customHeight="1" x14ac:dyDescent="0.2"/>
    <row r="53873" ht="12.75" hidden="1" customHeight="1" x14ac:dyDescent="0.2"/>
    <row r="53874" ht="12.75" hidden="1" customHeight="1" x14ac:dyDescent="0.2"/>
    <row r="53875" ht="12.75" hidden="1" customHeight="1" x14ac:dyDescent="0.2"/>
    <row r="53876" ht="12.75" hidden="1" customHeight="1" x14ac:dyDescent="0.2"/>
    <row r="53877" ht="12.75" hidden="1" customHeight="1" x14ac:dyDescent="0.2"/>
    <row r="53878" ht="12.75" hidden="1" customHeight="1" x14ac:dyDescent="0.2"/>
    <row r="53879" ht="12.75" hidden="1" customHeight="1" x14ac:dyDescent="0.2"/>
    <row r="53880" ht="12.75" hidden="1" customHeight="1" x14ac:dyDescent="0.2"/>
    <row r="53881" ht="12.75" hidden="1" customHeight="1" x14ac:dyDescent="0.2"/>
    <row r="53882" ht="12.75" hidden="1" customHeight="1" x14ac:dyDescent="0.2"/>
    <row r="53883" ht="12.75" hidden="1" customHeight="1" x14ac:dyDescent="0.2"/>
    <row r="53884" ht="12.75" hidden="1" customHeight="1" x14ac:dyDescent="0.2"/>
    <row r="53885" ht="12.75" hidden="1" customHeight="1" x14ac:dyDescent="0.2"/>
    <row r="53886" ht="12.75" hidden="1" customHeight="1" x14ac:dyDescent="0.2"/>
    <row r="53887" ht="12.75" hidden="1" customHeight="1" x14ac:dyDescent="0.2"/>
    <row r="53888" ht="12.75" hidden="1" customHeight="1" x14ac:dyDescent="0.2"/>
    <row r="53889" ht="12.75" hidden="1" customHeight="1" x14ac:dyDescent="0.2"/>
    <row r="53890" ht="12.75" hidden="1" customHeight="1" x14ac:dyDescent="0.2"/>
    <row r="53891" ht="12.75" hidden="1" customHeight="1" x14ac:dyDescent="0.2"/>
    <row r="53892" ht="12.75" hidden="1" customHeight="1" x14ac:dyDescent="0.2"/>
    <row r="53893" ht="12.75" hidden="1" customHeight="1" x14ac:dyDescent="0.2"/>
    <row r="53894" ht="12.75" hidden="1" customHeight="1" x14ac:dyDescent="0.2"/>
    <row r="53895" ht="12.75" hidden="1" customHeight="1" x14ac:dyDescent="0.2"/>
    <row r="53896" ht="12.75" hidden="1" customHeight="1" x14ac:dyDescent="0.2"/>
    <row r="53897" ht="12.75" hidden="1" customHeight="1" x14ac:dyDescent="0.2"/>
    <row r="53898" ht="12.75" hidden="1" customHeight="1" x14ac:dyDescent="0.2"/>
    <row r="53899" ht="12.75" hidden="1" customHeight="1" x14ac:dyDescent="0.2"/>
    <row r="53900" ht="12.75" hidden="1" customHeight="1" x14ac:dyDescent="0.2"/>
    <row r="53901" ht="12.75" hidden="1" customHeight="1" x14ac:dyDescent="0.2"/>
    <row r="53902" ht="12.75" hidden="1" customHeight="1" x14ac:dyDescent="0.2"/>
    <row r="53903" ht="12.75" hidden="1" customHeight="1" x14ac:dyDescent="0.2"/>
    <row r="53904" ht="12.75" hidden="1" customHeight="1" x14ac:dyDescent="0.2"/>
    <row r="53905" ht="12.75" hidden="1" customHeight="1" x14ac:dyDescent="0.2"/>
    <row r="53906" ht="12.75" hidden="1" customHeight="1" x14ac:dyDescent="0.2"/>
    <row r="53907" ht="12.75" hidden="1" customHeight="1" x14ac:dyDescent="0.2"/>
    <row r="53908" ht="12.75" hidden="1" customHeight="1" x14ac:dyDescent="0.2"/>
    <row r="53909" ht="12.75" hidden="1" customHeight="1" x14ac:dyDescent="0.2"/>
    <row r="53910" ht="12.75" hidden="1" customHeight="1" x14ac:dyDescent="0.2"/>
    <row r="53911" ht="12.75" hidden="1" customHeight="1" x14ac:dyDescent="0.2"/>
    <row r="53912" ht="12.75" hidden="1" customHeight="1" x14ac:dyDescent="0.2"/>
    <row r="53913" ht="12.75" hidden="1" customHeight="1" x14ac:dyDescent="0.2"/>
    <row r="53914" ht="12.75" hidden="1" customHeight="1" x14ac:dyDescent="0.2"/>
    <row r="53915" ht="12.75" hidden="1" customHeight="1" x14ac:dyDescent="0.2"/>
    <row r="53916" ht="12.75" hidden="1" customHeight="1" x14ac:dyDescent="0.2"/>
    <row r="53917" ht="12.75" hidden="1" customHeight="1" x14ac:dyDescent="0.2"/>
    <row r="53918" ht="12.75" hidden="1" customHeight="1" x14ac:dyDescent="0.2"/>
    <row r="53919" ht="12.75" hidden="1" customHeight="1" x14ac:dyDescent="0.2"/>
    <row r="53920" ht="12.75" hidden="1" customHeight="1" x14ac:dyDescent="0.2"/>
    <row r="53921" ht="12.75" hidden="1" customHeight="1" x14ac:dyDescent="0.2"/>
    <row r="53922" ht="12.75" hidden="1" customHeight="1" x14ac:dyDescent="0.2"/>
    <row r="53923" ht="12.75" hidden="1" customHeight="1" x14ac:dyDescent="0.2"/>
    <row r="53924" ht="12.75" hidden="1" customHeight="1" x14ac:dyDescent="0.2"/>
    <row r="53925" ht="12.75" hidden="1" customHeight="1" x14ac:dyDescent="0.2"/>
    <row r="53926" ht="12.75" hidden="1" customHeight="1" x14ac:dyDescent="0.2"/>
    <row r="53927" ht="12.75" hidden="1" customHeight="1" x14ac:dyDescent="0.2"/>
    <row r="53928" ht="12.75" hidden="1" customHeight="1" x14ac:dyDescent="0.2"/>
    <row r="53929" ht="12.75" hidden="1" customHeight="1" x14ac:dyDescent="0.2"/>
    <row r="53930" ht="12.75" hidden="1" customHeight="1" x14ac:dyDescent="0.2"/>
    <row r="53931" ht="12.75" hidden="1" customHeight="1" x14ac:dyDescent="0.2"/>
    <row r="53932" ht="12.75" hidden="1" customHeight="1" x14ac:dyDescent="0.2"/>
    <row r="53933" ht="12.75" hidden="1" customHeight="1" x14ac:dyDescent="0.2"/>
    <row r="53934" ht="12.75" hidden="1" customHeight="1" x14ac:dyDescent="0.2"/>
    <row r="53935" ht="12.75" hidden="1" customHeight="1" x14ac:dyDescent="0.2"/>
    <row r="53936" ht="12.75" hidden="1" customHeight="1" x14ac:dyDescent="0.2"/>
    <row r="53937" ht="12.75" hidden="1" customHeight="1" x14ac:dyDescent="0.2"/>
    <row r="53938" ht="12.75" hidden="1" customHeight="1" x14ac:dyDescent="0.2"/>
    <row r="53939" ht="12.75" hidden="1" customHeight="1" x14ac:dyDescent="0.2"/>
    <row r="53940" ht="12.75" hidden="1" customHeight="1" x14ac:dyDescent="0.2"/>
    <row r="53941" ht="12.75" hidden="1" customHeight="1" x14ac:dyDescent="0.2"/>
    <row r="53942" ht="12.75" hidden="1" customHeight="1" x14ac:dyDescent="0.2"/>
    <row r="53943" ht="12.75" hidden="1" customHeight="1" x14ac:dyDescent="0.2"/>
    <row r="53944" ht="12.75" hidden="1" customHeight="1" x14ac:dyDescent="0.2"/>
    <row r="53945" ht="12.75" hidden="1" customHeight="1" x14ac:dyDescent="0.2"/>
    <row r="53946" ht="12.75" hidden="1" customHeight="1" x14ac:dyDescent="0.2"/>
    <row r="53947" ht="12.75" hidden="1" customHeight="1" x14ac:dyDescent="0.2"/>
    <row r="53948" ht="12.75" hidden="1" customHeight="1" x14ac:dyDescent="0.2"/>
    <row r="53949" ht="12.75" hidden="1" customHeight="1" x14ac:dyDescent="0.2"/>
    <row r="53950" ht="12.75" hidden="1" customHeight="1" x14ac:dyDescent="0.2"/>
    <row r="53951" ht="12.75" hidden="1" customHeight="1" x14ac:dyDescent="0.2"/>
    <row r="53952" ht="12.75" hidden="1" customHeight="1" x14ac:dyDescent="0.2"/>
    <row r="53953" ht="12.75" hidden="1" customHeight="1" x14ac:dyDescent="0.2"/>
    <row r="53954" ht="12.75" hidden="1" customHeight="1" x14ac:dyDescent="0.2"/>
    <row r="53955" ht="12.75" hidden="1" customHeight="1" x14ac:dyDescent="0.2"/>
    <row r="53956" ht="12.75" hidden="1" customHeight="1" x14ac:dyDescent="0.2"/>
    <row r="53957" ht="12.75" hidden="1" customHeight="1" x14ac:dyDescent="0.2"/>
    <row r="53958" ht="12.75" hidden="1" customHeight="1" x14ac:dyDescent="0.2"/>
    <row r="53959" ht="12.75" hidden="1" customHeight="1" x14ac:dyDescent="0.2"/>
    <row r="53960" ht="12.75" hidden="1" customHeight="1" x14ac:dyDescent="0.2"/>
    <row r="53961" ht="12.75" hidden="1" customHeight="1" x14ac:dyDescent="0.2"/>
    <row r="53962" ht="12.75" hidden="1" customHeight="1" x14ac:dyDescent="0.2"/>
    <row r="53963" ht="12.75" hidden="1" customHeight="1" x14ac:dyDescent="0.2"/>
    <row r="53964" ht="12.75" hidden="1" customHeight="1" x14ac:dyDescent="0.2"/>
    <row r="53965" ht="12.75" hidden="1" customHeight="1" x14ac:dyDescent="0.2"/>
    <row r="53966" ht="12.75" hidden="1" customHeight="1" x14ac:dyDescent="0.2"/>
    <row r="53967" ht="12.75" hidden="1" customHeight="1" x14ac:dyDescent="0.2"/>
    <row r="53968" ht="12.75" hidden="1" customHeight="1" x14ac:dyDescent="0.2"/>
    <row r="53969" ht="12.75" hidden="1" customHeight="1" x14ac:dyDescent="0.2"/>
    <row r="53970" ht="12.75" hidden="1" customHeight="1" x14ac:dyDescent="0.2"/>
    <row r="53971" ht="12.75" hidden="1" customHeight="1" x14ac:dyDescent="0.2"/>
    <row r="53972" ht="12.75" hidden="1" customHeight="1" x14ac:dyDescent="0.2"/>
    <row r="53973" ht="12.75" hidden="1" customHeight="1" x14ac:dyDescent="0.2"/>
    <row r="53974" ht="12.75" hidden="1" customHeight="1" x14ac:dyDescent="0.2"/>
    <row r="53975" ht="12.75" hidden="1" customHeight="1" x14ac:dyDescent="0.2"/>
    <row r="53976" ht="12.75" hidden="1" customHeight="1" x14ac:dyDescent="0.2"/>
    <row r="53977" ht="12.75" hidden="1" customHeight="1" x14ac:dyDescent="0.2"/>
    <row r="53978" ht="12.75" hidden="1" customHeight="1" x14ac:dyDescent="0.2"/>
    <row r="53979" ht="12.75" hidden="1" customHeight="1" x14ac:dyDescent="0.2"/>
    <row r="53980" ht="12.75" hidden="1" customHeight="1" x14ac:dyDescent="0.2"/>
    <row r="53981" ht="12.75" hidden="1" customHeight="1" x14ac:dyDescent="0.2"/>
    <row r="53982" ht="12.75" hidden="1" customHeight="1" x14ac:dyDescent="0.2"/>
    <row r="53983" ht="12.75" hidden="1" customHeight="1" x14ac:dyDescent="0.2"/>
    <row r="53984" ht="12.75" hidden="1" customHeight="1" x14ac:dyDescent="0.2"/>
    <row r="53985" ht="12.75" hidden="1" customHeight="1" x14ac:dyDescent="0.2"/>
    <row r="53986" ht="12.75" hidden="1" customHeight="1" x14ac:dyDescent="0.2"/>
    <row r="53987" ht="12.75" hidden="1" customHeight="1" x14ac:dyDescent="0.2"/>
    <row r="53988" ht="12.75" hidden="1" customHeight="1" x14ac:dyDescent="0.2"/>
    <row r="53989" ht="12.75" hidden="1" customHeight="1" x14ac:dyDescent="0.2"/>
    <row r="53990" ht="12.75" hidden="1" customHeight="1" x14ac:dyDescent="0.2"/>
    <row r="53991" ht="12.75" hidden="1" customHeight="1" x14ac:dyDescent="0.2"/>
    <row r="53992" ht="12.75" hidden="1" customHeight="1" x14ac:dyDescent="0.2"/>
    <row r="53993" ht="12.75" hidden="1" customHeight="1" x14ac:dyDescent="0.2"/>
    <row r="53994" ht="12.75" hidden="1" customHeight="1" x14ac:dyDescent="0.2"/>
    <row r="53995" ht="12.75" hidden="1" customHeight="1" x14ac:dyDescent="0.2"/>
    <row r="53996" ht="12.75" hidden="1" customHeight="1" x14ac:dyDescent="0.2"/>
    <row r="53997" ht="12.75" hidden="1" customHeight="1" x14ac:dyDescent="0.2"/>
    <row r="53998" ht="12.75" hidden="1" customHeight="1" x14ac:dyDescent="0.2"/>
    <row r="53999" ht="12.75" hidden="1" customHeight="1" x14ac:dyDescent="0.2"/>
    <row r="54000" ht="12.75" hidden="1" customHeight="1" x14ac:dyDescent="0.2"/>
    <row r="54001" ht="12.75" hidden="1" customHeight="1" x14ac:dyDescent="0.2"/>
    <row r="54002" ht="12.75" hidden="1" customHeight="1" x14ac:dyDescent="0.2"/>
    <row r="54003" ht="12.75" hidden="1" customHeight="1" x14ac:dyDescent="0.2"/>
    <row r="54004" ht="12.75" hidden="1" customHeight="1" x14ac:dyDescent="0.2"/>
    <row r="54005" ht="12.75" hidden="1" customHeight="1" x14ac:dyDescent="0.2"/>
    <row r="54006" ht="12.75" hidden="1" customHeight="1" x14ac:dyDescent="0.2"/>
    <row r="54007" ht="12.75" hidden="1" customHeight="1" x14ac:dyDescent="0.2"/>
    <row r="54008" ht="12.75" hidden="1" customHeight="1" x14ac:dyDescent="0.2"/>
    <row r="54009" ht="12.75" hidden="1" customHeight="1" x14ac:dyDescent="0.2"/>
    <row r="54010" ht="12.75" hidden="1" customHeight="1" x14ac:dyDescent="0.2"/>
    <row r="54011" ht="12.75" hidden="1" customHeight="1" x14ac:dyDescent="0.2"/>
    <row r="54012" ht="12.75" hidden="1" customHeight="1" x14ac:dyDescent="0.2"/>
    <row r="54013" ht="12.75" hidden="1" customHeight="1" x14ac:dyDescent="0.2"/>
    <row r="54014" ht="12.75" hidden="1" customHeight="1" x14ac:dyDescent="0.2"/>
    <row r="54015" ht="12.75" hidden="1" customHeight="1" x14ac:dyDescent="0.2"/>
    <row r="54016" ht="12.75" hidden="1" customHeight="1" x14ac:dyDescent="0.2"/>
    <row r="54017" ht="12.75" hidden="1" customHeight="1" x14ac:dyDescent="0.2"/>
    <row r="54018" ht="12.75" hidden="1" customHeight="1" x14ac:dyDescent="0.2"/>
    <row r="54019" ht="12.75" hidden="1" customHeight="1" x14ac:dyDescent="0.2"/>
    <row r="54020" ht="12.75" hidden="1" customHeight="1" x14ac:dyDescent="0.2"/>
    <row r="54021" ht="12.75" hidden="1" customHeight="1" x14ac:dyDescent="0.2"/>
    <row r="54022" ht="12.75" hidden="1" customHeight="1" x14ac:dyDescent="0.2"/>
    <row r="54023" ht="12.75" hidden="1" customHeight="1" x14ac:dyDescent="0.2"/>
    <row r="54024" ht="12.75" hidden="1" customHeight="1" x14ac:dyDescent="0.2"/>
    <row r="54025" ht="12.75" hidden="1" customHeight="1" x14ac:dyDescent="0.2"/>
    <row r="54026" ht="12.75" hidden="1" customHeight="1" x14ac:dyDescent="0.2"/>
    <row r="54027" ht="12.75" hidden="1" customHeight="1" x14ac:dyDescent="0.2"/>
    <row r="54028" ht="12.75" hidden="1" customHeight="1" x14ac:dyDescent="0.2"/>
    <row r="54029" ht="12.75" hidden="1" customHeight="1" x14ac:dyDescent="0.2"/>
    <row r="54030" ht="12.75" hidden="1" customHeight="1" x14ac:dyDescent="0.2"/>
    <row r="54031" ht="12.75" hidden="1" customHeight="1" x14ac:dyDescent="0.2"/>
    <row r="54032" ht="12.75" hidden="1" customHeight="1" x14ac:dyDescent="0.2"/>
    <row r="54033" ht="12.75" hidden="1" customHeight="1" x14ac:dyDescent="0.2"/>
    <row r="54034" ht="12.75" hidden="1" customHeight="1" x14ac:dyDescent="0.2"/>
    <row r="54035" ht="12.75" hidden="1" customHeight="1" x14ac:dyDescent="0.2"/>
    <row r="54036" ht="12.75" hidden="1" customHeight="1" x14ac:dyDescent="0.2"/>
    <row r="54037" ht="12.75" hidden="1" customHeight="1" x14ac:dyDescent="0.2"/>
    <row r="54038" ht="12.75" hidden="1" customHeight="1" x14ac:dyDescent="0.2"/>
    <row r="54039" ht="12.75" hidden="1" customHeight="1" x14ac:dyDescent="0.2"/>
    <row r="54040" ht="12.75" hidden="1" customHeight="1" x14ac:dyDescent="0.2"/>
    <row r="54041" ht="12.75" hidden="1" customHeight="1" x14ac:dyDescent="0.2"/>
    <row r="54042" ht="12.75" hidden="1" customHeight="1" x14ac:dyDescent="0.2"/>
    <row r="54043" ht="12.75" hidden="1" customHeight="1" x14ac:dyDescent="0.2"/>
    <row r="54044" ht="12.75" hidden="1" customHeight="1" x14ac:dyDescent="0.2"/>
    <row r="54045" ht="12.75" hidden="1" customHeight="1" x14ac:dyDescent="0.2"/>
    <row r="54046" ht="12.75" hidden="1" customHeight="1" x14ac:dyDescent="0.2"/>
    <row r="54047" ht="12.75" hidden="1" customHeight="1" x14ac:dyDescent="0.2"/>
    <row r="54048" ht="12.75" hidden="1" customHeight="1" x14ac:dyDescent="0.2"/>
    <row r="54049" ht="12.75" hidden="1" customHeight="1" x14ac:dyDescent="0.2"/>
    <row r="54050" ht="12.75" hidden="1" customHeight="1" x14ac:dyDescent="0.2"/>
    <row r="54051" ht="12.75" hidden="1" customHeight="1" x14ac:dyDescent="0.2"/>
    <row r="54052" ht="12.75" hidden="1" customHeight="1" x14ac:dyDescent="0.2"/>
    <row r="54053" ht="12.75" hidden="1" customHeight="1" x14ac:dyDescent="0.2"/>
    <row r="54054" ht="12.75" hidden="1" customHeight="1" x14ac:dyDescent="0.2"/>
    <row r="54055" ht="12.75" hidden="1" customHeight="1" x14ac:dyDescent="0.2"/>
    <row r="54056" ht="12.75" hidden="1" customHeight="1" x14ac:dyDescent="0.2"/>
    <row r="54057" ht="12.75" hidden="1" customHeight="1" x14ac:dyDescent="0.2"/>
    <row r="54058" ht="12.75" hidden="1" customHeight="1" x14ac:dyDescent="0.2"/>
    <row r="54059" ht="12.75" hidden="1" customHeight="1" x14ac:dyDescent="0.2"/>
    <row r="54060" ht="12.75" hidden="1" customHeight="1" x14ac:dyDescent="0.2"/>
    <row r="54061" ht="12.75" hidden="1" customHeight="1" x14ac:dyDescent="0.2"/>
    <row r="54062" ht="12.75" hidden="1" customHeight="1" x14ac:dyDescent="0.2"/>
    <row r="54063" ht="12.75" hidden="1" customHeight="1" x14ac:dyDescent="0.2"/>
    <row r="54064" ht="12.75" hidden="1" customHeight="1" x14ac:dyDescent="0.2"/>
    <row r="54065" ht="12.75" hidden="1" customHeight="1" x14ac:dyDescent="0.2"/>
    <row r="54066" ht="12.75" hidden="1" customHeight="1" x14ac:dyDescent="0.2"/>
    <row r="54067" ht="12.75" hidden="1" customHeight="1" x14ac:dyDescent="0.2"/>
    <row r="54068" ht="12.75" hidden="1" customHeight="1" x14ac:dyDescent="0.2"/>
    <row r="54069" ht="12.75" hidden="1" customHeight="1" x14ac:dyDescent="0.2"/>
    <row r="54070" ht="12.75" hidden="1" customHeight="1" x14ac:dyDescent="0.2"/>
    <row r="54071" ht="12.75" hidden="1" customHeight="1" x14ac:dyDescent="0.2"/>
    <row r="54072" ht="12.75" hidden="1" customHeight="1" x14ac:dyDescent="0.2"/>
    <row r="54073" ht="12.75" hidden="1" customHeight="1" x14ac:dyDescent="0.2"/>
    <row r="54074" ht="12.75" hidden="1" customHeight="1" x14ac:dyDescent="0.2"/>
    <row r="54075" ht="12.75" hidden="1" customHeight="1" x14ac:dyDescent="0.2"/>
    <row r="54076" ht="12.75" hidden="1" customHeight="1" x14ac:dyDescent="0.2"/>
    <row r="54077" ht="12.75" hidden="1" customHeight="1" x14ac:dyDescent="0.2"/>
    <row r="54078" ht="12.75" hidden="1" customHeight="1" x14ac:dyDescent="0.2"/>
    <row r="54079" ht="12.75" hidden="1" customHeight="1" x14ac:dyDescent="0.2"/>
    <row r="54080" ht="12.75" hidden="1" customHeight="1" x14ac:dyDescent="0.2"/>
    <row r="54081" ht="12.75" hidden="1" customHeight="1" x14ac:dyDescent="0.2"/>
    <row r="54082" ht="12.75" hidden="1" customHeight="1" x14ac:dyDescent="0.2"/>
    <row r="54083" ht="12.75" hidden="1" customHeight="1" x14ac:dyDescent="0.2"/>
    <row r="54084" ht="12.75" hidden="1" customHeight="1" x14ac:dyDescent="0.2"/>
    <row r="54085" ht="12.75" hidden="1" customHeight="1" x14ac:dyDescent="0.2"/>
    <row r="54086" ht="12.75" hidden="1" customHeight="1" x14ac:dyDescent="0.2"/>
    <row r="54087" ht="12.75" hidden="1" customHeight="1" x14ac:dyDescent="0.2"/>
    <row r="54088" ht="12.75" hidden="1" customHeight="1" x14ac:dyDescent="0.2"/>
    <row r="54089" ht="12.75" hidden="1" customHeight="1" x14ac:dyDescent="0.2"/>
    <row r="54090" ht="12.75" hidden="1" customHeight="1" x14ac:dyDescent="0.2"/>
    <row r="54091" ht="12.75" hidden="1" customHeight="1" x14ac:dyDescent="0.2"/>
    <row r="54092" ht="12.75" hidden="1" customHeight="1" x14ac:dyDescent="0.2"/>
    <row r="54093" ht="12.75" hidden="1" customHeight="1" x14ac:dyDescent="0.2"/>
    <row r="54094" ht="12.75" hidden="1" customHeight="1" x14ac:dyDescent="0.2"/>
    <row r="54095" ht="12.75" hidden="1" customHeight="1" x14ac:dyDescent="0.2"/>
    <row r="54096" ht="12.75" hidden="1" customHeight="1" x14ac:dyDescent="0.2"/>
    <row r="54097" ht="12.75" hidden="1" customHeight="1" x14ac:dyDescent="0.2"/>
    <row r="54098" ht="12.75" hidden="1" customHeight="1" x14ac:dyDescent="0.2"/>
    <row r="54099" ht="12.75" hidden="1" customHeight="1" x14ac:dyDescent="0.2"/>
    <row r="54100" ht="12.75" hidden="1" customHeight="1" x14ac:dyDescent="0.2"/>
    <row r="54101" ht="12.75" hidden="1" customHeight="1" x14ac:dyDescent="0.2"/>
    <row r="54102" ht="12.75" hidden="1" customHeight="1" x14ac:dyDescent="0.2"/>
    <row r="54103" ht="12.75" hidden="1" customHeight="1" x14ac:dyDescent="0.2"/>
    <row r="54104" ht="12.75" hidden="1" customHeight="1" x14ac:dyDescent="0.2"/>
    <row r="54105" ht="12.75" hidden="1" customHeight="1" x14ac:dyDescent="0.2"/>
    <row r="54106" ht="12.75" hidden="1" customHeight="1" x14ac:dyDescent="0.2"/>
    <row r="54107" ht="12.75" hidden="1" customHeight="1" x14ac:dyDescent="0.2"/>
    <row r="54108" ht="12.75" hidden="1" customHeight="1" x14ac:dyDescent="0.2"/>
    <row r="54109" ht="12.75" hidden="1" customHeight="1" x14ac:dyDescent="0.2"/>
    <row r="54110" ht="12.75" hidden="1" customHeight="1" x14ac:dyDescent="0.2"/>
    <row r="54111" ht="12.75" hidden="1" customHeight="1" x14ac:dyDescent="0.2"/>
    <row r="54112" ht="12.75" hidden="1" customHeight="1" x14ac:dyDescent="0.2"/>
    <row r="54113" ht="12.75" hidden="1" customHeight="1" x14ac:dyDescent="0.2"/>
    <row r="54114" ht="12.75" hidden="1" customHeight="1" x14ac:dyDescent="0.2"/>
    <row r="54115" ht="12.75" hidden="1" customHeight="1" x14ac:dyDescent="0.2"/>
    <row r="54116" ht="12.75" hidden="1" customHeight="1" x14ac:dyDescent="0.2"/>
    <row r="54117" ht="12.75" hidden="1" customHeight="1" x14ac:dyDescent="0.2"/>
    <row r="54118" ht="12.75" hidden="1" customHeight="1" x14ac:dyDescent="0.2"/>
    <row r="54119" ht="12.75" hidden="1" customHeight="1" x14ac:dyDescent="0.2"/>
    <row r="54120" ht="12.75" hidden="1" customHeight="1" x14ac:dyDescent="0.2"/>
    <row r="54121" ht="12.75" hidden="1" customHeight="1" x14ac:dyDescent="0.2"/>
    <row r="54122" ht="12.75" hidden="1" customHeight="1" x14ac:dyDescent="0.2"/>
    <row r="54123" ht="12.75" hidden="1" customHeight="1" x14ac:dyDescent="0.2"/>
    <row r="54124" ht="12.75" hidden="1" customHeight="1" x14ac:dyDescent="0.2"/>
    <row r="54125" ht="12.75" hidden="1" customHeight="1" x14ac:dyDescent="0.2"/>
    <row r="54126" ht="12.75" hidden="1" customHeight="1" x14ac:dyDescent="0.2"/>
    <row r="54127" ht="12.75" hidden="1" customHeight="1" x14ac:dyDescent="0.2"/>
    <row r="54128" ht="12.75" hidden="1" customHeight="1" x14ac:dyDescent="0.2"/>
    <row r="54129" ht="12.75" hidden="1" customHeight="1" x14ac:dyDescent="0.2"/>
    <row r="54130" ht="12.75" hidden="1" customHeight="1" x14ac:dyDescent="0.2"/>
    <row r="54131" ht="12.75" hidden="1" customHeight="1" x14ac:dyDescent="0.2"/>
    <row r="54132" ht="12.75" hidden="1" customHeight="1" x14ac:dyDescent="0.2"/>
    <row r="54133" ht="12.75" hidden="1" customHeight="1" x14ac:dyDescent="0.2"/>
    <row r="54134" ht="12.75" hidden="1" customHeight="1" x14ac:dyDescent="0.2"/>
    <row r="54135" ht="12.75" hidden="1" customHeight="1" x14ac:dyDescent="0.2"/>
    <row r="54136" ht="12.75" hidden="1" customHeight="1" x14ac:dyDescent="0.2"/>
    <row r="54137" ht="12.75" hidden="1" customHeight="1" x14ac:dyDescent="0.2"/>
    <row r="54138" ht="12.75" hidden="1" customHeight="1" x14ac:dyDescent="0.2"/>
    <row r="54139" ht="12.75" hidden="1" customHeight="1" x14ac:dyDescent="0.2"/>
    <row r="54140" ht="12.75" hidden="1" customHeight="1" x14ac:dyDescent="0.2"/>
    <row r="54141" ht="12.75" hidden="1" customHeight="1" x14ac:dyDescent="0.2"/>
    <row r="54142" ht="12.75" hidden="1" customHeight="1" x14ac:dyDescent="0.2"/>
    <row r="54143" ht="12.75" hidden="1" customHeight="1" x14ac:dyDescent="0.2"/>
    <row r="54144" ht="12.75" hidden="1" customHeight="1" x14ac:dyDescent="0.2"/>
    <row r="54145" ht="12.75" hidden="1" customHeight="1" x14ac:dyDescent="0.2"/>
    <row r="54146" ht="12.75" hidden="1" customHeight="1" x14ac:dyDescent="0.2"/>
    <row r="54147" ht="12.75" hidden="1" customHeight="1" x14ac:dyDescent="0.2"/>
    <row r="54148" ht="12.75" hidden="1" customHeight="1" x14ac:dyDescent="0.2"/>
    <row r="54149" ht="12.75" hidden="1" customHeight="1" x14ac:dyDescent="0.2"/>
    <row r="54150" ht="12.75" hidden="1" customHeight="1" x14ac:dyDescent="0.2"/>
    <row r="54151" ht="12.75" hidden="1" customHeight="1" x14ac:dyDescent="0.2"/>
    <row r="54152" ht="12.75" hidden="1" customHeight="1" x14ac:dyDescent="0.2"/>
    <row r="54153" ht="12.75" hidden="1" customHeight="1" x14ac:dyDescent="0.2"/>
    <row r="54154" ht="12.75" hidden="1" customHeight="1" x14ac:dyDescent="0.2"/>
    <row r="54155" ht="12.75" hidden="1" customHeight="1" x14ac:dyDescent="0.2"/>
    <row r="54156" ht="12.75" hidden="1" customHeight="1" x14ac:dyDescent="0.2"/>
    <row r="54157" ht="12.75" hidden="1" customHeight="1" x14ac:dyDescent="0.2"/>
    <row r="54158" ht="12.75" hidden="1" customHeight="1" x14ac:dyDescent="0.2"/>
    <row r="54159" ht="12.75" hidden="1" customHeight="1" x14ac:dyDescent="0.2"/>
    <row r="54160" ht="12.75" hidden="1" customHeight="1" x14ac:dyDescent="0.2"/>
    <row r="54161" ht="12.75" hidden="1" customHeight="1" x14ac:dyDescent="0.2"/>
    <row r="54162" ht="12.75" hidden="1" customHeight="1" x14ac:dyDescent="0.2"/>
    <row r="54163" ht="12.75" hidden="1" customHeight="1" x14ac:dyDescent="0.2"/>
    <row r="54164" ht="12.75" hidden="1" customHeight="1" x14ac:dyDescent="0.2"/>
    <row r="54165" ht="12.75" hidden="1" customHeight="1" x14ac:dyDescent="0.2"/>
    <row r="54166" ht="12.75" hidden="1" customHeight="1" x14ac:dyDescent="0.2"/>
    <row r="54167" ht="12.75" hidden="1" customHeight="1" x14ac:dyDescent="0.2"/>
    <row r="54168" ht="12.75" hidden="1" customHeight="1" x14ac:dyDescent="0.2"/>
    <row r="54169" ht="12.75" hidden="1" customHeight="1" x14ac:dyDescent="0.2"/>
    <row r="54170" ht="12.75" hidden="1" customHeight="1" x14ac:dyDescent="0.2"/>
    <row r="54171" ht="12.75" hidden="1" customHeight="1" x14ac:dyDescent="0.2"/>
    <row r="54172" ht="12.75" hidden="1" customHeight="1" x14ac:dyDescent="0.2"/>
    <row r="54173" ht="12.75" hidden="1" customHeight="1" x14ac:dyDescent="0.2"/>
    <row r="54174" ht="12.75" hidden="1" customHeight="1" x14ac:dyDescent="0.2"/>
    <row r="54175" ht="12.75" hidden="1" customHeight="1" x14ac:dyDescent="0.2"/>
    <row r="54176" ht="12.75" hidden="1" customHeight="1" x14ac:dyDescent="0.2"/>
    <row r="54177" ht="12.75" hidden="1" customHeight="1" x14ac:dyDescent="0.2"/>
    <row r="54178" ht="12.75" hidden="1" customHeight="1" x14ac:dyDescent="0.2"/>
    <row r="54179" ht="12.75" hidden="1" customHeight="1" x14ac:dyDescent="0.2"/>
    <row r="54180" ht="12.75" hidden="1" customHeight="1" x14ac:dyDescent="0.2"/>
    <row r="54181" ht="12.75" hidden="1" customHeight="1" x14ac:dyDescent="0.2"/>
    <row r="54182" ht="12.75" hidden="1" customHeight="1" x14ac:dyDescent="0.2"/>
    <row r="54183" ht="12.75" hidden="1" customHeight="1" x14ac:dyDescent="0.2"/>
    <row r="54184" ht="12.75" hidden="1" customHeight="1" x14ac:dyDescent="0.2"/>
    <row r="54185" ht="12.75" hidden="1" customHeight="1" x14ac:dyDescent="0.2"/>
    <row r="54186" ht="12.75" hidden="1" customHeight="1" x14ac:dyDescent="0.2"/>
    <row r="54187" ht="12.75" hidden="1" customHeight="1" x14ac:dyDescent="0.2"/>
    <row r="54188" ht="12.75" hidden="1" customHeight="1" x14ac:dyDescent="0.2"/>
    <row r="54189" ht="12.75" hidden="1" customHeight="1" x14ac:dyDescent="0.2"/>
    <row r="54190" ht="12.75" hidden="1" customHeight="1" x14ac:dyDescent="0.2"/>
    <row r="54191" ht="12.75" hidden="1" customHeight="1" x14ac:dyDescent="0.2"/>
    <row r="54192" ht="12.75" hidden="1" customHeight="1" x14ac:dyDescent="0.2"/>
    <row r="54193" ht="12.75" hidden="1" customHeight="1" x14ac:dyDescent="0.2"/>
    <row r="54194" ht="12.75" hidden="1" customHeight="1" x14ac:dyDescent="0.2"/>
    <row r="54195" ht="12.75" hidden="1" customHeight="1" x14ac:dyDescent="0.2"/>
    <row r="54196" ht="12.75" hidden="1" customHeight="1" x14ac:dyDescent="0.2"/>
    <row r="54197" ht="12.75" hidden="1" customHeight="1" x14ac:dyDescent="0.2"/>
    <row r="54198" ht="12.75" hidden="1" customHeight="1" x14ac:dyDescent="0.2"/>
    <row r="54199" ht="12.75" hidden="1" customHeight="1" x14ac:dyDescent="0.2"/>
    <row r="54200" ht="12.75" hidden="1" customHeight="1" x14ac:dyDescent="0.2"/>
    <row r="54201" ht="12.75" hidden="1" customHeight="1" x14ac:dyDescent="0.2"/>
    <row r="54202" ht="12.75" hidden="1" customHeight="1" x14ac:dyDescent="0.2"/>
    <row r="54203" ht="12.75" hidden="1" customHeight="1" x14ac:dyDescent="0.2"/>
    <row r="54204" ht="12.75" hidden="1" customHeight="1" x14ac:dyDescent="0.2"/>
    <row r="54205" ht="12.75" hidden="1" customHeight="1" x14ac:dyDescent="0.2"/>
    <row r="54206" ht="12.75" hidden="1" customHeight="1" x14ac:dyDescent="0.2"/>
    <row r="54207" ht="12.75" hidden="1" customHeight="1" x14ac:dyDescent="0.2"/>
    <row r="54208" ht="12.75" hidden="1" customHeight="1" x14ac:dyDescent="0.2"/>
    <row r="54209" ht="12.75" hidden="1" customHeight="1" x14ac:dyDescent="0.2"/>
    <row r="54210" ht="12.75" hidden="1" customHeight="1" x14ac:dyDescent="0.2"/>
    <row r="54211" ht="12.75" hidden="1" customHeight="1" x14ac:dyDescent="0.2"/>
    <row r="54212" ht="12.75" hidden="1" customHeight="1" x14ac:dyDescent="0.2"/>
    <row r="54213" ht="12.75" hidden="1" customHeight="1" x14ac:dyDescent="0.2"/>
    <row r="54214" ht="12.75" hidden="1" customHeight="1" x14ac:dyDescent="0.2"/>
    <row r="54215" ht="12.75" hidden="1" customHeight="1" x14ac:dyDescent="0.2"/>
    <row r="54216" ht="12.75" hidden="1" customHeight="1" x14ac:dyDescent="0.2"/>
    <row r="54217" ht="12.75" hidden="1" customHeight="1" x14ac:dyDescent="0.2"/>
    <row r="54218" ht="12.75" hidden="1" customHeight="1" x14ac:dyDescent="0.2"/>
    <row r="54219" ht="12.75" hidden="1" customHeight="1" x14ac:dyDescent="0.2"/>
    <row r="54220" ht="12.75" hidden="1" customHeight="1" x14ac:dyDescent="0.2"/>
    <row r="54221" ht="12.75" hidden="1" customHeight="1" x14ac:dyDescent="0.2"/>
    <row r="54222" ht="12.75" hidden="1" customHeight="1" x14ac:dyDescent="0.2"/>
    <row r="54223" ht="12.75" hidden="1" customHeight="1" x14ac:dyDescent="0.2"/>
    <row r="54224" ht="12.75" hidden="1" customHeight="1" x14ac:dyDescent="0.2"/>
    <row r="54225" ht="12.75" hidden="1" customHeight="1" x14ac:dyDescent="0.2"/>
    <row r="54226" ht="12.75" hidden="1" customHeight="1" x14ac:dyDescent="0.2"/>
    <row r="54227" ht="12.75" hidden="1" customHeight="1" x14ac:dyDescent="0.2"/>
    <row r="54228" ht="12.75" hidden="1" customHeight="1" x14ac:dyDescent="0.2"/>
    <row r="54229" ht="12.75" hidden="1" customHeight="1" x14ac:dyDescent="0.2"/>
    <row r="54230" ht="12.75" hidden="1" customHeight="1" x14ac:dyDescent="0.2"/>
    <row r="54231" ht="12.75" hidden="1" customHeight="1" x14ac:dyDescent="0.2"/>
    <row r="54232" ht="12.75" hidden="1" customHeight="1" x14ac:dyDescent="0.2"/>
    <row r="54233" ht="12.75" hidden="1" customHeight="1" x14ac:dyDescent="0.2"/>
    <row r="54234" ht="12.75" hidden="1" customHeight="1" x14ac:dyDescent="0.2"/>
    <row r="54235" ht="12.75" hidden="1" customHeight="1" x14ac:dyDescent="0.2"/>
    <row r="54236" ht="12.75" hidden="1" customHeight="1" x14ac:dyDescent="0.2"/>
    <row r="54237" ht="12.75" hidden="1" customHeight="1" x14ac:dyDescent="0.2"/>
    <row r="54238" ht="12.75" hidden="1" customHeight="1" x14ac:dyDescent="0.2"/>
    <row r="54239" ht="12.75" hidden="1" customHeight="1" x14ac:dyDescent="0.2"/>
    <row r="54240" ht="12.75" hidden="1" customHeight="1" x14ac:dyDescent="0.2"/>
    <row r="54241" ht="12.75" hidden="1" customHeight="1" x14ac:dyDescent="0.2"/>
    <row r="54242" ht="12.75" hidden="1" customHeight="1" x14ac:dyDescent="0.2"/>
    <row r="54243" ht="12.75" hidden="1" customHeight="1" x14ac:dyDescent="0.2"/>
    <row r="54244" ht="12.75" hidden="1" customHeight="1" x14ac:dyDescent="0.2"/>
    <row r="54245" ht="12.75" hidden="1" customHeight="1" x14ac:dyDescent="0.2"/>
    <row r="54246" ht="12.75" hidden="1" customHeight="1" x14ac:dyDescent="0.2"/>
    <row r="54247" ht="12.75" hidden="1" customHeight="1" x14ac:dyDescent="0.2"/>
    <row r="54248" ht="12.75" hidden="1" customHeight="1" x14ac:dyDescent="0.2"/>
    <row r="54249" ht="12.75" hidden="1" customHeight="1" x14ac:dyDescent="0.2"/>
    <row r="54250" ht="12.75" hidden="1" customHeight="1" x14ac:dyDescent="0.2"/>
    <row r="54251" ht="12.75" hidden="1" customHeight="1" x14ac:dyDescent="0.2"/>
    <row r="54252" ht="12.75" hidden="1" customHeight="1" x14ac:dyDescent="0.2"/>
    <row r="54253" ht="12.75" hidden="1" customHeight="1" x14ac:dyDescent="0.2"/>
    <row r="54254" ht="12.75" hidden="1" customHeight="1" x14ac:dyDescent="0.2"/>
    <row r="54255" ht="12.75" hidden="1" customHeight="1" x14ac:dyDescent="0.2"/>
    <row r="54256" ht="12.75" hidden="1" customHeight="1" x14ac:dyDescent="0.2"/>
    <row r="54257" ht="12.75" hidden="1" customHeight="1" x14ac:dyDescent="0.2"/>
    <row r="54258" ht="12.75" hidden="1" customHeight="1" x14ac:dyDescent="0.2"/>
    <row r="54259" ht="12.75" hidden="1" customHeight="1" x14ac:dyDescent="0.2"/>
    <row r="54260" ht="12.75" hidden="1" customHeight="1" x14ac:dyDescent="0.2"/>
    <row r="54261" ht="12.75" hidden="1" customHeight="1" x14ac:dyDescent="0.2"/>
    <row r="54262" ht="12.75" hidden="1" customHeight="1" x14ac:dyDescent="0.2"/>
    <row r="54263" ht="12.75" hidden="1" customHeight="1" x14ac:dyDescent="0.2"/>
    <row r="54264" ht="12.75" hidden="1" customHeight="1" x14ac:dyDescent="0.2"/>
    <row r="54265" ht="12.75" hidden="1" customHeight="1" x14ac:dyDescent="0.2"/>
    <row r="54266" ht="12.75" hidden="1" customHeight="1" x14ac:dyDescent="0.2"/>
    <row r="54267" ht="12.75" hidden="1" customHeight="1" x14ac:dyDescent="0.2"/>
    <row r="54268" ht="12.75" hidden="1" customHeight="1" x14ac:dyDescent="0.2"/>
    <row r="54269" ht="12.75" hidden="1" customHeight="1" x14ac:dyDescent="0.2"/>
    <row r="54270" ht="12.75" hidden="1" customHeight="1" x14ac:dyDescent="0.2"/>
    <row r="54271" ht="12.75" hidden="1" customHeight="1" x14ac:dyDescent="0.2"/>
    <row r="54272" ht="12.75" hidden="1" customHeight="1" x14ac:dyDescent="0.2"/>
    <row r="54273" ht="12.75" hidden="1" customHeight="1" x14ac:dyDescent="0.2"/>
    <row r="54274" ht="12.75" hidden="1" customHeight="1" x14ac:dyDescent="0.2"/>
    <row r="54275" ht="12.75" hidden="1" customHeight="1" x14ac:dyDescent="0.2"/>
    <row r="54276" ht="12.75" hidden="1" customHeight="1" x14ac:dyDescent="0.2"/>
    <row r="54277" ht="12.75" hidden="1" customHeight="1" x14ac:dyDescent="0.2"/>
    <row r="54278" ht="12.75" hidden="1" customHeight="1" x14ac:dyDescent="0.2"/>
    <row r="54279" ht="12.75" hidden="1" customHeight="1" x14ac:dyDescent="0.2"/>
    <row r="54280" ht="12.75" hidden="1" customHeight="1" x14ac:dyDescent="0.2"/>
    <row r="54281" ht="12.75" hidden="1" customHeight="1" x14ac:dyDescent="0.2"/>
    <row r="54282" ht="12.75" hidden="1" customHeight="1" x14ac:dyDescent="0.2"/>
    <row r="54283" ht="12.75" hidden="1" customHeight="1" x14ac:dyDescent="0.2"/>
    <row r="54284" ht="12.75" hidden="1" customHeight="1" x14ac:dyDescent="0.2"/>
    <row r="54285" ht="12.75" hidden="1" customHeight="1" x14ac:dyDescent="0.2"/>
    <row r="54286" ht="12.75" hidden="1" customHeight="1" x14ac:dyDescent="0.2"/>
    <row r="54287" ht="12.75" hidden="1" customHeight="1" x14ac:dyDescent="0.2"/>
    <row r="54288" ht="12.75" hidden="1" customHeight="1" x14ac:dyDescent="0.2"/>
    <row r="54289" ht="12.75" hidden="1" customHeight="1" x14ac:dyDescent="0.2"/>
    <row r="54290" ht="12.75" hidden="1" customHeight="1" x14ac:dyDescent="0.2"/>
    <row r="54291" ht="12.75" hidden="1" customHeight="1" x14ac:dyDescent="0.2"/>
    <row r="54292" ht="12.75" hidden="1" customHeight="1" x14ac:dyDescent="0.2"/>
    <row r="54293" ht="12.75" hidden="1" customHeight="1" x14ac:dyDescent="0.2"/>
    <row r="54294" ht="12.75" hidden="1" customHeight="1" x14ac:dyDescent="0.2"/>
    <row r="54295" ht="12.75" hidden="1" customHeight="1" x14ac:dyDescent="0.2"/>
    <row r="54296" ht="12.75" hidden="1" customHeight="1" x14ac:dyDescent="0.2"/>
    <row r="54297" ht="12.75" hidden="1" customHeight="1" x14ac:dyDescent="0.2"/>
    <row r="54298" ht="12.75" hidden="1" customHeight="1" x14ac:dyDescent="0.2"/>
    <row r="54299" ht="12.75" hidden="1" customHeight="1" x14ac:dyDescent="0.2"/>
    <row r="54300" ht="12.75" hidden="1" customHeight="1" x14ac:dyDescent="0.2"/>
    <row r="54301" ht="12.75" hidden="1" customHeight="1" x14ac:dyDescent="0.2"/>
    <row r="54302" ht="12.75" hidden="1" customHeight="1" x14ac:dyDescent="0.2"/>
    <row r="54303" ht="12.75" hidden="1" customHeight="1" x14ac:dyDescent="0.2"/>
    <row r="54304" ht="12.75" hidden="1" customHeight="1" x14ac:dyDescent="0.2"/>
    <row r="54305" ht="12.75" hidden="1" customHeight="1" x14ac:dyDescent="0.2"/>
    <row r="54306" ht="12.75" hidden="1" customHeight="1" x14ac:dyDescent="0.2"/>
    <row r="54307" ht="12.75" hidden="1" customHeight="1" x14ac:dyDescent="0.2"/>
    <row r="54308" ht="12.75" hidden="1" customHeight="1" x14ac:dyDescent="0.2"/>
    <row r="54309" ht="12.75" hidden="1" customHeight="1" x14ac:dyDescent="0.2"/>
    <row r="54310" ht="12.75" hidden="1" customHeight="1" x14ac:dyDescent="0.2"/>
    <row r="54311" ht="12.75" hidden="1" customHeight="1" x14ac:dyDescent="0.2"/>
    <row r="54312" ht="12.75" hidden="1" customHeight="1" x14ac:dyDescent="0.2"/>
    <row r="54313" ht="12.75" hidden="1" customHeight="1" x14ac:dyDescent="0.2"/>
    <row r="54314" ht="12.75" hidden="1" customHeight="1" x14ac:dyDescent="0.2"/>
    <row r="54315" ht="12.75" hidden="1" customHeight="1" x14ac:dyDescent="0.2"/>
    <row r="54316" ht="12.75" hidden="1" customHeight="1" x14ac:dyDescent="0.2"/>
    <row r="54317" ht="12.75" hidden="1" customHeight="1" x14ac:dyDescent="0.2"/>
    <row r="54318" ht="12.75" hidden="1" customHeight="1" x14ac:dyDescent="0.2"/>
    <row r="54319" ht="12.75" hidden="1" customHeight="1" x14ac:dyDescent="0.2"/>
    <row r="54320" ht="12.75" hidden="1" customHeight="1" x14ac:dyDescent="0.2"/>
    <row r="54321" ht="12.75" hidden="1" customHeight="1" x14ac:dyDescent="0.2"/>
    <row r="54322" ht="12.75" hidden="1" customHeight="1" x14ac:dyDescent="0.2"/>
    <row r="54323" ht="12.75" hidden="1" customHeight="1" x14ac:dyDescent="0.2"/>
    <row r="54324" ht="12.75" hidden="1" customHeight="1" x14ac:dyDescent="0.2"/>
    <row r="54325" ht="12.75" hidden="1" customHeight="1" x14ac:dyDescent="0.2"/>
    <row r="54326" ht="12.75" hidden="1" customHeight="1" x14ac:dyDescent="0.2"/>
    <row r="54327" ht="12.75" hidden="1" customHeight="1" x14ac:dyDescent="0.2"/>
    <row r="54328" ht="12.75" hidden="1" customHeight="1" x14ac:dyDescent="0.2"/>
    <row r="54329" ht="12.75" hidden="1" customHeight="1" x14ac:dyDescent="0.2"/>
    <row r="54330" ht="12.75" hidden="1" customHeight="1" x14ac:dyDescent="0.2"/>
    <row r="54331" ht="12.75" hidden="1" customHeight="1" x14ac:dyDescent="0.2"/>
    <row r="54332" ht="12.75" hidden="1" customHeight="1" x14ac:dyDescent="0.2"/>
    <row r="54333" ht="12.75" hidden="1" customHeight="1" x14ac:dyDescent="0.2"/>
    <row r="54334" ht="12.75" hidden="1" customHeight="1" x14ac:dyDescent="0.2"/>
    <row r="54335" ht="12.75" hidden="1" customHeight="1" x14ac:dyDescent="0.2"/>
    <row r="54336" ht="12.75" hidden="1" customHeight="1" x14ac:dyDescent="0.2"/>
    <row r="54337" ht="12.75" hidden="1" customHeight="1" x14ac:dyDescent="0.2"/>
    <row r="54338" ht="12.75" hidden="1" customHeight="1" x14ac:dyDescent="0.2"/>
    <row r="54339" ht="12.75" hidden="1" customHeight="1" x14ac:dyDescent="0.2"/>
    <row r="54340" ht="12.75" hidden="1" customHeight="1" x14ac:dyDescent="0.2"/>
    <row r="54341" ht="12.75" hidden="1" customHeight="1" x14ac:dyDescent="0.2"/>
    <row r="54342" ht="12.75" hidden="1" customHeight="1" x14ac:dyDescent="0.2"/>
    <row r="54343" ht="12.75" hidden="1" customHeight="1" x14ac:dyDescent="0.2"/>
    <row r="54344" ht="12.75" hidden="1" customHeight="1" x14ac:dyDescent="0.2"/>
    <row r="54345" ht="12.75" hidden="1" customHeight="1" x14ac:dyDescent="0.2"/>
    <row r="54346" ht="12.75" hidden="1" customHeight="1" x14ac:dyDescent="0.2"/>
    <row r="54347" ht="12.75" hidden="1" customHeight="1" x14ac:dyDescent="0.2"/>
    <row r="54348" ht="12.75" hidden="1" customHeight="1" x14ac:dyDescent="0.2"/>
    <row r="54349" ht="12.75" hidden="1" customHeight="1" x14ac:dyDescent="0.2"/>
    <row r="54350" ht="12.75" hidden="1" customHeight="1" x14ac:dyDescent="0.2"/>
    <row r="54351" ht="12.75" hidden="1" customHeight="1" x14ac:dyDescent="0.2"/>
    <row r="54352" ht="12.75" hidden="1" customHeight="1" x14ac:dyDescent="0.2"/>
    <row r="54353" ht="12.75" hidden="1" customHeight="1" x14ac:dyDescent="0.2"/>
    <row r="54354" ht="12.75" hidden="1" customHeight="1" x14ac:dyDescent="0.2"/>
    <row r="54355" ht="12.75" hidden="1" customHeight="1" x14ac:dyDescent="0.2"/>
    <row r="54356" ht="12.75" hidden="1" customHeight="1" x14ac:dyDescent="0.2"/>
    <row r="54357" ht="12.75" hidden="1" customHeight="1" x14ac:dyDescent="0.2"/>
    <row r="54358" ht="12.75" hidden="1" customHeight="1" x14ac:dyDescent="0.2"/>
    <row r="54359" ht="12.75" hidden="1" customHeight="1" x14ac:dyDescent="0.2"/>
    <row r="54360" ht="12.75" hidden="1" customHeight="1" x14ac:dyDescent="0.2"/>
    <row r="54361" ht="12.75" hidden="1" customHeight="1" x14ac:dyDescent="0.2"/>
    <row r="54362" ht="12.75" hidden="1" customHeight="1" x14ac:dyDescent="0.2"/>
    <row r="54363" ht="12.75" hidden="1" customHeight="1" x14ac:dyDescent="0.2"/>
    <row r="54364" ht="12.75" hidden="1" customHeight="1" x14ac:dyDescent="0.2"/>
    <row r="54365" ht="12.75" hidden="1" customHeight="1" x14ac:dyDescent="0.2"/>
    <row r="54366" ht="12.75" hidden="1" customHeight="1" x14ac:dyDescent="0.2"/>
    <row r="54367" ht="12.75" hidden="1" customHeight="1" x14ac:dyDescent="0.2"/>
    <row r="54368" ht="12.75" hidden="1" customHeight="1" x14ac:dyDescent="0.2"/>
    <row r="54369" ht="12.75" hidden="1" customHeight="1" x14ac:dyDescent="0.2"/>
    <row r="54370" ht="12.75" hidden="1" customHeight="1" x14ac:dyDescent="0.2"/>
    <row r="54371" ht="12.75" hidden="1" customHeight="1" x14ac:dyDescent="0.2"/>
    <row r="54372" ht="12.75" hidden="1" customHeight="1" x14ac:dyDescent="0.2"/>
    <row r="54373" ht="12.75" hidden="1" customHeight="1" x14ac:dyDescent="0.2"/>
    <row r="54374" ht="12.75" hidden="1" customHeight="1" x14ac:dyDescent="0.2"/>
    <row r="54375" ht="12.75" hidden="1" customHeight="1" x14ac:dyDescent="0.2"/>
    <row r="54376" ht="12.75" hidden="1" customHeight="1" x14ac:dyDescent="0.2"/>
    <row r="54377" ht="12.75" hidden="1" customHeight="1" x14ac:dyDescent="0.2"/>
    <row r="54378" ht="12.75" hidden="1" customHeight="1" x14ac:dyDescent="0.2"/>
    <row r="54379" ht="12.75" hidden="1" customHeight="1" x14ac:dyDescent="0.2"/>
    <row r="54380" ht="12.75" hidden="1" customHeight="1" x14ac:dyDescent="0.2"/>
    <row r="54381" ht="12.75" hidden="1" customHeight="1" x14ac:dyDescent="0.2"/>
    <row r="54382" ht="12.75" hidden="1" customHeight="1" x14ac:dyDescent="0.2"/>
    <row r="54383" ht="12.75" hidden="1" customHeight="1" x14ac:dyDescent="0.2"/>
    <row r="54384" ht="12.75" hidden="1" customHeight="1" x14ac:dyDescent="0.2"/>
    <row r="54385" ht="12.75" hidden="1" customHeight="1" x14ac:dyDescent="0.2"/>
    <row r="54386" ht="12.75" hidden="1" customHeight="1" x14ac:dyDescent="0.2"/>
    <row r="54387" ht="12.75" hidden="1" customHeight="1" x14ac:dyDescent="0.2"/>
    <row r="54388" ht="12.75" hidden="1" customHeight="1" x14ac:dyDescent="0.2"/>
    <row r="54389" ht="12.75" hidden="1" customHeight="1" x14ac:dyDescent="0.2"/>
    <row r="54390" ht="12.75" hidden="1" customHeight="1" x14ac:dyDescent="0.2"/>
    <row r="54391" ht="12.75" hidden="1" customHeight="1" x14ac:dyDescent="0.2"/>
    <row r="54392" ht="12.75" hidden="1" customHeight="1" x14ac:dyDescent="0.2"/>
    <row r="54393" ht="12.75" hidden="1" customHeight="1" x14ac:dyDescent="0.2"/>
    <row r="54394" ht="12.75" hidden="1" customHeight="1" x14ac:dyDescent="0.2"/>
    <row r="54395" ht="12.75" hidden="1" customHeight="1" x14ac:dyDescent="0.2"/>
    <row r="54396" ht="12.75" hidden="1" customHeight="1" x14ac:dyDescent="0.2"/>
    <row r="54397" ht="12.75" hidden="1" customHeight="1" x14ac:dyDescent="0.2"/>
    <row r="54398" ht="12.75" hidden="1" customHeight="1" x14ac:dyDescent="0.2"/>
    <row r="54399" ht="12.75" hidden="1" customHeight="1" x14ac:dyDescent="0.2"/>
    <row r="54400" ht="12.75" hidden="1" customHeight="1" x14ac:dyDescent="0.2"/>
    <row r="54401" ht="12.75" hidden="1" customHeight="1" x14ac:dyDescent="0.2"/>
    <row r="54402" ht="12.75" hidden="1" customHeight="1" x14ac:dyDescent="0.2"/>
    <row r="54403" ht="12.75" hidden="1" customHeight="1" x14ac:dyDescent="0.2"/>
    <row r="54404" ht="12.75" hidden="1" customHeight="1" x14ac:dyDescent="0.2"/>
    <row r="54405" ht="12.75" hidden="1" customHeight="1" x14ac:dyDescent="0.2"/>
    <row r="54406" ht="12.75" hidden="1" customHeight="1" x14ac:dyDescent="0.2"/>
    <row r="54407" ht="12.75" hidden="1" customHeight="1" x14ac:dyDescent="0.2"/>
    <row r="54408" ht="12.75" hidden="1" customHeight="1" x14ac:dyDescent="0.2"/>
    <row r="54409" ht="12.75" hidden="1" customHeight="1" x14ac:dyDescent="0.2"/>
    <row r="54410" ht="12.75" hidden="1" customHeight="1" x14ac:dyDescent="0.2"/>
    <row r="54411" ht="12.75" hidden="1" customHeight="1" x14ac:dyDescent="0.2"/>
    <row r="54412" ht="12.75" hidden="1" customHeight="1" x14ac:dyDescent="0.2"/>
    <row r="54413" ht="12.75" hidden="1" customHeight="1" x14ac:dyDescent="0.2"/>
    <row r="54414" ht="12.75" hidden="1" customHeight="1" x14ac:dyDescent="0.2"/>
    <row r="54415" ht="12.75" hidden="1" customHeight="1" x14ac:dyDescent="0.2"/>
    <row r="54416" ht="12.75" hidden="1" customHeight="1" x14ac:dyDescent="0.2"/>
    <row r="54417" ht="12.75" hidden="1" customHeight="1" x14ac:dyDescent="0.2"/>
    <row r="54418" ht="12.75" hidden="1" customHeight="1" x14ac:dyDescent="0.2"/>
    <row r="54419" ht="12.75" hidden="1" customHeight="1" x14ac:dyDescent="0.2"/>
    <row r="54420" ht="12.75" hidden="1" customHeight="1" x14ac:dyDescent="0.2"/>
    <row r="54421" ht="12.75" hidden="1" customHeight="1" x14ac:dyDescent="0.2"/>
    <row r="54422" ht="12.75" hidden="1" customHeight="1" x14ac:dyDescent="0.2"/>
    <row r="54423" ht="12.75" hidden="1" customHeight="1" x14ac:dyDescent="0.2"/>
    <row r="54424" ht="12.75" hidden="1" customHeight="1" x14ac:dyDescent="0.2"/>
    <row r="54425" ht="12.75" hidden="1" customHeight="1" x14ac:dyDescent="0.2"/>
    <row r="54426" ht="12.75" hidden="1" customHeight="1" x14ac:dyDescent="0.2"/>
    <row r="54427" ht="12.75" hidden="1" customHeight="1" x14ac:dyDescent="0.2"/>
    <row r="54428" ht="12.75" hidden="1" customHeight="1" x14ac:dyDescent="0.2"/>
    <row r="54429" ht="12.75" hidden="1" customHeight="1" x14ac:dyDescent="0.2"/>
    <row r="54430" ht="12.75" hidden="1" customHeight="1" x14ac:dyDescent="0.2"/>
    <row r="54431" ht="12.75" hidden="1" customHeight="1" x14ac:dyDescent="0.2"/>
    <row r="54432" ht="12.75" hidden="1" customHeight="1" x14ac:dyDescent="0.2"/>
    <row r="54433" ht="12.75" hidden="1" customHeight="1" x14ac:dyDescent="0.2"/>
    <row r="54434" ht="12.75" hidden="1" customHeight="1" x14ac:dyDescent="0.2"/>
    <row r="54435" ht="12.75" hidden="1" customHeight="1" x14ac:dyDescent="0.2"/>
    <row r="54436" ht="12.75" hidden="1" customHeight="1" x14ac:dyDescent="0.2"/>
    <row r="54437" ht="12.75" hidden="1" customHeight="1" x14ac:dyDescent="0.2"/>
    <row r="54438" ht="12.75" hidden="1" customHeight="1" x14ac:dyDescent="0.2"/>
    <row r="54439" ht="12.75" hidden="1" customHeight="1" x14ac:dyDescent="0.2"/>
    <row r="54440" ht="12.75" hidden="1" customHeight="1" x14ac:dyDescent="0.2"/>
    <row r="54441" ht="12.75" hidden="1" customHeight="1" x14ac:dyDescent="0.2"/>
    <row r="54442" ht="12.75" hidden="1" customHeight="1" x14ac:dyDescent="0.2"/>
    <row r="54443" ht="12.75" hidden="1" customHeight="1" x14ac:dyDescent="0.2"/>
    <row r="54444" ht="12.75" hidden="1" customHeight="1" x14ac:dyDescent="0.2"/>
    <row r="54445" ht="12.75" hidden="1" customHeight="1" x14ac:dyDescent="0.2"/>
    <row r="54446" ht="12.75" hidden="1" customHeight="1" x14ac:dyDescent="0.2"/>
    <row r="54447" ht="12.75" hidden="1" customHeight="1" x14ac:dyDescent="0.2"/>
    <row r="54448" ht="12.75" hidden="1" customHeight="1" x14ac:dyDescent="0.2"/>
    <row r="54449" ht="12.75" hidden="1" customHeight="1" x14ac:dyDescent="0.2"/>
    <row r="54450" ht="12.75" hidden="1" customHeight="1" x14ac:dyDescent="0.2"/>
    <row r="54451" ht="12.75" hidden="1" customHeight="1" x14ac:dyDescent="0.2"/>
    <row r="54452" ht="12.75" hidden="1" customHeight="1" x14ac:dyDescent="0.2"/>
    <row r="54453" ht="12.75" hidden="1" customHeight="1" x14ac:dyDescent="0.2"/>
    <row r="54454" ht="12.75" hidden="1" customHeight="1" x14ac:dyDescent="0.2"/>
    <row r="54455" ht="12.75" hidden="1" customHeight="1" x14ac:dyDescent="0.2"/>
    <row r="54456" ht="12.75" hidden="1" customHeight="1" x14ac:dyDescent="0.2"/>
    <row r="54457" ht="12.75" hidden="1" customHeight="1" x14ac:dyDescent="0.2"/>
    <row r="54458" ht="12.75" hidden="1" customHeight="1" x14ac:dyDescent="0.2"/>
    <row r="54459" ht="12.75" hidden="1" customHeight="1" x14ac:dyDescent="0.2"/>
    <row r="54460" ht="12.75" hidden="1" customHeight="1" x14ac:dyDescent="0.2"/>
    <row r="54461" ht="12.75" hidden="1" customHeight="1" x14ac:dyDescent="0.2"/>
    <row r="54462" ht="12.75" hidden="1" customHeight="1" x14ac:dyDescent="0.2"/>
    <row r="54463" ht="12.75" hidden="1" customHeight="1" x14ac:dyDescent="0.2"/>
    <row r="54464" ht="12.75" hidden="1" customHeight="1" x14ac:dyDescent="0.2"/>
    <row r="54465" ht="12.75" hidden="1" customHeight="1" x14ac:dyDescent="0.2"/>
    <row r="54466" ht="12.75" hidden="1" customHeight="1" x14ac:dyDescent="0.2"/>
    <row r="54467" ht="12.75" hidden="1" customHeight="1" x14ac:dyDescent="0.2"/>
    <row r="54468" ht="12.75" hidden="1" customHeight="1" x14ac:dyDescent="0.2"/>
    <row r="54469" ht="12.75" hidden="1" customHeight="1" x14ac:dyDescent="0.2"/>
    <row r="54470" ht="12.75" hidden="1" customHeight="1" x14ac:dyDescent="0.2"/>
    <row r="54471" ht="12.75" hidden="1" customHeight="1" x14ac:dyDescent="0.2"/>
    <row r="54472" ht="12.75" hidden="1" customHeight="1" x14ac:dyDescent="0.2"/>
    <row r="54473" ht="12.75" hidden="1" customHeight="1" x14ac:dyDescent="0.2"/>
    <row r="54474" ht="12.75" hidden="1" customHeight="1" x14ac:dyDescent="0.2"/>
    <row r="54475" ht="12.75" hidden="1" customHeight="1" x14ac:dyDescent="0.2"/>
    <row r="54476" ht="12.75" hidden="1" customHeight="1" x14ac:dyDescent="0.2"/>
    <row r="54477" ht="12.75" hidden="1" customHeight="1" x14ac:dyDescent="0.2"/>
    <row r="54478" ht="12.75" hidden="1" customHeight="1" x14ac:dyDescent="0.2"/>
    <row r="54479" ht="12.75" hidden="1" customHeight="1" x14ac:dyDescent="0.2"/>
    <row r="54480" ht="12.75" hidden="1" customHeight="1" x14ac:dyDescent="0.2"/>
    <row r="54481" ht="12.75" hidden="1" customHeight="1" x14ac:dyDescent="0.2"/>
    <row r="54482" ht="12.75" hidden="1" customHeight="1" x14ac:dyDescent="0.2"/>
    <row r="54483" ht="12.75" hidden="1" customHeight="1" x14ac:dyDescent="0.2"/>
    <row r="54484" ht="12.75" hidden="1" customHeight="1" x14ac:dyDescent="0.2"/>
    <row r="54485" ht="12.75" hidden="1" customHeight="1" x14ac:dyDescent="0.2"/>
    <row r="54486" ht="12.75" hidden="1" customHeight="1" x14ac:dyDescent="0.2"/>
    <row r="54487" ht="12.75" hidden="1" customHeight="1" x14ac:dyDescent="0.2"/>
    <row r="54488" ht="12.75" hidden="1" customHeight="1" x14ac:dyDescent="0.2"/>
    <row r="54489" ht="12.75" hidden="1" customHeight="1" x14ac:dyDescent="0.2"/>
    <row r="54490" ht="12.75" hidden="1" customHeight="1" x14ac:dyDescent="0.2"/>
    <row r="54491" ht="12.75" hidden="1" customHeight="1" x14ac:dyDescent="0.2"/>
    <row r="54492" ht="12.75" hidden="1" customHeight="1" x14ac:dyDescent="0.2"/>
    <row r="54493" ht="12.75" hidden="1" customHeight="1" x14ac:dyDescent="0.2"/>
    <row r="54494" ht="12.75" hidden="1" customHeight="1" x14ac:dyDescent="0.2"/>
    <row r="54495" ht="12.75" hidden="1" customHeight="1" x14ac:dyDescent="0.2"/>
    <row r="54496" ht="12.75" hidden="1" customHeight="1" x14ac:dyDescent="0.2"/>
    <row r="54497" ht="12.75" hidden="1" customHeight="1" x14ac:dyDescent="0.2"/>
    <row r="54498" ht="12.75" hidden="1" customHeight="1" x14ac:dyDescent="0.2"/>
    <row r="54499" ht="12.75" hidden="1" customHeight="1" x14ac:dyDescent="0.2"/>
    <row r="54500" ht="12.75" hidden="1" customHeight="1" x14ac:dyDescent="0.2"/>
    <row r="54501" ht="12.75" hidden="1" customHeight="1" x14ac:dyDescent="0.2"/>
    <row r="54502" ht="12.75" hidden="1" customHeight="1" x14ac:dyDescent="0.2"/>
    <row r="54503" ht="12.75" hidden="1" customHeight="1" x14ac:dyDescent="0.2"/>
    <row r="54504" ht="12.75" hidden="1" customHeight="1" x14ac:dyDescent="0.2"/>
    <row r="54505" ht="12.75" hidden="1" customHeight="1" x14ac:dyDescent="0.2"/>
    <row r="54506" ht="12.75" hidden="1" customHeight="1" x14ac:dyDescent="0.2"/>
    <row r="54507" ht="12.75" hidden="1" customHeight="1" x14ac:dyDescent="0.2"/>
    <row r="54508" ht="12.75" hidden="1" customHeight="1" x14ac:dyDescent="0.2"/>
    <row r="54509" ht="12.75" hidden="1" customHeight="1" x14ac:dyDescent="0.2"/>
    <row r="54510" ht="12.75" hidden="1" customHeight="1" x14ac:dyDescent="0.2"/>
    <row r="54511" ht="12.75" hidden="1" customHeight="1" x14ac:dyDescent="0.2"/>
    <row r="54512" ht="12.75" hidden="1" customHeight="1" x14ac:dyDescent="0.2"/>
    <row r="54513" ht="12.75" hidden="1" customHeight="1" x14ac:dyDescent="0.2"/>
    <row r="54514" ht="12.75" hidden="1" customHeight="1" x14ac:dyDescent="0.2"/>
    <row r="54515" ht="12.75" hidden="1" customHeight="1" x14ac:dyDescent="0.2"/>
    <row r="54516" ht="12.75" hidden="1" customHeight="1" x14ac:dyDescent="0.2"/>
    <row r="54517" ht="12.75" hidden="1" customHeight="1" x14ac:dyDescent="0.2"/>
    <row r="54518" ht="12.75" hidden="1" customHeight="1" x14ac:dyDescent="0.2"/>
    <row r="54519" ht="12.75" hidden="1" customHeight="1" x14ac:dyDescent="0.2"/>
    <row r="54520" ht="12.75" hidden="1" customHeight="1" x14ac:dyDescent="0.2"/>
    <row r="54521" ht="12.75" hidden="1" customHeight="1" x14ac:dyDescent="0.2"/>
    <row r="54522" ht="12.75" hidden="1" customHeight="1" x14ac:dyDescent="0.2"/>
    <row r="54523" ht="12.75" hidden="1" customHeight="1" x14ac:dyDescent="0.2"/>
    <row r="54524" ht="12.75" hidden="1" customHeight="1" x14ac:dyDescent="0.2"/>
    <row r="54525" ht="12.75" hidden="1" customHeight="1" x14ac:dyDescent="0.2"/>
    <row r="54526" ht="12.75" hidden="1" customHeight="1" x14ac:dyDescent="0.2"/>
    <row r="54527" ht="12.75" hidden="1" customHeight="1" x14ac:dyDescent="0.2"/>
    <row r="54528" ht="12.75" hidden="1" customHeight="1" x14ac:dyDescent="0.2"/>
    <row r="54529" ht="12.75" hidden="1" customHeight="1" x14ac:dyDescent="0.2"/>
    <row r="54530" ht="12.75" hidden="1" customHeight="1" x14ac:dyDescent="0.2"/>
    <row r="54531" ht="12.75" hidden="1" customHeight="1" x14ac:dyDescent="0.2"/>
    <row r="54532" ht="12.75" hidden="1" customHeight="1" x14ac:dyDescent="0.2"/>
    <row r="54533" ht="12.75" hidden="1" customHeight="1" x14ac:dyDescent="0.2"/>
    <row r="54534" ht="12.75" hidden="1" customHeight="1" x14ac:dyDescent="0.2"/>
    <row r="54535" ht="12.75" hidden="1" customHeight="1" x14ac:dyDescent="0.2"/>
    <row r="54536" ht="12.75" hidden="1" customHeight="1" x14ac:dyDescent="0.2"/>
    <row r="54537" ht="12.75" hidden="1" customHeight="1" x14ac:dyDescent="0.2"/>
    <row r="54538" ht="12.75" hidden="1" customHeight="1" x14ac:dyDescent="0.2"/>
    <row r="54539" ht="12.75" hidden="1" customHeight="1" x14ac:dyDescent="0.2"/>
    <row r="54540" ht="12.75" hidden="1" customHeight="1" x14ac:dyDescent="0.2"/>
    <row r="54541" ht="12.75" hidden="1" customHeight="1" x14ac:dyDescent="0.2"/>
    <row r="54542" ht="12.75" hidden="1" customHeight="1" x14ac:dyDescent="0.2"/>
    <row r="54543" ht="12.75" hidden="1" customHeight="1" x14ac:dyDescent="0.2"/>
    <row r="54544" ht="12.75" hidden="1" customHeight="1" x14ac:dyDescent="0.2"/>
    <row r="54545" ht="12.75" hidden="1" customHeight="1" x14ac:dyDescent="0.2"/>
    <row r="54546" ht="12.75" hidden="1" customHeight="1" x14ac:dyDescent="0.2"/>
    <row r="54547" ht="12.75" hidden="1" customHeight="1" x14ac:dyDescent="0.2"/>
    <row r="54548" ht="12.75" hidden="1" customHeight="1" x14ac:dyDescent="0.2"/>
    <row r="54549" ht="12.75" hidden="1" customHeight="1" x14ac:dyDescent="0.2"/>
    <row r="54550" ht="12.75" hidden="1" customHeight="1" x14ac:dyDescent="0.2"/>
    <row r="54551" ht="12.75" hidden="1" customHeight="1" x14ac:dyDescent="0.2"/>
    <row r="54552" ht="12.75" hidden="1" customHeight="1" x14ac:dyDescent="0.2"/>
    <row r="54553" ht="12.75" hidden="1" customHeight="1" x14ac:dyDescent="0.2"/>
    <row r="54554" ht="12.75" hidden="1" customHeight="1" x14ac:dyDescent="0.2"/>
    <row r="54555" ht="12.75" hidden="1" customHeight="1" x14ac:dyDescent="0.2"/>
    <row r="54556" ht="12.75" hidden="1" customHeight="1" x14ac:dyDescent="0.2"/>
    <row r="54557" ht="12.75" hidden="1" customHeight="1" x14ac:dyDescent="0.2"/>
    <row r="54558" ht="12.75" hidden="1" customHeight="1" x14ac:dyDescent="0.2"/>
    <row r="54559" ht="12.75" hidden="1" customHeight="1" x14ac:dyDescent="0.2"/>
    <row r="54560" ht="12.75" hidden="1" customHeight="1" x14ac:dyDescent="0.2"/>
    <row r="54561" ht="12.75" hidden="1" customHeight="1" x14ac:dyDescent="0.2"/>
    <row r="54562" ht="12.75" hidden="1" customHeight="1" x14ac:dyDescent="0.2"/>
    <row r="54563" ht="12.75" hidden="1" customHeight="1" x14ac:dyDescent="0.2"/>
    <row r="54564" ht="12.75" hidden="1" customHeight="1" x14ac:dyDescent="0.2"/>
    <row r="54565" ht="12.75" hidden="1" customHeight="1" x14ac:dyDescent="0.2"/>
    <row r="54566" ht="12.75" hidden="1" customHeight="1" x14ac:dyDescent="0.2"/>
    <row r="54567" ht="12.75" hidden="1" customHeight="1" x14ac:dyDescent="0.2"/>
    <row r="54568" ht="12.75" hidden="1" customHeight="1" x14ac:dyDescent="0.2"/>
    <row r="54569" ht="12.75" hidden="1" customHeight="1" x14ac:dyDescent="0.2"/>
    <row r="54570" ht="12.75" hidden="1" customHeight="1" x14ac:dyDescent="0.2"/>
    <row r="54571" ht="12.75" hidden="1" customHeight="1" x14ac:dyDescent="0.2"/>
    <row r="54572" ht="12.75" hidden="1" customHeight="1" x14ac:dyDescent="0.2"/>
    <row r="54573" ht="12.75" hidden="1" customHeight="1" x14ac:dyDescent="0.2"/>
    <row r="54574" ht="12.75" hidden="1" customHeight="1" x14ac:dyDescent="0.2"/>
    <row r="54575" ht="12.75" hidden="1" customHeight="1" x14ac:dyDescent="0.2"/>
    <row r="54576" ht="12.75" hidden="1" customHeight="1" x14ac:dyDescent="0.2"/>
    <row r="54577" ht="12.75" hidden="1" customHeight="1" x14ac:dyDescent="0.2"/>
    <row r="54578" ht="12.75" hidden="1" customHeight="1" x14ac:dyDescent="0.2"/>
    <row r="54579" ht="12.75" hidden="1" customHeight="1" x14ac:dyDescent="0.2"/>
    <row r="54580" ht="12.75" hidden="1" customHeight="1" x14ac:dyDescent="0.2"/>
    <row r="54581" ht="12.75" hidden="1" customHeight="1" x14ac:dyDescent="0.2"/>
    <row r="54582" ht="12.75" hidden="1" customHeight="1" x14ac:dyDescent="0.2"/>
    <row r="54583" ht="12.75" hidden="1" customHeight="1" x14ac:dyDescent="0.2"/>
    <row r="54584" ht="12.75" hidden="1" customHeight="1" x14ac:dyDescent="0.2"/>
    <row r="54585" ht="12.75" hidden="1" customHeight="1" x14ac:dyDescent="0.2"/>
    <row r="54586" ht="12.75" hidden="1" customHeight="1" x14ac:dyDescent="0.2"/>
    <row r="54587" ht="12.75" hidden="1" customHeight="1" x14ac:dyDescent="0.2"/>
    <row r="54588" ht="12.75" hidden="1" customHeight="1" x14ac:dyDescent="0.2"/>
    <row r="54589" ht="12.75" hidden="1" customHeight="1" x14ac:dyDescent="0.2"/>
    <row r="54590" ht="12.75" hidden="1" customHeight="1" x14ac:dyDescent="0.2"/>
    <row r="54591" ht="12.75" hidden="1" customHeight="1" x14ac:dyDescent="0.2"/>
    <row r="54592" ht="12.75" hidden="1" customHeight="1" x14ac:dyDescent="0.2"/>
    <row r="54593" ht="12.75" hidden="1" customHeight="1" x14ac:dyDescent="0.2"/>
    <row r="54594" ht="12.75" hidden="1" customHeight="1" x14ac:dyDescent="0.2"/>
    <row r="54595" ht="12.75" hidden="1" customHeight="1" x14ac:dyDescent="0.2"/>
    <row r="54596" ht="12.75" hidden="1" customHeight="1" x14ac:dyDescent="0.2"/>
    <row r="54597" ht="12.75" hidden="1" customHeight="1" x14ac:dyDescent="0.2"/>
    <row r="54598" ht="12.75" hidden="1" customHeight="1" x14ac:dyDescent="0.2"/>
    <row r="54599" ht="12.75" hidden="1" customHeight="1" x14ac:dyDescent="0.2"/>
    <row r="54600" ht="12.75" hidden="1" customHeight="1" x14ac:dyDescent="0.2"/>
    <row r="54601" ht="12.75" hidden="1" customHeight="1" x14ac:dyDescent="0.2"/>
    <row r="54602" ht="12.75" hidden="1" customHeight="1" x14ac:dyDescent="0.2"/>
    <row r="54603" ht="12.75" hidden="1" customHeight="1" x14ac:dyDescent="0.2"/>
    <row r="54604" ht="12.75" hidden="1" customHeight="1" x14ac:dyDescent="0.2"/>
    <row r="54605" ht="12.75" hidden="1" customHeight="1" x14ac:dyDescent="0.2"/>
    <row r="54606" ht="12.75" hidden="1" customHeight="1" x14ac:dyDescent="0.2"/>
    <row r="54607" ht="12.75" hidden="1" customHeight="1" x14ac:dyDescent="0.2"/>
    <row r="54608" ht="12.75" hidden="1" customHeight="1" x14ac:dyDescent="0.2"/>
    <row r="54609" ht="12.75" hidden="1" customHeight="1" x14ac:dyDescent="0.2"/>
    <row r="54610" ht="12.75" hidden="1" customHeight="1" x14ac:dyDescent="0.2"/>
    <row r="54611" ht="12.75" hidden="1" customHeight="1" x14ac:dyDescent="0.2"/>
    <row r="54612" ht="12.75" hidden="1" customHeight="1" x14ac:dyDescent="0.2"/>
    <row r="54613" ht="12.75" hidden="1" customHeight="1" x14ac:dyDescent="0.2"/>
    <row r="54614" ht="12.75" hidden="1" customHeight="1" x14ac:dyDescent="0.2"/>
    <row r="54615" ht="12.75" hidden="1" customHeight="1" x14ac:dyDescent="0.2"/>
    <row r="54616" ht="12.75" hidden="1" customHeight="1" x14ac:dyDescent="0.2"/>
    <row r="54617" ht="12.75" hidden="1" customHeight="1" x14ac:dyDescent="0.2"/>
    <row r="54618" ht="12.75" hidden="1" customHeight="1" x14ac:dyDescent="0.2"/>
    <row r="54619" ht="12.75" hidden="1" customHeight="1" x14ac:dyDescent="0.2"/>
    <row r="54620" ht="12.75" hidden="1" customHeight="1" x14ac:dyDescent="0.2"/>
    <row r="54621" ht="12.75" hidden="1" customHeight="1" x14ac:dyDescent="0.2"/>
    <row r="54622" ht="12.75" hidden="1" customHeight="1" x14ac:dyDescent="0.2"/>
    <row r="54623" ht="12.75" hidden="1" customHeight="1" x14ac:dyDescent="0.2"/>
    <row r="54624" ht="12.75" hidden="1" customHeight="1" x14ac:dyDescent="0.2"/>
    <row r="54625" ht="12.75" hidden="1" customHeight="1" x14ac:dyDescent="0.2"/>
    <row r="54626" ht="12.75" hidden="1" customHeight="1" x14ac:dyDescent="0.2"/>
    <row r="54627" ht="12.75" hidden="1" customHeight="1" x14ac:dyDescent="0.2"/>
    <row r="54628" ht="12.75" hidden="1" customHeight="1" x14ac:dyDescent="0.2"/>
    <row r="54629" ht="12.75" hidden="1" customHeight="1" x14ac:dyDescent="0.2"/>
    <row r="54630" ht="12.75" hidden="1" customHeight="1" x14ac:dyDescent="0.2"/>
    <row r="54631" ht="12.75" hidden="1" customHeight="1" x14ac:dyDescent="0.2"/>
    <row r="54632" ht="12.75" hidden="1" customHeight="1" x14ac:dyDescent="0.2"/>
    <row r="54633" ht="12.75" hidden="1" customHeight="1" x14ac:dyDescent="0.2"/>
    <row r="54634" ht="12.75" hidden="1" customHeight="1" x14ac:dyDescent="0.2"/>
    <row r="54635" ht="12.75" hidden="1" customHeight="1" x14ac:dyDescent="0.2"/>
    <row r="54636" ht="12.75" hidden="1" customHeight="1" x14ac:dyDescent="0.2"/>
    <row r="54637" ht="12.75" hidden="1" customHeight="1" x14ac:dyDescent="0.2"/>
    <row r="54638" ht="12.75" hidden="1" customHeight="1" x14ac:dyDescent="0.2"/>
    <row r="54639" ht="12.75" hidden="1" customHeight="1" x14ac:dyDescent="0.2"/>
    <row r="54640" ht="12.75" hidden="1" customHeight="1" x14ac:dyDescent="0.2"/>
    <row r="54641" ht="12.75" hidden="1" customHeight="1" x14ac:dyDescent="0.2"/>
    <row r="54642" ht="12.75" hidden="1" customHeight="1" x14ac:dyDescent="0.2"/>
    <row r="54643" ht="12.75" hidden="1" customHeight="1" x14ac:dyDescent="0.2"/>
    <row r="54644" ht="12.75" hidden="1" customHeight="1" x14ac:dyDescent="0.2"/>
    <row r="54645" ht="12.75" hidden="1" customHeight="1" x14ac:dyDescent="0.2"/>
    <row r="54646" ht="12.75" hidden="1" customHeight="1" x14ac:dyDescent="0.2"/>
    <row r="54647" ht="12.75" hidden="1" customHeight="1" x14ac:dyDescent="0.2"/>
    <row r="54648" ht="12.75" hidden="1" customHeight="1" x14ac:dyDescent="0.2"/>
    <row r="54649" ht="12.75" hidden="1" customHeight="1" x14ac:dyDescent="0.2"/>
    <row r="54650" ht="12.75" hidden="1" customHeight="1" x14ac:dyDescent="0.2"/>
    <row r="54651" ht="12.75" hidden="1" customHeight="1" x14ac:dyDescent="0.2"/>
    <row r="54652" ht="12.75" hidden="1" customHeight="1" x14ac:dyDescent="0.2"/>
    <row r="54653" ht="12.75" hidden="1" customHeight="1" x14ac:dyDescent="0.2"/>
    <row r="54654" ht="12.75" hidden="1" customHeight="1" x14ac:dyDescent="0.2"/>
    <row r="54655" ht="12.75" hidden="1" customHeight="1" x14ac:dyDescent="0.2"/>
    <row r="54656" ht="12.75" hidden="1" customHeight="1" x14ac:dyDescent="0.2"/>
    <row r="54657" ht="12.75" hidden="1" customHeight="1" x14ac:dyDescent="0.2"/>
    <row r="54658" ht="12.75" hidden="1" customHeight="1" x14ac:dyDescent="0.2"/>
    <row r="54659" ht="12.75" hidden="1" customHeight="1" x14ac:dyDescent="0.2"/>
    <row r="54660" ht="12.75" hidden="1" customHeight="1" x14ac:dyDescent="0.2"/>
    <row r="54661" ht="12.75" hidden="1" customHeight="1" x14ac:dyDescent="0.2"/>
    <row r="54662" ht="12.75" hidden="1" customHeight="1" x14ac:dyDescent="0.2"/>
    <row r="54663" ht="12.75" hidden="1" customHeight="1" x14ac:dyDescent="0.2"/>
    <row r="54664" ht="12.75" hidden="1" customHeight="1" x14ac:dyDescent="0.2"/>
    <row r="54665" ht="12.75" hidden="1" customHeight="1" x14ac:dyDescent="0.2"/>
    <row r="54666" ht="12.75" hidden="1" customHeight="1" x14ac:dyDescent="0.2"/>
    <row r="54667" ht="12.75" hidden="1" customHeight="1" x14ac:dyDescent="0.2"/>
    <row r="54668" ht="12.75" hidden="1" customHeight="1" x14ac:dyDescent="0.2"/>
    <row r="54669" ht="12.75" hidden="1" customHeight="1" x14ac:dyDescent="0.2"/>
    <row r="54670" ht="12.75" hidden="1" customHeight="1" x14ac:dyDescent="0.2"/>
    <row r="54671" ht="12.75" hidden="1" customHeight="1" x14ac:dyDescent="0.2"/>
    <row r="54672" ht="12.75" hidden="1" customHeight="1" x14ac:dyDescent="0.2"/>
    <row r="54673" ht="12.75" hidden="1" customHeight="1" x14ac:dyDescent="0.2"/>
    <row r="54674" ht="12.75" hidden="1" customHeight="1" x14ac:dyDescent="0.2"/>
    <row r="54675" ht="12.75" hidden="1" customHeight="1" x14ac:dyDescent="0.2"/>
    <row r="54676" ht="12.75" hidden="1" customHeight="1" x14ac:dyDescent="0.2"/>
    <row r="54677" ht="12.75" hidden="1" customHeight="1" x14ac:dyDescent="0.2"/>
    <row r="54678" ht="12.75" hidden="1" customHeight="1" x14ac:dyDescent="0.2"/>
    <row r="54679" ht="12.75" hidden="1" customHeight="1" x14ac:dyDescent="0.2"/>
    <row r="54680" ht="12.75" hidden="1" customHeight="1" x14ac:dyDescent="0.2"/>
    <row r="54681" ht="12.75" hidden="1" customHeight="1" x14ac:dyDescent="0.2"/>
    <row r="54682" ht="12.75" hidden="1" customHeight="1" x14ac:dyDescent="0.2"/>
    <row r="54683" ht="12.75" hidden="1" customHeight="1" x14ac:dyDescent="0.2"/>
    <row r="54684" ht="12.75" hidden="1" customHeight="1" x14ac:dyDescent="0.2"/>
    <row r="54685" ht="12.75" hidden="1" customHeight="1" x14ac:dyDescent="0.2"/>
    <row r="54686" ht="12.75" hidden="1" customHeight="1" x14ac:dyDescent="0.2"/>
    <row r="54687" ht="12.75" hidden="1" customHeight="1" x14ac:dyDescent="0.2"/>
    <row r="54688" ht="12.75" hidden="1" customHeight="1" x14ac:dyDescent="0.2"/>
    <row r="54689" ht="12.75" hidden="1" customHeight="1" x14ac:dyDescent="0.2"/>
    <row r="54690" ht="12.75" hidden="1" customHeight="1" x14ac:dyDescent="0.2"/>
    <row r="54691" ht="12.75" hidden="1" customHeight="1" x14ac:dyDescent="0.2"/>
    <row r="54692" ht="12.75" hidden="1" customHeight="1" x14ac:dyDescent="0.2"/>
    <row r="54693" ht="12.75" hidden="1" customHeight="1" x14ac:dyDescent="0.2"/>
    <row r="54694" ht="12.75" hidden="1" customHeight="1" x14ac:dyDescent="0.2"/>
    <row r="54695" ht="12.75" hidden="1" customHeight="1" x14ac:dyDescent="0.2"/>
    <row r="54696" ht="12.75" hidden="1" customHeight="1" x14ac:dyDescent="0.2"/>
    <row r="54697" ht="12.75" hidden="1" customHeight="1" x14ac:dyDescent="0.2"/>
    <row r="54698" ht="12.75" hidden="1" customHeight="1" x14ac:dyDescent="0.2"/>
    <row r="54699" ht="12.75" hidden="1" customHeight="1" x14ac:dyDescent="0.2"/>
    <row r="54700" ht="12.75" hidden="1" customHeight="1" x14ac:dyDescent="0.2"/>
    <row r="54701" ht="12.75" hidden="1" customHeight="1" x14ac:dyDescent="0.2"/>
    <row r="54702" ht="12.75" hidden="1" customHeight="1" x14ac:dyDescent="0.2"/>
    <row r="54703" ht="12.75" hidden="1" customHeight="1" x14ac:dyDescent="0.2"/>
    <row r="54704" ht="12.75" hidden="1" customHeight="1" x14ac:dyDescent="0.2"/>
    <row r="54705" ht="12.75" hidden="1" customHeight="1" x14ac:dyDescent="0.2"/>
    <row r="54706" ht="12.75" hidden="1" customHeight="1" x14ac:dyDescent="0.2"/>
    <row r="54707" ht="12.75" hidden="1" customHeight="1" x14ac:dyDescent="0.2"/>
    <row r="54708" ht="12.75" hidden="1" customHeight="1" x14ac:dyDescent="0.2"/>
    <row r="54709" ht="12.75" hidden="1" customHeight="1" x14ac:dyDescent="0.2"/>
    <row r="54710" ht="12.75" hidden="1" customHeight="1" x14ac:dyDescent="0.2"/>
    <row r="54711" ht="12.75" hidden="1" customHeight="1" x14ac:dyDescent="0.2"/>
    <row r="54712" ht="12.75" hidden="1" customHeight="1" x14ac:dyDescent="0.2"/>
    <row r="54713" ht="12.75" hidden="1" customHeight="1" x14ac:dyDescent="0.2"/>
    <row r="54714" ht="12.75" hidden="1" customHeight="1" x14ac:dyDescent="0.2"/>
    <row r="54715" ht="12.75" hidden="1" customHeight="1" x14ac:dyDescent="0.2"/>
    <row r="54716" ht="12.75" hidden="1" customHeight="1" x14ac:dyDescent="0.2"/>
    <row r="54717" ht="12.75" hidden="1" customHeight="1" x14ac:dyDescent="0.2"/>
    <row r="54718" ht="12.75" hidden="1" customHeight="1" x14ac:dyDescent="0.2"/>
    <row r="54719" ht="12.75" hidden="1" customHeight="1" x14ac:dyDescent="0.2"/>
    <row r="54720" ht="12.75" hidden="1" customHeight="1" x14ac:dyDescent="0.2"/>
    <row r="54721" ht="12.75" hidden="1" customHeight="1" x14ac:dyDescent="0.2"/>
    <row r="54722" ht="12.75" hidden="1" customHeight="1" x14ac:dyDescent="0.2"/>
    <row r="54723" ht="12.75" hidden="1" customHeight="1" x14ac:dyDescent="0.2"/>
    <row r="54724" ht="12.75" hidden="1" customHeight="1" x14ac:dyDescent="0.2"/>
    <row r="54725" ht="12.75" hidden="1" customHeight="1" x14ac:dyDescent="0.2"/>
    <row r="54726" ht="12.75" hidden="1" customHeight="1" x14ac:dyDescent="0.2"/>
    <row r="54727" ht="12.75" hidden="1" customHeight="1" x14ac:dyDescent="0.2"/>
    <row r="54728" ht="12.75" hidden="1" customHeight="1" x14ac:dyDescent="0.2"/>
    <row r="54729" ht="12.75" hidden="1" customHeight="1" x14ac:dyDescent="0.2"/>
    <row r="54730" ht="12.75" hidden="1" customHeight="1" x14ac:dyDescent="0.2"/>
    <row r="54731" ht="12.75" hidden="1" customHeight="1" x14ac:dyDescent="0.2"/>
    <row r="54732" ht="12.75" hidden="1" customHeight="1" x14ac:dyDescent="0.2"/>
    <row r="54733" ht="12.75" hidden="1" customHeight="1" x14ac:dyDescent="0.2"/>
    <row r="54734" ht="12.75" hidden="1" customHeight="1" x14ac:dyDescent="0.2"/>
    <row r="54735" ht="12.75" hidden="1" customHeight="1" x14ac:dyDescent="0.2"/>
    <row r="54736" ht="12.75" hidden="1" customHeight="1" x14ac:dyDescent="0.2"/>
    <row r="54737" ht="12.75" hidden="1" customHeight="1" x14ac:dyDescent="0.2"/>
    <row r="54738" ht="12.75" hidden="1" customHeight="1" x14ac:dyDescent="0.2"/>
    <row r="54739" ht="12.75" hidden="1" customHeight="1" x14ac:dyDescent="0.2"/>
    <row r="54740" ht="12.75" hidden="1" customHeight="1" x14ac:dyDescent="0.2"/>
    <row r="54741" ht="12.75" hidden="1" customHeight="1" x14ac:dyDescent="0.2"/>
    <row r="54742" ht="12.75" hidden="1" customHeight="1" x14ac:dyDescent="0.2"/>
    <row r="54743" ht="12.75" hidden="1" customHeight="1" x14ac:dyDescent="0.2"/>
    <row r="54744" ht="12.75" hidden="1" customHeight="1" x14ac:dyDescent="0.2"/>
    <row r="54745" ht="12.75" hidden="1" customHeight="1" x14ac:dyDescent="0.2"/>
    <row r="54746" ht="12.75" hidden="1" customHeight="1" x14ac:dyDescent="0.2"/>
    <row r="54747" ht="12.75" hidden="1" customHeight="1" x14ac:dyDescent="0.2"/>
    <row r="54748" ht="12.75" hidden="1" customHeight="1" x14ac:dyDescent="0.2"/>
    <row r="54749" ht="12.75" hidden="1" customHeight="1" x14ac:dyDescent="0.2"/>
    <row r="54750" ht="12.75" hidden="1" customHeight="1" x14ac:dyDescent="0.2"/>
    <row r="54751" ht="12.75" hidden="1" customHeight="1" x14ac:dyDescent="0.2"/>
    <row r="54752" ht="12.75" hidden="1" customHeight="1" x14ac:dyDescent="0.2"/>
    <row r="54753" ht="12.75" hidden="1" customHeight="1" x14ac:dyDescent="0.2"/>
    <row r="54754" ht="12.75" hidden="1" customHeight="1" x14ac:dyDescent="0.2"/>
    <row r="54755" ht="12.75" hidden="1" customHeight="1" x14ac:dyDescent="0.2"/>
    <row r="54756" ht="12.75" hidden="1" customHeight="1" x14ac:dyDescent="0.2"/>
    <row r="54757" ht="12.75" hidden="1" customHeight="1" x14ac:dyDescent="0.2"/>
    <row r="54758" ht="12.75" hidden="1" customHeight="1" x14ac:dyDescent="0.2"/>
    <row r="54759" ht="12.75" hidden="1" customHeight="1" x14ac:dyDescent="0.2"/>
    <row r="54760" ht="12.75" hidden="1" customHeight="1" x14ac:dyDescent="0.2"/>
    <row r="54761" ht="12.75" hidden="1" customHeight="1" x14ac:dyDescent="0.2"/>
    <row r="54762" ht="12.75" hidden="1" customHeight="1" x14ac:dyDescent="0.2"/>
    <row r="54763" ht="12.75" hidden="1" customHeight="1" x14ac:dyDescent="0.2"/>
    <row r="54764" ht="12.75" hidden="1" customHeight="1" x14ac:dyDescent="0.2"/>
    <row r="54765" ht="12.75" hidden="1" customHeight="1" x14ac:dyDescent="0.2"/>
    <row r="54766" ht="12.75" hidden="1" customHeight="1" x14ac:dyDescent="0.2"/>
    <row r="54767" ht="12.75" hidden="1" customHeight="1" x14ac:dyDescent="0.2"/>
    <row r="54768" ht="12.75" hidden="1" customHeight="1" x14ac:dyDescent="0.2"/>
    <row r="54769" ht="12.75" hidden="1" customHeight="1" x14ac:dyDescent="0.2"/>
    <row r="54770" ht="12.75" hidden="1" customHeight="1" x14ac:dyDescent="0.2"/>
    <row r="54771" ht="12.75" hidden="1" customHeight="1" x14ac:dyDescent="0.2"/>
    <row r="54772" ht="12.75" hidden="1" customHeight="1" x14ac:dyDescent="0.2"/>
    <row r="54773" ht="12.75" hidden="1" customHeight="1" x14ac:dyDescent="0.2"/>
    <row r="54774" ht="12.75" hidden="1" customHeight="1" x14ac:dyDescent="0.2"/>
    <row r="54775" ht="12.75" hidden="1" customHeight="1" x14ac:dyDescent="0.2"/>
    <row r="54776" ht="12.75" hidden="1" customHeight="1" x14ac:dyDescent="0.2"/>
    <row r="54777" ht="12.75" hidden="1" customHeight="1" x14ac:dyDescent="0.2"/>
    <row r="54778" ht="12.75" hidden="1" customHeight="1" x14ac:dyDescent="0.2"/>
    <row r="54779" ht="12.75" hidden="1" customHeight="1" x14ac:dyDescent="0.2"/>
    <row r="54780" ht="12.75" hidden="1" customHeight="1" x14ac:dyDescent="0.2"/>
    <row r="54781" ht="12.75" hidden="1" customHeight="1" x14ac:dyDescent="0.2"/>
    <row r="54782" ht="12.75" hidden="1" customHeight="1" x14ac:dyDescent="0.2"/>
    <row r="54783" ht="12.75" hidden="1" customHeight="1" x14ac:dyDescent="0.2"/>
    <row r="54784" ht="12.75" hidden="1" customHeight="1" x14ac:dyDescent="0.2"/>
    <row r="54785" ht="12.75" hidden="1" customHeight="1" x14ac:dyDescent="0.2"/>
    <row r="54786" ht="12.75" hidden="1" customHeight="1" x14ac:dyDescent="0.2"/>
    <row r="54787" ht="12.75" hidden="1" customHeight="1" x14ac:dyDescent="0.2"/>
    <row r="54788" ht="12.75" hidden="1" customHeight="1" x14ac:dyDescent="0.2"/>
    <row r="54789" ht="12.75" hidden="1" customHeight="1" x14ac:dyDescent="0.2"/>
    <row r="54790" ht="12.75" hidden="1" customHeight="1" x14ac:dyDescent="0.2"/>
    <row r="54791" ht="12.75" hidden="1" customHeight="1" x14ac:dyDescent="0.2"/>
    <row r="54792" ht="12.75" hidden="1" customHeight="1" x14ac:dyDescent="0.2"/>
    <row r="54793" ht="12.75" hidden="1" customHeight="1" x14ac:dyDescent="0.2"/>
    <row r="54794" ht="12.75" hidden="1" customHeight="1" x14ac:dyDescent="0.2"/>
    <row r="54795" ht="12.75" hidden="1" customHeight="1" x14ac:dyDescent="0.2"/>
    <row r="54796" ht="12.75" hidden="1" customHeight="1" x14ac:dyDescent="0.2"/>
    <row r="54797" ht="12.75" hidden="1" customHeight="1" x14ac:dyDescent="0.2"/>
    <row r="54798" ht="12.75" hidden="1" customHeight="1" x14ac:dyDescent="0.2"/>
    <row r="54799" ht="12.75" hidden="1" customHeight="1" x14ac:dyDescent="0.2"/>
    <row r="54800" ht="12.75" hidden="1" customHeight="1" x14ac:dyDescent="0.2"/>
    <row r="54801" ht="12.75" hidden="1" customHeight="1" x14ac:dyDescent="0.2"/>
    <row r="54802" ht="12.75" hidden="1" customHeight="1" x14ac:dyDescent="0.2"/>
    <row r="54803" ht="12.75" hidden="1" customHeight="1" x14ac:dyDescent="0.2"/>
    <row r="54804" ht="12.75" hidden="1" customHeight="1" x14ac:dyDescent="0.2"/>
    <row r="54805" ht="12.75" hidden="1" customHeight="1" x14ac:dyDescent="0.2"/>
    <row r="54806" ht="12.75" hidden="1" customHeight="1" x14ac:dyDescent="0.2"/>
    <row r="54807" ht="12.75" hidden="1" customHeight="1" x14ac:dyDescent="0.2"/>
    <row r="54808" ht="12.75" hidden="1" customHeight="1" x14ac:dyDescent="0.2"/>
    <row r="54809" ht="12.75" hidden="1" customHeight="1" x14ac:dyDescent="0.2"/>
    <row r="54810" ht="12.75" hidden="1" customHeight="1" x14ac:dyDescent="0.2"/>
    <row r="54811" ht="12.75" hidden="1" customHeight="1" x14ac:dyDescent="0.2"/>
    <row r="54812" ht="12.75" hidden="1" customHeight="1" x14ac:dyDescent="0.2"/>
    <row r="54813" ht="12.75" hidden="1" customHeight="1" x14ac:dyDescent="0.2"/>
    <row r="54814" ht="12.75" hidden="1" customHeight="1" x14ac:dyDescent="0.2"/>
    <row r="54815" ht="12.75" hidden="1" customHeight="1" x14ac:dyDescent="0.2"/>
    <row r="54816" ht="12.75" hidden="1" customHeight="1" x14ac:dyDescent="0.2"/>
    <row r="54817" ht="12.75" hidden="1" customHeight="1" x14ac:dyDescent="0.2"/>
    <row r="54818" ht="12.75" hidden="1" customHeight="1" x14ac:dyDescent="0.2"/>
    <row r="54819" ht="12.75" hidden="1" customHeight="1" x14ac:dyDescent="0.2"/>
    <row r="54820" ht="12.75" hidden="1" customHeight="1" x14ac:dyDescent="0.2"/>
    <row r="54821" ht="12.75" hidden="1" customHeight="1" x14ac:dyDescent="0.2"/>
    <row r="54822" ht="12.75" hidden="1" customHeight="1" x14ac:dyDescent="0.2"/>
    <row r="54823" ht="12.75" hidden="1" customHeight="1" x14ac:dyDescent="0.2"/>
    <row r="54824" ht="12.75" hidden="1" customHeight="1" x14ac:dyDescent="0.2"/>
    <row r="54825" ht="12.75" hidden="1" customHeight="1" x14ac:dyDescent="0.2"/>
    <row r="54826" ht="12.75" hidden="1" customHeight="1" x14ac:dyDescent="0.2"/>
    <row r="54827" ht="12.75" hidden="1" customHeight="1" x14ac:dyDescent="0.2"/>
    <row r="54828" ht="12.75" hidden="1" customHeight="1" x14ac:dyDescent="0.2"/>
    <row r="54829" ht="12.75" hidden="1" customHeight="1" x14ac:dyDescent="0.2"/>
    <row r="54830" ht="12.75" hidden="1" customHeight="1" x14ac:dyDescent="0.2"/>
    <row r="54831" ht="12.75" hidden="1" customHeight="1" x14ac:dyDescent="0.2"/>
    <row r="54832" ht="12.75" hidden="1" customHeight="1" x14ac:dyDescent="0.2"/>
    <row r="54833" ht="12.75" hidden="1" customHeight="1" x14ac:dyDescent="0.2"/>
    <row r="54834" ht="12.75" hidden="1" customHeight="1" x14ac:dyDescent="0.2"/>
    <row r="54835" ht="12.75" hidden="1" customHeight="1" x14ac:dyDescent="0.2"/>
    <row r="54836" ht="12.75" hidden="1" customHeight="1" x14ac:dyDescent="0.2"/>
    <row r="54837" ht="12.75" hidden="1" customHeight="1" x14ac:dyDescent="0.2"/>
    <row r="54838" ht="12.75" hidden="1" customHeight="1" x14ac:dyDescent="0.2"/>
    <row r="54839" ht="12.75" hidden="1" customHeight="1" x14ac:dyDescent="0.2"/>
    <row r="54840" ht="12.75" hidden="1" customHeight="1" x14ac:dyDescent="0.2"/>
    <row r="54841" ht="12.75" hidden="1" customHeight="1" x14ac:dyDescent="0.2"/>
    <row r="54842" ht="12.75" hidden="1" customHeight="1" x14ac:dyDescent="0.2"/>
    <row r="54843" ht="12.75" hidden="1" customHeight="1" x14ac:dyDescent="0.2"/>
    <row r="54844" ht="12.75" hidden="1" customHeight="1" x14ac:dyDescent="0.2"/>
    <row r="54845" ht="12.75" hidden="1" customHeight="1" x14ac:dyDescent="0.2"/>
    <row r="54846" ht="12.75" hidden="1" customHeight="1" x14ac:dyDescent="0.2"/>
    <row r="54847" ht="12.75" hidden="1" customHeight="1" x14ac:dyDescent="0.2"/>
    <row r="54848" ht="12.75" hidden="1" customHeight="1" x14ac:dyDescent="0.2"/>
    <row r="54849" ht="12.75" hidden="1" customHeight="1" x14ac:dyDescent="0.2"/>
    <row r="54850" ht="12.75" hidden="1" customHeight="1" x14ac:dyDescent="0.2"/>
    <row r="54851" ht="12.75" hidden="1" customHeight="1" x14ac:dyDescent="0.2"/>
    <row r="54852" ht="12.75" hidden="1" customHeight="1" x14ac:dyDescent="0.2"/>
    <row r="54853" ht="12.75" hidden="1" customHeight="1" x14ac:dyDescent="0.2"/>
    <row r="54854" ht="12.75" hidden="1" customHeight="1" x14ac:dyDescent="0.2"/>
    <row r="54855" ht="12.75" hidden="1" customHeight="1" x14ac:dyDescent="0.2"/>
    <row r="54856" ht="12.75" hidden="1" customHeight="1" x14ac:dyDescent="0.2"/>
    <row r="54857" ht="12.75" hidden="1" customHeight="1" x14ac:dyDescent="0.2"/>
    <row r="54858" ht="12.75" hidden="1" customHeight="1" x14ac:dyDescent="0.2"/>
    <row r="54859" ht="12.75" hidden="1" customHeight="1" x14ac:dyDescent="0.2"/>
    <row r="54860" ht="12.75" hidden="1" customHeight="1" x14ac:dyDescent="0.2"/>
    <row r="54861" ht="12.75" hidden="1" customHeight="1" x14ac:dyDescent="0.2"/>
    <row r="54862" ht="12.75" hidden="1" customHeight="1" x14ac:dyDescent="0.2"/>
    <row r="54863" ht="12.75" hidden="1" customHeight="1" x14ac:dyDescent="0.2"/>
    <row r="54864" ht="12.75" hidden="1" customHeight="1" x14ac:dyDescent="0.2"/>
    <row r="54865" ht="12.75" hidden="1" customHeight="1" x14ac:dyDescent="0.2"/>
    <row r="54866" ht="12.75" hidden="1" customHeight="1" x14ac:dyDescent="0.2"/>
    <row r="54867" ht="12.75" hidden="1" customHeight="1" x14ac:dyDescent="0.2"/>
    <row r="54868" ht="12.75" hidden="1" customHeight="1" x14ac:dyDescent="0.2"/>
    <row r="54869" ht="12.75" hidden="1" customHeight="1" x14ac:dyDescent="0.2"/>
    <row r="54870" ht="12.75" hidden="1" customHeight="1" x14ac:dyDescent="0.2"/>
    <row r="54871" ht="12.75" hidden="1" customHeight="1" x14ac:dyDescent="0.2"/>
    <row r="54872" ht="12.75" hidden="1" customHeight="1" x14ac:dyDescent="0.2"/>
    <row r="54873" ht="12.75" hidden="1" customHeight="1" x14ac:dyDescent="0.2"/>
    <row r="54874" ht="12.75" hidden="1" customHeight="1" x14ac:dyDescent="0.2"/>
    <row r="54875" ht="12.75" hidden="1" customHeight="1" x14ac:dyDescent="0.2"/>
    <row r="54876" ht="12.75" hidden="1" customHeight="1" x14ac:dyDescent="0.2"/>
    <row r="54877" ht="12.75" hidden="1" customHeight="1" x14ac:dyDescent="0.2"/>
    <row r="54878" ht="12.75" hidden="1" customHeight="1" x14ac:dyDescent="0.2"/>
    <row r="54879" ht="12.75" hidden="1" customHeight="1" x14ac:dyDescent="0.2"/>
    <row r="54880" ht="12.75" hidden="1" customHeight="1" x14ac:dyDescent="0.2"/>
    <row r="54881" ht="12.75" hidden="1" customHeight="1" x14ac:dyDescent="0.2"/>
    <row r="54882" ht="12.75" hidden="1" customHeight="1" x14ac:dyDescent="0.2"/>
    <row r="54883" ht="12.75" hidden="1" customHeight="1" x14ac:dyDescent="0.2"/>
    <row r="54884" ht="12.75" hidden="1" customHeight="1" x14ac:dyDescent="0.2"/>
    <row r="54885" ht="12.75" hidden="1" customHeight="1" x14ac:dyDescent="0.2"/>
    <row r="54886" ht="12.75" hidden="1" customHeight="1" x14ac:dyDescent="0.2"/>
    <row r="54887" ht="12.75" hidden="1" customHeight="1" x14ac:dyDescent="0.2"/>
    <row r="54888" ht="12.75" hidden="1" customHeight="1" x14ac:dyDescent="0.2"/>
    <row r="54889" ht="12.75" hidden="1" customHeight="1" x14ac:dyDescent="0.2"/>
    <row r="54890" ht="12.75" hidden="1" customHeight="1" x14ac:dyDescent="0.2"/>
    <row r="54891" ht="12.75" hidden="1" customHeight="1" x14ac:dyDescent="0.2"/>
    <row r="54892" ht="12.75" hidden="1" customHeight="1" x14ac:dyDescent="0.2"/>
    <row r="54893" ht="12.75" hidden="1" customHeight="1" x14ac:dyDescent="0.2"/>
    <row r="54894" ht="12.75" hidden="1" customHeight="1" x14ac:dyDescent="0.2"/>
    <row r="54895" ht="12.75" hidden="1" customHeight="1" x14ac:dyDescent="0.2"/>
    <row r="54896" ht="12.75" hidden="1" customHeight="1" x14ac:dyDescent="0.2"/>
    <row r="54897" ht="12.75" hidden="1" customHeight="1" x14ac:dyDescent="0.2"/>
    <row r="54898" ht="12.75" hidden="1" customHeight="1" x14ac:dyDescent="0.2"/>
    <row r="54899" ht="12.75" hidden="1" customHeight="1" x14ac:dyDescent="0.2"/>
    <row r="54900" ht="12.75" hidden="1" customHeight="1" x14ac:dyDescent="0.2"/>
    <row r="54901" ht="12.75" hidden="1" customHeight="1" x14ac:dyDescent="0.2"/>
    <row r="54902" ht="12.75" hidden="1" customHeight="1" x14ac:dyDescent="0.2"/>
    <row r="54903" ht="12.75" hidden="1" customHeight="1" x14ac:dyDescent="0.2"/>
    <row r="54904" ht="12.75" hidden="1" customHeight="1" x14ac:dyDescent="0.2"/>
    <row r="54905" ht="12.75" hidden="1" customHeight="1" x14ac:dyDescent="0.2"/>
    <row r="54906" ht="12.75" hidden="1" customHeight="1" x14ac:dyDescent="0.2"/>
    <row r="54907" ht="12.75" hidden="1" customHeight="1" x14ac:dyDescent="0.2"/>
    <row r="54908" ht="12.75" hidden="1" customHeight="1" x14ac:dyDescent="0.2"/>
    <row r="54909" ht="12.75" hidden="1" customHeight="1" x14ac:dyDescent="0.2"/>
    <row r="54910" ht="12.75" hidden="1" customHeight="1" x14ac:dyDescent="0.2"/>
    <row r="54911" ht="12.75" hidden="1" customHeight="1" x14ac:dyDescent="0.2"/>
    <row r="54912" ht="12.75" hidden="1" customHeight="1" x14ac:dyDescent="0.2"/>
    <row r="54913" ht="12.75" hidden="1" customHeight="1" x14ac:dyDescent="0.2"/>
    <row r="54914" ht="12.75" hidden="1" customHeight="1" x14ac:dyDescent="0.2"/>
    <row r="54915" ht="12.75" hidden="1" customHeight="1" x14ac:dyDescent="0.2"/>
    <row r="54916" ht="12.75" hidden="1" customHeight="1" x14ac:dyDescent="0.2"/>
    <row r="54917" ht="12.75" hidden="1" customHeight="1" x14ac:dyDescent="0.2"/>
    <row r="54918" ht="12.75" hidden="1" customHeight="1" x14ac:dyDescent="0.2"/>
    <row r="54919" ht="12.75" hidden="1" customHeight="1" x14ac:dyDescent="0.2"/>
    <row r="54920" ht="12.75" hidden="1" customHeight="1" x14ac:dyDescent="0.2"/>
    <row r="54921" ht="12.75" hidden="1" customHeight="1" x14ac:dyDescent="0.2"/>
    <row r="54922" ht="12.75" hidden="1" customHeight="1" x14ac:dyDescent="0.2"/>
    <row r="54923" ht="12.75" hidden="1" customHeight="1" x14ac:dyDescent="0.2"/>
    <row r="54924" ht="12.75" hidden="1" customHeight="1" x14ac:dyDescent="0.2"/>
    <row r="54925" ht="12.75" hidden="1" customHeight="1" x14ac:dyDescent="0.2"/>
    <row r="54926" ht="12.75" hidden="1" customHeight="1" x14ac:dyDescent="0.2"/>
    <row r="54927" ht="12.75" hidden="1" customHeight="1" x14ac:dyDescent="0.2"/>
    <row r="54928" ht="12.75" hidden="1" customHeight="1" x14ac:dyDescent="0.2"/>
    <row r="54929" ht="12.75" hidden="1" customHeight="1" x14ac:dyDescent="0.2"/>
    <row r="54930" ht="12.75" hidden="1" customHeight="1" x14ac:dyDescent="0.2"/>
    <row r="54931" ht="12.75" hidden="1" customHeight="1" x14ac:dyDescent="0.2"/>
    <row r="54932" ht="12.75" hidden="1" customHeight="1" x14ac:dyDescent="0.2"/>
    <row r="54933" ht="12.75" hidden="1" customHeight="1" x14ac:dyDescent="0.2"/>
    <row r="54934" ht="12.75" hidden="1" customHeight="1" x14ac:dyDescent="0.2"/>
    <row r="54935" ht="12.75" hidden="1" customHeight="1" x14ac:dyDescent="0.2"/>
    <row r="54936" ht="12.75" hidden="1" customHeight="1" x14ac:dyDescent="0.2"/>
    <row r="54937" ht="12.75" hidden="1" customHeight="1" x14ac:dyDescent="0.2"/>
    <row r="54938" ht="12.75" hidden="1" customHeight="1" x14ac:dyDescent="0.2"/>
    <row r="54939" ht="12.75" hidden="1" customHeight="1" x14ac:dyDescent="0.2"/>
    <row r="54940" ht="12.75" hidden="1" customHeight="1" x14ac:dyDescent="0.2"/>
    <row r="54941" ht="12.75" hidden="1" customHeight="1" x14ac:dyDescent="0.2"/>
    <row r="54942" ht="12.75" hidden="1" customHeight="1" x14ac:dyDescent="0.2"/>
    <row r="54943" ht="12.75" hidden="1" customHeight="1" x14ac:dyDescent="0.2"/>
    <row r="54944" ht="12.75" hidden="1" customHeight="1" x14ac:dyDescent="0.2"/>
    <row r="54945" ht="12.75" hidden="1" customHeight="1" x14ac:dyDescent="0.2"/>
    <row r="54946" ht="12.75" hidden="1" customHeight="1" x14ac:dyDescent="0.2"/>
    <row r="54947" ht="12.75" hidden="1" customHeight="1" x14ac:dyDescent="0.2"/>
    <row r="54948" ht="12.75" hidden="1" customHeight="1" x14ac:dyDescent="0.2"/>
    <row r="54949" ht="12.75" hidden="1" customHeight="1" x14ac:dyDescent="0.2"/>
    <row r="54950" ht="12.75" hidden="1" customHeight="1" x14ac:dyDescent="0.2"/>
    <row r="54951" ht="12.75" hidden="1" customHeight="1" x14ac:dyDescent="0.2"/>
    <row r="54952" ht="12.75" hidden="1" customHeight="1" x14ac:dyDescent="0.2"/>
    <row r="54953" ht="12.75" hidden="1" customHeight="1" x14ac:dyDescent="0.2"/>
    <row r="54954" ht="12.75" hidden="1" customHeight="1" x14ac:dyDescent="0.2"/>
    <row r="54955" ht="12.75" hidden="1" customHeight="1" x14ac:dyDescent="0.2"/>
    <row r="54956" ht="12.75" hidden="1" customHeight="1" x14ac:dyDescent="0.2"/>
    <row r="54957" ht="12.75" hidden="1" customHeight="1" x14ac:dyDescent="0.2"/>
    <row r="54958" ht="12.75" hidden="1" customHeight="1" x14ac:dyDescent="0.2"/>
    <row r="54959" ht="12.75" hidden="1" customHeight="1" x14ac:dyDescent="0.2"/>
    <row r="54960" ht="12.75" hidden="1" customHeight="1" x14ac:dyDescent="0.2"/>
    <row r="54961" ht="12.75" hidden="1" customHeight="1" x14ac:dyDescent="0.2"/>
    <row r="54962" ht="12.75" hidden="1" customHeight="1" x14ac:dyDescent="0.2"/>
    <row r="54963" ht="12.75" hidden="1" customHeight="1" x14ac:dyDescent="0.2"/>
    <row r="54964" ht="12.75" hidden="1" customHeight="1" x14ac:dyDescent="0.2"/>
    <row r="54965" ht="12.75" hidden="1" customHeight="1" x14ac:dyDescent="0.2"/>
    <row r="54966" ht="12.75" hidden="1" customHeight="1" x14ac:dyDescent="0.2"/>
    <row r="54967" ht="12.75" hidden="1" customHeight="1" x14ac:dyDescent="0.2"/>
    <row r="54968" ht="12.75" hidden="1" customHeight="1" x14ac:dyDescent="0.2"/>
    <row r="54969" ht="12.75" hidden="1" customHeight="1" x14ac:dyDescent="0.2"/>
    <row r="54970" ht="12.75" hidden="1" customHeight="1" x14ac:dyDescent="0.2"/>
    <row r="54971" ht="12.75" hidden="1" customHeight="1" x14ac:dyDescent="0.2"/>
    <row r="54972" ht="12.75" hidden="1" customHeight="1" x14ac:dyDescent="0.2"/>
    <row r="54973" ht="12.75" hidden="1" customHeight="1" x14ac:dyDescent="0.2"/>
    <row r="54974" ht="12.75" hidden="1" customHeight="1" x14ac:dyDescent="0.2"/>
    <row r="54975" ht="12.75" hidden="1" customHeight="1" x14ac:dyDescent="0.2"/>
    <row r="54976" ht="12.75" hidden="1" customHeight="1" x14ac:dyDescent="0.2"/>
    <row r="54977" ht="12.75" hidden="1" customHeight="1" x14ac:dyDescent="0.2"/>
    <row r="54978" ht="12.75" hidden="1" customHeight="1" x14ac:dyDescent="0.2"/>
    <row r="54979" ht="12.75" hidden="1" customHeight="1" x14ac:dyDescent="0.2"/>
    <row r="54980" ht="12.75" hidden="1" customHeight="1" x14ac:dyDescent="0.2"/>
    <row r="54981" ht="12.75" hidden="1" customHeight="1" x14ac:dyDescent="0.2"/>
    <row r="54982" ht="12.75" hidden="1" customHeight="1" x14ac:dyDescent="0.2"/>
    <row r="54983" ht="12.75" hidden="1" customHeight="1" x14ac:dyDescent="0.2"/>
    <row r="54984" ht="12.75" hidden="1" customHeight="1" x14ac:dyDescent="0.2"/>
    <row r="54985" ht="12.75" hidden="1" customHeight="1" x14ac:dyDescent="0.2"/>
    <row r="54986" ht="12.75" hidden="1" customHeight="1" x14ac:dyDescent="0.2"/>
    <row r="54987" ht="12.75" hidden="1" customHeight="1" x14ac:dyDescent="0.2"/>
    <row r="54988" ht="12.75" hidden="1" customHeight="1" x14ac:dyDescent="0.2"/>
    <row r="54989" ht="12.75" hidden="1" customHeight="1" x14ac:dyDescent="0.2"/>
    <row r="54990" ht="12.75" hidden="1" customHeight="1" x14ac:dyDescent="0.2"/>
    <row r="54991" ht="12.75" hidden="1" customHeight="1" x14ac:dyDescent="0.2"/>
    <row r="54992" ht="12.75" hidden="1" customHeight="1" x14ac:dyDescent="0.2"/>
    <row r="54993" ht="12.75" hidden="1" customHeight="1" x14ac:dyDescent="0.2"/>
    <row r="54994" ht="12.75" hidden="1" customHeight="1" x14ac:dyDescent="0.2"/>
    <row r="54995" ht="12.75" hidden="1" customHeight="1" x14ac:dyDescent="0.2"/>
    <row r="54996" ht="12.75" hidden="1" customHeight="1" x14ac:dyDescent="0.2"/>
    <row r="54997" ht="12.75" hidden="1" customHeight="1" x14ac:dyDescent="0.2"/>
    <row r="54998" ht="12.75" hidden="1" customHeight="1" x14ac:dyDescent="0.2"/>
    <row r="54999" ht="12.75" hidden="1" customHeight="1" x14ac:dyDescent="0.2"/>
    <row r="55000" ht="12.75" hidden="1" customHeight="1" x14ac:dyDescent="0.2"/>
    <row r="55001" ht="12.75" hidden="1" customHeight="1" x14ac:dyDescent="0.2"/>
    <row r="55002" ht="12.75" hidden="1" customHeight="1" x14ac:dyDescent="0.2"/>
    <row r="55003" ht="12.75" hidden="1" customHeight="1" x14ac:dyDescent="0.2"/>
    <row r="55004" ht="12.75" hidden="1" customHeight="1" x14ac:dyDescent="0.2"/>
    <row r="55005" ht="12.75" hidden="1" customHeight="1" x14ac:dyDescent="0.2"/>
    <row r="55006" ht="12.75" hidden="1" customHeight="1" x14ac:dyDescent="0.2"/>
    <row r="55007" ht="12.75" hidden="1" customHeight="1" x14ac:dyDescent="0.2"/>
    <row r="55008" ht="12.75" hidden="1" customHeight="1" x14ac:dyDescent="0.2"/>
    <row r="55009" ht="12.75" hidden="1" customHeight="1" x14ac:dyDescent="0.2"/>
    <row r="55010" ht="12.75" hidden="1" customHeight="1" x14ac:dyDescent="0.2"/>
    <row r="55011" ht="12.75" hidden="1" customHeight="1" x14ac:dyDescent="0.2"/>
    <row r="55012" ht="12.75" hidden="1" customHeight="1" x14ac:dyDescent="0.2"/>
    <row r="55013" ht="12.75" hidden="1" customHeight="1" x14ac:dyDescent="0.2"/>
    <row r="55014" ht="12.75" hidden="1" customHeight="1" x14ac:dyDescent="0.2"/>
    <row r="55015" ht="12.75" hidden="1" customHeight="1" x14ac:dyDescent="0.2"/>
    <row r="55016" ht="12.75" hidden="1" customHeight="1" x14ac:dyDescent="0.2"/>
    <row r="55017" ht="12.75" hidden="1" customHeight="1" x14ac:dyDescent="0.2"/>
    <row r="55018" ht="12.75" hidden="1" customHeight="1" x14ac:dyDescent="0.2"/>
    <row r="55019" ht="12.75" hidden="1" customHeight="1" x14ac:dyDescent="0.2"/>
    <row r="55020" ht="12.75" hidden="1" customHeight="1" x14ac:dyDescent="0.2"/>
    <row r="55021" ht="12.75" hidden="1" customHeight="1" x14ac:dyDescent="0.2"/>
    <row r="55022" ht="12.75" hidden="1" customHeight="1" x14ac:dyDescent="0.2"/>
    <row r="55023" ht="12.75" hidden="1" customHeight="1" x14ac:dyDescent="0.2"/>
    <row r="55024" ht="12.75" hidden="1" customHeight="1" x14ac:dyDescent="0.2"/>
    <row r="55025" ht="12.75" hidden="1" customHeight="1" x14ac:dyDescent="0.2"/>
    <row r="55026" ht="12.75" hidden="1" customHeight="1" x14ac:dyDescent="0.2"/>
    <row r="55027" ht="12.75" hidden="1" customHeight="1" x14ac:dyDescent="0.2"/>
    <row r="55028" ht="12.75" hidden="1" customHeight="1" x14ac:dyDescent="0.2"/>
    <row r="55029" ht="12.75" hidden="1" customHeight="1" x14ac:dyDescent="0.2"/>
    <row r="55030" ht="12.75" hidden="1" customHeight="1" x14ac:dyDescent="0.2"/>
    <row r="55031" ht="12.75" hidden="1" customHeight="1" x14ac:dyDescent="0.2"/>
    <row r="55032" ht="12.75" hidden="1" customHeight="1" x14ac:dyDescent="0.2"/>
    <row r="55033" ht="12.75" hidden="1" customHeight="1" x14ac:dyDescent="0.2"/>
    <row r="55034" ht="12.75" hidden="1" customHeight="1" x14ac:dyDescent="0.2"/>
    <row r="55035" ht="12.75" hidden="1" customHeight="1" x14ac:dyDescent="0.2"/>
    <row r="55036" ht="12.75" hidden="1" customHeight="1" x14ac:dyDescent="0.2"/>
    <row r="55037" ht="12.75" hidden="1" customHeight="1" x14ac:dyDescent="0.2"/>
    <row r="55038" ht="12.75" hidden="1" customHeight="1" x14ac:dyDescent="0.2"/>
    <row r="55039" ht="12.75" hidden="1" customHeight="1" x14ac:dyDescent="0.2"/>
    <row r="55040" ht="12.75" hidden="1" customHeight="1" x14ac:dyDescent="0.2"/>
    <row r="55041" ht="12.75" hidden="1" customHeight="1" x14ac:dyDescent="0.2"/>
    <row r="55042" ht="12.75" hidden="1" customHeight="1" x14ac:dyDescent="0.2"/>
    <row r="55043" ht="12.75" hidden="1" customHeight="1" x14ac:dyDescent="0.2"/>
    <row r="55044" ht="12.75" hidden="1" customHeight="1" x14ac:dyDescent="0.2"/>
    <row r="55045" ht="12.75" hidden="1" customHeight="1" x14ac:dyDescent="0.2"/>
    <row r="55046" ht="12.75" hidden="1" customHeight="1" x14ac:dyDescent="0.2"/>
    <row r="55047" ht="12.75" hidden="1" customHeight="1" x14ac:dyDescent="0.2"/>
    <row r="55048" ht="12.75" hidden="1" customHeight="1" x14ac:dyDescent="0.2"/>
    <row r="55049" ht="12.75" hidden="1" customHeight="1" x14ac:dyDescent="0.2"/>
    <row r="55050" ht="12.75" hidden="1" customHeight="1" x14ac:dyDescent="0.2"/>
    <row r="55051" ht="12.75" hidden="1" customHeight="1" x14ac:dyDescent="0.2"/>
    <row r="55052" ht="12.75" hidden="1" customHeight="1" x14ac:dyDescent="0.2"/>
    <row r="55053" ht="12.75" hidden="1" customHeight="1" x14ac:dyDescent="0.2"/>
    <row r="55054" ht="12.75" hidden="1" customHeight="1" x14ac:dyDescent="0.2"/>
    <row r="55055" ht="12.75" hidden="1" customHeight="1" x14ac:dyDescent="0.2"/>
    <row r="55056" ht="12.75" hidden="1" customHeight="1" x14ac:dyDescent="0.2"/>
    <row r="55057" ht="12.75" hidden="1" customHeight="1" x14ac:dyDescent="0.2"/>
    <row r="55058" ht="12.75" hidden="1" customHeight="1" x14ac:dyDescent="0.2"/>
    <row r="55059" ht="12.75" hidden="1" customHeight="1" x14ac:dyDescent="0.2"/>
    <row r="55060" ht="12.75" hidden="1" customHeight="1" x14ac:dyDescent="0.2"/>
    <row r="55061" ht="12.75" hidden="1" customHeight="1" x14ac:dyDescent="0.2"/>
    <row r="55062" ht="12.75" hidden="1" customHeight="1" x14ac:dyDescent="0.2"/>
    <row r="55063" ht="12.75" hidden="1" customHeight="1" x14ac:dyDescent="0.2"/>
    <row r="55064" ht="12.75" hidden="1" customHeight="1" x14ac:dyDescent="0.2"/>
    <row r="55065" ht="12.75" hidden="1" customHeight="1" x14ac:dyDescent="0.2"/>
    <row r="55066" ht="12.75" hidden="1" customHeight="1" x14ac:dyDescent="0.2"/>
    <row r="55067" ht="12.75" hidden="1" customHeight="1" x14ac:dyDescent="0.2"/>
    <row r="55068" ht="12.75" hidden="1" customHeight="1" x14ac:dyDescent="0.2"/>
    <row r="55069" ht="12.75" hidden="1" customHeight="1" x14ac:dyDescent="0.2"/>
    <row r="55070" ht="12.75" hidden="1" customHeight="1" x14ac:dyDescent="0.2"/>
    <row r="55071" ht="12.75" hidden="1" customHeight="1" x14ac:dyDescent="0.2"/>
    <row r="55072" ht="12.75" hidden="1" customHeight="1" x14ac:dyDescent="0.2"/>
    <row r="55073" ht="12.75" hidden="1" customHeight="1" x14ac:dyDescent="0.2"/>
    <row r="55074" ht="12.75" hidden="1" customHeight="1" x14ac:dyDescent="0.2"/>
    <row r="55075" ht="12.75" hidden="1" customHeight="1" x14ac:dyDescent="0.2"/>
    <row r="55076" ht="12.75" hidden="1" customHeight="1" x14ac:dyDescent="0.2"/>
    <row r="55077" ht="12.75" hidden="1" customHeight="1" x14ac:dyDescent="0.2"/>
    <row r="55078" ht="12.75" hidden="1" customHeight="1" x14ac:dyDescent="0.2"/>
    <row r="55079" ht="12.75" hidden="1" customHeight="1" x14ac:dyDescent="0.2"/>
    <row r="55080" ht="12.75" hidden="1" customHeight="1" x14ac:dyDescent="0.2"/>
    <row r="55081" ht="12.75" hidden="1" customHeight="1" x14ac:dyDescent="0.2"/>
    <row r="55082" ht="12.75" hidden="1" customHeight="1" x14ac:dyDescent="0.2"/>
    <row r="55083" ht="12.75" hidden="1" customHeight="1" x14ac:dyDescent="0.2"/>
    <row r="55084" ht="12.75" hidden="1" customHeight="1" x14ac:dyDescent="0.2"/>
    <row r="55085" ht="12.75" hidden="1" customHeight="1" x14ac:dyDescent="0.2"/>
    <row r="55086" ht="12.75" hidden="1" customHeight="1" x14ac:dyDescent="0.2"/>
    <row r="55087" ht="12.75" hidden="1" customHeight="1" x14ac:dyDescent="0.2"/>
    <row r="55088" ht="12.75" hidden="1" customHeight="1" x14ac:dyDescent="0.2"/>
    <row r="55089" ht="12.75" hidden="1" customHeight="1" x14ac:dyDescent="0.2"/>
    <row r="55090" ht="12.75" hidden="1" customHeight="1" x14ac:dyDescent="0.2"/>
    <row r="55091" ht="12.75" hidden="1" customHeight="1" x14ac:dyDescent="0.2"/>
    <row r="55092" ht="12.75" hidden="1" customHeight="1" x14ac:dyDescent="0.2"/>
    <row r="55093" ht="12.75" hidden="1" customHeight="1" x14ac:dyDescent="0.2"/>
    <row r="55094" ht="12.75" hidden="1" customHeight="1" x14ac:dyDescent="0.2"/>
    <row r="55095" ht="12.75" hidden="1" customHeight="1" x14ac:dyDescent="0.2"/>
    <row r="55096" ht="12.75" hidden="1" customHeight="1" x14ac:dyDescent="0.2"/>
    <row r="55097" ht="12.75" hidden="1" customHeight="1" x14ac:dyDescent="0.2"/>
    <row r="55098" ht="12.75" hidden="1" customHeight="1" x14ac:dyDescent="0.2"/>
    <row r="55099" ht="12.75" hidden="1" customHeight="1" x14ac:dyDescent="0.2"/>
    <row r="55100" ht="12.75" hidden="1" customHeight="1" x14ac:dyDescent="0.2"/>
    <row r="55101" ht="12.75" hidden="1" customHeight="1" x14ac:dyDescent="0.2"/>
    <row r="55102" ht="12.75" hidden="1" customHeight="1" x14ac:dyDescent="0.2"/>
    <row r="55103" ht="12.75" hidden="1" customHeight="1" x14ac:dyDescent="0.2"/>
    <row r="55104" ht="12.75" hidden="1" customHeight="1" x14ac:dyDescent="0.2"/>
    <row r="55105" ht="12.75" hidden="1" customHeight="1" x14ac:dyDescent="0.2"/>
    <row r="55106" ht="12.75" hidden="1" customHeight="1" x14ac:dyDescent="0.2"/>
    <row r="55107" ht="12.75" hidden="1" customHeight="1" x14ac:dyDescent="0.2"/>
    <row r="55108" ht="12.75" hidden="1" customHeight="1" x14ac:dyDescent="0.2"/>
    <row r="55109" ht="12.75" hidden="1" customHeight="1" x14ac:dyDescent="0.2"/>
    <row r="55110" ht="12.75" hidden="1" customHeight="1" x14ac:dyDescent="0.2"/>
    <row r="55111" ht="12.75" hidden="1" customHeight="1" x14ac:dyDescent="0.2"/>
    <row r="55112" ht="12.75" hidden="1" customHeight="1" x14ac:dyDescent="0.2"/>
    <row r="55113" ht="12.75" hidden="1" customHeight="1" x14ac:dyDescent="0.2"/>
    <row r="55114" ht="12.75" hidden="1" customHeight="1" x14ac:dyDescent="0.2"/>
    <row r="55115" ht="12.75" hidden="1" customHeight="1" x14ac:dyDescent="0.2"/>
    <row r="55116" ht="12.75" hidden="1" customHeight="1" x14ac:dyDescent="0.2"/>
    <row r="55117" ht="12.75" hidden="1" customHeight="1" x14ac:dyDescent="0.2"/>
    <row r="55118" ht="12.75" hidden="1" customHeight="1" x14ac:dyDescent="0.2"/>
    <row r="55119" ht="12.75" hidden="1" customHeight="1" x14ac:dyDescent="0.2"/>
    <row r="55120" ht="12.75" hidden="1" customHeight="1" x14ac:dyDescent="0.2"/>
    <row r="55121" ht="12.75" hidden="1" customHeight="1" x14ac:dyDescent="0.2"/>
    <row r="55122" ht="12.75" hidden="1" customHeight="1" x14ac:dyDescent="0.2"/>
    <row r="55123" ht="12.75" hidden="1" customHeight="1" x14ac:dyDescent="0.2"/>
    <row r="55124" ht="12.75" hidden="1" customHeight="1" x14ac:dyDescent="0.2"/>
    <row r="55125" ht="12.75" hidden="1" customHeight="1" x14ac:dyDescent="0.2"/>
    <row r="55126" ht="12.75" hidden="1" customHeight="1" x14ac:dyDescent="0.2"/>
    <row r="55127" ht="12.75" hidden="1" customHeight="1" x14ac:dyDescent="0.2"/>
    <row r="55128" ht="12.75" hidden="1" customHeight="1" x14ac:dyDescent="0.2"/>
    <row r="55129" ht="12.75" hidden="1" customHeight="1" x14ac:dyDescent="0.2"/>
    <row r="55130" ht="12.75" hidden="1" customHeight="1" x14ac:dyDescent="0.2"/>
    <row r="55131" ht="12.75" hidden="1" customHeight="1" x14ac:dyDescent="0.2"/>
    <row r="55132" ht="12.75" hidden="1" customHeight="1" x14ac:dyDescent="0.2"/>
    <row r="55133" ht="12.75" hidden="1" customHeight="1" x14ac:dyDescent="0.2"/>
    <row r="55134" ht="12.75" hidden="1" customHeight="1" x14ac:dyDescent="0.2"/>
    <row r="55135" ht="12.75" hidden="1" customHeight="1" x14ac:dyDescent="0.2"/>
    <row r="55136" ht="12.75" hidden="1" customHeight="1" x14ac:dyDescent="0.2"/>
    <row r="55137" ht="12.75" hidden="1" customHeight="1" x14ac:dyDescent="0.2"/>
    <row r="55138" ht="12.75" hidden="1" customHeight="1" x14ac:dyDescent="0.2"/>
    <row r="55139" ht="12.75" hidden="1" customHeight="1" x14ac:dyDescent="0.2"/>
    <row r="55140" ht="12.75" hidden="1" customHeight="1" x14ac:dyDescent="0.2"/>
    <row r="55141" ht="12.75" hidden="1" customHeight="1" x14ac:dyDescent="0.2"/>
    <row r="55142" ht="12.75" hidden="1" customHeight="1" x14ac:dyDescent="0.2"/>
    <row r="55143" ht="12.75" hidden="1" customHeight="1" x14ac:dyDescent="0.2"/>
    <row r="55144" ht="12.75" hidden="1" customHeight="1" x14ac:dyDescent="0.2"/>
    <row r="55145" ht="12.75" hidden="1" customHeight="1" x14ac:dyDescent="0.2"/>
    <row r="55146" ht="12.75" hidden="1" customHeight="1" x14ac:dyDescent="0.2"/>
    <row r="55147" ht="12.75" hidden="1" customHeight="1" x14ac:dyDescent="0.2"/>
    <row r="55148" ht="12.75" hidden="1" customHeight="1" x14ac:dyDescent="0.2"/>
    <row r="55149" ht="12.75" hidden="1" customHeight="1" x14ac:dyDescent="0.2"/>
    <row r="55150" ht="12.75" hidden="1" customHeight="1" x14ac:dyDescent="0.2"/>
    <row r="55151" ht="12.75" hidden="1" customHeight="1" x14ac:dyDescent="0.2"/>
    <row r="55152" ht="12.75" hidden="1" customHeight="1" x14ac:dyDescent="0.2"/>
    <row r="55153" ht="12.75" hidden="1" customHeight="1" x14ac:dyDescent="0.2"/>
    <row r="55154" ht="12.75" hidden="1" customHeight="1" x14ac:dyDescent="0.2"/>
    <row r="55155" ht="12.75" hidden="1" customHeight="1" x14ac:dyDescent="0.2"/>
    <row r="55156" ht="12.75" hidden="1" customHeight="1" x14ac:dyDescent="0.2"/>
    <row r="55157" ht="12.75" hidden="1" customHeight="1" x14ac:dyDescent="0.2"/>
    <row r="55158" ht="12.75" hidden="1" customHeight="1" x14ac:dyDescent="0.2"/>
    <row r="55159" ht="12.75" hidden="1" customHeight="1" x14ac:dyDescent="0.2"/>
    <row r="55160" ht="12.75" hidden="1" customHeight="1" x14ac:dyDescent="0.2"/>
    <row r="55161" ht="12.75" hidden="1" customHeight="1" x14ac:dyDescent="0.2"/>
    <row r="55162" ht="12.75" hidden="1" customHeight="1" x14ac:dyDescent="0.2"/>
    <row r="55163" ht="12.75" hidden="1" customHeight="1" x14ac:dyDescent="0.2"/>
    <row r="55164" ht="12.75" hidden="1" customHeight="1" x14ac:dyDescent="0.2"/>
    <row r="55165" ht="12.75" hidden="1" customHeight="1" x14ac:dyDescent="0.2"/>
    <row r="55166" ht="12.75" hidden="1" customHeight="1" x14ac:dyDescent="0.2"/>
    <row r="55167" ht="12.75" hidden="1" customHeight="1" x14ac:dyDescent="0.2"/>
    <row r="55168" ht="12.75" hidden="1" customHeight="1" x14ac:dyDescent="0.2"/>
    <row r="55169" ht="12.75" hidden="1" customHeight="1" x14ac:dyDescent="0.2"/>
    <row r="55170" ht="12.75" hidden="1" customHeight="1" x14ac:dyDescent="0.2"/>
    <row r="55171" ht="12.75" hidden="1" customHeight="1" x14ac:dyDescent="0.2"/>
    <row r="55172" ht="12.75" hidden="1" customHeight="1" x14ac:dyDescent="0.2"/>
    <row r="55173" ht="12.75" hidden="1" customHeight="1" x14ac:dyDescent="0.2"/>
    <row r="55174" ht="12.75" hidden="1" customHeight="1" x14ac:dyDescent="0.2"/>
    <row r="55175" ht="12.75" hidden="1" customHeight="1" x14ac:dyDescent="0.2"/>
    <row r="55176" ht="12.75" hidden="1" customHeight="1" x14ac:dyDescent="0.2"/>
    <row r="55177" ht="12.75" hidden="1" customHeight="1" x14ac:dyDescent="0.2"/>
    <row r="55178" ht="12.75" hidden="1" customHeight="1" x14ac:dyDescent="0.2"/>
    <row r="55179" ht="12.75" hidden="1" customHeight="1" x14ac:dyDescent="0.2"/>
    <row r="55180" ht="12.75" hidden="1" customHeight="1" x14ac:dyDescent="0.2"/>
    <row r="55181" ht="12.75" hidden="1" customHeight="1" x14ac:dyDescent="0.2"/>
    <row r="55182" ht="12.75" hidden="1" customHeight="1" x14ac:dyDescent="0.2"/>
    <row r="55183" ht="12.75" hidden="1" customHeight="1" x14ac:dyDescent="0.2"/>
    <row r="55184" ht="12.75" hidden="1" customHeight="1" x14ac:dyDescent="0.2"/>
    <row r="55185" ht="12.75" hidden="1" customHeight="1" x14ac:dyDescent="0.2"/>
    <row r="55186" ht="12.75" hidden="1" customHeight="1" x14ac:dyDescent="0.2"/>
    <row r="55187" ht="12.75" hidden="1" customHeight="1" x14ac:dyDescent="0.2"/>
    <row r="55188" ht="12.75" hidden="1" customHeight="1" x14ac:dyDescent="0.2"/>
    <row r="55189" ht="12.75" hidden="1" customHeight="1" x14ac:dyDescent="0.2"/>
    <row r="55190" ht="12.75" hidden="1" customHeight="1" x14ac:dyDescent="0.2"/>
    <row r="55191" ht="12.75" hidden="1" customHeight="1" x14ac:dyDescent="0.2"/>
    <row r="55192" ht="12.75" hidden="1" customHeight="1" x14ac:dyDescent="0.2"/>
    <row r="55193" ht="12.75" hidden="1" customHeight="1" x14ac:dyDescent="0.2"/>
    <row r="55194" ht="12.75" hidden="1" customHeight="1" x14ac:dyDescent="0.2"/>
    <row r="55195" ht="12.75" hidden="1" customHeight="1" x14ac:dyDescent="0.2"/>
    <row r="55196" ht="12.75" hidden="1" customHeight="1" x14ac:dyDescent="0.2"/>
    <row r="55197" ht="12.75" hidden="1" customHeight="1" x14ac:dyDescent="0.2"/>
    <row r="55198" ht="12.75" hidden="1" customHeight="1" x14ac:dyDescent="0.2"/>
    <row r="55199" ht="12.75" hidden="1" customHeight="1" x14ac:dyDescent="0.2"/>
    <row r="55200" ht="12.75" hidden="1" customHeight="1" x14ac:dyDescent="0.2"/>
    <row r="55201" ht="12.75" hidden="1" customHeight="1" x14ac:dyDescent="0.2"/>
    <row r="55202" ht="12.75" hidden="1" customHeight="1" x14ac:dyDescent="0.2"/>
    <row r="55203" ht="12.75" hidden="1" customHeight="1" x14ac:dyDescent="0.2"/>
    <row r="55204" ht="12.75" hidden="1" customHeight="1" x14ac:dyDescent="0.2"/>
    <row r="55205" ht="12.75" hidden="1" customHeight="1" x14ac:dyDescent="0.2"/>
    <row r="55206" ht="12.75" hidden="1" customHeight="1" x14ac:dyDescent="0.2"/>
    <row r="55207" ht="12.75" hidden="1" customHeight="1" x14ac:dyDescent="0.2"/>
    <row r="55208" ht="12.75" hidden="1" customHeight="1" x14ac:dyDescent="0.2"/>
    <row r="55209" ht="12.75" hidden="1" customHeight="1" x14ac:dyDescent="0.2"/>
    <row r="55210" ht="12.75" hidden="1" customHeight="1" x14ac:dyDescent="0.2"/>
    <row r="55211" ht="12.75" hidden="1" customHeight="1" x14ac:dyDescent="0.2"/>
    <row r="55212" ht="12.75" hidden="1" customHeight="1" x14ac:dyDescent="0.2"/>
    <row r="55213" ht="12.75" hidden="1" customHeight="1" x14ac:dyDescent="0.2"/>
    <row r="55214" ht="12.75" hidden="1" customHeight="1" x14ac:dyDescent="0.2"/>
    <row r="55215" ht="12.75" hidden="1" customHeight="1" x14ac:dyDescent="0.2"/>
    <row r="55216" ht="12.75" hidden="1" customHeight="1" x14ac:dyDescent="0.2"/>
    <row r="55217" ht="12.75" hidden="1" customHeight="1" x14ac:dyDescent="0.2"/>
    <row r="55218" ht="12.75" hidden="1" customHeight="1" x14ac:dyDescent="0.2"/>
    <row r="55219" ht="12.75" hidden="1" customHeight="1" x14ac:dyDescent="0.2"/>
    <row r="55220" ht="12.75" hidden="1" customHeight="1" x14ac:dyDescent="0.2"/>
    <row r="55221" ht="12.75" hidden="1" customHeight="1" x14ac:dyDescent="0.2"/>
    <row r="55222" ht="12.75" hidden="1" customHeight="1" x14ac:dyDescent="0.2"/>
    <row r="55223" ht="12.75" hidden="1" customHeight="1" x14ac:dyDescent="0.2"/>
    <row r="55224" ht="12.75" hidden="1" customHeight="1" x14ac:dyDescent="0.2"/>
    <row r="55225" ht="12.75" hidden="1" customHeight="1" x14ac:dyDescent="0.2"/>
    <row r="55226" ht="12.75" hidden="1" customHeight="1" x14ac:dyDescent="0.2"/>
    <row r="55227" ht="12.75" hidden="1" customHeight="1" x14ac:dyDescent="0.2"/>
    <row r="55228" ht="12.75" hidden="1" customHeight="1" x14ac:dyDescent="0.2"/>
    <row r="55229" ht="12.75" hidden="1" customHeight="1" x14ac:dyDescent="0.2"/>
    <row r="55230" ht="12.75" hidden="1" customHeight="1" x14ac:dyDescent="0.2"/>
    <row r="55231" ht="12.75" hidden="1" customHeight="1" x14ac:dyDescent="0.2"/>
    <row r="55232" ht="12.75" hidden="1" customHeight="1" x14ac:dyDescent="0.2"/>
    <row r="55233" ht="12.75" hidden="1" customHeight="1" x14ac:dyDescent="0.2"/>
    <row r="55234" ht="12.75" hidden="1" customHeight="1" x14ac:dyDescent="0.2"/>
    <row r="55235" ht="12.75" hidden="1" customHeight="1" x14ac:dyDescent="0.2"/>
    <row r="55236" ht="12.75" hidden="1" customHeight="1" x14ac:dyDescent="0.2"/>
    <row r="55237" ht="12.75" hidden="1" customHeight="1" x14ac:dyDescent="0.2"/>
    <row r="55238" ht="12.75" hidden="1" customHeight="1" x14ac:dyDescent="0.2"/>
    <row r="55239" ht="12.75" hidden="1" customHeight="1" x14ac:dyDescent="0.2"/>
    <row r="55240" ht="12.75" hidden="1" customHeight="1" x14ac:dyDescent="0.2"/>
    <row r="55241" ht="12.75" hidden="1" customHeight="1" x14ac:dyDescent="0.2"/>
    <row r="55242" ht="12.75" hidden="1" customHeight="1" x14ac:dyDescent="0.2"/>
    <row r="55243" ht="12.75" hidden="1" customHeight="1" x14ac:dyDescent="0.2"/>
    <row r="55244" ht="12.75" hidden="1" customHeight="1" x14ac:dyDescent="0.2"/>
    <row r="55245" ht="12.75" hidden="1" customHeight="1" x14ac:dyDescent="0.2"/>
    <row r="55246" ht="12.75" hidden="1" customHeight="1" x14ac:dyDescent="0.2"/>
    <row r="55247" ht="12.75" hidden="1" customHeight="1" x14ac:dyDescent="0.2"/>
    <row r="55248" ht="12.75" hidden="1" customHeight="1" x14ac:dyDescent="0.2"/>
    <row r="55249" ht="12.75" hidden="1" customHeight="1" x14ac:dyDescent="0.2"/>
    <row r="55250" ht="12.75" hidden="1" customHeight="1" x14ac:dyDescent="0.2"/>
    <row r="55251" ht="12.75" hidden="1" customHeight="1" x14ac:dyDescent="0.2"/>
    <row r="55252" ht="12.75" hidden="1" customHeight="1" x14ac:dyDescent="0.2"/>
    <row r="55253" ht="12.75" hidden="1" customHeight="1" x14ac:dyDescent="0.2"/>
    <row r="55254" ht="12.75" hidden="1" customHeight="1" x14ac:dyDescent="0.2"/>
    <row r="55255" ht="12.75" hidden="1" customHeight="1" x14ac:dyDescent="0.2"/>
    <row r="55256" ht="12.75" hidden="1" customHeight="1" x14ac:dyDescent="0.2"/>
    <row r="55257" ht="12.75" hidden="1" customHeight="1" x14ac:dyDescent="0.2"/>
    <row r="55258" ht="12.75" hidden="1" customHeight="1" x14ac:dyDescent="0.2"/>
    <row r="55259" ht="12.75" hidden="1" customHeight="1" x14ac:dyDescent="0.2"/>
    <row r="55260" ht="12.75" hidden="1" customHeight="1" x14ac:dyDescent="0.2"/>
    <row r="55261" ht="12.75" hidden="1" customHeight="1" x14ac:dyDescent="0.2"/>
    <row r="55262" ht="12.75" hidden="1" customHeight="1" x14ac:dyDescent="0.2"/>
    <row r="55263" ht="12.75" hidden="1" customHeight="1" x14ac:dyDescent="0.2"/>
    <row r="55264" ht="12.75" hidden="1" customHeight="1" x14ac:dyDescent="0.2"/>
    <row r="55265" ht="12.75" hidden="1" customHeight="1" x14ac:dyDescent="0.2"/>
    <row r="55266" ht="12.75" hidden="1" customHeight="1" x14ac:dyDescent="0.2"/>
    <row r="55267" ht="12.75" hidden="1" customHeight="1" x14ac:dyDescent="0.2"/>
    <row r="55268" ht="12.75" hidden="1" customHeight="1" x14ac:dyDescent="0.2"/>
    <row r="55269" ht="12.75" hidden="1" customHeight="1" x14ac:dyDescent="0.2"/>
    <row r="55270" ht="12.75" hidden="1" customHeight="1" x14ac:dyDescent="0.2"/>
    <row r="55271" ht="12.75" hidden="1" customHeight="1" x14ac:dyDescent="0.2"/>
    <row r="55272" ht="12.75" hidden="1" customHeight="1" x14ac:dyDescent="0.2"/>
    <row r="55273" ht="12.75" hidden="1" customHeight="1" x14ac:dyDescent="0.2"/>
    <row r="55274" ht="12.75" hidden="1" customHeight="1" x14ac:dyDescent="0.2"/>
    <row r="55275" ht="12.75" hidden="1" customHeight="1" x14ac:dyDescent="0.2"/>
    <row r="55276" ht="12.75" hidden="1" customHeight="1" x14ac:dyDescent="0.2"/>
    <row r="55277" ht="12.75" hidden="1" customHeight="1" x14ac:dyDescent="0.2"/>
    <row r="55278" ht="12.75" hidden="1" customHeight="1" x14ac:dyDescent="0.2"/>
    <row r="55279" ht="12.75" hidden="1" customHeight="1" x14ac:dyDescent="0.2"/>
    <row r="55280" ht="12.75" hidden="1" customHeight="1" x14ac:dyDescent="0.2"/>
    <row r="55281" ht="12.75" hidden="1" customHeight="1" x14ac:dyDescent="0.2"/>
    <row r="55282" ht="12.75" hidden="1" customHeight="1" x14ac:dyDescent="0.2"/>
    <row r="55283" ht="12.75" hidden="1" customHeight="1" x14ac:dyDescent="0.2"/>
    <row r="55284" ht="12.75" hidden="1" customHeight="1" x14ac:dyDescent="0.2"/>
    <row r="55285" ht="12.75" hidden="1" customHeight="1" x14ac:dyDescent="0.2"/>
    <row r="55286" ht="12.75" hidden="1" customHeight="1" x14ac:dyDescent="0.2"/>
    <row r="55287" ht="12.75" hidden="1" customHeight="1" x14ac:dyDescent="0.2"/>
    <row r="55288" ht="12.75" hidden="1" customHeight="1" x14ac:dyDescent="0.2"/>
    <row r="55289" ht="12.75" hidden="1" customHeight="1" x14ac:dyDescent="0.2"/>
    <row r="55290" ht="12.75" hidden="1" customHeight="1" x14ac:dyDescent="0.2"/>
    <row r="55291" ht="12.75" hidden="1" customHeight="1" x14ac:dyDescent="0.2"/>
    <row r="55292" ht="12.75" hidden="1" customHeight="1" x14ac:dyDescent="0.2"/>
    <row r="55293" ht="12.75" hidden="1" customHeight="1" x14ac:dyDescent="0.2"/>
    <row r="55294" ht="12.75" hidden="1" customHeight="1" x14ac:dyDescent="0.2"/>
    <row r="55295" ht="12.75" hidden="1" customHeight="1" x14ac:dyDescent="0.2"/>
    <row r="55296" ht="12.75" hidden="1" customHeight="1" x14ac:dyDescent="0.2"/>
    <row r="55297" ht="12.75" hidden="1" customHeight="1" x14ac:dyDescent="0.2"/>
    <row r="55298" ht="12.75" hidden="1" customHeight="1" x14ac:dyDescent="0.2"/>
    <row r="55299" ht="12.75" hidden="1" customHeight="1" x14ac:dyDescent="0.2"/>
    <row r="55300" ht="12.75" hidden="1" customHeight="1" x14ac:dyDescent="0.2"/>
    <row r="55301" ht="12.75" hidden="1" customHeight="1" x14ac:dyDescent="0.2"/>
    <row r="55302" ht="12.75" hidden="1" customHeight="1" x14ac:dyDescent="0.2"/>
    <row r="55303" ht="12.75" hidden="1" customHeight="1" x14ac:dyDescent="0.2"/>
    <row r="55304" ht="12.75" hidden="1" customHeight="1" x14ac:dyDescent="0.2"/>
    <row r="55305" ht="12.75" hidden="1" customHeight="1" x14ac:dyDescent="0.2"/>
    <row r="55306" ht="12.75" hidden="1" customHeight="1" x14ac:dyDescent="0.2"/>
    <row r="55307" ht="12.75" hidden="1" customHeight="1" x14ac:dyDescent="0.2"/>
    <row r="55308" ht="12.75" hidden="1" customHeight="1" x14ac:dyDescent="0.2"/>
    <row r="55309" ht="12.75" hidden="1" customHeight="1" x14ac:dyDescent="0.2"/>
    <row r="55310" ht="12.75" hidden="1" customHeight="1" x14ac:dyDescent="0.2"/>
    <row r="55311" ht="12.75" hidden="1" customHeight="1" x14ac:dyDescent="0.2"/>
    <row r="55312" ht="12.75" hidden="1" customHeight="1" x14ac:dyDescent="0.2"/>
    <row r="55313" ht="12.75" hidden="1" customHeight="1" x14ac:dyDescent="0.2"/>
    <row r="55314" ht="12.75" hidden="1" customHeight="1" x14ac:dyDescent="0.2"/>
    <row r="55315" ht="12.75" hidden="1" customHeight="1" x14ac:dyDescent="0.2"/>
    <row r="55316" ht="12.75" hidden="1" customHeight="1" x14ac:dyDescent="0.2"/>
    <row r="55317" ht="12.75" hidden="1" customHeight="1" x14ac:dyDescent="0.2"/>
    <row r="55318" ht="12.75" hidden="1" customHeight="1" x14ac:dyDescent="0.2"/>
    <row r="55319" ht="12.75" hidden="1" customHeight="1" x14ac:dyDescent="0.2"/>
    <row r="55320" ht="12.75" hidden="1" customHeight="1" x14ac:dyDescent="0.2"/>
    <row r="55321" ht="12.75" hidden="1" customHeight="1" x14ac:dyDescent="0.2"/>
    <row r="55322" ht="12.75" hidden="1" customHeight="1" x14ac:dyDescent="0.2"/>
    <row r="55323" ht="12.75" hidden="1" customHeight="1" x14ac:dyDescent="0.2"/>
    <row r="55324" ht="12.75" hidden="1" customHeight="1" x14ac:dyDescent="0.2"/>
    <row r="55325" ht="12.75" hidden="1" customHeight="1" x14ac:dyDescent="0.2"/>
    <row r="55326" ht="12.75" hidden="1" customHeight="1" x14ac:dyDescent="0.2"/>
    <row r="55327" ht="12.75" hidden="1" customHeight="1" x14ac:dyDescent="0.2"/>
    <row r="55328" ht="12.75" hidden="1" customHeight="1" x14ac:dyDescent="0.2"/>
    <row r="55329" ht="12.75" hidden="1" customHeight="1" x14ac:dyDescent="0.2"/>
    <row r="55330" ht="12.75" hidden="1" customHeight="1" x14ac:dyDescent="0.2"/>
    <row r="55331" ht="12.75" hidden="1" customHeight="1" x14ac:dyDescent="0.2"/>
    <row r="55332" ht="12.75" hidden="1" customHeight="1" x14ac:dyDescent="0.2"/>
    <row r="55333" ht="12.75" hidden="1" customHeight="1" x14ac:dyDescent="0.2"/>
    <row r="55334" ht="12.75" hidden="1" customHeight="1" x14ac:dyDescent="0.2"/>
    <row r="55335" ht="12.75" hidden="1" customHeight="1" x14ac:dyDescent="0.2"/>
    <row r="55336" ht="12.75" hidden="1" customHeight="1" x14ac:dyDescent="0.2"/>
    <row r="55337" ht="12.75" hidden="1" customHeight="1" x14ac:dyDescent="0.2"/>
    <row r="55338" ht="12.75" hidden="1" customHeight="1" x14ac:dyDescent="0.2"/>
    <row r="55339" ht="12.75" hidden="1" customHeight="1" x14ac:dyDescent="0.2"/>
    <row r="55340" ht="12.75" hidden="1" customHeight="1" x14ac:dyDescent="0.2"/>
    <row r="55341" ht="12.75" hidden="1" customHeight="1" x14ac:dyDescent="0.2"/>
    <row r="55342" ht="12.75" hidden="1" customHeight="1" x14ac:dyDescent="0.2"/>
    <row r="55343" ht="12.75" hidden="1" customHeight="1" x14ac:dyDescent="0.2"/>
    <row r="55344" ht="12.75" hidden="1" customHeight="1" x14ac:dyDescent="0.2"/>
    <row r="55345" ht="12.75" hidden="1" customHeight="1" x14ac:dyDescent="0.2"/>
    <row r="55346" ht="12.75" hidden="1" customHeight="1" x14ac:dyDescent="0.2"/>
    <row r="55347" ht="12.75" hidden="1" customHeight="1" x14ac:dyDescent="0.2"/>
    <row r="55348" ht="12.75" hidden="1" customHeight="1" x14ac:dyDescent="0.2"/>
    <row r="55349" ht="12.75" hidden="1" customHeight="1" x14ac:dyDescent="0.2"/>
    <row r="55350" ht="12.75" hidden="1" customHeight="1" x14ac:dyDescent="0.2"/>
    <row r="55351" ht="12.75" hidden="1" customHeight="1" x14ac:dyDescent="0.2"/>
    <row r="55352" ht="12.75" hidden="1" customHeight="1" x14ac:dyDescent="0.2"/>
    <row r="55353" ht="12.75" hidden="1" customHeight="1" x14ac:dyDescent="0.2"/>
    <row r="55354" ht="12.75" hidden="1" customHeight="1" x14ac:dyDescent="0.2"/>
    <row r="55355" ht="12.75" hidden="1" customHeight="1" x14ac:dyDescent="0.2"/>
    <row r="55356" ht="12.75" hidden="1" customHeight="1" x14ac:dyDescent="0.2"/>
    <row r="55357" ht="12.75" hidden="1" customHeight="1" x14ac:dyDescent="0.2"/>
    <row r="55358" ht="12.75" hidden="1" customHeight="1" x14ac:dyDescent="0.2"/>
    <row r="55359" ht="12.75" hidden="1" customHeight="1" x14ac:dyDescent="0.2"/>
    <row r="55360" ht="12.75" hidden="1" customHeight="1" x14ac:dyDescent="0.2"/>
    <row r="55361" ht="12.75" hidden="1" customHeight="1" x14ac:dyDescent="0.2"/>
    <row r="55362" ht="12.75" hidden="1" customHeight="1" x14ac:dyDescent="0.2"/>
    <row r="55363" ht="12.75" hidden="1" customHeight="1" x14ac:dyDescent="0.2"/>
    <row r="55364" ht="12.75" hidden="1" customHeight="1" x14ac:dyDescent="0.2"/>
    <row r="55365" ht="12.75" hidden="1" customHeight="1" x14ac:dyDescent="0.2"/>
    <row r="55366" ht="12.75" hidden="1" customHeight="1" x14ac:dyDescent="0.2"/>
    <row r="55367" ht="12.75" hidden="1" customHeight="1" x14ac:dyDescent="0.2"/>
    <row r="55368" ht="12.75" hidden="1" customHeight="1" x14ac:dyDescent="0.2"/>
    <row r="55369" ht="12.75" hidden="1" customHeight="1" x14ac:dyDescent="0.2"/>
    <row r="55370" ht="12.75" hidden="1" customHeight="1" x14ac:dyDescent="0.2"/>
    <row r="55371" ht="12.75" hidden="1" customHeight="1" x14ac:dyDescent="0.2"/>
    <row r="55372" ht="12.75" hidden="1" customHeight="1" x14ac:dyDescent="0.2"/>
    <row r="55373" ht="12.75" hidden="1" customHeight="1" x14ac:dyDescent="0.2"/>
    <row r="55374" ht="12.75" hidden="1" customHeight="1" x14ac:dyDescent="0.2"/>
    <row r="55375" ht="12.75" hidden="1" customHeight="1" x14ac:dyDescent="0.2"/>
    <row r="55376" ht="12.75" hidden="1" customHeight="1" x14ac:dyDescent="0.2"/>
    <row r="55377" ht="12.75" hidden="1" customHeight="1" x14ac:dyDescent="0.2"/>
    <row r="55378" ht="12.75" hidden="1" customHeight="1" x14ac:dyDescent="0.2"/>
    <row r="55379" ht="12.75" hidden="1" customHeight="1" x14ac:dyDescent="0.2"/>
    <row r="55380" ht="12.75" hidden="1" customHeight="1" x14ac:dyDescent="0.2"/>
    <row r="55381" ht="12.75" hidden="1" customHeight="1" x14ac:dyDescent="0.2"/>
    <row r="55382" ht="12.75" hidden="1" customHeight="1" x14ac:dyDescent="0.2"/>
    <row r="55383" ht="12.75" hidden="1" customHeight="1" x14ac:dyDescent="0.2"/>
    <row r="55384" ht="12.75" hidden="1" customHeight="1" x14ac:dyDescent="0.2"/>
    <row r="55385" ht="12.75" hidden="1" customHeight="1" x14ac:dyDescent="0.2"/>
    <row r="55386" ht="12.75" hidden="1" customHeight="1" x14ac:dyDescent="0.2"/>
    <row r="55387" ht="12.75" hidden="1" customHeight="1" x14ac:dyDescent="0.2"/>
    <row r="55388" ht="12.75" hidden="1" customHeight="1" x14ac:dyDescent="0.2"/>
    <row r="55389" ht="12.75" hidden="1" customHeight="1" x14ac:dyDescent="0.2"/>
    <row r="55390" ht="12.75" hidden="1" customHeight="1" x14ac:dyDescent="0.2"/>
    <row r="55391" ht="12.75" hidden="1" customHeight="1" x14ac:dyDescent="0.2"/>
    <row r="55392" ht="12.75" hidden="1" customHeight="1" x14ac:dyDescent="0.2"/>
    <row r="55393" ht="12.75" hidden="1" customHeight="1" x14ac:dyDescent="0.2"/>
    <row r="55394" ht="12.75" hidden="1" customHeight="1" x14ac:dyDescent="0.2"/>
    <row r="55395" ht="12.75" hidden="1" customHeight="1" x14ac:dyDescent="0.2"/>
    <row r="55396" ht="12.75" hidden="1" customHeight="1" x14ac:dyDescent="0.2"/>
    <row r="55397" ht="12.75" hidden="1" customHeight="1" x14ac:dyDescent="0.2"/>
    <row r="55398" ht="12.75" hidden="1" customHeight="1" x14ac:dyDescent="0.2"/>
    <row r="55399" ht="12.75" hidden="1" customHeight="1" x14ac:dyDescent="0.2"/>
    <row r="55400" ht="12.75" hidden="1" customHeight="1" x14ac:dyDescent="0.2"/>
    <row r="55401" ht="12.75" hidden="1" customHeight="1" x14ac:dyDescent="0.2"/>
    <row r="55402" ht="12.75" hidden="1" customHeight="1" x14ac:dyDescent="0.2"/>
    <row r="55403" ht="12.75" hidden="1" customHeight="1" x14ac:dyDescent="0.2"/>
    <row r="55404" ht="12.75" hidden="1" customHeight="1" x14ac:dyDescent="0.2"/>
    <row r="55405" ht="12.75" hidden="1" customHeight="1" x14ac:dyDescent="0.2"/>
    <row r="55406" ht="12.75" hidden="1" customHeight="1" x14ac:dyDescent="0.2"/>
    <row r="55407" ht="12.75" hidden="1" customHeight="1" x14ac:dyDescent="0.2"/>
    <row r="55408" ht="12.75" hidden="1" customHeight="1" x14ac:dyDescent="0.2"/>
    <row r="55409" ht="12.75" hidden="1" customHeight="1" x14ac:dyDescent="0.2"/>
    <row r="55410" ht="12.75" hidden="1" customHeight="1" x14ac:dyDescent="0.2"/>
    <row r="55411" ht="12.75" hidden="1" customHeight="1" x14ac:dyDescent="0.2"/>
    <row r="55412" ht="12.75" hidden="1" customHeight="1" x14ac:dyDescent="0.2"/>
    <row r="55413" ht="12.75" hidden="1" customHeight="1" x14ac:dyDescent="0.2"/>
    <row r="55414" ht="12.75" hidden="1" customHeight="1" x14ac:dyDescent="0.2"/>
    <row r="55415" ht="12.75" hidden="1" customHeight="1" x14ac:dyDescent="0.2"/>
    <row r="55416" ht="12.75" hidden="1" customHeight="1" x14ac:dyDescent="0.2"/>
    <row r="55417" ht="12.75" hidden="1" customHeight="1" x14ac:dyDescent="0.2"/>
    <row r="55418" ht="12.75" hidden="1" customHeight="1" x14ac:dyDescent="0.2"/>
    <row r="55419" ht="12.75" hidden="1" customHeight="1" x14ac:dyDescent="0.2"/>
    <row r="55420" ht="12.75" hidden="1" customHeight="1" x14ac:dyDescent="0.2"/>
    <row r="55421" ht="12.75" hidden="1" customHeight="1" x14ac:dyDescent="0.2"/>
    <row r="55422" ht="12.75" hidden="1" customHeight="1" x14ac:dyDescent="0.2"/>
    <row r="55423" ht="12.75" hidden="1" customHeight="1" x14ac:dyDescent="0.2"/>
    <row r="55424" ht="12.75" hidden="1" customHeight="1" x14ac:dyDescent="0.2"/>
    <row r="55425" ht="12.75" hidden="1" customHeight="1" x14ac:dyDescent="0.2"/>
    <row r="55426" ht="12.75" hidden="1" customHeight="1" x14ac:dyDescent="0.2"/>
    <row r="55427" ht="12.75" hidden="1" customHeight="1" x14ac:dyDescent="0.2"/>
    <row r="55428" ht="12.75" hidden="1" customHeight="1" x14ac:dyDescent="0.2"/>
    <row r="55429" ht="12.75" hidden="1" customHeight="1" x14ac:dyDescent="0.2"/>
    <row r="55430" ht="12.75" hidden="1" customHeight="1" x14ac:dyDescent="0.2"/>
    <row r="55431" ht="12.75" hidden="1" customHeight="1" x14ac:dyDescent="0.2"/>
    <row r="55432" ht="12.75" hidden="1" customHeight="1" x14ac:dyDescent="0.2"/>
    <row r="55433" ht="12.75" hidden="1" customHeight="1" x14ac:dyDescent="0.2"/>
    <row r="55434" ht="12.75" hidden="1" customHeight="1" x14ac:dyDescent="0.2"/>
    <row r="55435" ht="12.75" hidden="1" customHeight="1" x14ac:dyDescent="0.2"/>
    <row r="55436" ht="12.75" hidden="1" customHeight="1" x14ac:dyDescent="0.2"/>
    <row r="55437" ht="12.75" hidden="1" customHeight="1" x14ac:dyDescent="0.2"/>
    <row r="55438" ht="12.75" hidden="1" customHeight="1" x14ac:dyDescent="0.2"/>
    <row r="55439" ht="12.75" hidden="1" customHeight="1" x14ac:dyDescent="0.2"/>
    <row r="55440" ht="12.75" hidden="1" customHeight="1" x14ac:dyDescent="0.2"/>
    <row r="55441" ht="12.75" hidden="1" customHeight="1" x14ac:dyDescent="0.2"/>
    <row r="55442" ht="12.75" hidden="1" customHeight="1" x14ac:dyDescent="0.2"/>
    <row r="55443" ht="12.75" hidden="1" customHeight="1" x14ac:dyDescent="0.2"/>
    <row r="55444" ht="12.75" hidden="1" customHeight="1" x14ac:dyDescent="0.2"/>
    <row r="55445" ht="12.75" hidden="1" customHeight="1" x14ac:dyDescent="0.2"/>
    <row r="55446" ht="12.75" hidden="1" customHeight="1" x14ac:dyDescent="0.2"/>
    <row r="55447" ht="12.75" hidden="1" customHeight="1" x14ac:dyDescent="0.2"/>
    <row r="55448" ht="12.75" hidden="1" customHeight="1" x14ac:dyDescent="0.2"/>
    <row r="55449" ht="12.75" hidden="1" customHeight="1" x14ac:dyDescent="0.2"/>
    <row r="55450" ht="12.75" hidden="1" customHeight="1" x14ac:dyDescent="0.2"/>
    <row r="55451" ht="12.75" hidden="1" customHeight="1" x14ac:dyDescent="0.2"/>
    <row r="55452" ht="12.75" hidden="1" customHeight="1" x14ac:dyDescent="0.2"/>
    <row r="55453" ht="12.75" hidden="1" customHeight="1" x14ac:dyDescent="0.2"/>
    <row r="55454" ht="12.75" hidden="1" customHeight="1" x14ac:dyDescent="0.2"/>
    <row r="55455" ht="12.75" hidden="1" customHeight="1" x14ac:dyDescent="0.2"/>
    <row r="55456" ht="12.75" hidden="1" customHeight="1" x14ac:dyDescent="0.2"/>
    <row r="55457" ht="12.75" hidden="1" customHeight="1" x14ac:dyDescent="0.2"/>
    <row r="55458" ht="12.75" hidden="1" customHeight="1" x14ac:dyDescent="0.2"/>
    <row r="55459" ht="12.75" hidden="1" customHeight="1" x14ac:dyDescent="0.2"/>
    <row r="55460" ht="12.75" hidden="1" customHeight="1" x14ac:dyDescent="0.2"/>
    <row r="55461" ht="12.75" hidden="1" customHeight="1" x14ac:dyDescent="0.2"/>
    <row r="55462" ht="12.75" hidden="1" customHeight="1" x14ac:dyDescent="0.2"/>
    <row r="55463" ht="12.75" hidden="1" customHeight="1" x14ac:dyDescent="0.2"/>
    <row r="55464" ht="12.75" hidden="1" customHeight="1" x14ac:dyDescent="0.2"/>
    <row r="55465" ht="12.75" hidden="1" customHeight="1" x14ac:dyDescent="0.2"/>
    <row r="55466" ht="12.75" hidden="1" customHeight="1" x14ac:dyDescent="0.2"/>
    <row r="55467" ht="12.75" hidden="1" customHeight="1" x14ac:dyDescent="0.2"/>
    <row r="55468" ht="12.75" hidden="1" customHeight="1" x14ac:dyDescent="0.2"/>
    <row r="55469" ht="12.75" hidden="1" customHeight="1" x14ac:dyDescent="0.2"/>
    <row r="55470" ht="12.75" hidden="1" customHeight="1" x14ac:dyDescent="0.2"/>
    <row r="55471" ht="12.75" hidden="1" customHeight="1" x14ac:dyDescent="0.2"/>
    <row r="55472" ht="12.75" hidden="1" customHeight="1" x14ac:dyDescent="0.2"/>
    <row r="55473" ht="12.75" hidden="1" customHeight="1" x14ac:dyDescent="0.2"/>
    <row r="55474" ht="12.75" hidden="1" customHeight="1" x14ac:dyDescent="0.2"/>
    <row r="55475" ht="12.75" hidden="1" customHeight="1" x14ac:dyDescent="0.2"/>
    <row r="55476" ht="12.75" hidden="1" customHeight="1" x14ac:dyDescent="0.2"/>
    <row r="55477" ht="12.75" hidden="1" customHeight="1" x14ac:dyDescent="0.2"/>
    <row r="55478" ht="12.75" hidden="1" customHeight="1" x14ac:dyDescent="0.2"/>
    <row r="55479" ht="12.75" hidden="1" customHeight="1" x14ac:dyDescent="0.2"/>
    <row r="55480" ht="12.75" hidden="1" customHeight="1" x14ac:dyDescent="0.2"/>
    <row r="55481" ht="12.75" hidden="1" customHeight="1" x14ac:dyDescent="0.2"/>
    <row r="55482" ht="12.75" hidden="1" customHeight="1" x14ac:dyDescent="0.2"/>
    <row r="55483" ht="12.75" hidden="1" customHeight="1" x14ac:dyDescent="0.2"/>
    <row r="55484" ht="12.75" hidden="1" customHeight="1" x14ac:dyDescent="0.2"/>
    <row r="55485" ht="12.75" hidden="1" customHeight="1" x14ac:dyDescent="0.2"/>
    <row r="55486" ht="12.75" hidden="1" customHeight="1" x14ac:dyDescent="0.2"/>
    <row r="55487" ht="12.75" hidden="1" customHeight="1" x14ac:dyDescent="0.2"/>
    <row r="55488" ht="12.75" hidden="1" customHeight="1" x14ac:dyDescent="0.2"/>
    <row r="55489" ht="12.75" hidden="1" customHeight="1" x14ac:dyDescent="0.2"/>
    <row r="55490" ht="12.75" hidden="1" customHeight="1" x14ac:dyDescent="0.2"/>
    <row r="55491" ht="12.75" hidden="1" customHeight="1" x14ac:dyDescent="0.2"/>
    <row r="55492" ht="12.75" hidden="1" customHeight="1" x14ac:dyDescent="0.2"/>
    <row r="55493" ht="12.75" hidden="1" customHeight="1" x14ac:dyDescent="0.2"/>
    <row r="55494" ht="12.75" hidden="1" customHeight="1" x14ac:dyDescent="0.2"/>
    <row r="55495" ht="12.75" hidden="1" customHeight="1" x14ac:dyDescent="0.2"/>
    <row r="55496" ht="12.75" hidden="1" customHeight="1" x14ac:dyDescent="0.2"/>
    <row r="55497" ht="12.75" hidden="1" customHeight="1" x14ac:dyDescent="0.2"/>
    <row r="55498" ht="12.75" hidden="1" customHeight="1" x14ac:dyDescent="0.2"/>
    <row r="55499" ht="12.75" hidden="1" customHeight="1" x14ac:dyDescent="0.2"/>
    <row r="55500" ht="12.75" hidden="1" customHeight="1" x14ac:dyDescent="0.2"/>
    <row r="55501" ht="12.75" hidden="1" customHeight="1" x14ac:dyDescent="0.2"/>
    <row r="55502" ht="12.75" hidden="1" customHeight="1" x14ac:dyDescent="0.2"/>
    <row r="55503" ht="12.75" hidden="1" customHeight="1" x14ac:dyDescent="0.2"/>
    <row r="55504" ht="12.75" hidden="1" customHeight="1" x14ac:dyDescent="0.2"/>
    <row r="55505" ht="12.75" hidden="1" customHeight="1" x14ac:dyDescent="0.2"/>
    <row r="55506" ht="12.75" hidden="1" customHeight="1" x14ac:dyDescent="0.2"/>
    <row r="55507" ht="12.75" hidden="1" customHeight="1" x14ac:dyDescent="0.2"/>
    <row r="55508" ht="12.75" hidden="1" customHeight="1" x14ac:dyDescent="0.2"/>
    <row r="55509" ht="12.75" hidden="1" customHeight="1" x14ac:dyDescent="0.2"/>
    <row r="55510" ht="12.75" hidden="1" customHeight="1" x14ac:dyDescent="0.2"/>
    <row r="55511" ht="12.75" hidden="1" customHeight="1" x14ac:dyDescent="0.2"/>
    <row r="55512" ht="12.75" hidden="1" customHeight="1" x14ac:dyDescent="0.2"/>
    <row r="55513" ht="12.75" hidden="1" customHeight="1" x14ac:dyDescent="0.2"/>
    <row r="55514" ht="12.75" hidden="1" customHeight="1" x14ac:dyDescent="0.2"/>
    <row r="55515" ht="12.75" hidden="1" customHeight="1" x14ac:dyDescent="0.2"/>
    <row r="55516" ht="12.75" hidden="1" customHeight="1" x14ac:dyDescent="0.2"/>
    <row r="55517" ht="12.75" hidden="1" customHeight="1" x14ac:dyDescent="0.2"/>
    <row r="55518" ht="12.75" hidden="1" customHeight="1" x14ac:dyDescent="0.2"/>
    <row r="55519" ht="12.75" hidden="1" customHeight="1" x14ac:dyDescent="0.2"/>
    <row r="55520" ht="12.75" hidden="1" customHeight="1" x14ac:dyDescent="0.2"/>
    <row r="55521" ht="12.75" hidden="1" customHeight="1" x14ac:dyDescent="0.2"/>
    <row r="55522" ht="12.75" hidden="1" customHeight="1" x14ac:dyDescent="0.2"/>
    <row r="55523" ht="12.75" hidden="1" customHeight="1" x14ac:dyDescent="0.2"/>
    <row r="55524" ht="12.75" hidden="1" customHeight="1" x14ac:dyDescent="0.2"/>
    <row r="55525" ht="12.75" hidden="1" customHeight="1" x14ac:dyDescent="0.2"/>
    <row r="55526" ht="12.75" hidden="1" customHeight="1" x14ac:dyDescent="0.2"/>
    <row r="55527" ht="12.75" hidden="1" customHeight="1" x14ac:dyDescent="0.2"/>
    <row r="55528" ht="12.75" hidden="1" customHeight="1" x14ac:dyDescent="0.2"/>
    <row r="55529" ht="12.75" hidden="1" customHeight="1" x14ac:dyDescent="0.2"/>
    <row r="55530" ht="12.75" hidden="1" customHeight="1" x14ac:dyDescent="0.2"/>
    <row r="55531" ht="12.75" hidden="1" customHeight="1" x14ac:dyDescent="0.2"/>
    <row r="55532" ht="12.75" hidden="1" customHeight="1" x14ac:dyDescent="0.2"/>
    <row r="55533" ht="12.75" hidden="1" customHeight="1" x14ac:dyDescent="0.2"/>
    <row r="55534" ht="12.75" hidden="1" customHeight="1" x14ac:dyDescent="0.2"/>
    <row r="55535" ht="12.75" hidden="1" customHeight="1" x14ac:dyDescent="0.2"/>
    <row r="55536" ht="12.75" hidden="1" customHeight="1" x14ac:dyDescent="0.2"/>
    <row r="55537" ht="12.75" hidden="1" customHeight="1" x14ac:dyDescent="0.2"/>
    <row r="55538" ht="12.75" hidden="1" customHeight="1" x14ac:dyDescent="0.2"/>
    <row r="55539" ht="12.75" hidden="1" customHeight="1" x14ac:dyDescent="0.2"/>
    <row r="55540" ht="12.75" hidden="1" customHeight="1" x14ac:dyDescent="0.2"/>
    <row r="55541" ht="12.75" hidden="1" customHeight="1" x14ac:dyDescent="0.2"/>
    <row r="55542" ht="12.75" hidden="1" customHeight="1" x14ac:dyDescent="0.2"/>
    <row r="55543" ht="12.75" hidden="1" customHeight="1" x14ac:dyDescent="0.2"/>
    <row r="55544" ht="12.75" hidden="1" customHeight="1" x14ac:dyDescent="0.2"/>
    <row r="55545" ht="12.75" hidden="1" customHeight="1" x14ac:dyDescent="0.2"/>
    <row r="55546" ht="12.75" hidden="1" customHeight="1" x14ac:dyDescent="0.2"/>
    <row r="55547" ht="12.75" hidden="1" customHeight="1" x14ac:dyDescent="0.2"/>
    <row r="55548" ht="12.75" hidden="1" customHeight="1" x14ac:dyDescent="0.2"/>
    <row r="55549" ht="12.75" hidden="1" customHeight="1" x14ac:dyDescent="0.2"/>
    <row r="55550" ht="12.75" hidden="1" customHeight="1" x14ac:dyDescent="0.2"/>
    <row r="55551" ht="12.75" hidden="1" customHeight="1" x14ac:dyDescent="0.2"/>
    <row r="55552" ht="12.75" hidden="1" customHeight="1" x14ac:dyDescent="0.2"/>
    <row r="55553" ht="12.75" hidden="1" customHeight="1" x14ac:dyDescent="0.2"/>
    <row r="55554" ht="12.75" hidden="1" customHeight="1" x14ac:dyDescent="0.2"/>
    <row r="55555" ht="12.75" hidden="1" customHeight="1" x14ac:dyDescent="0.2"/>
    <row r="55556" ht="12.75" hidden="1" customHeight="1" x14ac:dyDescent="0.2"/>
    <row r="55557" ht="12.75" hidden="1" customHeight="1" x14ac:dyDescent="0.2"/>
    <row r="55558" ht="12.75" hidden="1" customHeight="1" x14ac:dyDescent="0.2"/>
    <row r="55559" ht="12.75" hidden="1" customHeight="1" x14ac:dyDescent="0.2"/>
    <row r="55560" ht="12.75" hidden="1" customHeight="1" x14ac:dyDescent="0.2"/>
    <row r="55561" ht="12.75" hidden="1" customHeight="1" x14ac:dyDescent="0.2"/>
    <row r="55562" ht="12.75" hidden="1" customHeight="1" x14ac:dyDescent="0.2"/>
    <row r="55563" ht="12.75" hidden="1" customHeight="1" x14ac:dyDescent="0.2"/>
    <row r="55564" ht="12.75" hidden="1" customHeight="1" x14ac:dyDescent="0.2"/>
    <row r="55565" ht="12.75" hidden="1" customHeight="1" x14ac:dyDescent="0.2"/>
    <row r="55566" ht="12.75" hidden="1" customHeight="1" x14ac:dyDescent="0.2"/>
    <row r="55567" ht="12.75" hidden="1" customHeight="1" x14ac:dyDescent="0.2"/>
    <row r="55568" ht="12.75" hidden="1" customHeight="1" x14ac:dyDescent="0.2"/>
    <row r="55569" ht="12.75" hidden="1" customHeight="1" x14ac:dyDescent="0.2"/>
    <row r="55570" ht="12.75" hidden="1" customHeight="1" x14ac:dyDescent="0.2"/>
    <row r="55571" ht="12.75" hidden="1" customHeight="1" x14ac:dyDescent="0.2"/>
    <row r="55572" ht="12.75" hidden="1" customHeight="1" x14ac:dyDescent="0.2"/>
    <row r="55573" ht="12.75" hidden="1" customHeight="1" x14ac:dyDescent="0.2"/>
    <row r="55574" ht="12.75" hidden="1" customHeight="1" x14ac:dyDescent="0.2"/>
    <row r="55575" ht="12.75" hidden="1" customHeight="1" x14ac:dyDescent="0.2"/>
    <row r="55576" ht="12.75" hidden="1" customHeight="1" x14ac:dyDescent="0.2"/>
    <row r="55577" ht="12.75" hidden="1" customHeight="1" x14ac:dyDescent="0.2"/>
    <row r="55578" ht="12.75" hidden="1" customHeight="1" x14ac:dyDescent="0.2"/>
    <row r="55579" ht="12.75" hidden="1" customHeight="1" x14ac:dyDescent="0.2"/>
    <row r="55580" ht="12.75" hidden="1" customHeight="1" x14ac:dyDescent="0.2"/>
    <row r="55581" ht="12.75" hidden="1" customHeight="1" x14ac:dyDescent="0.2"/>
    <row r="55582" ht="12.75" hidden="1" customHeight="1" x14ac:dyDescent="0.2"/>
    <row r="55583" ht="12.75" hidden="1" customHeight="1" x14ac:dyDescent="0.2"/>
    <row r="55584" ht="12.75" hidden="1" customHeight="1" x14ac:dyDescent="0.2"/>
    <row r="55585" ht="12.75" hidden="1" customHeight="1" x14ac:dyDescent="0.2"/>
    <row r="55586" ht="12.75" hidden="1" customHeight="1" x14ac:dyDescent="0.2"/>
    <row r="55587" ht="12.75" hidden="1" customHeight="1" x14ac:dyDescent="0.2"/>
    <row r="55588" ht="12.75" hidden="1" customHeight="1" x14ac:dyDescent="0.2"/>
    <row r="55589" ht="12.75" hidden="1" customHeight="1" x14ac:dyDescent="0.2"/>
    <row r="55590" ht="12.75" hidden="1" customHeight="1" x14ac:dyDescent="0.2"/>
    <row r="55591" ht="12.75" hidden="1" customHeight="1" x14ac:dyDescent="0.2"/>
    <row r="55592" ht="12.75" hidden="1" customHeight="1" x14ac:dyDescent="0.2"/>
    <row r="55593" ht="12.75" hidden="1" customHeight="1" x14ac:dyDescent="0.2"/>
    <row r="55594" ht="12.75" hidden="1" customHeight="1" x14ac:dyDescent="0.2"/>
    <row r="55595" ht="12.75" hidden="1" customHeight="1" x14ac:dyDescent="0.2"/>
    <row r="55596" ht="12.75" hidden="1" customHeight="1" x14ac:dyDescent="0.2"/>
    <row r="55597" ht="12.75" hidden="1" customHeight="1" x14ac:dyDescent="0.2"/>
    <row r="55598" ht="12.75" hidden="1" customHeight="1" x14ac:dyDescent="0.2"/>
    <row r="55599" ht="12.75" hidden="1" customHeight="1" x14ac:dyDescent="0.2"/>
    <row r="55600" ht="12.75" hidden="1" customHeight="1" x14ac:dyDescent="0.2"/>
    <row r="55601" ht="12.75" hidden="1" customHeight="1" x14ac:dyDescent="0.2"/>
    <row r="55602" ht="12.75" hidden="1" customHeight="1" x14ac:dyDescent="0.2"/>
    <row r="55603" ht="12.75" hidden="1" customHeight="1" x14ac:dyDescent="0.2"/>
    <row r="55604" ht="12.75" hidden="1" customHeight="1" x14ac:dyDescent="0.2"/>
    <row r="55605" ht="12.75" hidden="1" customHeight="1" x14ac:dyDescent="0.2"/>
    <row r="55606" ht="12.75" hidden="1" customHeight="1" x14ac:dyDescent="0.2"/>
    <row r="55607" ht="12.75" hidden="1" customHeight="1" x14ac:dyDescent="0.2"/>
    <row r="55608" ht="12.75" hidden="1" customHeight="1" x14ac:dyDescent="0.2"/>
    <row r="55609" ht="12.75" hidden="1" customHeight="1" x14ac:dyDescent="0.2"/>
    <row r="55610" ht="12.75" hidden="1" customHeight="1" x14ac:dyDescent="0.2"/>
    <row r="55611" ht="12.75" hidden="1" customHeight="1" x14ac:dyDescent="0.2"/>
    <row r="55612" ht="12.75" hidden="1" customHeight="1" x14ac:dyDescent="0.2"/>
    <row r="55613" ht="12.75" hidden="1" customHeight="1" x14ac:dyDescent="0.2"/>
    <row r="55614" ht="12.75" hidden="1" customHeight="1" x14ac:dyDescent="0.2"/>
    <row r="55615" ht="12.75" hidden="1" customHeight="1" x14ac:dyDescent="0.2"/>
    <row r="55616" ht="12.75" hidden="1" customHeight="1" x14ac:dyDescent="0.2"/>
    <row r="55617" ht="12.75" hidden="1" customHeight="1" x14ac:dyDescent="0.2"/>
    <row r="55618" ht="12.75" hidden="1" customHeight="1" x14ac:dyDescent="0.2"/>
    <row r="55619" ht="12.75" hidden="1" customHeight="1" x14ac:dyDescent="0.2"/>
    <row r="55620" ht="12.75" hidden="1" customHeight="1" x14ac:dyDescent="0.2"/>
    <row r="55621" ht="12.75" hidden="1" customHeight="1" x14ac:dyDescent="0.2"/>
    <row r="55622" ht="12.75" hidden="1" customHeight="1" x14ac:dyDescent="0.2"/>
    <row r="55623" ht="12.75" hidden="1" customHeight="1" x14ac:dyDescent="0.2"/>
    <row r="55624" ht="12.75" hidden="1" customHeight="1" x14ac:dyDescent="0.2"/>
    <row r="55625" ht="12.75" hidden="1" customHeight="1" x14ac:dyDescent="0.2"/>
    <row r="55626" ht="12.75" hidden="1" customHeight="1" x14ac:dyDescent="0.2"/>
    <row r="55627" ht="12.75" hidden="1" customHeight="1" x14ac:dyDescent="0.2"/>
    <row r="55628" ht="12.75" hidden="1" customHeight="1" x14ac:dyDescent="0.2"/>
    <row r="55629" ht="12.75" hidden="1" customHeight="1" x14ac:dyDescent="0.2"/>
    <row r="55630" ht="12.75" hidden="1" customHeight="1" x14ac:dyDescent="0.2"/>
    <row r="55631" ht="12.75" hidden="1" customHeight="1" x14ac:dyDescent="0.2"/>
    <row r="55632" ht="12.75" hidden="1" customHeight="1" x14ac:dyDescent="0.2"/>
    <row r="55633" ht="12.75" hidden="1" customHeight="1" x14ac:dyDescent="0.2"/>
    <row r="55634" ht="12.75" hidden="1" customHeight="1" x14ac:dyDescent="0.2"/>
    <row r="55635" ht="12.75" hidden="1" customHeight="1" x14ac:dyDescent="0.2"/>
    <row r="55636" ht="12.75" hidden="1" customHeight="1" x14ac:dyDescent="0.2"/>
    <row r="55637" ht="12.75" hidden="1" customHeight="1" x14ac:dyDescent="0.2"/>
    <row r="55638" ht="12.75" hidden="1" customHeight="1" x14ac:dyDescent="0.2"/>
    <row r="55639" ht="12.75" hidden="1" customHeight="1" x14ac:dyDescent="0.2"/>
    <row r="55640" ht="12.75" hidden="1" customHeight="1" x14ac:dyDescent="0.2"/>
    <row r="55641" ht="12.75" hidden="1" customHeight="1" x14ac:dyDescent="0.2"/>
    <row r="55642" ht="12.75" hidden="1" customHeight="1" x14ac:dyDescent="0.2"/>
    <row r="55643" ht="12.75" hidden="1" customHeight="1" x14ac:dyDescent="0.2"/>
    <row r="55644" ht="12.75" hidden="1" customHeight="1" x14ac:dyDescent="0.2"/>
    <row r="55645" ht="12.75" hidden="1" customHeight="1" x14ac:dyDescent="0.2"/>
    <row r="55646" ht="12.75" hidden="1" customHeight="1" x14ac:dyDescent="0.2"/>
    <row r="55647" ht="12.75" hidden="1" customHeight="1" x14ac:dyDescent="0.2"/>
    <row r="55648" ht="12.75" hidden="1" customHeight="1" x14ac:dyDescent="0.2"/>
    <row r="55649" ht="12.75" hidden="1" customHeight="1" x14ac:dyDescent="0.2"/>
    <row r="55650" ht="12.75" hidden="1" customHeight="1" x14ac:dyDescent="0.2"/>
    <row r="55651" ht="12.75" hidden="1" customHeight="1" x14ac:dyDescent="0.2"/>
    <row r="55652" ht="12.75" hidden="1" customHeight="1" x14ac:dyDescent="0.2"/>
    <row r="55653" ht="12.75" hidden="1" customHeight="1" x14ac:dyDescent="0.2"/>
    <row r="55654" ht="12.75" hidden="1" customHeight="1" x14ac:dyDescent="0.2"/>
    <row r="55655" ht="12.75" hidden="1" customHeight="1" x14ac:dyDescent="0.2"/>
    <row r="55656" ht="12.75" hidden="1" customHeight="1" x14ac:dyDescent="0.2"/>
    <row r="55657" ht="12.75" hidden="1" customHeight="1" x14ac:dyDescent="0.2"/>
    <row r="55658" ht="12.75" hidden="1" customHeight="1" x14ac:dyDescent="0.2"/>
    <row r="55659" ht="12.75" hidden="1" customHeight="1" x14ac:dyDescent="0.2"/>
    <row r="55660" ht="12.75" hidden="1" customHeight="1" x14ac:dyDescent="0.2"/>
    <row r="55661" ht="12.75" hidden="1" customHeight="1" x14ac:dyDescent="0.2"/>
    <row r="55662" ht="12.75" hidden="1" customHeight="1" x14ac:dyDescent="0.2"/>
    <row r="55663" ht="12.75" hidden="1" customHeight="1" x14ac:dyDescent="0.2"/>
    <row r="55664" ht="12.75" hidden="1" customHeight="1" x14ac:dyDescent="0.2"/>
    <row r="55665" ht="12.75" hidden="1" customHeight="1" x14ac:dyDescent="0.2"/>
    <row r="55666" ht="12.75" hidden="1" customHeight="1" x14ac:dyDescent="0.2"/>
    <row r="55667" ht="12.75" hidden="1" customHeight="1" x14ac:dyDescent="0.2"/>
    <row r="55668" ht="12.75" hidden="1" customHeight="1" x14ac:dyDescent="0.2"/>
    <row r="55669" ht="12.75" hidden="1" customHeight="1" x14ac:dyDescent="0.2"/>
    <row r="55670" ht="12.75" hidden="1" customHeight="1" x14ac:dyDescent="0.2"/>
    <row r="55671" ht="12.75" hidden="1" customHeight="1" x14ac:dyDescent="0.2"/>
    <row r="55672" ht="12.75" hidden="1" customHeight="1" x14ac:dyDescent="0.2"/>
    <row r="55673" ht="12.75" hidden="1" customHeight="1" x14ac:dyDescent="0.2"/>
    <row r="55674" ht="12.75" hidden="1" customHeight="1" x14ac:dyDescent="0.2"/>
    <row r="55675" ht="12.75" hidden="1" customHeight="1" x14ac:dyDescent="0.2"/>
    <row r="55676" ht="12.75" hidden="1" customHeight="1" x14ac:dyDescent="0.2"/>
    <row r="55677" ht="12.75" hidden="1" customHeight="1" x14ac:dyDescent="0.2"/>
    <row r="55678" ht="12.75" hidden="1" customHeight="1" x14ac:dyDescent="0.2"/>
    <row r="55679" ht="12.75" hidden="1" customHeight="1" x14ac:dyDescent="0.2"/>
    <row r="55680" ht="12.75" hidden="1" customHeight="1" x14ac:dyDescent="0.2"/>
    <row r="55681" ht="12.75" hidden="1" customHeight="1" x14ac:dyDescent="0.2"/>
    <row r="55682" ht="12.75" hidden="1" customHeight="1" x14ac:dyDescent="0.2"/>
    <row r="55683" ht="12.75" hidden="1" customHeight="1" x14ac:dyDescent="0.2"/>
    <row r="55684" ht="12.75" hidden="1" customHeight="1" x14ac:dyDescent="0.2"/>
    <row r="55685" ht="12.75" hidden="1" customHeight="1" x14ac:dyDescent="0.2"/>
    <row r="55686" ht="12.75" hidden="1" customHeight="1" x14ac:dyDescent="0.2"/>
    <row r="55687" ht="12.75" hidden="1" customHeight="1" x14ac:dyDescent="0.2"/>
    <row r="55688" ht="12.75" hidden="1" customHeight="1" x14ac:dyDescent="0.2"/>
    <row r="55689" ht="12.75" hidden="1" customHeight="1" x14ac:dyDescent="0.2"/>
    <row r="55690" ht="12.75" hidden="1" customHeight="1" x14ac:dyDescent="0.2"/>
    <row r="55691" ht="12.75" hidden="1" customHeight="1" x14ac:dyDescent="0.2"/>
    <row r="55692" ht="12.75" hidden="1" customHeight="1" x14ac:dyDescent="0.2"/>
    <row r="55693" ht="12.75" hidden="1" customHeight="1" x14ac:dyDescent="0.2"/>
    <row r="55694" ht="12.75" hidden="1" customHeight="1" x14ac:dyDescent="0.2"/>
    <row r="55695" ht="12.75" hidden="1" customHeight="1" x14ac:dyDescent="0.2"/>
    <row r="55696" ht="12.75" hidden="1" customHeight="1" x14ac:dyDescent="0.2"/>
    <row r="55697" ht="12.75" hidden="1" customHeight="1" x14ac:dyDescent="0.2"/>
    <row r="55698" ht="12.75" hidden="1" customHeight="1" x14ac:dyDescent="0.2"/>
    <row r="55699" ht="12.75" hidden="1" customHeight="1" x14ac:dyDescent="0.2"/>
    <row r="55700" ht="12.75" hidden="1" customHeight="1" x14ac:dyDescent="0.2"/>
    <row r="55701" ht="12.75" hidden="1" customHeight="1" x14ac:dyDescent="0.2"/>
    <row r="55702" ht="12.75" hidden="1" customHeight="1" x14ac:dyDescent="0.2"/>
    <row r="55703" ht="12.75" hidden="1" customHeight="1" x14ac:dyDescent="0.2"/>
    <row r="55704" ht="12.75" hidden="1" customHeight="1" x14ac:dyDescent="0.2"/>
    <row r="55705" ht="12.75" hidden="1" customHeight="1" x14ac:dyDescent="0.2"/>
    <row r="55706" ht="12.75" hidden="1" customHeight="1" x14ac:dyDescent="0.2"/>
    <row r="55707" ht="12.75" hidden="1" customHeight="1" x14ac:dyDescent="0.2"/>
    <row r="55708" ht="12.75" hidden="1" customHeight="1" x14ac:dyDescent="0.2"/>
    <row r="55709" ht="12.75" hidden="1" customHeight="1" x14ac:dyDescent="0.2"/>
    <row r="55710" ht="12.75" hidden="1" customHeight="1" x14ac:dyDescent="0.2"/>
    <row r="55711" ht="12.75" hidden="1" customHeight="1" x14ac:dyDescent="0.2"/>
    <row r="55712" ht="12.75" hidden="1" customHeight="1" x14ac:dyDescent="0.2"/>
    <row r="55713" ht="12.75" hidden="1" customHeight="1" x14ac:dyDescent="0.2"/>
    <row r="55714" ht="12.75" hidden="1" customHeight="1" x14ac:dyDescent="0.2"/>
    <row r="55715" ht="12.75" hidden="1" customHeight="1" x14ac:dyDescent="0.2"/>
    <row r="55716" ht="12.75" hidden="1" customHeight="1" x14ac:dyDescent="0.2"/>
    <row r="55717" ht="12.75" hidden="1" customHeight="1" x14ac:dyDescent="0.2"/>
    <row r="55718" ht="12.75" hidden="1" customHeight="1" x14ac:dyDescent="0.2"/>
    <row r="55719" ht="12.75" hidden="1" customHeight="1" x14ac:dyDescent="0.2"/>
    <row r="55720" ht="12.75" hidden="1" customHeight="1" x14ac:dyDescent="0.2"/>
    <row r="55721" ht="12.75" hidden="1" customHeight="1" x14ac:dyDescent="0.2"/>
    <row r="55722" ht="12.75" hidden="1" customHeight="1" x14ac:dyDescent="0.2"/>
    <row r="55723" ht="12.75" hidden="1" customHeight="1" x14ac:dyDescent="0.2"/>
    <row r="55724" ht="12.75" hidden="1" customHeight="1" x14ac:dyDescent="0.2"/>
    <row r="55725" ht="12.75" hidden="1" customHeight="1" x14ac:dyDescent="0.2"/>
    <row r="55726" ht="12.75" hidden="1" customHeight="1" x14ac:dyDescent="0.2"/>
    <row r="55727" ht="12.75" hidden="1" customHeight="1" x14ac:dyDescent="0.2"/>
    <row r="55728" ht="12.75" hidden="1" customHeight="1" x14ac:dyDescent="0.2"/>
    <row r="55729" ht="12.75" hidden="1" customHeight="1" x14ac:dyDescent="0.2"/>
    <row r="55730" ht="12.75" hidden="1" customHeight="1" x14ac:dyDescent="0.2"/>
    <row r="55731" ht="12.75" hidden="1" customHeight="1" x14ac:dyDescent="0.2"/>
    <row r="55732" ht="12.75" hidden="1" customHeight="1" x14ac:dyDescent="0.2"/>
    <row r="55733" ht="12.75" hidden="1" customHeight="1" x14ac:dyDescent="0.2"/>
    <row r="55734" ht="12.75" hidden="1" customHeight="1" x14ac:dyDescent="0.2"/>
    <row r="55735" ht="12.75" hidden="1" customHeight="1" x14ac:dyDescent="0.2"/>
    <row r="55736" ht="12.75" hidden="1" customHeight="1" x14ac:dyDescent="0.2"/>
    <row r="55737" ht="12.75" hidden="1" customHeight="1" x14ac:dyDescent="0.2"/>
    <row r="55738" ht="12.75" hidden="1" customHeight="1" x14ac:dyDescent="0.2"/>
    <row r="55739" ht="12.75" hidden="1" customHeight="1" x14ac:dyDescent="0.2"/>
    <row r="55740" ht="12.75" hidden="1" customHeight="1" x14ac:dyDescent="0.2"/>
    <row r="55741" ht="12.75" hidden="1" customHeight="1" x14ac:dyDescent="0.2"/>
    <row r="55742" ht="12.75" hidden="1" customHeight="1" x14ac:dyDescent="0.2"/>
    <row r="55743" ht="12.75" hidden="1" customHeight="1" x14ac:dyDescent="0.2"/>
    <row r="55744" ht="12.75" hidden="1" customHeight="1" x14ac:dyDescent="0.2"/>
    <row r="55745" ht="12.75" hidden="1" customHeight="1" x14ac:dyDescent="0.2"/>
    <row r="55746" ht="12.75" hidden="1" customHeight="1" x14ac:dyDescent="0.2"/>
    <row r="55747" ht="12.75" hidden="1" customHeight="1" x14ac:dyDescent="0.2"/>
    <row r="55748" ht="12.75" hidden="1" customHeight="1" x14ac:dyDescent="0.2"/>
    <row r="55749" ht="12.75" hidden="1" customHeight="1" x14ac:dyDescent="0.2"/>
    <row r="55750" ht="12.75" hidden="1" customHeight="1" x14ac:dyDescent="0.2"/>
    <row r="55751" ht="12.75" hidden="1" customHeight="1" x14ac:dyDescent="0.2"/>
    <row r="55752" ht="12.75" hidden="1" customHeight="1" x14ac:dyDescent="0.2"/>
    <row r="55753" ht="12.75" hidden="1" customHeight="1" x14ac:dyDescent="0.2"/>
    <row r="55754" ht="12.75" hidden="1" customHeight="1" x14ac:dyDescent="0.2"/>
    <row r="55755" ht="12.75" hidden="1" customHeight="1" x14ac:dyDescent="0.2"/>
    <row r="55756" ht="12.75" hidden="1" customHeight="1" x14ac:dyDescent="0.2"/>
    <row r="55757" ht="12.75" hidden="1" customHeight="1" x14ac:dyDescent="0.2"/>
    <row r="55758" ht="12.75" hidden="1" customHeight="1" x14ac:dyDescent="0.2"/>
    <row r="55759" ht="12.75" hidden="1" customHeight="1" x14ac:dyDescent="0.2"/>
    <row r="55760" ht="12.75" hidden="1" customHeight="1" x14ac:dyDescent="0.2"/>
    <row r="55761" ht="12.75" hidden="1" customHeight="1" x14ac:dyDescent="0.2"/>
    <row r="55762" ht="12.75" hidden="1" customHeight="1" x14ac:dyDescent="0.2"/>
    <row r="55763" ht="12.75" hidden="1" customHeight="1" x14ac:dyDescent="0.2"/>
    <row r="55764" ht="12.75" hidden="1" customHeight="1" x14ac:dyDescent="0.2"/>
    <row r="55765" ht="12.75" hidden="1" customHeight="1" x14ac:dyDescent="0.2"/>
    <row r="55766" ht="12.75" hidden="1" customHeight="1" x14ac:dyDescent="0.2"/>
    <row r="55767" ht="12.75" hidden="1" customHeight="1" x14ac:dyDescent="0.2"/>
    <row r="55768" ht="12.75" hidden="1" customHeight="1" x14ac:dyDescent="0.2"/>
    <row r="55769" ht="12.75" hidden="1" customHeight="1" x14ac:dyDescent="0.2"/>
    <row r="55770" ht="12.75" hidden="1" customHeight="1" x14ac:dyDescent="0.2"/>
    <row r="55771" ht="12.75" hidden="1" customHeight="1" x14ac:dyDescent="0.2"/>
    <row r="55772" ht="12.75" hidden="1" customHeight="1" x14ac:dyDescent="0.2"/>
    <row r="55773" ht="12.75" hidden="1" customHeight="1" x14ac:dyDescent="0.2"/>
    <row r="55774" ht="12.75" hidden="1" customHeight="1" x14ac:dyDescent="0.2"/>
    <row r="55775" ht="12.75" hidden="1" customHeight="1" x14ac:dyDescent="0.2"/>
    <row r="55776" ht="12.75" hidden="1" customHeight="1" x14ac:dyDescent="0.2"/>
    <row r="55777" ht="12.75" hidden="1" customHeight="1" x14ac:dyDescent="0.2"/>
    <row r="55778" ht="12.75" hidden="1" customHeight="1" x14ac:dyDescent="0.2"/>
    <row r="55779" ht="12.75" hidden="1" customHeight="1" x14ac:dyDescent="0.2"/>
    <row r="55780" ht="12.75" hidden="1" customHeight="1" x14ac:dyDescent="0.2"/>
    <row r="55781" ht="12.75" hidden="1" customHeight="1" x14ac:dyDescent="0.2"/>
    <row r="55782" ht="12.75" hidden="1" customHeight="1" x14ac:dyDescent="0.2"/>
    <row r="55783" ht="12.75" hidden="1" customHeight="1" x14ac:dyDescent="0.2"/>
    <row r="55784" ht="12.75" hidden="1" customHeight="1" x14ac:dyDescent="0.2"/>
    <row r="55785" ht="12.75" hidden="1" customHeight="1" x14ac:dyDescent="0.2"/>
    <row r="55786" ht="12.75" hidden="1" customHeight="1" x14ac:dyDescent="0.2"/>
    <row r="55787" ht="12.75" hidden="1" customHeight="1" x14ac:dyDescent="0.2"/>
    <row r="55788" ht="12.75" hidden="1" customHeight="1" x14ac:dyDescent="0.2"/>
    <row r="55789" ht="12.75" hidden="1" customHeight="1" x14ac:dyDescent="0.2"/>
    <row r="55790" ht="12.75" hidden="1" customHeight="1" x14ac:dyDescent="0.2"/>
    <row r="55791" ht="12.75" hidden="1" customHeight="1" x14ac:dyDescent="0.2"/>
    <row r="55792" ht="12.75" hidden="1" customHeight="1" x14ac:dyDescent="0.2"/>
    <row r="55793" ht="12.75" hidden="1" customHeight="1" x14ac:dyDescent="0.2"/>
    <row r="55794" ht="12.75" hidden="1" customHeight="1" x14ac:dyDescent="0.2"/>
    <row r="55795" ht="12.75" hidden="1" customHeight="1" x14ac:dyDescent="0.2"/>
    <row r="55796" ht="12.75" hidden="1" customHeight="1" x14ac:dyDescent="0.2"/>
    <row r="55797" ht="12.75" hidden="1" customHeight="1" x14ac:dyDescent="0.2"/>
    <row r="55798" ht="12.75" hidden="1" customHeight="1" x14ac:dyDescent="0.2"/>
    <row r="55799" ht="12.75" hidden="1" customHeight="1" x14ac:dyDescent="0.2"/>
    <row r="55800" ht="12.75" hidden="1" customHeight="1" x14ac:dyDescent="0.2"/>
    <row r="55801" ht="12.75" hidden="1" customHeight="1" x14ac:dyDescent="0.2"/>
    <row r="55802" ht="12.75" hidden="1" customHeight="1" x14ac:dyDescent="0.2"/>
    <row r="55803" ht="12.75" hidden="1" customHeight="1" x14ac:dyDescent="0.2"/>
    <row r="55804" ht="12.75" hidden="1" customHeight="1" x14ac:dyDescent="0.2"/>
    <row r="55805" ht="12.75" hidden="1" customHeight="1" x14ac:dyDescent="0.2"/>
    <row r="55806" ht="12.75" hidden="1" customHeight="1" x14ac:dyDescent="0.2"/>
    <row r="55807" ht="12.75" hidden="1" customHeight="1" x14ac:dyDescent="0.2"/>
    <row r="55808" ht="12.75" hidden="1" customHeight="1" x14ac:dyDescent="0.2"/>
    <row r="55809" ht="12.75" hidden="1" customHeight="1" x14ac:dyDescent="0.2"/>
    <row r="55810" ht="12.75" hidden="1" customHeight="1" x14ac:dyDescent="0.2"/>
    <row r="55811" ht="12.75" hidden="1" customHeight="1" x14ac:dyDescent="0.2"/>
    <row r="55812" ht="12.75" hidden="1" customHeight="1" x14ac:dyDescent="0.2"/>
    <row r="55813" ht="12.75" hidden="1" customHeight="1" x14ac:dyDescent="0.2"/>
    <row r="55814" ht="12.75" hidden="1" customHeight="1" x14ac:dyDescent="0.2"/>
    <row r="55815" ht="12.75" hidden="1" customHeight="1" x14ac:dyDescent="0.2"/>
    <row r="55816" ht="12.75" hidden="1" customHeight="1" x14ac:dyDescent="0.2"/>
    <row r="55817" ht="12.75" hidden="1" customHeight="1" x14ac:dyDescent="0.2"/>
    <row r="55818" ht="12.75" hidden="1" customHeight="1" x14ac:dyDescent="0.2"/>
    <row r="55819" ht="12.75" hidden="1" customHeight="1" x14ac:dyDescent="0.2"/>
    <row r="55820" ht="12.75" hidden="1" customHeight="1" x14ac:dyDescent="0.2"/>
    <row r="55821" ht="12.75" hidden="1" customHeight="1" x14ac:dyDescent="0.2"/>
    <row r="55822" ht="12.75" hidden="1" customHeight="1" x14ac:dyDescent="0.2"/>
    <row r="55823" ht="12.75" hidden="1" customHeight="1" x14ac:dyDescent="0.2"/>
    <row r="55824" ht="12.75" hidden="1" customHeight="1" x14ac:dyDescent="0.2"/>
    <row r="55825" ht="12.75" hidden="1" customHeight="1" x14ac:dyDescent="0.2"/>
    <row r="55826" ht="12.75" hidden="1" customHeight="1" x14ac:dyDescent="0.2"/>
    <row r="55827" ht="12.75" hidden="1" customHeight="1" x14ac:dyDescent="0.2"/>
    <row r="55828" ht="12.75" hidden="1" customHeight="1" x14ac:dyDescent="0.2"/>
    <row r="55829" ht="12.75" hidden="1" customHeight="1" x14ac:dyDescent="0.2"/>
    <row r="55830" ht="12.75" hidden="1" customHeight="1" x14ac:dyDescent="0.2"/>
    <row r="55831" ht="12.75" hidden="1" customHeight="1" x14ac:dyDescent="0.2"/>
    <row r="55832" ht="12.75" hidden="1" customHeight="1" x14ac:dyDescent="0.2"/>
    <row r="55833" ht="12.75" hidden="1" customHeight="1" x14ac:dyDescent="0.2"/>
    <row r="55834" ht="12.75" hidden="1" customHeight="1" x14ac:dyDescent="0.2"/>
    <row r="55835" ht="12.75" hidden="1" customHeight="1" x14ac:dyDescent="0.2"/>
    <row r="55836" ht="12.75" hidden="1" customHeight="1" x14ac:dyDescent="0.2"/>
    <row r="55837" ht="12.75" hidden="1" customHeight="1" x14ac:dyDescent="0.2"/>
    <row r="55838" ht="12.75" hidden="1" customHeight="1" x14ac:dyDescent="0.2"/>
    <row r="55839" ht="12.75" hidden="1" customHeight="1" x14ac:dyDescent="0.2"/>
    <row r="55840" ht="12.75" hidden="1" customHeight="1" x14ac:dyDescent="0.2"/>
    <row r="55841" ht="12.75" hidden="1" customHeight="1" x14ac:dyDescent="0.2"/>
    <row r="55842" ht="12.75" hidden="1" customHeight="1" x14ac:dyDescent="0.2"/>
    <row r="55843" ht="12.75" hidden="1" customHeight="1" x14ac:dyDescent="0.2"/>
    <row r="55844" ht="12.75" hidden="1" customHeight="1" x14ac:dyDescent="0.2"/>
    <row r="55845" ht="12.75" hidden="1" customHeight="1" x14ac:dyDescent="0.2"/>
    <row r="55846" ht="12.75" hidden="1" customHeight="1" x14ac:dyDescent="0.2"/>
    <row r="55847" ht="12.75" hidden="1" customHeight="1" x14ac:dyDescent="0.2"/>
    <row r="55848" ht="12.75" hidden="1" customHeight="1" x14ac:dyDescent="0.2"/>
    <row r="55849" ht="12.75" hidden="1" customHeight="1" x14ac:dyDescent="0.2"/>
    <row r="55850" ht="12.75" hidden="1" customHeight="1" x14ac:dyDescent="0.2"/>
    <row r="55851" ht="12.75" hidden="1" customHeight="1" x14ac:dyDescent="0.2"/>
    <row r="55852" ht="12.75" hidden="1" customHeight="1" x14ac:dyDescent="0.2"/>
    <row r="55853" ht="12.75" hidden="1" customHeight="1" x14ac:dyDescent="0.2"/>
    <row r="55854" ht="12.75" hidden="1" customHeight="1" x14ac:dyDescent="0.2"/>
    <row r="55855" ht="12.75" hidden="1" customHeight="1" x14ac:dyDescent="0.2"/>
    <row r="55856" ht="12.75" hidden="1" customHeight="1" x14ac:dyDescent="0.2"/>
    <row r="55857" ht="12.75" hidden="1" customHeight="1" x14ac:dyDescent="0.2"/>
    <row r="55858" ht="12.75" hidden="1" customHeight="1" x14ac:dyDescent="0.2"/>
    <row r="55859" ht="12.75" hidden="1" customHeight="1" x14ac:dyDescent="0.2"/>
    <row r="55860" ht="12.75" hidden="1" customHeight="1" x14ac:dyDescent="0.2"/>
    <row r="55861" ht="12.75" hidden="1" customHeight="1" x14ac:dyDescent="0.2"/>
    <row r="55862" ht="12.75" hidden="1" customHeight="1" x14ac:dyDescent="0.2"/>
    <row r="55863" ht="12.75" hidden="1" customHeight="1" x14ac:dyDescent="0.2"/>
    <row r="55864" ht="12.75" hidden="1" customHeight="1" x14ac:dyDescent="0.2"/>
    <row r="55865" ht="12.75" hidden="1" customHeight="1" x14ac:dyDescent="0.2"/>
    <row r="55866" ht="12.75" hidden="1" customHeight="1" x14ac:dyDescent="0.2"/>
    <row r="55867" ht="12.75" hidden="1" customHeight="1" x14ac:dyDescent="0.2"/>
    <row r="55868" ht="12.75" hidden="1" customHeight="1" x14ac:dyDescent="0.2"/>
    <row r="55869" ht="12.75" hidden="1" customHeight="1" x14ac:dyDescent="0.2"/>
    <row r="55870" ht="12.75" hidden="1" customHeight="1" x14ac:dyDescent="0.2"/>
    <row r="55871" ht="12.75" hidden="1" customHeight="1" x14ac:dyDescent="0.2"/>
    <row r="55872" ht="12.75" hidden="1" customHeight="1" x14ac:dyDescent="0.2"/>
    <row r="55873" ht="12.75" hidden="1" customHeight="1" x14ac:dyDescent="0.2"/>
    <row r="55874" ht="12.75" hidden="1" customHeight="1" x14ac:dyDescent="0.2"/>
    <row r="55875" ht="12.75" hidden="1" customHeight="1" x14ac:dyDescent="0.2"/>
    <row r="55876" ht="12.75" hidden="1" customHeight="1" x14ac:dyDescent="0.2"/>
    <row r="55877" ht="12.75" hidden="1" customHeight="1" x14ac:dyDescent="0.2"/>
    <row r="55878" ht="12.75" hidden="1" customHeight="1" x14ac:dyDescent="0.2"/>
    <row r="55879" ht="12.75" hidden="1" customHeight="1" x14ac:dyDescent="0.2"/>
    <row r="55880" ht="12.75" hidden="1" customHeight="1" x14ac:dyDescent="0.2"/>
    <row r="55881" ht="12.75" hidden="1" customHeight="1" x14ac:dyDescent="0.2"/>
    <row r="55882" ht="12.75" hidden="1" customHeight="1" x14ac:dyDescent="0.2"/>
    <row r="55883" ht="12.75" hidden="1" customHeight="1" x14ac:dyDescent="0.2"/>
    <row r="55884" ht="12.75" hidden="1" customHeight="1" x14ac:dyDescent="0.2"/>
    <row r="55885" ht="12.75" hidden="1" customHeight="1" x14ac:dyDescent="0.2"/>
    <row r="55886" ht="12.75" hidden="1" customHeight="1" x14ac:dyDescent="0.2"/>
    <row r="55887" ht="12.75" hidden="1" customHeight="1" x14ac:dyDescent="0.2"/>
    <row r="55888" ht="12.75" hidden="1" customHeight="1" x14ac:dyDescent="0.2"/>
    <row r="55889" ht="12.75" hidden="1" customHeight="1" x14ac:dyDescent="0.2"/>
    <row r="55890" ht="12.75" hidden="1" customHeight="1" x14ac:dyDescent="0.2"/>
    <row r="55891" ht="12.75" hidden="1" customHeight="1" x14ac:dyDescent="0.2"/>
    <row r="55892" ht="12.75" hidden="1" customHeight="1" x14ac:dyDescent="0.2"/>
    <row r="55893" ht="12.75" hidden="1" customHeight="1" x14ac:dyDescent="0.2"/>
    <row r="55894" ht="12.75" hidden="1" customHeight="1" x14ac:dyDescent="0.2"/>
    <row r="55895" ht="12.75" hidden="1" customHeight="1" x14ac:dyDescent="0.2"/>
    <row r="55896" ht="12.75" hidden="1" customHeight="1" x14ac:dyDescent="0.2"/>
    <row r="55897" ht="12.75" hidden="1" customHeight="1" x14ac:dyDescent="0.2"/>
    <row r="55898" ht="12.75" hidden="1" customHeight="1" x14ac:dyDescent="0.2"/>
    <row r="55899" ht="12.75" hidden="1" customHeight="1" x14ac:dyDescent="0.2"/>
    <row r="55900" ht="12.75" hidden="1" customHeight="1" x14ac:dyDescent="0.2"/>
    <row r="55901" ht="12.75" hidden="1" customHeight="1" x14ac:dyDescent="0.2"/>
    <row r="55902" ht="12.75" hidden="1" customHeight="1" x14ac:dyDescent="0.2"/>
    <row r="55903" ht="12.75" hidden="1" customHeight="1" x14ac:dyDescent="0.2"/>
    <row r="55904" ht="12.75" hidden="1" customHeight="1" x14ac:dyDescent="0.2"/>
    <row r="55905" ht="12.75" hidden="1" customHeight="1" x14ac:dyDescent="0.2"/>
    <row r="55906" ht="12.75" hidden="1" customHeight="1" x14ac:dyDescent="0.2"/>
    <row r="55907" ht="12.75" hidden="1" customHeight="1" x14ac:dyDescent="0.2"/>
    <row r="55908" ht="12.75" hidden="1" customHeight="1" x14ac:dyDescent="0.2"/>
    <row r="55909" ht="12.75" hidden="1" customHeight="1" x14ac:dyDescent="0.2"/>
    <row r="55910" ht="12.75" hidden="1" customHeight="1" x14ac:dyDescent="0.2"/>
    <row r="55911" ht="12.75" hidden="1" customHeight="1" x14ac:dyDescent="0.2"/>
    <row r="55912" ht="12.75" hidden="1" customHeight="1" x14ac:dyDescent="0.2"/>
    <row r="55913" ht="12.75" hidden="1" customHeight="1" x14ac:dyDescent="0.2"/>
    <row r="55914" ht="12.75" hidden="1" customHeight="1" x14ac:dyDescent="0.2"/>
    <row r="55915" ht="12.75" hidden="1" customHeight="1" x14ac:dyDescent="0.2"/>
    <row r="55916" ht="12.75" hidden="1" customHeight="1" x14ac:dyDescent="0.2"/>
    <row r="55917" ht="12.75" hidden="1" customHeight="1" x14ac:dyDescent="0.2"/>
    <row r="55918" ht="12.75" hidden="1" customHeight="1" x14ac:dyDescent="0.2"/>
    <row r="55919" ht="12.75" hidden="1" customHeight="1" x14ac:dyDescent="0.2"/>
    <row r="55920" ht="12.75" hidden="1" customHeight="1" x14ac:dyDescent="0.2"/>
    <row r="55921" ht="12.75" hidden="1" customHeight="1" x14ac:dyDescent="0.2"/>
    <row r="55922" ht="12.75" hidden="1" customHeight="1" x14ac:dyDescent="0.2"/>
    <row r="55923" ht="12.75" hidden="1" customHeight="1" x14ac:dyDescent="0.2"/>
    <row r="55924" ht="12.75" hidden="1" customHeight="1" x14ac:dyDescent="0.2"/>
    <row r="55925" ht="12.75" hidden="1" customHeight="1" x14ac:dyDescent="0.2"/>
    <row r="55926" ht="12.75" hidden="1" customHeight="1" x14ac:dyDescent="0.2"/>
    <row r="55927" ht="12.75" hidden="1" customHeight="1" x14ac:dyDescent="0.2"/>
    <row r="55928" ht="12.75" hidden="1" customHeight="1" x14ac:dyDescent="0.2"/>
    <row r="55929" ht="12.75" hidden="1" customHeight="1" x14ac:dyDescent="0.2"/>
    <row r="55930" ht="12.75" hidden="1" customHeight="1" x14ac:dyDescent="0.2"/>
    <row r="55931" ht="12.75" hidden="1" customHeight="1" x14ac:dyDescent="0.2"/>
    <row r="55932" ht="12.75" hidden="1" customHeight="1" x14ac:dyDescent="0.2"/>
    <row r="55933" ht="12.75" hidden="1" customHeight="1" x14ac:dyDescent="0.2"/>
    <row r="55934" ht="12.75" hidden="1" customHeight="1" x14ac:dyDescent="0.2"/>
    <row r="55935" ht="12.75" hidden="1" customHeight="1" x14ac:dyDescent="0.2"/>
    <row r="55936" ht="12.75" hidden="1" customHeight="1" x14ac:dyDescent="0.2"/>
    <row r="55937" ht="12.75" hidden="1" customHeight="1" x14ac:dyDescent="0.2"/>
    <row r="55938" ht="12.75" hidden="1" customHeight="1" x14ac:dyDescent="0.2"/>
    <row r="55939" ht="12.75" hidden="1" customHeight="1" x14ac:dyDescent="0.2"/>
    <row r="55940" ht="12.75" hidden="1" customHeight="1" x14ac:dyDescent="0.2"/>
    <row r="55941" ht="12.75" hidden="1" customHeight="1" x14ac:dyDescent="0.2"/>
    <row r="55942" ht="12.75" hidden="1" customHeight="1" x14ac:dyDescent="0.2"/>
    <row r="55943" ht="12.75" hidden="1" customHeight="1" x14ac:dyDescent="0.2"/>
    <row r="55944" ht="12.75" hidden="1" customHeight="1" x14ac:dyDescent="0.2"/>
    <row r="55945" ht="12.75" hidden="1" customHeight="1" x14ac:dyDescent="0.2"/>
    <row r="55946" ht="12.75" hidden="1" customHeight="1" x14ac:dyDescent="0.2"/>
    <row r="55947" ht="12.75" hidden="1" customHeight="1" x14ac:dyDescent="0.2"/>
    <row r="55948" ht="12.75" hidden="1" customHeight="1" x14ac:dyDescent="0.2"/>
    <row r="55949" ht="12.75" hidden="1" customHeight="1" x14ac:dyDescent="0.2"/>
    <row r="55950" ht="12.75" hidden="1" customHeight="1" x14ac:dyDescent="0.2"/>
    <row r="55951" ht="12.75" hidden="1" customHeight="1" x14ac:dyDescent="0.2"/>
    <row r="55952" ht="12.75" hidden="1" customHeight="1" x14ac:dyDescent="0.2"/>
    <row r="55953" ht="12.75" hidden="1" customHeight="1" x14ac:dyDescent="0.2"/>
    <row r="55954" ht="12.75" hidden="1" customHeight="1" x14ac:dyDescent="0.2"/>
    <row r="55955" ht="12.75" hidden="1" customHeight="1" x14ac:dyDescent="0.2"/>
    <row r="55956" ht="12.75" hidden="1" customHeight="1" x14ac:dyDescent="0.2"/>
    <row r="55957" ht="12.75" hidden="1" customHeight="1" x14ac:dyDescent="0.2"/>
    <row r="55958" ht="12.75" hidden="1" customHeight="1" x14ac:dyDescent="0.2"/>
    <row r="55959" ht="12.75" hidden="1" customHeight="1" x14ac:dyDescent="0.2"/>
    <row r="55960" ht="12.75" hidden="1" customHeight="1" x14ac:dyDescent="0.2"/>
    <row r="55961" ht="12.75" hidden="1" customHeight="1" x14ac:dyDescent="0.2"/>
    <row r="55962" ht="12.75" hidden="1" customHeight="1" x14ac:dyDescent="0.2"/>
    <row r="55963" ht="12.75" hidden="1" customHeight="1" x14ac:dyDescent="0.2"/>
    <row r="55964" ht="12.75" hidden="1" customHeight="1" x14ac:dyDescent="0.2"/>
    <row r="55965" ht="12.75" hidden="1" customHeight="1" x14ac:dyDescent="0.2"/>
    <row r="55966" ht="12.75" hidden="1" customHeight="1" x14ac:dyDescent="0.2"/>
    <row r="55967" ht="12.75" hidden="1" customHeight="1" x14ac:dyDescent="0.2"/>
    <row r="55968" ht="12.75" hidden="1" customHeight="1" x14ac:dyDescent="0.2"/>
    <row r="55969" ht="12.75" hidden="1" customHeight="1" x14ac:dyDescent="0.2"/>
    <row r="55970" ht="12.75" hidden="1" customHeight="1" x14ac:dyDescent="0.2"/>
    <row r="55971" ht="12.75" hidden="1" customHeight="1" x14ac:dyDescent="0.2"/>
    <row r="55972" ht="12.75" hidden="1" customHeight="1" x14ac:dyDescent="0.2"/>
    <row r="55973" ht="12.75" hidden="1" customHeight="1" x14ac:dyDescent="0.2"/>
    <row r="55974" ht="12.75" hidden="1" customHeight="1" x14ac:dyDescent="0.2"/>
    <row r="55975" ht="12.75" hidden="1" customHeight="1" x14ac:dyDescent="0.2"/>
    <row r="55976" ht="12.75" hidden="1" customHeight="1" x14ac:dyDescent="0.2"/>
    <row r="55977" ht="12.75" hidden="1" customHeight="1" x14ac:dyDescent="0.2"/>
    <row r="55978" ht="12.75" hidden="1" customHeight="1" x14ac:dyDescent="0.2"/>
    <row r="55979" ht="12.75" hidden="1" customHeight="1" x14ac:dyDescent="0.2"/>
    <row r="55980" ht="12.75" hidden="1" customHeight="1" x14ac:dyDescent="0.2"/>
    <row r="55981" ht="12.75" hidden="1" customHeight="1" x14ac:dyDescent="0.2"/>
    <row r="55982" ht="12.75" hidden="1" customHeight="1" x14ac:dyDescent="0.2"/>
    <row r="55983" ht="12.75" hidden="1" customHeight="1" x14ac:dyDescent="0.2"/>
    <row r="55984" ht="12.75" hidden="1" customHeight="1" x14ac:dyDescent="0.2"/>
    <row r="55985" ht="12.75" hidden="1" customHeight="1" x14ac:dyDescent="0.2"/>
    <row r="55986" ht="12.75" hidden="1" customHeight="1" x14ac:dyDescent="0.2"/>
    <row r="55987" ht="12.75" hidden="1" customHeight="1" x14ac:dyDescent="0.2"/>
    <row r="55988" ht="12.75" hidden="1" customHeight="1" x14ac:dyDescent="0.2"/>
    <row r="55989" ht="12.75" hidden="1" customHeight="1" x14ac:dyDescent="0.2"/>
    <row r="55990" ht="12.75" hidden="1" customHeight="1" x14ac:dyDescent="0.2"/>
    <row r="55991" ht="12.75" hidden="1" customHeight="1" x14ac:dyDescent="0.2"/>
    <row r="55992" ht="12.75" hidden="1" customHeight="1" x14ac:dyDescent="0.2"/>
    <row r="55993" ht="12.75" hidden="1" customHeight="1" x14ac:dyDescent="0.2"/>
    <row r="55994" ht="12.75" hidden="1" customHeight="1" x14ac:dyDescent="0.2"/>
    <row r="55995" ht="12.75" hidden="1" customHeight="1" x14ac:dyDescent="0.2"/>
    <row r="55996" ht="12.75" hidden="1" customHeight="1" x14ac:dyDescent="0.2"/>
    <row r="55997" ht="12.75" hidden="1" customHeight="1" x14ac:dyDescent="0.2"/>
    <row r="55998" ht="12.75" hidden="1" customHeight="1" x14ac:dyDescent="0.2"/>
    <row r="55999" ht="12.75" hidden="1" customHeight="1" x14ac:dyDescent="0.2"/>
    <row r="56000" ht="12.75" hidden="1" customHeight="1" x14ac:dyDescent="0.2"/>
    <row r="56001" ht="12.75" hidden="1" customHeight="1" x14ac:dyDescent="0.2"/>
    <row r="56002" ht="12.75" hidden="1" customHeight="1" x14ac:dyDescent="0.2"/>
    <row r="56003" ht="12.75" hidden="1" customHeight="1" x14ac:dyDescent="0.2"/>
    <row r="56004" ht="12.75" hidden="1" customHeight="1" x14ac:dyDescent="0.2"/>
    <row r="56005" ht="12.75" hidden="1" customHeight="1" x14ac:dyDescent="0.2"/>
    <row r="56006" ht="12.75" hidden="1" customHeight="1" x14ac:dyDescent="0.2"/>
    <row r="56007" ht="12.75" hidden="1" customHeight="1" x14ac:dyDescent="0.2"/>
    <row r="56008" ht="12.75" hidden="1" customHeight="1" x14ac:dyDescent="0.2"/>
    <row r="56009" ht="12.75" hidden="1" customHeight="1" x14ac:dyDescent="0.2"/>
    <row r="56010" ht="12.75" hidden="1" customHeight="1" x14ac:dyDescent="0.2"/>
    <row r="56011" ht="12.75" hidden="1" customHeight="1" x14ac:dyDescent="0.2"/>
    <row r="56012" ht="12.75" hidden="1" customHeight="1" x14ac:dyDescent="0.2"/>
    <row r="56013" ht="12.75" hidden="1" customHeight="1" x14ac:dyDescent="0.2"/>
    <row r="56014" ht="12.75" hidden="1" customHeight="1" x14ac:dyDescent="0.2"/>
    <row r="56015" ht="12.75" hidden="1" customHeight="1" x14ac:dyDescent="0.2"/>
    <row r="56016" ht="12.75" hidden="1" customHeight="1" x14ac:dyDescent="0.2"/>
    <row r="56017" ht="12.75" hidden="1" customHeight="1" x14ac:dyDescent="0.2"/>
    <row r="56018" ht="12.75" hidden="1" customHeight="1" x14ac:dyDescent="0.2"/>
    <row r="56019" ht="12.75" hidden="1" customHeight="1" x14ac:dyDescent="0.2"/>
    <row r="56020" ht="12.75" hidden="1" customHeight="1" x14ac:dyDescent="0.2"/>
    <row r="56021" ht="12.75" hidden="1" customHeight="1" x14ac:dyDescent="0.2"/>
    <row r="56022" ht="12.75" hidden="1" customHeight="1" x14ac:dyDescent="0.2"/>
    <row r="56023" ht="12.75" hidden="1" customHeight="1" x14ac:dyDescent="0.2"/>
    <row r="56024" ht="12.75" hidden="1" customHeight="1" x14ac:dyDescent="0.2"/>
    <row r="56025" ht="12.75" hidden="1" customHeight="1" x14ac:dyDescent="0.2"/>
    <row r="56026" ht="12.75" hidden="1" customHeight="1" x14ac:dyDescent="0.2"/>
    <row r="56027" ht="12.75" hidden="1" customHeight="1" x14ac:dyDescent="0.2"/>
    <row r="56028" ht="12.75" hidden="1" customHeight="1" x14ac:dyDescent="0.2"/>
    <row r="56029" ht="12.75" hidden="1" customHeight="1" x14ac:dyDescent="0.2"/>
    <row r="56030" ht="12.75" hidden="1" customHeight="1" x14ac:dyDescent="0.2"/>
    <row r="56031" ht="12.75" hidden="1" customHeight="1" x14ac:dyDescent="0.2"/>
    <row r="56032" ht="12.75" hidden="1" customHeight="1" x14ac:dyDescent="0.2"/>
    <row r="56033" ht="12.75" hidden="1" customHeight="1" x14ac:dyDescent="0.2"/>
    <row r="56034" ht="12.75" hidden="1" customHeight="1" x14ac:dyDescent="0.2"/>
    <row r="56035" ht="12.75" hidden="1" customHeight="1" x14ac:dyDescent="0.2"/>
    <row r="56036" ht="12.75" hidden="1" customHeight="1" x14ac:dyDescent="0.2"/>
    <row r="56037" ht="12.75" hidden="1" customHeight="1" x14ac:dyDescent="0.2"/>
    <row r="56038" ht="12.75" hidden="1" customHeight="1" x14ac:dyDescent="0.2"/>
    <row r="56039" ht="12.75" hidden="1" customHeight="1" x14ac:dyDescent="0.2"/>
    <row r="56040" ht="12.75" hidden="1" customHeight="1" x14ac:dyDescent="0.2"/>
    <row r="56041" ht="12.75" hidden="1" customHeight="1" x14ac:dyDescent="0.2"/>
    <row r="56042" ht="12.75" hidden="1" customHeight="1" x14ac:dyDescent="0.2"/>
    <row r="56043" ht="12.75" hidden="1" customHeight="1" x14ac:dyDescent="0.2"/>
    <row r="56044" ht="12.75" hidden="1" customHeight="1" x14ac:dyDescent="0.2"/>
    <row r="56045" ht="12.75" hidden="1" customHeight="1" x14ac:dyDescent="0.2"/>
    <row r="56046" ht="12.75" hidden="1" customHeight="1" x14ac:dyDescent="0.2"/>
    <row r="56047" ht="12.75" hidden="1" customHeight="1" x14ac:dyDescent="0.2"/>
    <row r="56048" ht="12.75" hidden="1" customHeight="1" x14ac:dyDescent="0.2"/>
    <row r="56049" ht="12.75" hidden="1" customHeight="1" x14ac:dyDescent="0.2"/>
    <row r="56050" ht="12.75" hidden="1" customHeight="1" x14ac:dyDescent="0.2"/>
    <row r="56051" ht="12.75" hidden="1" customHeight="1" x14ac:dyDescent="0.2"/>
    <row r="56052" ht="12.75" hidden="1" customHeight="1" x14ac:dyDescent="0.2"/>
    <row r="56053" ht="12.75" hidden="1" customHeight="1" x14ac:dyDescent="0.2"/>
    <row r="56054" ht="12.75" hidden="1" customHeight="1" x14ac:dyDescent="0.2"/>
    <row r="56055" ht="12.75" hidden="1" customHeight="1" x14ac:dyDescent="0.2"/>
    <row r="56056" ht="12.75" hidden="1" customHeight="1" x14ac:dyDescent="0.2"/>
    <row r="56057" ht="12.75" hidden="1" customHeight="1" x14ac:dyDescent="0.2"/>
    <row r="56058" ht="12.75" hidden="1" customHeight="1" x14ac:dyDescent="0.2"/>
    <row r="56059" ht="12.75" hidden="1" customHeight="1" x14ac:dyDescent="0.2"/>
    <row r="56060" ht="12.75" hidden="1" customHeight="1" x14ac:dyDescent="0.2"/>
    <row r="56061" ht="12.75" hidden="1" customHeight="1" x14ac:dyDescent="0.2"/>
    <row r="56062" ht="12.75" hidden="1" customHeight="1" x14ac:dyDescent="0.2"/>
    <row r="56063" ht="12.75" hidden="1" customHeight="1" x14ac:dyDescent="0.2"/>
    <row r="56064" ht="12.75" hidden="1" customHeight="1" x14ac:dyDescent="0.2"/>
    <row r="56065" ht="12.75" hidden="1" customHeight="1" x14ac:dyDescent="0.2"/>
    <row r="56066" ht="12.75" hidden="1" customHeight="1" x14ac:dyDescent="0.2"/>
    <row r="56067" ht="12.75" hidden="1" customHeight="1" x14ac:dyDescent="0.2"/>
    <row r="56068" ht="12.75" hidden="1" customHeight="1" x14ac:dyDescent="0.2"/>
    <row r="56069" ht="12.75" hidden="1" customHeight="1" x14ac:dyDescent="0.2"/>
    <row r="56070" ht="12.75" hidden="1" customHeight="1" x14ac:dyDescent="0.2"/>
    <row r="56071" ht="12.75" hidden="1" customHeight="1" x14ac:dyDescent="0.2"/>
    <row r="56072" ht="12.75" hidden="1" customHeight="1" x14ac:dyDescent="0.2"/>
    <row r="56073" ht="12.75" hidden="1" customHeight="1" x14ac:dyDescent="0.2"/>
    <row r="56074" ht="12.75" hidden="1" customHeight="1" x14ac:dyDescent="0.2"/>
    <row r="56075" ht="12.75" hidden="1" customHeight="1" x14ac:dyDescent="0.2"/>
    <row r="56076" ht="12.75" hidden="1" customHeight="1" x14ac:dyDescent="0.2"/>
    <row r="56077" ht="12.75" hidden="1" customHeight="1" x14ac:dyDescent="0.2"/>
    <row r="56078" ht="12.75" hidden="1" customHeight="1" x14ac:dyDescent="0.2"/>
    <row r="56079" ht="12.75" hidden="1" customHeight="1" x14ac:dyDescent="0.2"/>
    <row r="56080" ht="12.75" hidden="1" customHeight="1" x14ac:dyDescent="0.2"/>
    <row r="56081" ht="12.75" hidden="1" customHeight="1" x14ac:dyDescent="0.2"/>
    <row r="56082" ht="12.75" hidden="1" customHeight="1" x14ac:dyDescent="0.2"/>
    <row r="56083" ht="12.75" hidden="1" customHeight="1" x14ac:dyDescent="0.2"/>
    <row r="56084" ht="12.75" hidden="1" customHeight="1" x14ac:dyDescent="0.2"/>
    <row r="56085" ht="12.75" hidden="1" customHeight="1" x14ac:dyDescent="0.2"/>
    <row r="56086" ht="12.75" hidden="1" customHeight="1" x14ac:dyDescent="0.2"/>
    <row r="56087" ht="12.75" hidden="1" customHeight="1" x14ac:dyDescent="0.2"/>
    <row r="56088" ht="12.75" hidden="1" customHeight="1" x14ac:dyDescent="0.2"/>
    <row r="56089" ht="12.75" hidden="1" customHeight="1" x14ac:dyDescent="0.2"/>
    <row r="56090" ht="12.75" hidden="1" customHeight="1" x14ac:dyDescent="0.2"/>
    <row r="56091" ht="12.75" hidden="1" customHeight="1" x14ac:dyDescent="0.2"/>
    <row r="56092" ht="12.75" hidden="1" customHeight="1" x14ac:dyDescent="0.2"/>
    <row r="56093" ht="12.75" hidden="1" customHeight="1" x14ac:dyDescent="0.2"/>
    <row r="56094" ht="12.75" hidden="1" customHeight="1" x14ac:dyDescent="0.2"/>
    <row r="56095" ht="12.75" hidden="1" customHeight="1" x14ac:dyDescent="0.2"/>
    <row r="56096" ht="12.75" hidden="1" customHeight="1" x14ac:dyDescent="0.2"/>
    <row r="56097" ht="12.75" hidden="1" customHeight="1" x14ac:dyDescent="0.2"/>
    <row r="56098" ht="12.75" hidden="1" customHeight="1" x14ac:dyDescent="0.2"/>
    <row r="56099" ht="12.75" hidden="1" customHeight="1" x14ac:dyDescent="0.2"/>
    <row r="56100" ht="12.75" hidden="1" customHeight="1" x14ac:dyDescent="0.2"/>
    <row r="56101" ht="12.75" hidden="1" customHeight="1" x14ac:dyDescent="0.2"/>
    <row r="56102" ht="12.75" hidden="1" customHeight="1" x14ac:dyDescent="0.2"/>
    <row r="56103" ht="12.75" hidden="1" customHeight="1" x14ac:dyDescent="0.2"/>
    <row r="56104" ht="12.75" hidden="1" customHeight="1" x14ac:dyDescent="0.2"/>
    <row r="56105" ht="12.75" hidden="1" customHeight="1" x14ac:dyDescent="0.2"/>
    <row r="56106" ht="12.75" hidden="1" customHeight="1" x14ac:dyDescent="0.2"/>
    <row r="56107" ht="12.75" hidden="1" customHeight="1" x14ac:dyDescent="0.2"/>
    <row r="56108" ht="12.75" hidden="1" customHeight="1" x14ac:dyDescent="0.2"/>
    <row r="56109" ht="12.75" hidden="1" customHeight="1" x14ac:dyDescent="0.2"/>
    <row r="56110" ht="12.75" hidden="1" customHeight="1" x14ac:dyDescent="0.2"/>
    <row r="56111" ht="12.75" hidden="1" customHeight="1" x14ac:dyDescent="0.2"/>
    <row r="56112" ht="12.75" hidden="1" customHeight="1" x14ac:dyDescent="0.2"/>
    <row r="56113" ht="12.75" hidden="1" customHeight="1" x14ac:dyDescent="0.2"/>
    <row r="56114" ht="12.75" hidden="1" customHeight="1" x14ac:dyDescent="0.2"/>
    <row r="56115" ht="12.75" hidden="1" customHeight="1" x14ac:dyDescent="0.2"/>
    <row r="56116" ht="12.75" hidden="1" customHeight="1" x14ac:dyDescent="0.2"/>
    <row r="56117" ht="12.75" hidden="1" customHeight="1" x14ac:dyDescent="0.2"/>
    <row r="56118" ht="12.75" hidden="1" customHeight="1" x14ac:dyDescent="0.2"/>
    <row r="56119" ht="12.75" hidden="1" customHeight="1" x14ac:dyDescent="0.2"/>
    <row r="56120" ht="12.75" hidden="1" customHeight="1" x14ac:dyDescent="0.2"/>
    <row r="56121" ht="12.75" hidden="1" customHeight="1" x14ac:dyDescent="0.2"/>
    <row r="56122" ht="12.75" hidden="1" customHeight="1" x14ac:dyDescent="0.2"/>
    <row r="56123" ht="12.75" hidden="1" customHeight="1" x14ac:dyDescent="0.2"/>
    <row r="56124" ht="12.75" hidden="1" customHeight="1" x14ac:dyDescent="0.2"/>
    <row r="56125" ht="12.75" hidden="1" customHeight="1" x14ac:dyDescent="0.2"/>
    <row r="56126" ht="12.75" hidden="1" customHeight="1" x14ac:dyDescent="0.2"/>
    <row r="56127" ht="12.75" hidden="1" customHeight="1" x14ac:dyDescent="0.2"/>
    <row r="56128" ht="12.75" hidden="1" customHeight="1" x14ac:dyDescent="0.2"/>
    <row r="56129" ht="12.75" hidden="1" customHeight="1" x14ac:dyDescent="0.2"/>
    <row r="56130" ht="12.75" hidden="1" customHeight="1" x14ac:dyDescent="0.2"/>
    <row r="56131" ht="12.75" hidden="1" customHeight="1" x14ac:dyDescent="0.2"/>
    <row r="56132" ht="12.75" hidden="1" customHeight="1" x14ac:dyDescent="0.2"/>
    <row r="56133" ht="12.75" hidden="1" customHeight="1" x14ac:dyDescent="0.2"/>
    <row r="56134" ht="12.75" hidden="1" customHeight="1" x14ac:dyDescent="0.2"/>
    <row r="56135" ht="12.75" hidden="1" customHeight="1" x14ac:dyDescent="0.2"/>
    <row r="56136" ht="12.75" hidden="1" customHeight="1" x14ac:dyDescent="0.2"/>
    <row r="56137" ht="12.75" hidden="1" customHeight="1" x14ac:dyDescent="0.2"/>
    <row r="56138" ht="12.75" hidden="1" customHeight="1" x14ac:dyDescent="0.2"/>
    <row r="56139" ht="12.75" hidden="1" customHeight="1" x14ac:dyDescent="0.2"/>
    <row r="56140" ht="12.75" hidden="1" customHeight="1" x14ac:dyDescent="0.2"/>
    <row r="56141" ht="12.75" hidden="1" customHeight="1" x14ac:dyDescent="0.2"/>
    <row r="56142" ht="12.75" hidden="1" customHeight="1" x14ac:dyDescent="0.2"/>
    <row r="56143" ht="12.75" hidden="1" customHeight="1" x14ac:dyDescent="0.2"/>
    <row r="56144" ht="12.75" hidden="1" customHeight="1" x14ac:dyDescent="0.2"/>
    <row r="56145" ht="12.75" hidden="1" customHeight="1" x14ac:dyDescent="0.2"/>
    <row r="56146" ht="12.75" hidden="1" customHeight="1" x14ac:dyDescent="0.2"/>
    <row r="56147" ht="12.75" hidden="1" customHeight="1" x14ac:dyDescent="0.2"/>
    <row r="56148" ht="12.75" hidden="1" customHeight="1" x14ac:dyDescent="0.2"/>
    <row r="56149" ht="12.75" hidden="1" customHeight="1" x14ac:dyDescent="0.2"/>
    <row r="56150" ht="12.75" hidden="1" customHeight="1" x14ac:dyDescent="0.2"/>
    <row r="56151" ht="12.75" hidden="1" customHeight="1" x14ac:dyDescent="0.2"/>
    <row r="56152" ht="12.75" hidden="1" customHeight="1" x14ac:dyDescent="0.2"/>
    <row r="56153" ht="12.75" hidden="1" customHeight="1" x14ac:dyDescent="0.2"/>
    <row r="56154" ht="12.75" hidden="1" customHeight="1" x14ac:dyDescent="0.2"/>
    <row r="56155" ht="12.75" hidden="1" customHeight="1" x14ac:dyDescent="0.2"/>
    <row r="56156" ht="12.75" hidden="1" customHeight="1" x14ac:dyDescent="0.2"/>
    <row r="56157" ht="12.75" hidden="1" customHeight="1" x14ac:dyDescent="0.2"/>
    <row r="56158" ht="12.75" hidden="1" customHeight="1" x14ac:dyDescent="0.2"/>
    <row r="56159" ht="12.75" hidden="1" customHeight="1" x14ac:dyDescent="0.2"/>
    <row r="56160" ht="12.75" hidden="1" customHeight="1" x14ac:dyDescent="0.2"/>
    <row r="56161" ht="12.75" hidden="1" customHeight="1" x14ac:dyDescent="0.2"/>
    <row r="56162" ht="12.75" hidden="1" customHeight="1" x14ac:dyDescent="0.2"/>
    <row r="56163" ht="12.75" hidden="1" customHeight="1" x14ac:dyDescent="0.2"/>
    <row r="56164" ht="12.75" hidden="1" customHeight="1" x14ac:dyDescent="0.2"/>
    <row r="56165" ht="12.75" hidden="1" customHeight="1" x14ac:dyDescent="0.2"/>
    <row r="56166" ht="12.75" hidden="1" customHeight="1" x14ac:dyDescent="0.2"/>
    <row r="56167" ht="12.75" hidden="1" customHeight="1" x14ac:dyDescent="0.2"/>
    <row r="56168" ht="12.75" hidden="1" customHeight="1" x14ac:dyDescent="0.2"/>
    <row r="56169" ht="12.75" hidden="1" customHeight="1" x14ac:dyDescent="0.2"/>
    <row r="56170" ht="12.75" hidden="1" customHeight="1" x14ac:dyDescent="0.2"/>
    <row r="56171" ht="12.75" hidden="1" customHeight="1" x14ac:dyDescent="0.2"/>
    <row r="56172" ht="12.75" hidden="1" customHeight="1" x14ac:dyDescent="0.2"/>
    <row r="56173" ht="12.75" hidden="1" customHeight="1" x14ac:dyDescent="0.2"/>
    <row r="56174" ht="12.75" hidden="1" customHeight="1" x14ac:dyDescent="0.2"/>
    <row r="56175" ht="12.75" hidden="1" customHeight="1" x14ac:dyDescent="0.2"/>
    <row r="56176" ht="12.75" hidden="1" customHeight="1" x14ac:dyDescent="0.2"/>
    <row r="56177" ht="12.75" hidden="1" customHeight="1" x14ac:dyDescent="0.2"/>
    <row r="56178" ht="12.75" hidden="1" customHeight="1" x14ac:dyDescent="0.2"/>
    <row r="56179" ht="12.75" hidden="1" customHeight="1" x14ac:dyDescent="0.2"/>
    <row r="56180" ht="12.75" hidden="1" customHeight="1" x14ac:dyDescent="0.2"/>
    <row r="56181" ht="12.75" hidden="1" customHeight="1" x14ac:dyDescent="0.2"/>
    <row r="56182" ht="12.75" hidden="1" customHeight="1" x14ac:dyDescent="0.2"/>
    <row r="56183" ht="12.75" hidden="1" customHeight="1" x14ac:dyDescent="0.2"/>
    <row r="56184" ht="12.75" hidden="1" customHeight="1" x14ac:dyDescent="0.2"/>
    <row r="56185" ht="12.75" hidden="1" customHeight="1" x14ac:dyDescent="0.2"/>
    <row r="56186" ht="12.75" hidden="1" customHeight="1" x14ac:dyDescent="0.2"/>
    <row r="56187" ht="12.75" hidden="1" customHeight="1" x14ac:dyDescent="0.2"/>
    <row r="56188" ht="12.75" hidden="1" customHeight="1" x14ac:dyDescent="0.2"/>
    <row r="56189" ht="12.75" hidden="1" customHeight="1" x14ac:dyDescent="0.2"/>
    <row r="56190" ht="12.75" hidden="1" customHeight="1" x14ac:dyDescent="0.2"/>
    <row r="56191" ht="12.75" hidden="1" customHeight="1" x14ac:dyDescent="0.2"/>
    <row r="56192" ht="12.75" hidden="1" customHeight="1" x14ac:dyDescent="0.2"/>
    <row r="56193" ht="12.75" hidden="1" customHeight="1" x14ac:dyDescent="0.2"/>
    <row r="56194" ht="12.75" hidden="1" customHeight="1" x14ac:dyDescent="0.2"/>
    <row r="56195" ht="12.75" hidden="1" customHeight="1" x14ac:dyDescent="0.2"/>
    <row r="56196" ht="12.75" hidden="1" customHeight="1" x14ac:dyDescent="0.2"/>
    <row r="56197" ht="12.75" hidden="1" customHeight="1" x14ac:dyDescent="0.2"/>
    <row r="56198" ht="12.75" hidden="1" customHeight="1" x14ac:dyDescent="0.2"/>
    <row r="56199" ht="12.75" hidden="1" customHeight="1" x14ac:dyDescent="0.2"/>
    <row r="56200" ht="12.75" hidden="1" customHeight="1" x14ac:dyDescent="0.2"/>
    <row r="56201" ht="12.75" hidden="1" customHeight="1" x14ac:dyDescent="0.2"/>
    <row r="56202" ht="12.75" hidden="1" customHeight="1" x14ac:dyDescent="0.2"/>
    <row r="56203" ht="12.75" hidden="1" customHeight="1" x14ac:dyDescent="0.2"/>
    <row r="56204" ht="12.75" hidden="1" customHeight="1" x14ac:dyDescent="0.2"/>
    <row r="56205" ht="12.75" hidden="1" customHeight="1" x14ac:dyDescent="0.2"/>
    <row r="56206" ht="12.75" hidden="1" customHeight="1" x14ac:dyDescent="0.2"/>
    <row r="56207" ht="12.75" hidden="1" customHeight="1" x14ac:dyDescent="0.2"/>
    <row r="56208" ht="12.75" hidden="1" customHeight="1" x14ac:dyDescent="0.2"/>
    <row r="56209" ht="12.75" hidden="1" customHeight="1" x14ac:dyDescent="0.2"/>
    <row r="56210" ht="12.75" hidden="1" customHeight="1" x14ac:dyDescent="0.2"/>
    <row r="56211" ht="12.75" hidden="1" customHeight="1" x14ac:dyDescent="0.2"/>
    <row r="56212" ht="12.75" hidden="1" customHeight="1" x14ac:dyDescent="0.2"/>
    <row r="56213" ht="12.75" hidden="1" customHeight="1" x14ac:dyDescent="0.2"/>
    <row r="56214" ht="12.75" hidden="1" customHeight="1" x14ac:dyDescent="0.2"/>
    <row r="56215" ht="12.75" hidden="1" customHeight="1" x14ac:dyDescent="0.2"/>
    <row r="56216" ht="12.75" hidden="1" customHeight="1" x14ac:dyDescent="0.2"/>
    <row r="56217" ht="12.75" hidden="1" customHeight="1" x14ac:dyDescent="0.2"/>
    <row r="56218" ht="12.75" hidden="1" customHeight="1" x14ac:dyDescent="0.2"/>
    <row r="56219" ht="12.75" hidden="1" customHeight="1" x14ac:dyDescent="0.2"/>
    <row r="56220" ht="12.75" hidden="1" customHeight="1" x14ac:dyDescent="0.2"/>
    <row r="56221" ht="12.75" hidden="1" customHeight="1" x14ac:dyDescent="0.2"/>
    <row r="56222" ht="12.75" hidden="1" customHeight="1" x14ac:dyDescent="0.2"/>
    <row r="56223" ht="12.75" hidden="1" customHeight="1" x14ac:dyDescent="0.2"/>
    <row r="56224" ht="12.75" hidden="1" customHeight="1" x14ac:dyDescent="0.2"/>
    <row r="56225" ht="12.75" hidden="1" customHeight="1" x14ac:dyDescent="0.2"/>
    <row r="56226" ht="12.75" hidden="1" customHeight="1" x14ac:dyDescent="0.2"/>
    <row r="56227" ht="12.75" hidden="1" customHeight="1" x14ac:dyDescent="0.2"/>
    <row r="56228" ht="12.75" hidden="1" customHeight="1" x14ac:dyDescent="0.2"/>
    <row r="56229" ht="12.75" hidden="1" customHeight="1" x14ac:dyDescent="0.2"/>
    <row r="56230" ht="12.75" hidden="1" customHeight="1" x14ac:dyDescent="0.2"/>
    <row r="56231" ht="12.75" hidden="1" customHeight="1" x14ac:dyDescent="0.2"/>
    <row r="56232" ht="12.75" hidden="1" customHeight="1" x14ac:dyDescent="0.2"/>
    <row r="56233" ht="12.75" hidden="1" customHeight="1" x14ac:dyDescent="0.2"/>
    <row r="56234" ht="12.75" hidden="1" customHeight="1" x14ac:dyDescent="0.2"/>
    <row r="56235" ht="12.75" hidden="1" customHeight="1" x14ac:dyDescent="0.2"/>
    <row r="56236" ht="12.75" hidden="1" customHeight="1" x14ac:dyDescent="0.2"/>
    <row r="56237" ht="12.75" hidden="1" customHeight="1" x14ac:dyDescent="0.2"/>
    <row r="56238" ht="12.75" hidden="1" customHeight="1" x14ac:dyDescent="0.2"/>
    <row r="56239" ht="12.75" hidden="1" customHeight="1" x14ac:dyDescent="0.2"/>
    <row r="56240" ht="12.75" hidden="1" customHeight="1" x14ac:dyDescent="0.2"/>
    <row r="56241" ht="12.75" hidden="1" customHeight="1" x14ac:dyDescent="0.2"/>
    <row r="56242" ht="12.75" hidden="1" customHeight="1" x14ac:dyDescent="0.2"/>
    <row r="56243" ht="12.75" hidden="1" customHeight="1" x14ac:dyDescent="0.2"/>
    <row r="56244" ht="12.75" hidden="1" customHeight="1" x14ac:dyDescent="0.2"/>
    <row r="56245" ht="12.75" hidden="1" customHeight="1" x14ac:dyDescent="0.2"/>
    <row r="56246" ht="12.75" hidden="1" customHeight="1" x14ac:dyDescent="0.2"/>
    <row r="56247" ht="12.75" hidden="1" customHeight="1" x14ac:dyDescent="0.2"/>
    <row r="56248" ht="12.75" hidden="1" customHeight="1" x14ac:dyDescent="0.2"/>
    <row r="56249" ht="12.75" hidden="1" customHeight="1" x14ac:dyDescent="0.2"/>
    <row r="56250" ht="12.75" hidden="1" customHeight="1" x14ac:dyDescent="0.2"/>
    <row r="56251" ht="12.75" hidden="1" customHeight="1" x14ac:dyDescent="0.2"/>
    <row r="56252" ht="12.75" hidden="1" customHeight="1" x14ac:dyDescent="0.2"/>
    <row r="56253" ht="12.75" hidden="1" customHeight="1" x14ac:dyDescent="0.2"/>
    <row r="56254" ht="12.75" hidden="1" customHeight="1" x14ac:dyDescent="0.2"/>
    <row r="56255" ht="12.75" hidden="1" customHeight="1" x14ac:dyDescent="0.2"/>
    <row r="56256" ht="12.75" hidden="1" customHeight="1" x14ac:dyDescent="0.2"/>
    <row r="56257" ht="12.75" hidden="1" customHeight="1" x14ac:dyDescent="0.2"/>
    <row r="56258" ht="12.75" hidden="1" customHeight="1" x14ac:dyDescent="0.2"/>
    <row r="56259" ht="12.75" hidden="1" customHeight="1" x14ac:dyDescent="0.2"/>
    <row r="56260" ht="12.75" hidden="1" customHeight="1" x14ac:dyDescent="0.2"/>
    <row r="56261" ht="12.75" hidden="1" customHeight="1" x14ac:dyDescent="0.2"/>
    <row r="56262" ht="12.75" hidden="1" customHeight="1" x14ac:dyDescent="0.2"/>
    <row r="56263" ht="12.75" hidden="1" customHeight="1" x14ac:dyDescent="0.2"/>
    <row r="56264" ht="12.75" hidden="1" customHeight="1" x14ac:dyDescent="0.2"/>
    <row r="56265" ht="12.75" hidden="1" customHeight="1" x14ac:dyDescent="0.2"/>
    <row r="56266" ht="12.75" hidden="1" customHeight="1" x14ac:dyDescent="0.2"/>
    <row r="56267" ht="12.75" hidden="1" customHeight="1" x14ac:dyDescent="0.2"/>
    <row r="56268" ht="12.75" hidden="1" customHeight="1" x14ac:dyDescent="0.2"/>
    <row r="56269" ht="12.75" hidden="1" customHeight="1" x14ac:dyDescent="0.2"/>
    <row r="56270" ht="12.75" hidden="1" customHeight="1" x14ac:dyDescent="0.2"/>
    <row r="56271" ht="12.75" hidden="1" customHeight="1" x14ac:dyDescent="0.2"/>
    <row r="56272" ht="12.75" hidden="1" customHeight="1" x14ac:dyDescent="0.2"/>
    <row r="56273" ht="12.75" hidden="1" customHeight="1" x14ac:dyDescent="0.2"/>
    <row r="56274" ht="12.75" hidden="1" customHeight="1" x14ac:dyDescent="0.2"/>
    <row r="56275" ht="12.75" hidden="1" customHeight="1" x14ac:dyDescent="0.2"/>
    <row r="56276" ht="12.75" hidden="1" customHeight="1" x14ac:dyDescent="0.2"/>
    <row r="56277" ht="12.75" hidden="1" customHeight="1" x14ac:dyDescent="0.2"/>
    <row r="56278" ht="12.75" hidden="1" customHeight="1" x14ac:dyDescent="0.2"/>
    <row r="56279" ht="12.75" hidden="1" customHeight="1" x14ac:dyDescent="0.2"/>
    <row r="56280" ht="12.75" hidden="1" customHeight="1" x14ac:dyDescent="0.2"/>
    <row r="56281" ht="12.75" hidden="1" customHeight="1" x14ac:dyDescent="0.2"/>
    <row r="56282" ht="12.75" hidden="1" customHeight="1" x14ac:dyDescent="0.2"/>
    <row r="56283" ht="12.75" hidden="1" customHeight="1" x14ac:dyDescent="0.2"/>
    <row r="56284" ht="12.75" hidden="1" customHeight="1" x14ac:dyDescent="0.2"/>
    <row r="56285" ht="12.75" hidden="1" customHeight="1" x14ac:dyDescent="0.2"/>
    <row r="56286" ht="12.75" hidden="1" customHeight="1" x14ac:dyDescent="0.2"/>
    <row r="56287" ht="12.75" hidden="1" customHeight="1" x14ac:dyDescent="0.2"/>
    <row r="56288" ht="12.75" hidden="1" customHeight="1" x14ac:dyDescent="0.2"/>
    <row r="56289" ht="12.75" hidden="1" customHeight="1" x14ac:dyDescent="0.2"/>
    <row r="56290" ht="12.75" hidden="1" customHeight="1" x14ac:dyDescent="0.2"/>
    <row r="56291" ht="12.75" hidden="1" customHeight="1" x14ac:dyDescent="0.2"/>
    <row r="56292" ht="12.75" hidden="1" customHeight="1" x14ac:dyDescent="0.2"/>
    <row r="56293" ht="12.75" hidden="1" customHeight="1" x14ac:dyDescent="0.2"/>
    <row r="56294" ht="12.75" hidden="1" customHeight="1" x14ac:dyDescent="0.2"/>
    <row r="56295" ht="12.75" hidden="1" customHeight="1" x14ac:dyDescent="0.2"/>
    <row r="56296" ht="12.75" hidden="1" customHeight="1" x14ac:dyDescent="0.2"/>
    <row r="56297" ht="12.75" hidden="1" customHeight="1" x14ac:dyDescent="0.2"/>
    <row r="56298" ht="12.75" hidden="1" customHeight="1" x14ac:dyDescent="0.2"/>
    <row r="56299" ht="12.75" hidden="1" customHeight="1" x14ac:dyDescent="0.2"/>
    <row r="56300" ht="12.75" hidden="1" customHeight="1" x14ac:dyDescent="0.2"/>
    <row r="56301" ht="12.75" hidden="1" customHeight="1" x14ac:dyDescent="0.2"/>
    <row r="56302" ht="12.75" hidden="1" customHeight="1" x14ac:dyDescent="0.2"/>
    <row r="56303" ht="12.75" hidden="1" customHeight="1" x14ac:dyDescent="0.2"/>
    <row r="56304" ht="12.75" hidden="1" customHeight="1" x14ac:dyDescent="0.2"/>
    <row r="56305" ht="12.75" hidden="1" customHeight="1" x14ac:dyDescent="0.2"/>
    <row r="56306" ht="12.75" hidden="1" customHeight="1" x14ac:dyDescent="0.2"/>
    <row r="56307" ht="12.75" hidden="1" customHeight="1" x14ac:dyDescent="0.2"/>
    <row r="56308" ht="12.75" hidden="1" customHeight="1" x14ac:dyDescent="0.2"/>
    <row r="56309" ht="12.75" hidden="1" customHeight="1" x14ac:dyDescent="0.2"/>
    <row r="56310" ht="12.75" hidden="1" customHeight="1" x14ac:dyDescent="0.2"/>
    <row r="56311" ht="12.75" hidden="1" customHeight="1" x14ac:dyDescent="0.2"/>
    <row r="56312" ht="12.75" hidden="1" customHeight="1" x14ac:dyDescent="0.2"/>
    <row r="56313" ht="12.75" hidden="1" customHeight="1" x14ac:dyDescent="0.2"/>
    <row r="56314" ht="12.75" hidden="1" customHeight="1" x14ac:dyDescent="0.2"/>
    <row r="56315" ht="12.75" hidden="1" customHeight="1" x14ac:dyDescent="0.2"/>
    <row r="56316" ht="12.75" hidden="1" customHeight="1" x14ac:dyDescent="0.2"/>
    <row r="56317" ht="12.75" hidden="1" customHeight="1" x14ac:dyDescent="0.2"/>
    <row r="56318" ht="12.75" hidden="1" customHeight="1" x14ac:dyDescent="0.2"/>
    <row r="56319" ht="12.75" hidden="1" customHeight="1" x14ac:dyDescent="0.2"/>
    <row r="56320" ht="12.75" hidden="1" customHeight="1" x14ac:dyDescent="0.2"/>
    <row r="56321" ht="12.75" hidden="1" customHeight="1" x14ac:dyDescent="0.2"/>
    <row r="56322" ht="12.75" hidden="1" customHeight="1" x14ac:dyDescent="0.2"/>
    <row r="56323" ht="12.75" hidden="1" customHeight="1" x14ac:dyDescent="0.2"/>
    <row r="56324" ht="12.75" hidden="1" customHeight="1" x14ac:dyDescent="0.2"/>
    <row r="56325" ht="12.75" hidden="1" customHeight="1" x14ac:dyDescent="0.2"/>
    <row r="56326" ht="12.75" hidden="1" customHeight="1" x14ac:dyDescent="0.2"/>
    <row r="56327" ht="12.75" hidden="1" customHeight="1" x14ac:dyDescent="0.2"/>
    <row r="56328" ht="12.75" hidden="1" customHeight="1" x14ac:dyDescent="0.2"/>
    <row r="56329" ht="12.75" hidden="1" customHeight="1" x14ac:dyDescent="0.2"/>
    <row r="56330" ht="12.75" hidden="1" customHeight="1" x14ac:dyDescent="0.2"/>
    <row r="56331" ht="12.75" hidden="1" customHeight="1" x14ac:dyDescent="0.2"/>
    <row r="56332" ht="12.75" hidden="1" customHeight="1" x14ac:dyDescent="0.2"/>
    <row r="56333" ht="12.75" hidden="1" customHeight="1" x14ac:dyDescent="0.2"/>
    <row r="56334" ht="12.75" hidden="1" customHeight="1" x14ac:dyDescent="0.2"/>
    <row r="56335" ht="12.75" hidden="1" customHeight="1" x14ac:dyDescent="0.2"/>
    <row r="56336" ht="12.75" hidden="1" customHeight="1" x14ac:dyDescent="0.2"/>
    <row r="56337" ht="12.75" hidden="1" customHeight="1" x14ac:dyDescent="0.2"/>
    <row r="56338" ht="12.75" hidden="1" customHeight="1" x14ac:dyDescent="0.2"/>
    <row r="56339" ht="12.75" hidden="1" customHeight="1" x14ac:dyDescent="0.2"/>
    <row r="56340" ht="12.75" hidden="1" customHeight="1" x14ac:dyDescent="0.2"/>
    <row r="56341" ht="12.75" hidden="1" customHeight="1" x14ac:dyDescent="0.2"/>
    <row r="56342" ht="12.75" hidden="1" customHeight="1" x14ac:dyDescent="0.2"/>
    <row r="56343" ht="12.75" hidden="1" customHeight="1" x14ac:dyDescent="0.2"/>
    <row r="56344" ht="12.75" hidden="1" customHeight="1" x14ac:dyDescent="0.2"/>
    <row r="56345" ht="12.75" hidden="1" customHeight="1" x14ac:dyDescent="0.2"/>
    <row r="56346" ht="12.75" hidden="1" customHeight="1" x14ac:dyDescent="0.2"/>
    <row r="56347" ht="12.75" hidden="1" customHeight="1" x14ac:dyDescent="0.2"/>
    <row r="56348" ht="12.75" hidden="1" customHeight="1" x14ac:dyDescent="0.2"/>
    <row r="56349" ht="12.75" hidden="1" customHeight="1" x14ac:dyDescent="0.2"/>
    <row r="56350" ht="12.75" hidden="1" customHeight="1" x14ac:dyDescent="0.2"/>
    <row r="56351" ht="12.75" hidden="1" customHeight="1" x14ac:dyDescent="0.2"/>
    <row r="56352" ht="12.75" hidden="1" customHeight="1" x14ac:dyDescent="0.2"/>
    <row r="56353" ht="12.75" hidden="1" customHeight="1" x14ac:dyDescent="0.2"/>
    <row r="56354" ht="12.75" hidden="1" customHeight="1" x14ac:dyDescent="0.2"/>
    <row r="56355" ht="12.75" hidden="1" customHeight="1" x14ac:dyDescent="0.2"/>
    <row r="56356" ht="12.75" hidden="1" customHeight="1" x14ac:dyDescent="0.2"/>
    <row r="56357" ht="12.75" hidden="1" customHeight="1" x14ac:dyDescent="0.2"/>
    <row r="56358" ht="12.75" hidden="1" customHeight="1" x14ac:dyDescent="0.2"/>
    <row r="56359" ht="12.75" hidden="1" customHeight="1" x14ac:dyDescent="0.2"/>
    <row r="56360" ht="12.75" hidden="1" customHeight="1" x14ac:dyDescent="0.2"/>
    <row r="56361" ht="12.75" hidden="1" customHeight="1" x14ac:dyDescent="0.2"/>
    <row r="56362" ht="12.75" hidden="1" customHeight="1" x14ac:dyDescent="0.2"/>
    <row r="56363" ht="12.75" hidden="1" customHeight="1" x14ac:dyDescent="0.2"/>
    <row r="56364" ht="12.75" hidden="1" customHeight="1" x14ac:dyDescent="0.2"/>
    <row r="56365" ht="12.75" hidden="1" customHeight="1" x14ac:dyDescent="0.2"/>
    <row r="56366" ht="12.75" hidden="1" customHeight="1" x14ac:dyDescent="0.2"/>
    <row r="56367" ht="12.75" hidden="1" customHeight="1" x14ac:dyDescent="0.2"/>
    <row r="56368" ht="12.75" hidden="1" customHeight="1" x14ac:dyDescent="0.2"/>
    <row r="56369" ht="12.75" hidden="1" customHeight="1" x14ac:dyDescent="0.2"/>
    <row r="56370" ht="12.75" hidden="1" customHeight="1" x14ac:dyDescent="0.2"/>
    <row r="56371" ht="12.75" hidden="1" customHeight="1" x14ac:dyDescent="0.2"/>
    <row r="56372" ht="12.75" hidden="1" customHeight="1" x14ac:dyDescent="0.2"/>
    <row r="56373" ht="12.75" hidden="1" customHeight="1" x14ac:dyDescent="0.2"/>
    <row r="56374" ht="12.75" hidden="1" customHeight="1" x14ac:dyDescent="0.2"/>
    <row r="56375" ht="12.75" hidden="1" customHeight="1" x14ac:dyDescent="0.2"/>
    <row r="56376" ht="12.75" hidden="1" customHeight="1" x14ac:dyDescent="0.2"/>
    <row r="56377" ht="12.75" hidden="1" customHeight="1" x14ac:dyDescent="0.2"/>
    <row r="56378" ht="12.75" hidden="1" customHeight="1" x14ac:dyDescent="0.2"/>
    <row r="56379" ht="12.75" hidden="1" customHeight="1" x14ac:dyDescent="0.2"/>
    <row r="56380" ht="12.75" hidden="1" customHeight="1" x14ac:dyDescent="0.2"/>
    <row r="56381" ht="12.75" hidden="1" customHeight="1" x14ac:dyDescent="0.2"/>
    <row r="56382" ht="12.75" hidden="1" customHeight="1" x14ac:dyDescent="0.2"/>
    <row r="56383" ht="12.75" hidden="1" customHeight="1" x14ac:dyDescent="0.2"/>
    <row r="56384" ht="12.75" hidden="1" customHeight="1" x14ac:dyDescent="0.2"/>
    <row r="56385" ht="12.75" hidden="1" customHeight="1" x14ac:dyDescent="0.2"/>
    <row r="56386" ht="12.75" hidden="1" customHeight="1" x14ac:dyDescent="0.2"/>
    <row r="56387" ht="12.75" hidden="1" customHeight="1" x14ac:dyDescent="0.2"/>
    <row r="56388" ht="12.75" hidden="1" customHeight="1" x14ac:dyDescent="0.2"/>
    <row r="56389" ht="12.75" hidden="1" customHeight="1" x14ac:dyDescent="0.2"/>
    <row r="56390" ht="12.75" hidden="1" customHeight="1" x14ac:dyDescent="0.2"/>
    <row r="56391" ht="12.75" hidden="1" customHeight="1" x14ac:dyDescent="0.2"/>
    <row r="56392" ht="12.75" hidden="1" customHeight="1" x14ac:dyDescent="0.2"/>
    <row r="56393" ht="12.75" hidden="1" customHeight="1" x14ac:dyDescent="0.2"/>
    <row r="56394" ht="12.75" hidden="1" customHeight="1" x14ac:dyDescent="0.2"/>
    <row r="56395" ht="12.75" hidden="1" customHeight="1" x14ac:dyDescent="0.2"/>
    <row r="56396" ht="12.75" hidden="1" customHeight="1" x14ac:dyDescent="0.2"/>
    <row r="56397" ht="12.75" hidden="1" customHeight="1" x14ac:dyDescent="0.2"/>
    <row r="56398" ht="12.75" hidden="1" customHeight="1" x14ac:dyDescent="0.2"/>
    <row r="56399" ht="12.75" hidden="1" customHeight="1" x14ac:dyDescent="0.2"/>
    <row r="56400" ht="12.75" hidden="1" customHeight="1" x14ac:dyDescent="0.2"/>
    <row r="56401" ht="12.75" hidden="1" customHeight="1" x14ac:dyDescent="0.2"/>
    <row r="56402" ht="12.75" hidden="1" customHeight="1" x14ac:dyDescent="0.2"/>
    <row r="56403" ht="12.75" hidden="1" customHeight="1" x14ac:dyDescent="0.2"/>
    <row r="56404" ht="12.75" hidden="1" customHeight="1" x14ac:dyDescent="0.2"/>
    <row r="56405" ht="12.75" hidden="1" customHeight="1" x14ac:dyDescent="0.2"/>
    <row r="56406" ht="12.75" hidden="1" customHeight="1" x14ac:dyDescent="0.2"/>
    <row r="56407" ht="12.75" hidden="1" customHeight="1" x14ac:dyDescent="0.2"/>
    <row r="56408" ht="12.75" hidden="1" customHeight="1" x14ac:dyDescent="0.2"/>
    <row r="56409" ht="12.75" hidden="1" customHeight="1" x14ac:dyDescent="0.2"/>
    <row r="56410" ht="12.75" hidden="1" customHeight="1" x14ac:dyDescent="0.2"/>
    <row r="56411" ht="12.75" hidden="1" customHeight="1" x14ac:dyDescent="0.2"/>
    <row r="56412" ht="12.75" hidden="1" customHeight="1" x14ac:dyDescent="0.2"/>
    <row r="56413" ht="12.75" hidden="1" customHeight="1" x14ac:dyDescent="0.2"/>
    <row r="56414" ht="12.75" hidden="1" customHeight="1" x14ac:dyDescent="0.2"/>
    <row r="56415" ht="12.75" hidden="1" customHeight="1" x14ac:dyDescent="0.2"/>
    <row r="56416" ht="12.75" hidden="1" customHeight="1" x14ac:dyDescent="0.2"/>
    <row r="56417" ht="12.75" hidden="1" customHeight="1" x14ac:dyDescent="0.2"/>
    <row r="56418" ht="12.75" hidden="1" customHeight="1" x14ac:dyDescent="0.2"/>
    <row r="56419" ht="12.75" hidden="1" customHeight="1" x14ac:dyDescent="0.2"/>
    <row r="56420" ht="12.75" hidden="1" customHeight="1" x14ac:dyDescent="0.2"/>
    <row r="56421" ht="12.75" hidden="1" customHeight="1" x14ac:dyDescent="0.2"/>
    <row r="56422" ht="12.75" hidden="1" customHeight="1" x14ac:dyDescent="0.2"/>
    <row r="56423" ht="12.75" hidden="1" customHeight="1" x14ac:dyDescent="0.2"/>
    <row r="56424" ht="12.75" hidden="1" customHeight="1" x14ac:dyDescent="0.2"/>
    <row r="56425" ht="12.75" hidden="1" customHeight="1" x14ac:dyDescent="0.2"/>
    <row r="56426" ht="12.75" hidden="1" customHeight="1" x14ac:dyDescent="0.2"/>
    <row r="56427" ht="12.75" hidden="1" customHeight="1" x14ac:dyDescent="0.2"/>
    <row r="56428" ht="12.75" hidden="1" customHeight="1" x14ac:dyDescent="0.2"/>
    <row r="56429" ht="12.75" hidden="1" customHeight="1" x14ac:dyDescent="0.2"/>
    <row r="56430" ht="12.75" hidden="1" customHeight="1" x14ac:dyDescent="0.2"/>
    <row r="56431" ht="12.75" hidden="1" customHeight="1" x14ac:dyDescent="0.2"/>
    <row r="56432" ht="12.75" hidden="1" customHeight="1" x14ac:dyDescent="0.2"/>
    <row r="56433" ht="12.75" hidden="1" customHeight="1" x14ac:dyDescent="0.2"/>
    <row r="56434" ht="12.75" hidden="1" customHeight="1" x14ac:dyDescent="0.2"/>
    <row r="56435" ht="12.75" hidden="1" customHeight="1" x14ac:dyDescent="0.2"/>
    <row r="56436" ht="12.75" hidden="1" customHeight="1" x14ac:dyDescent="0.2"/>
    <row r="56437" ht="12.75" hidden="1" customHeight="1" x14ac:dyDescent="0.2"/>
    <row r="56438" ht="12.75" hidden="1" customHeight="1" x14ac:dyDescent="0.2"/>
    <row r="56439" ht="12.75" hidden="1" customHeight="1" x14ac:dyDescent="0.2"/>
    <row r="56440" ht="12.75" hidden="1" customHeight="1" x14ac:dyDescent="0.2"/>
    <row r="56441" ht="12.75" hidden="1" customHeight="1" x14ac:dyDescent="0.2"/>
    <row r="56442" ht="12.75" hidden="1" customHeight="1" x14ac:dyDescent="0.2"/>
    <row r="56443" ht="12.75" hidden="1" customHeight="1" x14ac:dyDescent="0.2"/>
    <row r="56444" ht="12.75" hidden="1" customHeight="1" x14ac:dyDescent="0.2"/>
    <row r="56445" ht="12.75" hidden="1" customHeight="1" x14ac:dyDescent="0.2"/>
    <row r="56446" ht="12.75" hidden="1" customHeight="1" x14ac:dyDescent="0.2"/>
    <row r="56447" ht="12.75" hidden="1" customHeight="1" x14ac:dyDescent="0.2"/>
    <row r="56448" ht="12.75" hidden="1" customHeight="1" x14ac:dyDescent="0.2"/>
    <row r="56449" ht="12.75" hidden="1" customHeight="1" x14ac:dyDescent="0.2"/>
    <row r="56450" ht="12.75" hidden="1" customHeight="1" x14ac:dyDescent="0.2"/>
    <row r="56451" ht="12.75" hidden="1" customHeight="1" x14ac:dyDescent="0.2"/>
    <row r="56452" ht="12.75" hidden="1" customHeight="1" x14ac:dyDescent="0.2"/>
    <row r="56453" ht="12.75" hidden="1" customHeight="1" x14ac:dyDescent="0.2"/>
    <row r="56454" ht="12.75" hidden="1" customHeight="1" x14ac:dyDescent="0.2"/>
    <row r="56455" ht="12.75" hidden="1" customHeight="1" x14ac:dyDescent="0.2"/>
    <row r="56456" ht="12.75" hidden="1" customHeight="1" x14ac:dyDescent="0.2"/>
    <row r="56457" ht="12.75" hidden="1" customHeight="1" x14ac:dyDescent="0.2"/>
    <row r="56458" ht="12.75" hidden="1" customHeight="1" x14ac:dyDescent="0.2"/>
    <row r="56459" ht="12.75" hidden="1" customHeight="1" x14ac:dyDescent="0.2"/>
    <row r="56460" ht="12.75" hidden="1" customHeight="1" x14ac:dyDescent="0.2"/>
    <row r="56461" ht="12.75" hidden="1" customHeight="1" x14ac:dyDescent="0.2"/>
    <row r="56462" ht="12.75" hidden="1" customHeight="1" x14ac:dyDescent="0.2"/>
    <row r="56463" ht="12.75" hidden="1" customHeight="1" x14ac:dyDescent="0.2"/>
    <row r="56464" ht="12.75" hidden="1" customHeight="1" x14ac:dyDescent="0.2"/>
    <row r="56465" ht="12.75" hidden="1" customHeight="1" x14ac:dyDescent="0.2"/>
    <row r="56466" ht="12.75" hidden="1" customHeight="1" x14ac:dyDescent="0.2"/>
    <row r="56467" ht="12.75" hidden="1" customHeight="1" x14ac:dyDescent="0.2"/>
    <row r="56468" ht="12.75" hidden="1" customHeight="1" x14ac:dyDescent="0.2"/>
    <row r="56469" ht="12.75" hidden="1" customHeight="1" x14ac:dyDescent="0.2"/>
    <row r="56470" ht="12.75" hidden="1" customHeight="1" x14ac:dyDescent="0.2"/>
    <row r="56471" ht="12.75" hidden="1" customHeight="1" x14ac:dyDescent="0.2"/>
    <row r="56472" ht="12.75" hidden="1" customHeight="1" x14ac:dyDescent="0.2"/>
    <row r="56473" ht="12.75" hidden="1" customHeight="1" x14ac:dyDescent="0.2"/>
    <row r="56474" ht="12.75" hidden="1" customHeight="1" x14ac:dyDescent="0.2"/>
    <row r="56475" ht="12.75" hidden="1" customHeight="1" x14ac:dyDescent="0.2"/>
    <row r="56476" ht="12.75" hidden="1" customHeight="1" x14ac:dyDescent="0.2"/>
    <row r="56477" ht="12.75" hidden="1" customHeight="1" x14ac:dyDescent="0.2"/>
    <row r="56478" ht="12.75" hidden="1" customHeight="1" x14ac:dyDescent="0.2"/>
    <row r="56479" ht="12.75" hidden="1" customHeight="1" x14ac:dyDescent="0.2"/>
    <row r="56480" ht="12.75" hidden="1" customHeight="1" x14ac:dyDescent="0.2"/>
    <row r="56481" ht="12.75" hidden="1" customHeight="1" x14ac:dyDescent="0.2"/>
    <row r="56482" ht="12.75" hidden="1" customHeight="1" x14ac:dyDescent="0.2"/>
    <row r="56483" ht="12.75" hidden="1" customHeight="1" x14ac:dyDescent="0.2"/>
    <row r="56484" ht="12.75" hidden="1" customHeight="1" x14ac:dyDescent="0.2"/>
    <row r="56485" ht="12.75" hidden="1" customHeight="1" x14ac:dyDescent="0.2"/>
    <row r="56486" ht="12.75" hidden="1" customHeight="1" x14ac:dyDescent="0.2"/>
    <row r="56487" ht="12.75" hidden="1" customHeight="1" x14ac:dyDescent="0.2"/>
    <row r="56488" ht="12.75" hidden="1" customHeight="1" x14ac:dyDescent="0.2"/>
    <row r="56489" ht="12.75" hidden="1" customHeight="1" x14ac:dyDescent="0.2"/>
    <row r="56490" ht="12.75" hidden="1" customHeight="1" x14ac:dyDescent="0.2"/>
    <row r="56491" ht="12.75" hidden="1" customHeight="1" x14ac:dyDescent="0.2"/>
    <row r="56492" ht="12.75" hidden="1" customHeight="1" x14ac:dyDescent="0.2"/>
    <row r="56493" ht="12.75" hidden="1" customHeight="1" x14ac:dyDescent="0.2"/>
    <row r="56494" ht="12.75" hidden="1" customHeight="1" x14ac:dyDescent="0.2"/>
    <row r="56495" ht="12.75" hidden="1" customHeight="1" x14ac:dyDescent="0.2"/>
    <row r="56496" ht="12.75" hidden="1" customHeight="1" x14ac:dyDescent="0.2"/>
    <row r="56497" ht="12.75" hidden="1" customHeight="1" x14ac:dyDescent="0.2"/>
    <row r="56498" ht="12.75" hidden="1" customHeight="1" x14ac:dyDescent="0.2"/>
    <row r="56499" ht="12.75" hidden="1" customHeight="1" x14ac:dyDescent="0.2"/>
    <row r="56500" ht="12.75" hidden="1" customHeight="1" x14ac:dyDescent="0.2"/>
    <row r="56501" ht="12.75" hidden="1" customHeight="1" x14ac:dyDescent="0.2"/>
    <row r="56502" ht="12.75" hidden="1" customHeight="1" x14ac:dyDescent="0.2"/>
    <row r="56503" ht="12.75" hidden="1" customHeight="1" x14ac:dyDescent="0.2"/>
    <row r="56504" ht="12.75" hidden="1" customHeight="1" x14ac:dyDescent="0.2"/>
    <row r="56505" ht="12.75" hidden="1" customHeight="1" x14ac:dyDescent="0.2"/>
    <row r="56506" ht="12.75" hidden="1" customHeight="1" x14ac:dyDescent="0.2"/>
    <row r="56507" ht="12.75" hidden="1" customHeight="1" x14ac:dyDescent="0.2"/>
    <row r="56508" ht="12.75" hidden="1" customHeight="1" x14ac:dyDescent="0.2"/>
    <row r="56509" ht="12.75" hidden="1" customHeight="1" x14ac:dyDescent="0.2"/>
    <row r="56510" ht="12.75" hidden="1" customHeight="1" x14ac:dyDescent="0.2"/>
    <row r="56511" ht="12.75" hidden="1" customHeight="1" x14ac:dyDescent="0.2"/>
    <row r="56512" ht="12.75" hidden="1" customHeight="1" x14ac:dyDescent="0.2"/>
    <row r="56513" ht="12.75" hidden="1" customHeight="1" x14ac:dyDescent="0.2"/>
    <row r="56514" ht="12.75" hidden="1" customHeight="1" x14ac:dyDescent="0.2"/>
    <row r="56515" ht="12.75" hidden="1" customHeight="1" x14ac:dyDescent="0.2"/>
    <row r="56516" ht="12.75" hidden="1" customHeight="1" x14ac:dyDescent="0.2"/>
    <row r="56517" ht="12.75" hidden="1" customHeight="1" x14ac:dyDescent="0.2"/>
    <row r="56518" ht="12.75" hidden="1" customHeight="1" x14ac:dyDescent="0.2"/>
    <row r="56519" ht="12.75" hidden="1" customHeight="1" x14ac:dyDescent="0.2"/>
    <row r="56520" ht="12.75" hidden="1" customHeight="1" x14ac:dyDescent="0.2"/>
    <row r="56521" ht="12.75" hidden="1" customHeight="1" x14ac:dyDescent="0.2"/>
    <row r="56522" ht="12.75" hidden="1" customHeight="1" x14ac:dyDescent="0.2"/>
    <row r="56523" ht="12.75" hidden="1" customHeight="1" x14ac:dyDescent="0.2"/>
    <row r="56524" ht="12.75" hidden="1" customHeight="1" x14ac:dyDescent="0.2"/>
    <row r="56525" ht="12.75" hidden="1" customHeight="1" x14ac:dyDescent="0.2"/>
    <row r="56526" ht="12.75" hidden="1" customHeight="1" x14ac:dyDescent="0.2"/>
    <row r="56527" ht="12.75" hidden="1" customHeight="1" x14ac:dyDescent="0.2"/>
    <row r="56528" ht="12.75" hidden="1" customHeight="1" x14ac:dyDescent="0.2"/>
    <row r="56529" ht="12.75" hidden="1" customHeight="1" x14ac:dyDescent="0.2"/>
    <row r="56530" ht="12.75" hidden="1" customHeight="1" x14ac:dyDescent="0.2"/>
    <row r="56531" ht="12.75" hidden="1" customHeight="1" x14ac:dyDescent="0.2"/>
    <row r="56532" ht="12.75" hidden="1" customHeight="1" x14ac:dyDescent="0.2"/>
    <row r="56533" ht="12.75" hidden="1" customHeight="1" x14ac:dyDescent="0.2"/>
    <row r="56534" ht="12.75" hidden="1" customHeight="1" x14ac:dyDescent="0.2"/>
    <row r="56535" ht="12.75" hidden="1" customHeight="1" x14ac:dyDescent="0.2"/>
    <row r="56536" ht="12.75" hidden="1" customHeight="1" x14ac:dyDescent="0.2"/>
    <row r="56537" ht="12.75" hidden="1" customHeight="1" x14ac:dyDescent="0.2"/>
    <row r="56538" ht="12.75" hidden="1" customHeight="1" x14ac:dyDescent="0.2"/>
    <row r="56539" ht="12.75" hidden="1" customHeight="1" x14ac:dyDescent="0.2"/>
    <row r="56540" ht="12.75" hidden="1" customHeight="1" x14ac:dyDescent="0.2"/>
    <row r="56541" ht="12.75" hidden="1" customHeight="1" x14ac:dyDescent="0.2"/>
    <row r="56542" ht="12.75" hidden="1" customHeight="1" x14ac:dyDescent="0.2"/>
    <row r="56543" ht="12.75" hidden="1" customHeight="1" x14ac:dyDescent="0.2"/>
    <row r="56544" ht="12.75" hidden="1" customHeight="1" x14ac:dyDescent="0.2"/>
    <row r="56545" ht="12.75" hidden="1" customHeight="1" x14ac:dyDescent="0.2"/>
    <row r="56546" ht="12.75" hidden="1" customHeight="1" x14ac:dyDescent="0.2"/>
    <row r="56547" ht="12.75" hidden="1" customHeight="1" x14ac:dyDescent="0.2"/>
    <row r="56548" ht="12.75" hidden="1" customHeight="1" x14ac:dyDescent="0.2"/>
    <row r="56549" ht="12.75" hidden="1" customHeight="1" x14ac:dyDescent="0.2"/>
    <row r="56550" ht="12.75" hidden="1" customHeight="1" x14ac:dyDescent="0.2"/>
    <row r="56551" ht="12.75" hidden="1" customHeight="1" x14ac:dyDescent="0.2"/>
    <row r="56552" ht="12.75" hidden="1" customHeight="1" x14ac:dyDescent="0.2"/>
    <row r="56553" ht="12.75" hidden="1" customHeight="1" x14ac:dyDescent="0.2"/>
    <row r="56554" ht="12.75" hidden="1" customHeight="1" x14ac:dyDescent="0.2"/>
    <row r="56555" ht="12.75" hidden="1" customHeight="1" x14ac:dyDescent="0.2"/>
    <row r="56556" ht="12.75" hidden="1" customHeight="1" x14ac:dyDescent="0.2"/>
    <row r="56557" ht="12.75" hidden="1" customHeight="1" x14ac:dyDescent="0.2"/>
    <row r="56558" ht="12.75" hidden="1" customHeight="1" x14ac:dyDescent="0.2"/>
    <row r="56559" ht="12.75" hidden="1" customHeight="1" x14ac:dyDescent="0.2"/>
    <row r="56560" ht="12.75" hidden="1" customHeight="1" x14ac:dyDescent="0.2"/>
    <row r="56561" ht="12.75" hidden="1" customHeight="1" x14ac:dyDescent="0.2"/>
    <row r="56562" ht="12.75" hidden="1" customHeight="1" x14ac:dyDescent="0.2"/>
    <row r="56563" ht="12.75" hidden="1" customHeight="1" x14ac:dyDescent="0.2"/>
    <row r="56564" ht="12.75" hidden="1" customHeight="1" x14ac:dyDescent="0.2"/>
    <row r="56565" ht="12.75" hidden="1" customHeight="1" x14ac:dyDescent="0.2"/>
    <row r="56566" ht="12.75" hidden="1" customHeight="1" x14ac:dyDescent="0.2"/>
    <row r="56567" ht="12.75" hidden="1" customHeight="1" x14ac:dyDescent="0.2"/>
    <row r="56568" ht="12.75" hidden="1" customHeight="1" x14ac:dyDescent="0.2"/>
    <row r="56569" ht="12.75" hidden="1" customHeight="1" x14ac:dyDescent="0.2"/>
    <row r="56570" ht="12.75" hidden="1" customHeight="1" x14ac:dyDescent="0.2"/>
    <row r="56571" ht="12.75" hidden="1" customHeight="1" x14ac:dyDescent="0.2"/>
    <row r="56572" ht="12.75" hidden="1" customHeight="1" x14ac:dyDescent="0.2"/>
    <row r="56573" ht="12.75" hidden="1" customHeight="1" x14ac:dyDescent="0.2"/>
    <row r="56574" ht="12.75" hidden="1" customHeight="1" x14ac:dyDescent="0.2"/>
    <row r="56575" ht="12.75" hidden="1" customHeight="1" x14ac:dyDescent="0.2"/>
    <row r="56576" ht="12.75" hidden="1" customHeight="1" x14ac:dyDescent="0.2"/>
    <row r="56577" ht="12.75" hidden="1" customHeight="1" x14ac:dyDescent="0.2"/>
    <row r="56578" ht="12.75" hidden="1" customHeight="1" x14ac:dyDescent="0.2"/>
    <row r="56579" ht="12.75" hidden="1" customHeight="1" x14ac:dyDescent="0.2"/>
    <row r="56580" ht="12.75" hidden="1" customHeight="1" x14ac:dyDescent="0.2"/>
    <row r="56581" ht="12.75" hidden="1" customHeight="1" x14ac:dyDescent="0.2"/>
    <row r="56582" ht="12.75" hidden="1" customHeight="1" x14ac:dyDescent="0.2"/>
    <row r="56583" ht="12.75" hidden="1" customHeight="1" x14ac:dyDescent="0.2"/>
    <row r="56584" ht="12.75" hidden="1" customHeight="1" x14ac:dyDescent="0.2"/>
    <row r="56585" ht="12.75" hidden="1" customHeight="1" x14ac:dyDescent="0.2"/>
    <row r="56586" ht="12.75" hidden="1" customHeight="1" x14ac:dyDescent="0.2"/>
    <row r="56587" ht="12.75" hidden="1" customHeight="1" x14ac:dyDescent="0.2"/>
    <row r="56588" ht="12.75" hidden="1" customHeight="1" x14ac:dyDescent="0.2"/>
    <row r="56589" ht="12.75" hidden="1" customHeight="1" x14ac:dyDescent="0.2"/>
    <row r="56590" ht="12.75" hidden="1" customHeight="1" x14ac:dyDescent="0.2"/>
    <row r="56591" ht="12.75" hidden="1" customHeight="1" x14ac:dyDescent="0.2"/>
    <row r="56592" ht="12.75" hidden="1" customHeight="1" x14ac:dyDescent="0.2"/>
    <row r="56593" ht="12.75" hidden="1" customHeight="1" x14ac:dyDescent="0.2"/>
    <row r="56594" ht="12.75" hidden="1" customHeight="1" x14ac:dyDescent="0.2"/>
    <row r="56595" ht="12.75" hidden="1" customHeight="1" x14ac:dyDescent="0.2"/>
    <row r="56596" ht="12.75" hidden="1" customHeight="1" x14ac:dyDescent="0.2"/>
    <row r="56597" ht="12.75" hidden="1" customHeight="1" x14ac:dyDescent="0.2"/>
    <row r="56598" ht="12.75" hidden="1" customHeight="1" x14ac:dyDescent="0.2"/>
    <row r="56599" ht="12.75" hidden="1" customHeight="1" x14ac:dyDescent="0.2"/>
    <row r="56600" ht="12.75" hidden="1" customHeight="1" x14ac:dyDescent="0.2"/>
    <row r="56601" ht="12.75" hidden="1" customHeight="1" x14ac:dyDescent="0.2"/>
    <row r="56602" ht="12.75" hidden="1" customHeight="1" x14ac:dyDescent="0.2"/>
    <row r="56603" ht="12.75" hidden="1" customHeight="1" x14ac:dyDescent="0.2"/>
    <row r="56604" ht="12.75" hidden="1" customHeight="1" x14ac:dyDescent="0.2"/>
    <row r="56605" ht="12.75" hidden="1" customHeight="1" x14ac:dyDescent="0.2"/>
    <row r="56606" ht="12.75" hidden="1" customHeight="1" x14ac:dyDescent="0.2"/>
    <row r="56607" ht="12.75" hidden="1" customHeight="1" x14ac:dyDescent="0.2"/>
    <row r="56608" ht="12.75" hidden="1" customHeight="1" x14ac:dyDescent="0.2"/>
    <row r="56609" ht="12.75" hidden="1" customHeight="1" x14ac:dyDescent="0.2"/>
    <row r="56610" ht="12.75" hidden="1" customHeight="1" x14ac:dyDescent="0.2"/>
    <row r="56611" ht="12.75" hidden="1" customHeight="1" x14ac:dyDescent="0.2"/>
    <row r="56612" ht="12.75" hidden="1" customHeight="1" x14ac:dyDescent="0.2"/>
    <row r="56613" ht="12.75" hidden="1" customHeight="1" x14ac:dyDescent="0.2"/>
    <row r="56614" ht="12.75" hidden="1" customHeight="1" x14ac:dyDescent="0.2"/>
    <row r="56615" ht="12.75" hidden="1" customHeight="1" x14ac:dyDescent="0.2"/>
    <row r="56616" ht="12.75" hidden="1" customHeight="1" x14ac:dyDescent="0.2"/>
    <row r="56617" ht="12.75" hidden="1" customHeight="1" x14ac:dyDescent="0.2"/>
    <row r="56618" ht="12.75" hidden="1" customHeight="1" x14ac:dyDescent="0.2"/>
    <row r="56619" ht="12.75" hidden="1" customHeight="1" x14ac:dyDescent="0.2"/>
    <row r="56620" ht="12.75" hidden="1" customHeight="1" x14ac:dyDescent="0.2"/>
    <row r="56621" ht="12.75" hidden="1" customHeight="1" x14ac:dyDescent="0.2"/>
    <row r="56622" ht="12.75" hidden="1" customHeight="1" x14ac:dyDescent="0.2"/>
    <row r="56623" ht="12.75" hidden="1" customHeight="1" x14ac:dyDescent="0.2"/>
    <row r="56624" ht="12.75" hidden="1" customHeight="1" x14ac:dyDescent="0.2"/>
    <row r="56625" ht="12.75" hidden="1" customHeight="1" x14ac:dyDescent="0.2"/>
    <row r="56626" ht="12.75" hidden="1" customHeight="1" x14ac:dyDescent="0.2"/>
    <row r="56627" ht="12.75" hidden="1" customHeight="1" x14ac:dyDescent="0.2"/>
    <row r="56628" ht="12.75" hidden="1" customHeight="1" x14ac:dyDescent="0.2"/>
    <row r="56629" ht="12.75" hidden="1" customHeight="1" x14ac:dyDescent="0.2"/>
    <row r="56630" ht="12.75" hidden="1" customHeight="1" x14ac:dyDescent="0.2"/>
    <row r="56631" ht="12.75" hidden="1" customHeight="1" x14ac:dyDescent="0.2"/>
    <row r="56632" ht="12.75" hidden="1" customHeight="1" x14ac:dyDescent="0.2"/>
    <row r="56633" ht="12.75" hidden="1" customHeight="1" x14ac:dyDescent="0.2"/>
    <row r="56634" ht="12.75" hidden="1" customHeight="1" x14ac:dyDescent="0.2"/>
    <row r="56635" ht="12.75" hidden="1" customHeight="1" x14ac:dyDescent="0.2"/>
    <row r="56636" ht="12.75" hidden="1" customHeight="1" x14ac:dyDescent="0.2"/>
    <row r="56637" ht="12.75" hidden="1" customHeight="1" x14ac:dyDescent="0.2"/>
    <row r="56638" ht="12.75" hidden="1" customHeight="1" x14ac:dyDescent="0.2"/>
    <row r="56639" ht="12.75" hidden="1" customHeight="1" x14ac:dyDescent="0.2"/>
    <row r="56640" ht="12.75" hidden="1" customHeight="1" x14ac:dyDescent="0.2"/>
    <row r="56641" ht="12.75" hidden="1" customHeight="1" x14ac:dyDescent="0.2"/>
    <row r="56642" ht="12.75" hidden="1" customHeight="1" x14ac:dyDescent="0.2"/>
    <row r="56643" ht="12.75" hidden="1" customHeight="1" x14ac:dyDescent="0.2"/>
    <row r="56644" ht="12.75" hidden="1" customHeight="1" x14ac:dyDescent="0.2"/>
    <row r="56645" ht="12.75" hidden="1" customHeight="1" x14ac:dyDescent="0.2"/>
    <row r="56646" ht="12.75" hidden="1" customHeight="1" x14ac:dyDescent="0.2"/>
    <row r="56647" ht="12.75" hidden="1" customHeight="1" x14ac:dyDescent="0.2"/>
    <row r="56648" ht="12.75" hidden="1" customHeight="1" x14ac:dyDescent="0.2"/>
    <row r="56649" ht="12.75" hidden="1" customHeight="1" x14ac:dyDescent="0.2"/>
    <row r="56650" ht="12.75" hidden="1" customHeight="1" x14ac:dyDescent="0.2"/>
    <row r="56651" ht="12.75" hidden="1" customHeight="1" x14ac:dyDescent="0.2"/>
    <row r="56652" ht="12.75" hidden="1" customHeight="1" x14ac:dyDescent="0.2"/>
    <row r="56653" ht="12.75" hidden="1" customHeight="1" x14ac:dyDescent="0.2"/>
    <row r="56654" ht="12.75" hidden="1" customHeight="1" x14ac:dyDescent="0.2"/>
    <row r="56655" ht="12.75" hidden="1" customHeight="1" x14ac:dyDescent="0.2"/>
    <row r="56656" ht="12.75" hidden="1" customHeight="1" x14ac:dyDescent="0.2"/>
    <row r="56657" ht="12.75" hidden="1" customHeight="1" x14ac:dyDescent="0.2"/>
    <row r="56658" ht="12.75" hidden="1" customHeight="1" x14ac:dyDescent="0.2"/>
    <row r="56659" ht="12.75" hidden="1" customHeight="1" x14ac:dyDescent="0.2"/>
    <row r="56660" ht="12.75" hidden="1" customHeight="1" x14ac:dyDescent="0.2"/>
    <row r="56661" ht="12.75" hidden="1" customHeight="1" x14ac:dyDescent="0.2"/>
    <row r="56662" ht="12.75" hidden="1" customHeight="1" x14ac:dyDescent="0.2"/>
    <row r="56663" ht="12.75" hidden="1" customHeight="1" x14ac:dyDescent="0.2"/>
    <row r="56664" ht="12.75" hidden="1" customHeight="1" x14ac:dyDescent="0.2"/>
    <row r="56665" ht="12.75" hidden="1" customHeight="1" x14ac:dyDescent="0.2"/>
    <row r="56666" ht="12.75" hidden="1" customHeight="1" x14ac:dyDescent="0.2"/>
    <row r="56667" ht="12.75" hidden="1" customHeight="1" x14ac:dyDescent="0.2"/>
    <row r="56668" ht="12.75" hidden="1" customHeight="1" x14ac:dyDescent="0.2"/>
    <row r="56669" ht="12.75" hidden="1" customHeight="1" x14ac:dyDescent="0.2"/>
    <row r="56670" ht="12.75" hidden="1" customHeight="1" x14ac:dyDescent="0.2"/>
    <row r="56671" ht="12.75" hidden="1" customHeight="1" x14ac:dyDescent="0.2"/>
    <row r="56672" ht="12.75" hidden="1" customHeight="1" x14ac:dyDescent="0.2"/>
    <row r="56673" ht="12.75" hidden="1" customHeight="1" x14ac:dyDescent="0.2"/>
    <row r="56674" ht="12.75" hidden="1" customHeight="1" x14ac:dyDescent="0.2"/>
    <row r="56675" ht="12.75" hidden="1" customHeight="1" x14ac:dyDescent="0.2"/>
    <row r="56676" ht="12.75" hidden="1" customHeight="1" x14ac:dyDescent="0.2"/>
    <row r="56677" ht="12.75" hidden="1" customHeight="1" x14ac:dyDescent="0.2"/>
    <row r="56678" ht="12.75" hidden="1" customHeight="1" x14ac:dyDescent="0.2"/>
    <row r="56679" ht="12.75" hidden="1" customHeight="1" x14ac:dyDescent="0.2"/>
    <row r="56680" ht="12.75" hidden="1" customHeight="1" x14ac:dyDescent="0.2"/>
    <row r="56681" ht="12.75" hidden="1" customHeight="1" x14ac:dyDescent="0.2"/>
    <row r="56682" ht="12.75" hidden="1" customHeight="1" x14ac:dyDescent="0.2"/>
    <row r="56683" ht="12.75" hidden="1" customHeight="1" x14ac:dyDescent="0.2"/>
    <row r="56684" ht="12.75" hidden="1" customHeight="1" x14ac:dyDescent="0.2"/>
    <row r="56685" ht="12.75" hidden="1" customHeight="1" x14ac:dyDescent="0.2"/>
    <row r="56686" ht="12.75" hidden="1" customHeight="1" x14ac:dyDescent="0.2"/>
    <row r="56687" ht="12.75" hidden="1" customHeight="1" x14ac:dyDescent="0.2"/>
    <row r="56688" ht="12.75" hidden="1" customHeight="1" x14ac:dyDescent="0.2"/>
    <row r="56689" ht="12.75" hidden="1" customHeight="1" x14ac:dyDescent="0.2"/>
    <row r="56690" ht="12.75" hidden="1" customHeight="1" x14ac:dyDescent="0.2"/>
    <row r="56691" ht="12.75" hidden="1" customHeight="1" x14ac:dyDescent="0.2"/>
    <row r="56692" ht="12.75" hidden="1" customHeight="1" x14ac:dyDescent="0.2"/>
    <row r="56693" ht="12.75" hidden="1" customHeight="1" x14ac:dyDescent="0.2"/>
    <row r="56694" ht="12.75" hidden="1" customHeight="1" x14ac:dyDescent="0.2"/>
    <row r="56695" ht="12.75" hidden="1" customHeight="1" x14ac:dyDescent="0.2"/>
    <row r="56696" ht="12.75" hidden="1" customHeight="1" x14ac:dyDescent="0.2"/>
    <row r="56697" ht="12.75" hidden="1" customHeight="1" x14ac:dyDescent="0.2"/>
    <row r="56698" ht="12.75" hidden="1" customHeight="1" x14ac:dyDescent="0.2"/>
    <row r="56699" ht="12.75" hidden="1" customHeight="1" x14ac:dyDescent="0.2"/>
    <row r="56700" ht="12.75" hidden="1" customHeight="1" x14ac:dyDescent="0.2"/>
    <row r="56701" ht="12.75" hidden="1" customHeight="1" x14ac:dyDescent="0.2"/>
    <row r="56702" ht="12.75" hidden="1" customHeight="1" x14ac:dyDescent="0.2"/>
    <row r="56703" ht="12.75" hidden="1" customHeight="1" x14ac:dyDescent="0.2"/>
    <row r="56704" ht="12.75" hidden="1" customHeight="1" x14ac:dyDescent="0.2"/>
    <row r="56705" ht="12.75" hidden="1" customHeight="1" x14ac:dyDescent="0.2"/>
    <row r="56706" ht="12.75" hidden="1" customHeight="1" x14ac:dyDescent="0.2"/>
    <row r="56707" ht="12.75" hidden="1" customHeight="1" x14ac:dyDescent="0.2"/>
    <row r="56708" ht="12.75" hidden="1" customHeight="1" x14ac:dyDescent="0.2"/>
    <row r="56709" ht="12.75" hidden="1" customHeight="1" x14ac:dyDescent="0.2"/>
    <row r="56710" ht="12.75" hidden="1" customHeight="1" x14ac:dyDescent="0.2"/>
    <row r="56711" ht="12.75" hidden="1" customHeight="1" x14ac:dyDescent="0.2"/>
    <row r="56712" ht="12.75" hidden="1" customHeight="1" x14ac:dyDescent="0.2"/>
    <row r="56713" ht="12.75" hidden="1" customHeight="1" x14ac:dyDescent="0.2"/>
    <row r="56714" ht="12.75" hidden="1" customHeight="1" x14ac:dyDescent="0.2"/>
    <row r="56715" ht="12.75" hidden="1" customHeight="1" x14ac:dyDescent="0.2"/>
    <row r="56716" ht="12.75" hidden="1" customHeight="1" x14ac:dyDescent="0.2"/>
    <row r="56717" ht="12.75" hidden="1" customHeight="1" x14ac:dyDescent="0.2"/>
    <row r="56718" ht="12.75" hidden="1" customHeight="1" x14ac:dyDescent="0.2"/>
    <row r="56719" ht="12.75" hidden="1" customHeight="1" x14ac:dyDescent="0.2"/>
    <row r="56720" ht="12.75" hidden="1" customHeight="1" x14ac:dyDescent="0.2"/>
    <row r="56721" ht="12.75" hidden="1" customHeight="1" x14ac:dyDescent="0.2"/>
    <row r="56722" ht="12.75" hidden="1" customHeight="1" x14ac:dyDescent="0.2"/>
    <row r="56723" ht="12.75" hidden="1" customHeight="1" x14ac:dyDescent="0.2"/>
    <row r="56724" ht="12.75" hidden="1" customHeight="1" x14ac:dyDescent="0.2"/>
    <row r="56725" ht="12.75" hidden="1" customHeight="1" x14ac:dyDescent="0.2"/>
    <row r="56726" ht="12.75" hidden="1" customHeight="1" x14ac:dyDescent="0.2"/>
    <row r="56727" ht="12.75" hidden="1" customHeight="1" x14ac:dyDescent="0.2"/>
    <row r="56728" ht="12.75" hidden="1" customHeight="1" x14ac:dyDescent="0.2"/>
    <row r="56729" ht="12.75" hidden="1" customHeight="1" x14ac:dyDescent="0.2"/>
    <row r="56730" ht="12.75" hidden="1" customHeight="1" x14ac:dyDescent="0.2"/>
    <row r="56731" ht="12.75" hidden="1" customHeight="1" x14ac:dyDescent="0.2"/>
    <row r="56732" ht="12.75" hidden="1" customHeight="1" x14ac:dyDescent="0.2"/>
    <row r="56733" ht="12.75" hidden="1" customHeight="1" x14ac:dyDescent="0.2"/>
    <row r="56734" ht="12.75" hidden="1" customHeight="1" x14ac:dyDescent="0.2"/>
    <row r="56735" ht="12.75" hidden="1" customHeight="1" x14ac:dyDescent="0.2"/>
    <row r="56736" ht="12.75" hidden="1" customHeight="1" x14ac:dyDescent="0.2"/>
    <row r="56737" ht="12.75" hidden="1" customHeight="1" x14ac:dyDescent="0.2"/>
    <row r="56738" ht="12.75" hidden="1" customHeight="1" x14ac:dyDescent="0.2"/>
    <row r="56739" ht="12.75" hidden="1" customHeight="1" x14ac:dyDescent="0.2"/>
    <row r="56740" ht="12.75" hidden="1" customHeight="1" x14ac:dyDescent="0.2"/>
    <row r="56741" ht="12.75" hidden="1" customHeight="1" x14ac:dyDescent="0.2"/>
    <row r="56742" ht="12.75" hidden="1" customHeight="1" x14ac:dyDescent="0.2"/>
    <row r="56743" ht="12.75" hidden="1" customHeight="1" x14ac:dyDescent="0.2"/>
    <row r="56744" ht="12.75" hidden="1" customHeight="1" x14ac:dyDescent="0.2"/>
    <row r="56745" ht="12.75" hidden="1" customHeight="1" x14ac:dyDescent="0.2"/>
    <row r="56746" ht="12.75" hidden="1" customHeight="1" x14ac:dyDescent="0.2"/>
    <row r="56747" ht="12.75" hidden="1" customHeight="1" x14ac:dyDescent="0.2"/>
    <row r="56748" ht="12.75" hidden="1" customHeight="1" x14ac:dyDescent="0.2"/>
    <row r="56749" ht="12.75" hidden="1" customHeight="1" x14ac:dyDescent="0.2"/>
    <row r="56750" ht="12.75" hidden="1" customHeight="1" x14ac:dyDescent="0.2"/>
    <row r="56751" ht="12.75" hidden="1" customHeight="1" x14ac:dyDescent="0.2"/>
    <row r="56752" ht="12.75" hidden="1" customHeight="1" x14ac:dyDescent="0.2"/>
    <row r="56753" ht="12.75" hidden="1" customHeight="1" x14ac:dyDescent="0.2"/>
    <row r="56754" ht="12.75" hidden="1" customHeight="1" x14ac:dyDescent="0.2"/>
    <row r="56755" ht="12.75" hidden="1" customHeight="1" x14ac:dyDescent="0.2"/>
    <row r="56756" ht="12.75" hidden="1" customHeight="1" x14ac:dyDescent="0.2"/>
    <row r="56757" ht="12.75" hidden="1" customHeight="1" x14ac:dyDescent="0.2"/>
    <row r="56758" ht="12.75" hidden="1" customHeight="1" x14ac:dyDescent="0.2"/>
    <row r="56759" ht="12.75" hidden="1" customHeight="1" x14ac:dyDescent="0.2"/>
    <row r="56760" ht="12.75" hidden="1" customHeight="1" x14ac:dyDescent="0.2"/>
    <row r="56761" ht="12.75" hidden="1" customHeight="1" x14ac:dyDescent="0.2"/>
    <row r="56762" ht="12.75" hidden="1" customHeight="1" x14ac:dyDescent="0.2"/>
    <row r="56763" ht="12.75" hidden="1" customHeight="1" x14ac:dyDescent="0.2"/>
    <row r="56764" ht="12.75" hidden="1" customHeight="1" x14ac:dyDescent="0.2"/>
    <row r="56765" ht="12.75" hidden="1" customHeight="1" x14ac:dyDescent="0.2"/>
    <row r="56766" ht="12.75" hidden="1" customHeight="1" x14ac:dyDescent="0.2"/>
    <row r="56767" ht="12.75" hidden="1" customHeight="1" x14ac:dyDescent="0.2"/>
    <row r="56768" ht="12.75" hidden="1" customHeight="1" x14ac:dyDescent="0.2"/>
    <row r="56769" ht="12.75" hidden="1" customHeight="1" x14ac:dyDescent="0.2"/>
    <row r="56770" ht="12.75" hidden="1" customHeight="1" x14ac:dyDescent="0.2"/>
    <row r="56771" ht="12.75" hidden="1" customHeight="1" x14ac:dyDescent="0.2"/>
    <row r="56772" ht="12.75" hidden="1" customHeight="1" x14ac:dyDescent="0.2"/>
    <row r="56773" ht="12.75" hidden="1" customHeight="1" x14ac:dyDescent="0.2"/>
    <row r="56774" ht="12.75" hidden="1" customHeight="1" x14ac:dyDescent="0.2"/>
    <row r="56775" ht="12.75" hidden="1" customHeight="1" x14ac:dyDescent="0.2"/>
    <row r="56776" ht="12.75" hidden="1" customHeight="1" x14ac:dyDescent="0.2"/>
    <row r="56777" ht="12.75" hidden="1" customHeight="1" x14ac:dyDescent="0.2"/>
    <row r="56778" ht="12.75" hidden="1" customHeight="1" x14ac:dyDescent="0.2"/>
    <row r="56779" ht="12.75" hidden="1" customHeight="1" x14ac:dyDescent="0.2"/>
    <row r="56780" ht="12.75" hidden="1" customHeight="1" x14ac:dyDescent="0.2"/>
    <row r="56781" ht="12.75" hidden="1" customHeight="1" x14ac:dyDescent="0.2"/>
    <row r="56782" ht="12.75" hidden="1" customHeight="1" x14ac:dyDescent="0.2"/>
    <row r="56783" ht="12.75" hidden="1" customHeight="1" x14ac:dyDescent="0.2"/>
    <row r="56784" ht="12.75" hidden="1" customHeight="1" x14ac:dyDescent="0.2"/>
    <row r="56785" ht="12.75" hidden="1" customHeight="1" x14ac:dyDescent="0.2"/>
    <row r="56786" ht="12.75" hidden="1" customHeight="1" x14ac:dyDescent="0.2"/>
    <row r="56787" ht="12.75" hidden="1" customHeight="1" x14ac:dyDescent="0.2"/>
    <row r="56788" ht="12.75" hidden="1" customHeight="1" x14ac:dyDescent="0.2"/>
    <row r="56789" ht="12.75" hidden="1" customHeight="1" x14ac:dyDescent="0.2"/>
    <row r="56790" ht="12.75" hidden="1" customHeight="1" x14ac:dyDescent="0.2"/>
    <row r="56791" ht="12.75" hidden="1" customHeight="1" x14ac:dyDescent="0.2"/>
    <row r="56792" ht="12.75" hidden="1" customHeight="1" x14ac:dyDescent="0.2"/>
    <row r="56793" ht="12.75" hidden="1" customHeight="1" x14ac:dyDescent="0.2"/>
    <row r="56794" ht="12.75" hidden="1" customHeight="1" x14ac:dyDescent="0.2"/>
    <row r="56795" ht="12.75" hidden="1" customHeight="1" x14ac:dyDescent="0.2"/>
    <row r="56796" ht="12.75" hidden="1" customHeight="1" x14ac:dyDescent="0.2"/>
    <row r="56797" ht="12.75" hidden="1" customHeight="1" x14ac:dyDescent="0.2"/>
    <row r="56798" ht="12.75" hidden="1" customHeight="1" x14ac:dyDescent="0.2"/>
    <row r="56799" ht="12.75" hidden="1" customHeight="1" x14ac:dyDescent="0.2"/>
    <row r="56800" ht="12.75" hidden="1" customHeight="1" x14ac:dyDescent="0.2"/>
    <row r="56801" ht="12.75" hidden="1" customHeight="1" x14ac:dyDescent="0.2"/>
    <row r="56802" ht="12.75" hidden="1" customHeight="1" x14ac:dyDescent="0.2"/>
    <row r="56803" ht="12.75" hidden="1" customHeight="1" x14ac:dyDescent="0.2"/>
    <row r="56804" ht="12.75" hidden="1" customHeight="1" x14ac:dyDescent="0.2"/>
    <row r="56805" ht="12.75" hidden="1" customHeight="1" x14ac:dyDescent="0.2"/>
    <row r="56806" ht="12.75" hidden="1" customHeight="1" x14ac:dyDescent="0.2"/>
    <row r="56807" ht="12.75" hidden="1" customHeight="1" x14ac:dyDescent="0.2"/>
    <row r="56808" ht="12.75" hidden="1" customHeight="1" x14ac:dyDescent="0.2"/>
    <row r="56809" ht="12.75" hidden="1" customHeight="1" x14ac:dyDescent="0.2"/>
    <row r="56810" ht="12.75" hidden="1" customHeight="1" x14ac:dyDescent="0.2"/>
    <row r="56811" ht="12.75" hidden="1" customHeight="1" x14ac:dyDescent="0.2"/>
    <row r="56812" ht="12.75" hidden="1" customHeight="1" x14ac:dyDescent="0.2"/>
    <row r="56813" ht="12.75" hidden="1" customHeight="1" x14ac:dyDescent="0.2"/>
    <row r="56814" ht="12.75" hidden="1" customHeight="1" x14ac:dyDescent="0.2"/>
    <row r="56815" ht="12.75" hidden="1" customHeight="1" x14ac:dyDescent="0.2"/>
    <row r="56816" ht="12.75" hidden="1" customHeight="1" x14ac:dyDescent="0.2"/>
    <row r="56817" ht="12.75" hidden="1" customHeight="1" x14ac:dyDescent="0.2"/>
    <row r="56818" ht="12.75" hidden="1" customHeight="1" x14ac:dyDescent="0.2"/>
    <row r="56819" ht="12.75" hidden="1" customHeight="1" x14ac:dyDescent="0.2"/>
    <row r="56820" ht="12.75" hidden="1" customHeight="1" x14ac:dyDescent="0.2"/>
    <row r="56821" ht="12.75" hidden="1" customHeight="1" x14ac:dyDescent="0.2"/>
    <row r="56822" ht="12.75" hidden="1" customHeight="1" x14ac:dyDescent="0.2"/>
    <row r="56823" ht="12.75" hidden="1" customHeight="1" x14ac:dyDescent="0.2"/>
    <row r="56824" ht="12.75" hidden="1" customHeight="1" x14ac:dyDescent="0.2"/>
    <row r="56825" ht="12.75" hidden="1" customHeight="1" x14ac:dyDescent="0.2"/>
    <row r="56826" ht="12.75" hidden="1" customHeight="1" x14ac:dyDescent="0.2"/>
    <row r="56827" ht="12.75" hidden="1" customHeight="1" x14ac:dyDescent="0.2"/>
    <row r="56828" ht="12.75" hidden="1" customHeight="1" x14ac:dyDescent="0.2"/>
    <row r="56829" ht="12.75" hidden="1" customHeight="1" x14ac:dyDescent="0.2"/>
    <row r="56830" ht="12.75" hidden="1" customHeight="1" x14ac:dyDescent="0.2"/>
    <row r="56831" ht="12.75" hidden="1" customHeight="1" x14ac:dyDescent="0.2"/>
    <row r="56832" ht="12.75" hidden="1" customHeight="1" x14ac:dyDescent="0.2"/>
    <row r="56833" ht="12.75" hidden="1" customHeight="1" x14ac:dyDescent="0.2"/>
    <row r="56834" ht="12.75" hidden="1" customHeight="1" x14ac:dyDescent="0.2"/>
    <row r="56835" ht="12.75" hidden="1" customHeight="1" x14ac:dyDescent="0.2"/>
    <row r="56836" ht="12.75" hidden="1" customHeight="1" x14ac:dyDescent="0.2"/>
    <row r="56837" ht="12.75" hidden="1" customHeight="1" x14ac:dyDescent="0.2"/>
    <row r="56838" ht="12.75" hidden="1" customHeight="1" x14ac:dyDescent="0.2"/>
    <row r="56839" ht="12.75" hidden="1" customHeight="1" x14ac:dyDescent="0.2"/>
    <row r="56840" ht="12.75" hidden="1" customHeight="1" x14ac:dyDescent="0.2"/>
    <row r="56841" ht="12.75" hidden="1" customHeight="1" x14ac:dyDescent="0.2"/>
    <row r="56842" ht="12.75" hidden="1" customHeight="1" x14ac:dyDescent="0.2"/>
    <row r="56843" ht="12.75" hidden="1" customHeight="1" x14ac:dyDescent="0.2"/>
    <row r="56844" ht="12.75" hidden="1" customHeight="1" x14ac:dyDescent="0.2"/>
    <row r="56845" ht="12.75" hidden="1" customHeight="1" x14ac:dyDescent="0.2"/>
    <row r="56846" ht="12.75" hidden="1" customHeight="1" x14ac:dyDescent="0.2"/>
    <row r="56847" ht="12.75" hidden="1" customHeight="1" x14ac:dyDescent="0.2"/>
    <row r="56848" ht="12.75" hidden="1" customHeight="1" x14ac:dyDescent="0.2"/>
    <row r="56849" ht="12.75" hidden="1" customHeight="1" x14ac:dyDescent="0.2"/>
    <row r="56850" ht="12.75" hidden="1" customHeight="1" x14ac:dyDescent="0.2"/>
    <row r="56851" ht="12.75" hidden="1" customHeight="1" x14ac:dyDescent="0.2"/>
    <row r="56852" ht="12.75" hidden="1" customHeight="1" x14ac:dyDescent="0.2"/>
    <row r="56853" ht="12.75" hidden="1" customHeight="1" x14ac:dyDescent="0.2"/>
    <row r="56854" ht="12.75" hidden="1" customHeight="1" x14ac:dyDescent="0.2"/>
    <row r="56855" ht="12.75" hidden="1" customHeight="1" x14ac:dyDescent="0.2"/>
    <row r="56856" ht="12.75" hidden="1" customHeight="1" x14ac:dyDescent="0.2"/>
    <row r="56857" ht="12.75" hidden="1" customHeight="1" x14ac:dyDescent="0.2"/>
    <row r="56858" ht="12.75" hidden="1" customHeight="1" x14ac:dyDescent="0.2"/>
    <row r="56859" ht="12.75" hidden="1" customHeight="1" x14ac:dyDescent="0.2"/>
    <row r="56860" ht="12.75" hidden="1" customHeight="1" x14ac:dyDescent="0.2"/>
    <row r="56861" ht="12.75" hidden="1" customHeight="1" x14ac:dyDescent="0.2"/>
    <row r="56862" ht="12.75" hidden="1" customHeight="1" x14ac:dyDescent="0.2"/>
    <row r="56863" ht="12.75" hidden="1" customHeight="1" x14ac:dyDescent="0.2"/>
    <row r="56864" ht="12.75" hidden="1" customHeight="1" x14ac:dyDescent="0.2"/>
    <row r="56865" ht="12.75" hidden="1" customHeight="1" x14ac:dyDescent="0.2"/>
    <row r="56866" ht="12.75" hidden="1" customHeight="1" x14ac:dyDescent="0.2"/>
    <row r="56867" ht="12.75" hidden="1" customHeight="1" x14ac:dyDescent="0.2"/>
    <row r="56868" ht="12.75" hidden="1" customHeight="1" x14ac:dyDescent="0.2"/>
    <row r="56869" ht="12.75" hidden="1" customHeight="1" x14ac:dyDescent="0.2"/>
    <row r="56870" ht="12.75" hidden="1" customHeight="1" x14ac:dyDescent="0.2"/>
    <row r="56871" ht="12.75" hidden="1" customHeight="1" x14ac:dyDescent="0.2"/>
    <row r="56872" ht="12.75" hidden="1" customHeight="1" x14ac:dyDescent="0.2"/>
    <row r="56873" ht="12.75" hidden="1" customHeight="1" x14ac:dyDescent="0.2"/>
    <row r="56874" ht="12.75" hidden="1" customHeight="1" x14ac:dyDescent="0.2"/>
    <row r="56875" ht="12.75" hidden="1" customHeight="1" x14ac:dyDescent="0.2"/>
    <row r="56876" ht="12.75" hidden="1" customHeight="1" x14ac:dyDescent="0.2"/>
    <row r="56877" ht="12.75" hidden="1" customHeight="1" x14ac:dyDescent="0.2"/>
    <row r="56878" ht="12.75" hidden="1" customHeight="1" x14ac:dyDescent="0.2"/>
    <row r="56879" ht="12.75" hidden="1" customHeight="1" x14ac:dyDescent="0.2"/>
    <row r="56880" ht="12.75" hidden="1" customHeight="1" x14ac:dyDescent="0.2"/>
    <row r="56881" ht="12.75" hidden="1" customHeight="1" x14ac:dyDescent="0.2"/>
    <row r="56882" ht="12.75" hidden="1" customHeight="1" x14ac:dyDescent="0.2"/>
    <row r="56883" ht="12.75" hidden="1" customHeight="1" x14ac:dyDescent="0.2"/>
    <row r="56884" ht="12.75" hidden="1" customHeight="1" x14ac:dyDescent="0.2"/>
    <row r="56885" ht="12.75" hidden="1" customHeight="1" x14ac:dyDescent="0.2"/>
    <row r="56886" ht="12.75" hidden="1" customHeight="1" x14ac:dyDescent="0.2"/>
    <row r="56887" ht="12.75" hidden="1" customHeight="1" x14ac:dyDescent="0.2"/>
    <row r="56888" ht="12.75" hidden="1" customHeight="1" x14ac:dyDescent="0.2"/>
    <row r="56889" ht="12.75" hidden="1" customHeight="1" x14ac:dyDescent="0.2"/>
    <row r="56890" ht="12.75" hidden="1" customHeight="1" x14ac:dyDescent="0.2"/>
    <row r="56891" ht="12.75" hidden="1" customHeight="1" x14ac:dyDescent="0.2"/>
    <row r="56892" ht="12.75" hidden="1" customHeight="1" x14ac:dyDescent="0.2"/>
    <row r="56893" ht="12.75" hidden="1" customHeight="1" x14ac:dyDescent="0.2"/>
    <row r="56894" ht="12.75" hidden="1" customHeight="1" x14ac:dyDescent="0.2"/>
    <row r="56895" ht="12.75" hidden="1" customHeight="1" x14ac:dyDescent="0.2"/>
    <row r="56896" ht="12.75" hidden="1" customHeight="1" x14ac:dyDescent="0.2"/>
    <row r="56897" ht="12.75" hidden="1" customHeight="1" x14ac:dyDescent="0.2"/>
    <row r="56898" ht="12.75" hidden="1" customHeight="1" x14ac:dyDescent="0.2"/>
    <row r="56899" ht="12.75" hidden="1" customHeight="1" x14ac:dyDescent="0.2"/>
    <row r="56900" ht="12.75" hidden="1" customHeight="1" x14ac:dyDescent="0.2"/>
    <row r="56901" ht="12.75" hidden="1" customHeight="1" x14ac:dyDescent="0.2"/>
    <row r="56902" ht="12.75" hidden="1" customHeight="1" x14ac:dyDescent="0.2"/>
    <row r="56903" ht="12.75" hidden="1" customHeight="1" x14ac:dyDescent="0.2"/>
    <row r="56904" ht="12.75" hidden="1" customHeight="1" x14ac:dyDescent="0.2"/>
    <row r="56905" ht="12.75" hidden="1" customHeight="1" x14ac:dyDescent="0.2"/>
    <row r="56906" ht="12.75" hidden="1" customHeight="1" x14ac:dyDescent="0.2"/>
    <row r="56907" ht="12.75" hidden="1" customHeight="1" x14ac:dyDescent="0.2"/>
    <row r="56908" ht="12.75" hidden="1" customHeight="1" x14ac:dyDescent="0.2"/>
    <row r="56909" ht="12.75" hidden="1" customHeight="1" x14ac:dyDescent="0.2"/>
    <row r="56910" ht="12.75" hidden="1" customHeight="1" x14ac:dyDescent="0.2"/>
    <row r="56911" ht="12.75" hidden="1" customHeight="1" x14ac:dyDescent="0.2"/>
    <row r="56912" ht="12.75" hidden="1" customHeight="1" x14ac:dyDescent="0.2"/>
    <row r="56913" ht="12.75" hidden="1" customHeight="1" x14ac:dyDescent="0.2"/>
    <row r="56914" ht="12.75" hidden="1" customHeight="1" x14ac:dyDescent="0.2"/>
    <row r="56915" ht="12.75" hidden="1" customHeight="1" x14ac:dyDescent="0.2"/>
    <row r="56916" ht="12.75" hidden="1" customHeight="1" x14ac:dyDescent="0.2"/>
    <row r="56917" ht="12.75" hidden="1" customHeight="1" x14ac:dyDescent="0.2"/>
    <row r="56918" ht="12.75" hidden="1" customHeight="1" x14ac:dyDescent="0.2"/>
    <row r="56919" ht="12.75" hidden="1" customHeight="1" x14ac:dyDescent="0.2"/>
    <row r="56920" ht="12.75" hidden="1" customHeight="1" x14ac:dyDescent="0.2"/>
    <row r="56921" ht="12.75" hidden="1" customHeight="1" x14ac:dyDescent="0.2"/>
    <row r="56922" ht="12.75" hidden="1" customHeight="1" x14ac:dyDescent="0.2"/>
    <row r="56923" ht="12.75" hidden="1" customHeight="1" x14ac:dyDescent="0.2"/>
    <row r="56924" ht="12.75" hidden="1" customHeight="1" x14ac:dyDescent="0.2"/>
    <row r="56925" ht="12.75" hidden="1" customHeight="1" x14ac:dyDescent="0.2"/>
    <row r="56926" ht="12.75" hidden="1" customHeight="1" x14ac:dyDescent="0.2"/>
    <row r="56927" ht="12.75" hidden="1" customHeight="1" x14ac:dyDescent="0.2"/>
    <row r="56928" ht="12.75" hidden="1" customHeight="1" x14ac:dyDescent="0.2"/>
    <row r="56929" ht="12.75" hidden="1" customHeight="1" x14ac:dyDescent="0.2"/>
    <row r="56930" ht="12.75" hidden="1" customHeight="1" x14ac:dyDescent="0.2"/>
    <row r="56931" ht="12.75" hidden="1" customHeight="1" x14ac:dyDescent="0.2"/>
    <row r="56932" ht="12.75" hidden="1" customHeight="1" x14ac:dyDescent="0.2"/>
    <row r="56933" ht="12.75" hidden="1" customHeight="1" x14ac:dyDescent="0.2"/>
    <row r="56934" ht="12.75" hidden="1" customHeight="1" x14ac:dyDescent="0.2"/>
    <row r="56935" ht="12.75" hidden="1" customHeight="1" x14ac:dyDescent="0.2"/>
    <row r="56936" ht="12.75" hidden="1" customHeight="1" x14ac:dyDescent="0.2"/>
    <row r="56937" ht="12.75" hidden="1" customHeight="1" x14ac:dyDescent="0.2"/>
    <row r="56938" ht="12.75" hidden="1" customHeight="1" x14ac:dyDescent="0.2"/>
    <row r="56939" ht="12.75" hidden="1" customHeight="1" x14ac:dyDescent="0.2"/>
    <row r="56940" ht="12.75" hidden="1" customHeight="1" x14ac:dyDescent="0.2"/>
    <row r="56941" ht="12.75" hidden="1" customHeight="1" x14ac:dyDescent="0.2"/>
    <row r="56942" ht="12.75" hidden="1" customHeight="1" x14ac:dyDescent="0.2"/>
    <row r="56943" ht="12.75" hidden="1" customHeight="1" x14ac:dyDescent="0.2"/>
    <row r="56944" ht="12.75" hidden="1" customHeight="1" x14ac:dyDescent="0.2"/>
    <row r="56945" ht="12.75" hidden="1" customHeight="1" x14ac:dyDescent="0.2"/>
    <row r="56946" ht="12.75" hidden="1" customHeight="1" x14ac:dyDescent="0.2"/>
    <row r="56947" ht="12.75" hidden="1" customHeight="1" x14ac:dyDescent="0.2"/>
    <row r="56948" ht="12.75" hidden="1" customHeight="1" x14ac:dyDescent="0.2"/>
    <row r="56949" ht="12.75" hidden="1" customHeight="1" x14ac:dyDescent="0.2"/>
    <row r="56950" ht="12.75" hidden="1" customHeight="1" x14ac:dyDescent="0.2"/>
    <row r="56951" ht="12.75" hidden="1" customHeight="1" x14ac:dyDescent="0.2"/>
    <row r="56952" ht="12.75" hidden="1" customHeight="1" x14ac:dyDescent="0.2"/>
    <row r="56953" ht="12.75" hidden="1" customHeight="1" x14ac:dyDescent="0.2"/>
    <row r="56954" ht="12.75" hidden="1" customHeight="1" x14ac:dyDescent="0.2"/>
    <row r="56955" ht="12.75" hidden="1" customHeight="1" x14ac:dyDescent="0.2"/>
    <row r="56956" ht="12.75" hidden="1" customHeight="1" x14ac:dyDescent="0.2"/>
    <row r="56957" ht="12.75" hidden="1" customHeight="1" x14ac:dyDescent="0.2"/>
    <row r="56958" ht="12.75" hidden="1" customHeight="1" x14ac:dyDescent="0.2"/>
    <row r="56959" ht="12.75" hidden="1" customHeight="1" x14ac:dyDescent="0.2"/>
    <row r="56960" ht="12.75" hidden="1" customHeight="1" x14ac:dyDescent="0.2"/>
    <row r="56961" ht="12.75" hidden="1" customHeight="1" x14ac:dyDescent="0.2"/>
    <row r="56962" ht="12.75" hidden="1" customHeight="1" x14ac:dyDescent="0.2"/>
    <row r="56963" ht="12.75" hidden="1" customHeight="1" x14ac:dyDescent="0.2"/>
    <row r="56964" ht="12.75" hidden="1" customHeight="1" x14ac:dyDescent="0.2"/>
    <row r="56965" ht="12.75" hidden="1" customHeight="1" x14ac:dyDescent="0.2"/>
    <row r="56966" ht="12.75" hidden="1" customHeight="1" x14ac:dyDescent="0.2"/>
    <row r="56967" ht="12.75" hidden="1" customHeight="1" x14ac:dyDescent="0.2"/>
    <row r="56968" ht="12.75" hidden="1" customHeight="1" x14ac:dyDescent="0.2"/>
    <row r="56969" ht="12.75" hidden="1" customHeight="1" x14ac:dyDescent="0.2"/>
    <row r="56970" ht="12.75" hidden="1" customHeight="1" x14ac:dyDescent="0.2"/>
    <row r="56971" ht="12.75" hidden="1" customHeight="1" x14ac:dyDescent="0.2"/>
    <row r="56972" ht="12.75" hidden="1" customHeight="1" x14ac:dyDescent="0.2"/>
    <row r="56973" ht="12.75" hidden="1" customHeight="1" x14ac:dyDescent="0.2"/>
    <row r="56974" ht="12.75" hidden="1" customHeight="1" x14ac:dyDescent="0.2"/>
    <row r="56975" ht="12.75" hidden="1" customHeight="1" x14ac:dyDescent="0.2"/>
    <row r="56976" ht="12.75" hidden="1" customHeight="1" x14ac:dyDescent="0.2"/>
    <row r="56977" ht="12.75" hidden="1" customHeight="1" x14ac:dyDescent="0.2"/>
    <row r="56978" ht="12.75" hidden="1" customHeight="1" x14ac:dyDescent="0.2"/>
    <row r="56979" ht="12.75" hidden="1" customHeight="1" x14ac:dyDescent="0.2"/>
    <row r="56980" ht="12.75" hidden="1" customHeight="1" x14ac:dyDescent="0.2"/>
    <row r="56981" ht="12.75" hidden="1" customHeight="1" x14ac:dyDescent="0.2"/>
    <row r="56982" ht="12.75" hidden="1" customHeight="1" x14ac:dyDescent="0.2"/>
    <row r="56983" ht="12.75" hidden="1" customHeight="1" x14ac:dyDescent="0.2"/>
    <row r="56984" ht="12.75" hidden="1" customHeight="1" x14ac:dyDescent="0.2"/>
    <row r="56985" ht="12.75" hidden="1" customHeight="1" x14ac:dyDescent="0.2"/>
    <row r="56986" ht="12.75" hidden="1" customHeight="1" x14ac:dyDescent="0.2"/>
    <row r="56987" ht="12.75" hidden="1" customHeight="1" x14ac:dyDescent="0.2"/>
    <row r="56988" ht="12.75" hidden="1" customHeight="1" x14ac:dyDescent="0.2"/>
    <row r="56989" ht="12.75" hidden="1" customHeight="1" x14ac:dyDescent="0.2"/>
    <row r="56990" ht="12.75" hidden="1" customHeight="1" x14ac:dyDescent="0.2"/>
    <row r="56991" ht="12.75" hidden="1" customHeight="1" x14ac:dyDescent="0.2"/>
    <row r="56992" ht="12.75" hidden="1" customHeight="1" x14ac:dyDescent="0.2"/>
    <row r="56993" ht="12.75" hidden="1" customHeight="1" x14ac:dyDescent="0.2"/>
    <row r="56994" ht="12.75" hidden="1" customHeight="1" x14ac:dyDescent="0.2"/>
    <row r="56995" ht="12.75" hidden="1" customHeight="1" x14ac:dyDescent="0.2"/>
    <row r="56996" ht="12.75" hidden="1" customHeight="1" x14ac:dyDescent="0.2"/>
    <row r="56997" ht="12.75" hidden="1" customHeight="1" x14ac:dyDescent="0.2"/>
    <row r="56998" ht="12.75" hidden="1" customHeight="1" x14ac:dyDescent="0.2"/>
    <row r="56999" ht="12.75" hidden="1" customHeight="1" x14ac:dyDescent="0.2"/>
    <row r="57000" ht="12.75" hidden="1" customHeight="1" x14ac:dyDescent="0.2"/>
    <row r="57001" ht="12.75" hidden="1" customHeight="1" x14ac:dyDescent="0.2"/>
    <row r="57002" ht="12.75" hidden="1" customHeight="1" x14ac:dyDescent="0.2"/>
    <row r="57003" ht="12.75" hidden="1" customHeight="1" x14ac:dyDescent="0.2"/>
    <row r="57004" ht="12.75" hidden="1" customHeight="1" x14ac:dyDescent="0.2"/>
    <row r="57005" ht="12.75" hidden="1" customHeight="1" x14ac:dyDescent="0.2"/>
    <row r="57006" ht="12.75" hidden="1" customHeight="1" x14ac:dyDescent="0.2"/>
    <row r="57007" ht="12.75" hidden="1" customHeight="1" x14ac:dyDescent="0.2"/>
    <row r="57008" ht="12.75" hidden="1" customHeight="1" x14ac:dyDescent="0.2"/>
    <row r="57009" ht="12.75" hidden="1" customHeight="1" x14ac:dyDescent="0.2"/>
    <row r="57010" ht="12.75" hidden="1" customHeight="1" x14ac:dyDescent="0.2"/>
    <row r="57011" ht="12.75" hidden="1" customHeight="1" x14ac:dyDescent="0.2"/>
    <row r="57012" ht="12.75" hidden="1" customHeight="1" x14ac:dyDescent="0.2"/>
    <row r="57013" ht="12.75" hidden="1" customHeight="1" x14ac:dyDescent="0.2"/>
    <row r="57014" ht="12.75" hidden="1" customHeight="1" x14ac:dyDescent="0.2"/>
    <row r="57015" ht="12.75" hidden="1" customHeight="1" x14ac:dyDescent="0.2"/>
    <row r="57016" ht="12.75" hidden="1" customHeight="1" x14ac:dyDescent="0.2"/>
    <row r="57017" ht="12.75" hidden="1" customHeight="1" x14ac:dyDescent="0.2"/>
    <row r="57018" ht="12.75" hidden="1" customHeight="1" x14ac:dyDescent="0.2"/>
    <row r="57019" ht="12.75" hidden="1" customHeight="1" x14ac:dyDescent="0.2"/>
    <row r="57020" ht="12.75" hidden="1" customHeight="1" x14ac:dyDescent="0.2"/>
    <row r="57021" ht="12.75" hidden="1" customHeight="1" x14ac:dyDescent="0.2"/>
    <row r="57022" ht="12.75" hidden="1" customHeight="1" x14ac:dyDescent="0.2"/>
    <row r="57023" ht="12.75" hidden="1" customHeight="1" x14ac:dyDescent="0.2"/>
    <row r="57024" ht="12.75" hidden="1" customHeight="1" x14ac:dyDescent="0.2"/>
    <row r="57025" ht="12.75" hidden="1" customHeight="1" x14ac:dyDescent="0.2"/>
    <row r="57026" ht="12.75" hidden="1" customHeight="1" x14ac:dyDescent="0.2"/>
    <row r="57027" ht="12.75" hidden="1" customHeight="1" x14ac:dyDescent="0.2"/>
    <row r="57028" ht="12.75" hidden="1" customHeight="1" x14ac:dyDescent="0.2"/>
    <row r="57029" ht="12.75" hidden="1" customHeight="1" x14ac:dyDescent="0.2"/>
    <row r="57030" ht="12.75" hidden="1" customHeight="1" x14ac:dyDescent="0.2"/>
    <row r="57031" ht="12.75" hidden="1" customHeight="1" x14ac:dyDescent="0.2"/>
    <row r="57032" ht="12.75" hidden="1" customHeight="1" x14ac:dyDescent="0.2"/>
    <row r="57033" ht="12.75" hidden="1" customHeight="1" x14ac:dyDescent="0.2"/>
    <row r="57034" ht="12.75" hidden="1" customHeight="1" x14ac:dyDescent="0.2"/>
    <row r="57035" ht="12.75" hidden="1" customHeight="1" x14ac:dyDescent="0.2"/>
    <row r="57036" ht="12.75" hidden="1" customHeight="1" x14ac:dyDescent="0.2"/>
    <row r="57037" ht="12.75" hidden="1" customHeight="1" x14ac:dyDescent="0.2"/>
    <row r="57038" ht="12.75" hidden="1" customHeight="1" x14ac:dyDescent="0.2"/>
    <row r="57039" ht="12.75" hidden="1" customHeight="1" x14ac:dyDescent="0.2"/>
    <row r="57040" ht="12.75" hidden="1" customHeight="1" x14ac:dyDescent="0.2"/>
    <row r="57041" ht="12.75" hidden="1" customHeight="1" x14ac:dyDescent="0.2"/>
    <row r="57042" ht="12.75" hidden="1" customHeight="1" x14ac:dyDescent="0.2"/>
    <row r="57043" ht="12.75" hidden="1" customHeight="1" x14ac:dyDescent="0.2"/>
    <row r="57044" ht="12.75" hidden="1" customHeight="1" x14ac:dyDescent="0.2"/>
    <row r="57045" ht="12.75" hidden="1" customHeight="1" x14ac:dyDescent="0.2"/>
    <row r="57046" ht="12.75" hidden="1" customHeight="1" x14ac:dyDescent="0.2"/>
    <row r="57047" ht="12.75" hidden="1" customHeight="1" x14ac:dyDescent="0.2"/>
    <row r="57048" ht="12.75" hidden="1" customHeight="1" x14ac:dyDescent="0.2"/>
    <row r="57049" ht="12.75" hidden="1" customHeight="1" x14ac:dyDescent="0.2"/>
    <row r="57050" ht="12.75" hidden="1" customHeight="1" x14ac:dyDescent="0.2"/>
    <row r="57051" ht="12.75" hidden="1" customHeight="1" x14ac:dyDescent="0.2"/>
    <row r="57052" ht="12.75" hidden="1" customHeight="1" x14ac:dyDescent="0.2"/>
    <row r="57053" ht="12.75" hidden="1" customHeight="1" x14ac:dyDescent="0.2"/>
    <row r="57054" ht="12.75" hidden="1" customHeight="1" x14ac:dyDescent="0.2"/>
    <row r="57055" ht="12.75" hidden="1" customHeight="1" x14ac:dyDescent="0.2"/>
    <row r="57056" ht="12.75" hidden="1" customHeight="1" x14ac:dyDescent="0.2"/>
    <row r="57057" ht="12.75" hidden="1" customHeight="1" x14ac:dyDescent="0.2"/>
    <row r="57058" ht="12.75" hidden="1" customHeight="1" x14ac:dyDescent="0.2"/>
    <row r="57059" ht="12.75" hidden="1" customHeight="1" x14ac:dyDescent="0.2"/>
    <row r="57060" ht="12.75" hidden="1" customHeight="1" x14ac:dyDescent="0.2"/>
    <row r="57061" ht="12.75" hidden="1" customHeight="1" x14ac:dyDescent="0.2"/>
    <row r="57062" ht="12.75" hidden="1" customHeight="1" x14ac:dyDescent="0.2"/>
    <row r="57063" ht="12.75" hidden="1" customHeight="1" x14ac:dyDescent="0.2"/>
    <row r="57064" ht="12.75" hidden="1" customHeight="1" x14ac:dyDescent="0.2"/>
    <row r="57065" ht="12.75" hidden="1" customHeight="1" x14ac:dyDescent="0.2"/>
    <row r="57066" ht="12.75" hidden="1" customHeight="1" x14ac:dyDescent="0.2"/>
    <row r="57067" ht="12.75" hidden="1" customHeight="1" x14ac:dyDescent="0.2"/>
    <row r="57068" ht="12.75" hidden="1" customHeight="1" x14ac:dyDescent="0.2"/>
    <row r="57069" ht="12.75" hidden="1" customHeight="1" x14ac:dyDescent="0.2"/>
    <row r="57070" ht="12.75" hidden="1" customHeight="1" x14ac:dyDescent="0.2"/>
    <row r="57071" ht="12.75" hidden="1" customHeight="1" x14ac:dyDescent="0.2"/>
    <row r="57072" ht="12.75" hidden="1" customHeight="1" x14ac:dyDescent="0.2"/>
    <row r="57073" ht="12.75" hidden="1" customHeight="1" x14ac:dyDescent="0.2"/>
    <row r="57074" ht="12.75" hidden="1" customHeight="1" x14ac:dyDescent="0.2"/>
    <row r="57075" ht="12.75" hidden="1" customHeight="1" x14ac:dyDescent="0.2"/>
    <row r="57076" ht="12.75" hidden="1" customHeight="1" x14ac:dyDescent="0.2"/>
    <row r="57077" ht="12.75" hidden="1" customHeight="1" x14ac:dyDescent="0.2"/>
    <row r="57078" ht="12.75" hidden="1" customHeight="1" x14ac:dyDescent="0.2"/>
    <row r="57079" ht="12.75" hidden="1" customHeight="1" x14ac:dyDescent="0.2"/>
    <row r="57080" ht="12.75" hidden="1" customHeight="1" x14ac:dyDescent="0.2"/>
    <row r="57081" ht="12.75" hidden="1" customHeight="1" x14ac:dyDescent="0.2"/>
    <row r="57082" ht="12.75" hidden="1" customHeight="1" x14ac:dyDescent="0.2"/>
    <row r="57083" ht="12.75" hidden="1" customHeight="1" x14ac:dyDescent="0.2"/>
    <row r="57084" ht="12.75" hidden="1" customHeight="1" x14ac:dyDescent="0.2"/>
    <row r="57085" ht="12.75" hidden="1" customHeight="1" x14ac:dyDescent="0.2"/>
    <row r="57086" ht="12.75" hidden="1" customHeight="1" x14ac:dyDescent="0.2"/>
    <row r="57087" ht="12.75" hidden="1" customHeight="1" x14ac:dyDescent="0.2"/>
    <row r="57088" ht="12.75" hidden="1" customHeight="1" x14ac:dyDescent="0.2"/>
    <row r="57089" ht="12.75" hidden="1" customHeight="1" x14ac:dyDescent="0.2"/>
    <row r="57090" ht="12.75" hidden="1" customHeight="1" x14ac:dyDescent="0.2"/>
    <row r="57091" ht="12.75" hidden="1" customHeight="1" x14ac:dyDescent="0.2"/>
    <row r="57092" ht="12.75" hidden="1" customHeight="1" x14ac:dyDescent="0.2"/>
    <row r="57093" ht="12.75" hidden="1" customHeight="1" x14ac:dyDescent="0.2"/>
    <row r="57094" ht="12.75" hidden="1" customHeight="1" x14ac:dyDescent="0.2"/>
    <row r="57095" ht="12.75" hidden="1" customHeight="1" x14ac:dyDescent="0.2"/>
    <row r="57096" ht="12.75" hidden="1" customHeight="1" x14ac:dyDescent="0.2"/>
    <row r="57097" ht="12.75" hidden="1" customHeight="1" x14ac:dyDescent="0.2"/>
    <row r="57098" ht="12.75" hidden="1" customHeight="1" x14ac:dyDescent="0.2"/>
    <row r="57099" ht="12.75" hidden="1" customHeight="1" x14ac:dyDescent="0.2"/>
    <row r="57100" ht="12.75" hidden="1" customHeight="1" x14ac:dyDescent="0.2"/>
    <row r="57101" ht="12.75" hidden="1" customHeight="1" x14ac:dyDescent="0.2"/>
    <row r="57102" ht="12.75" hidden="1" customHeight="1" x14ac:dyDescent="0.2"/>
    <row r="57103" ht="12.75" hidden="1" customHeight="1" x14ac:dyDescent="0.2"/>
    <row r="57104" ht="12.75" hidden="1" customHeight="1" x14ac:dyDescent="0.2"/>
    <row r="57105" ht="12.75" hidden="1" customHeight="1" x14ac:dyDescent="0.2"/>
    <row r="57106" ht="12.75" hidden="1" customHeight="1" x14ac:dyDescent="0.2"/>
    <row r="57107" ht="12.75" hidden="1" customHeight="1" x14ac:dyDescent="0.2"/>
    <row r="57108" ht="12.75" hidden="1" customHeight="1" x14ac:dyDescent="0.2"/>
    <row r="57109" ht="12.75" hidden="1" customHeight="1" x14ac:dyDescent="0.2"/>
    <row r="57110" ht="12.75" hidden="1" customHeight="1" x14ac:dyDescent="0.2"/>
    <row r="57111" ht="12.75" hidden="1" customHeight="1" x14ac:dyDescent="0.2"/>
    <row r="57112" ht="12.75" hidden="1" customHeight="1" x14ac:dyDescent="0.2"/>
    <row r="57113" ht="12.75" hidden="1" customHeight="1" x14ac:dyDescent="0.2"/>
    <row r="57114" ht="12.75" hidden="1" customHeight="1" x14ac:dyDescent="0.2"/>
    <row r="57115" ht="12.75" hidden="1" customHeight="1" x14ac:dyDescent="0.2"/>
    <row r="57116" ht="12.75" hidden="1" customHeight="1" x14ac:dyDescent="0.2"/>
    <row r="57117" ht="12.75" hidden="1" customHeight="1" x14ac:dyDescent="0.2"/>
    <row r="57118" ht="12.75" hidden="1" customHeight="1" x14ac:dyDescent="0.2"/>
    <row r="57119" ht="12.75" hidden="1" customHeight="1" x14ac:dyDescent="0.2"/>
    <row r="57120" ht="12.75" hidden="1" customHeight="1" x14ac:dyDescent="0.2"/>
    <row r="57121" ht="12.75" hidden="1" customHeight="1" x14ac:dyDescent="0.2"/>
    <row r="57122" ht="12.75" hidden="1" customHeight="1" x14ac:dyDescent="0.2"/>
    <row r="57123" ht="12.75" hidden="1" customHeight="1" x14ac:dyDescent="0.2"/>
    <row r="57124" ht="12.75" hidden="1" customHeight="1" x14ac:dyDescent="0.2"/>
    <row r="57125" ht="12.75" hidden="1" customHeight="1" x14ac:dyDescent="0.2"/>
    <row r="57126" ht="12.75" hidden="1" customHeight="1" x14ac:dyDescent="0.2"/>
    <row r="57127" ht="12.75" hidden="1" customHeight="1" x14ac:dyDescent="0.2"/>
    <row r="57128" ht="12.75" hidden="1" customHeight="1" x14ac:dyDescent="0.2"/>
    <row r="57129" ht="12.75" hidden="1" customHeight="1" x14ac:dyDescent="0.2"/>
    <row r="57130" ht="12.75" hidden="1" customHeight="1" x14ac:dyDescent="0.2"/>
    <row r="57131" ht="12.75" hidden="1" customHeight="1" x14ac:dyDescent="0.2"/>
    <row r="57132" ht="12.75" hidden="1" customHeight="1" x14ac:dyDescent="0.2"/>
    <row r="57133" ht="12.75" hidden="1" customHeight="1" x14ac:dyDescent="0.2"/>
    <row r="57134" ht="12.75" hidden="1" customHeight="1" x14ac:dyDescent="0.2"/>
    <row r="57135" ht="12.75" hidden="1" customHeight="1" x14ac:dyDescent="0.2"/>
    <row r="57136" ht="12.75" hidden="1" customHeight="1" x14ac:dyDescent="0.2"/>
    <row r="57137" ht="12.75" hidden="1" customHeight="1" x14ac:dyDescent="0.2"/>
    <row r="57138" ht="12.75" hidden="1" customHeight="1" x14ac:dyDescent="0.2"/>
    <row r="57139" ht="12.75" hidden="1" customHeight="1" x14ac:dyDescent="0.2"/>
    <row r="57140" ht="12.75" hidden="1" customHeight="1" x14ac:dyDescent="0.2"/>
    <row r="57141" ht="12.75" hidden="1" customHeight="1" x14ac:dyDescent="0.2"/>
    <row r="57142" ht="12.75" hidden="1" customHeight="1" x14ac:dyDescent="0.2"/>
    <row r="57143" ht="12.75" hidden="1" customHeight="1" x14ac:dyDescent="0.2"/>
    <row r="57144" ht="12.75" hidden="1" customHeight="1" x14ac:dyDescent="0.2"/>
    <row r="57145" ht="12.75" hidden="1" customHeight="1" x14ac:dyDescent="0.2"/>
    <row r="57146" ht="12.75" hidden="1" customHeight="1" x14ac:dyDescent="0.2"/>
    <row r="57147" ht="12.75" hidden="1" customHeight="1" x14ac:dyDescent="0.2"/>
    <row r="57148" ht="12.75" hidden="1" customHeight="1" x14ac:dyDescent="0.2"/>
    <row r="57149" ht="12.75" hidden="1" customHeight="1" x14ac:dyDescent="0.2"/>
    <row r="57150" ht="12.75" hidden="1" customHeight="1" x14ac:dyDescent="0.2"/>
    <row r="57151" ht="12.75" hidden="1" customHeight="1" x14ac:dyDescent="0.2"/>
    <row r="57152" ht="12.75" hidden="1" customHeight="1" x14ac:dyDescent="0.2"/>
    <row r="57153" ht="12.75" hidden="1" customHeight="1" x14ac:dyDescent="0.2"/>
    <row r="57154" ht="12.75" hidden="1" customHeight="1" x14ac:dyDescent="0.2"/>
    <row r="57155" ht="12.75" hidden="1" customHeight="1" x14ac:dyDescent="0.2"/>
    <row r="57156" ht="12.75" hidden="1" customHeight="1" x14ac:dyDescent="0.2"/>
    <row r="57157" ht="12.75" hidden="1" customHeight="1" x14ac:dyDescent="0.2"/>
    <row r="57158" ht="12.75" hidden="1" customHeight="1" x14ac:dyDescent="0.2"/>
    <row r="57159" ht="12.75" hidden="1" customHeight="1" x14ac:dyDescent="0.2"/>
    <row r="57160" ht="12.75" hidden="1" customHeight="1" x14ac:dyDescent="0.2"/>
    <row r="57161" ht="12.75" hidden="1" customHeight="1" x14ac:dyDescent="0.2"/>
    <row r="57162" ht="12.75" hidden="1" customHeight="1" x14ac:dyDescent="0.2"/>
    <row r="57163" ht="12.75" hidden="1" customHeight="1" x14ac:dyDescent="0.2"/>
    <row r="57164" ht="12.75" hidden="1" customHeight="1" x14ac:dyDescent="0.2"/>
    <row r="57165" ht="12.75" hidden="1" customHeight="1" x14ac:dyDescent="0.2"/>
    <row r="57166" ht="12.75" hidden="1" customHeight="1" x14ac:dyDescent="0.2"/>
    <row r="57167" ht="12.75" hidden="1" customHeight="1" x14ac:dyDescent="0.2"/>
    <row r="57168" ht="12.75" hidden="1" customHeight="1" x14ac:dyDescent="0.2"/>
    <row r="57169" ht="12.75" hidden="1" customHeight="1" x14ac:dyDescent="0.2"/>
    <row r="57170" ht="12.75" hidden="1" customHeight="1" x14ac:dyDescent="0.2"/>
    <row r="57171" ht="12.75" hidden="1" customHeight="1" x14ac:dyDescent="0.2"/>
    <row r="57172" ht="12.75" hidden="1" customHeight="1" x14ac:dyDescent="0.2"/>
    <row r="57173" ht="12.75" hidden="1" customHeight="1" x14ac:dyDescent="0.2"/>
    <row r="57174" ht="12.75" hidden="1" customHeight="1" x14ac:dyDescent="0.2"/>
    <row r="57175" ht="12.75" hidden="1" customHeight="1" x14ac:dyDescent="0.2"/>
    <row r="57176" ht="12.75" hidden="1" customHeight="1" x14ac:dyDescent="0.2"/>
    <row r="57177" ht="12.75" hidden="1" customHeight="1" x14ac:dyDescent="0.2"/>
    <row r="57178" ht="12.75" hidden="1" customHeight="1" x14ac:dyDescent="0.2"/>
    <row r="57179" ht="12.75" hidden="1" customHeight="1" x14ac:dyDescent="0.2"/>
    <row r="57180" ht="12.75" hidden="1" customHeight="1" x14ac:dyDescent="0.2"/>
    <row r="57181" ht="12.75" hidden="1" customHeight="1" x14ac:dyDescent="0.2"/>
    <row r="57182" ht="12.75" hidden="1" customHeight="1" x14ac:dyDescent="0.2"/>
    <row r="57183" ht="12.75" hidden="1" customHeight="1" x14ac:dyDescent="0.2"/>
    <row r="57184" ht="12.75" hidden="1" customHeight="1" x14ac:dyDescent="0.2"/>
    <row r="57185" ht="12.75" hidden="1" customHeight="1" x14ac:dyDescent="0.2"/>
    <row r="57186" ht="12.75" hidden="1" customHeight="1" x14ac:dyDescent="0.2"/>
    <row r="57187" ht="12.75" hidden="1" customHeight="1" x14ac:dyDescent="0.2"/>
    <row r="57188" ht="12.75" hidden="1" customHeight="1" x14ac:dyDescent="0.2"/>
    <row r="57189" ht="12.75" hidden="1" customHeight="1" x14ac:dyDescent="0.2"/>
    <row r="57190" ht="12.75" hidden="1" customHeight="1" x14ac:dyDescent="0.2"/>
    <row r="57191" ht="12.75" hidden="1" customHeight="1" x14ac:dyDescent="0.2"/>
    <row r="57192" ht="12.75" hidden="1" customHeight="1" x14ac:dyDescent="0.2"/>
    <row r="57193" ht="12.75" hidden="1" customHeight="1" x14ac:dyDescent="0.2"/>
    <row r="57194" ht="12.75" hidden="1" customHeight="1" x14ac:dyDescent="0.2"/>
    <row r="57195" ht="12.75" hidden="1" customHeight="1" x14ac:dyDescent="0.2"/>
    <row r="57196" ht="12.75" hidden="1" customHeight="1" x14ac:dyDescent="0.2"/>
    <row r="57197" ht="12.75" hidden="1" customHeight="1" x14ac:dyDescent="0.2"/>
    <row r="57198" ht="12.75" hidden="1" customHeight="1" x14ac:dyDescent="0.2"/>
    <row r="57199" ht="12.75" hidden="1" customHeight="1" x14ac:dyDescent="0.2"/>
    <row r="57200" ht="12.75" hidden="1" customHeight="1" x14ac:dyDescent="0.2"/>
    <row r="57201" ht="12.75" hidden="1" customHeight="1" x14ac:dyDescent="0.2"/>
    <row r="57202" ht="12.75" hidden="1" customHeight="1" x14ac:dyDescent="0.2"/>
    <row r="57203" ht="12.75" hidden="1" customHeight="1" x14ac:dyDescent="0.2"/>
    <row r="57204" ht="12.75" hidden="1" customHeight="1" x14ac:dyDescent="0.2"/>
    <row r="57205" ht="12.75" hidden="1" customHeight="1" x14ac:dyDescent="0.2"/>
    <row r="57206" ht="12.75" hidden="1" customHeight="1" x14ac:dyDescent="0.2"/>
    <row r="57207" ht="12.75" hidden="1" customHeight="1" x14ac:dyDescent="0.2"/>
    <row r="57208" ht="12.75" hidden="1" customHeight="1" x14ac:dyDescent="0.2"/>
    <row r="57209" ht="12.75" hidden="1" customHeight="1" x14ac:dyDescent="0.2"/>
    <row r="57210" ht="12.75" hidden="1" customHeight="1" x14ac:dyDescent="0.2"/>
    <row r="57211" ht="12.75" hidden="1" customHeight="1" x14ac:dyDescent="0.2"/>
    <row r="57212" ht="12.75" hidden="1" customHeight="1" x14ac:dyDescent="0.2"/>
    <row r="57213" ht="12.75" hidden="1" customHeight="1" x14ac:dyDescent="0.2"/>
    <row r="57214" ht="12.75" hidden="1" customHeight="1" x14ac:dyDescent="0.2"/>
    <row r="57215" ht="12.75" hidden="1" customHeight="1" x14ac:dyDescent="0.2"/>
    <row r="57216" ht="12.75" hidden="1" customHeight="1" x14ac:dyDescent="0.2"/>
    <row r="57217" ht="12.75" hidden="1" customHeight="1" x14ac:dyDescent="0.2"/>
    <row r="57218" ht="12.75" hidden="1" customHeight="1" x14ac:dyDescent="0.2"/>
    <row r="57219" ht="12.75" hidden="1" customHeight="1" x14ac:dyDescent="0.2"/>
    <row r="57220" ht="12.75" hidden="1" customHeight="1" x14ac:dyDescent="0.2"/>
    <row r="57221" ht="12.75" hidden="1" customHeight="1" x14ac:dyDescent="0.2"/>
    <row r="57222" ht="12.75" hidden="1" customHeight="1" x14ac:dyDescent="0.2"/>
    <row r="57223" ht="12.75" hidden="1" customHeight="1" x14ac:dyDescent="0.2"/>
    <row r="57224" ht="12.75" hidden="1" customHeight="1" x14ac:dyDescent="0.2"/>
    <row r="57225" ht="12.75" hidden="1" customHeight="1" x14ac:dyDescent="0.2"/>
    <row r="57226" ht="12.75" hidden="1" customHeight="1" x14ac:dyDescent="0.2"/>
    <row r="57227" ht="12.75" hidden="1" customHeight="1" x14ac:dyDescent="0.2"/>
    <row r="57228" ht="12.75" hidden="1" customHeight="1" x14ac:dyDescent="0.2"/>
    <row r="57229" ht="12.75" hidden="1" customHeight="1" x14ac:dyDescent="0.2"/>
    <row r="57230" ht="12.75" hidden="1" customHeight="1" x14ac:dyDescent="0.2"/>
    <row r="57231" ht="12.75" hidden="1" customHeight="1" x14ac:dyDescent="0.2"/>
    <row r="57232" ht="12.75" hidden="1" customHeight="1" x14ac:dyDescent="0.2"/>
    <row r="57233" ht="12.75" hidden="1" customHeight="1" x14ac:dyDescent="0.2"/>
    <row r="57234" ht="12.75" hidden="1" customHeight="1" x14ac:dyDescent="0.2"/>
    <row r="57235" ht="12.75" hidden="1" customHeight="1" x14ac:dyDescent="0.2"/>
    <row r="57236" ht="12.75" hidden="1" customHeight="1" x14ac:dyDescent="0.2"/>
    <row r="57237" ht="12.75" hidden="1" customHeight="1" x14ac:dyDescent="0.2"/>
    <row r="57238" ht="12.75" hidden="1" customHeight="1" x14ac:dyDescent="0.2"/>
    <row r="57239" ht="12.75" hidden="1" customHeight="1" x14ac:dyDescent="0.2"/>
    <row r="57240" ht="12.75" hidden="1" customHeight="1" x14ac:dyDescent="0.2"/>
    <row r="57241" ht="12.75" hidden="1" customHeight="1" x14ac:dyDescent="0.2"/>
    <row r="57242" ht="12.75" hidden="1" customHeight="1" x14ac:dyDescent="0.2"/>
    <row r="57243" ht="12.75" hidden="1" customHeight="1" x14ac:dyDescent="0.2"/>
    <row r="57244" ht="12.75" hidden="1" customHeight="1" x14ac:dyDescent="0.2"/>
    <row r="57245" ht="12.75" hidden="1" customHeight="1" x14ac:dyDescent="0.2"/>
    <row r="57246" ht="12.75" hidden="1" customHeight="1" x14ac:dyDescent="0.2"/>
    <row r="57247" ht="12.75" hidden="1" customHeight="1" x14ac:dyDescent="0.2"/>
    <row r="57248" ht="12.75" hidden="1" customHeight="1" x14ac:dyDescent="0.2"/>
    <row r="57249" ht="12.75" hidden="1" customHeight="1" x14ac:dyDescent="0.2"/>
    <row r="57250" ht="12.75" hidden="1" customHeight="1" x14ac:dyDescent="0.2"/>
    <row r="57251" ht="12.75" hidden="1" customHeight="1" x14ac:dyDescent="0.2"/>
    <row r="57252" ht="12.75" hidden="1" customHeight="1" x14ac:dyDescent="0.2"/>
    <row r="57253" ht="12.75" hidden="1" customHeight="1" x14ac:dyDescent="0.2"/>
    <row r="57254" ht="12.75" hidden="1" customHeight="1" x14ac:dyDescent="0.2"/>
    <row r="57255" ht="12.75" hidden="1" customHeight="1" x14ac:dyDescent="0.2"/>
    <row r="57256" ht="12.75" hidden="1" customHeight="1" x14ac:dyDescent="0.2"/>
    <row r="57257" ht="12.75" hidden="1" customHeight="1" x14ac:dyDescent="0.2"/>
    <row r="57258" ht="12.75" hidden="1" customHeight="1" x14ac:dyDescent="0.2"/>
    <row r="57259" ht="12.75" hidden="1" customHeight="1" x14ac:dyDescent="0.2"/>
    <row r="57260" ht="12.75" hidden="1" customHeight="1" x14ac:dyDescent="0.2"/>
    <row r="57261" ht="12.75" hidden="1" customHeight="1" x14ac:dyDescent="0.2"/>
    <row r="57262" ht="12.75" hidden="1" customHeight="1" x14ac:dyDescent="0.2"/>
    <row r="57263" ht="12.75" hidden="1" customHeight="1" x14ac:dyDescent="0.2"/>
    <row r="57264" ht="12.75" hidden="1" customHeight="1" x14ac:dyDescent="0.2"/>
    <row r="57265" ht="12.75" hidden="1" customHeight="1" x14ac:dyDescent="0.2"/>
    <row r="57266" ht="12.75" hidden="1" customHeight="1" x14ac:dyDescent="0.2"/>
    <row r="57267" ht="12.75" hidden="1" customHeight="1" x14ac:dyDescent="0.2"/>
    <row r="57268" ht="12.75" hidden="1" customHeight="1" x14ac:dyDescent="0.2"/>
    <row r="57269" ht="12.75" hidden="1" customHeight="1" x14ac:dyDescent="0.2"/>
    <row r="57270" ht="12.75" hidden="1" customHeight="1" x14ac:dyDescent="0.2"/>
    <row r="57271" ht="12.75" hidden="1" customHeight="1" x14ac:dyDescent="0.2"/>
    <row r="57272" ht="12.75" hidden="1" customHeight="1" x14ac:dyDescent="0.2"/>
    <row r="57273" ht="12.75" hidden="1" customHeight="1" x14ac:dyDescent="0.2"/>
    <row r="57274" ht="12.75" hidden="1" customHeight="1" x14ac:dyDescent="0.2"/>
    <row r="57275" ht="12.75" hidden="1" customHeight="1" x14ac:dyDescent="0.2"/>
    <row r="57276" ht="12.75" hidden="1" customHeight="1" x14ac:dyDescent="0.2"/>
    <row r="57277" ht="12.75" hidden="1" customHeight="1" x14ac:dyDescent="0.2"/>
    <row r="57278" ht="12.75" hidden="1" customHeight="1" x14ac:dyDescent="0.2"/>
    <row r="57279" ht="12.75" hidden="1" customHeight="1" x14ac:dyDescent="0.2"/>
    <row r="57280" ht="12.75" hidden="1" customHeight="1" x14ac:dyDescent="0.2"/>
    <row r="57281" ht="12.75" hidden="1" customHeight="1" x14ac:dyDescent="0.2"/>
    <row r="57282" ht="12.75" hidden="1" customHeight="1" x14ac:dyDescent="0.2"/>
    <row r="57283" ht="12.75" hidden="1" customHeight="1" x14ac:dyDescent="0.2"/>
    <row r="57284" ht="12.75" hidden="1" customHeight="1" x14ac:dyDescent="0.2"/>
    <row r="57285" ht="12.75" hidden="1" customHeight="1" x14ac:dyDescent="0.2"/>
    <row r="57286" ht="12.75" hidden="1" customHeight="1" x14ac:dyDescent="0.2"/>
    <row r="57287" ht="12.75" hidden="1" customHeight="1" x14ac:dyDescent="0.2"/>
    <row r="57288" ht="12.75" hidden="1" customHeight="1" x14ac:dyDescent="0.2"/>
    <row r="57289" ht="12.75" hidden="1" customHeight="1" x14ac:dyDescent="0.2"/>
    <row r="57290" ht="12.75" hidden="1" customHeight="1" x14ac:dyDescent="0.2"/>
    <row r="57291" ht="12.75" hidden="1" customHeight="1" x14ac:dyDescent="0.2"/>
    <row r="57292" ht="12.75" hidden="1" customHeight="1" x14ac:dyDescent="0.2"/>
    <row r="57293" ht="12.75" hidden="1" customHeight="1" x14ac:dyDescent="0.2"/>
    <row r="57294" ht="12.75" hidden="1" customHeight="1" x14ac:dyDescent="0.2"/>
    <row r="57295" ht="12.75" hidden="1" customHeight="1" x14ac:dyDescent="0.2"/>
    <row r="57296" ht="12.75" hidden="1" customHeight="1" x14ac:dyDescent="0.2"/>
    <row r="57297" ht="12.75" hidden="1" customHeight="1" x14ac:dyDescent="0.2"/>
    <row r="57298" ht="12.75" hidden="1" customHeight="1" x14ac:dyDescent="0.2"/>
    <row r="57299" ht="12.75" hidden="1" customHeight="1" x14ac:dyDescent="0.2"/>
    <row r="57300" ht="12.75" hidden="1" customHeight="1" x14ac:dyDescent="0.2"/>
    <row r="57301" ht="12.75" hidden="1" customHeight="1" x14ac:dyDescent="0.2"/>
    <row r="57302" ht="12.75" hidden="1" customHeight="1" x14ac:dyDescent="0.2"/>
    <row r="57303" ht="12.75" hidden="1" customHeight="1" x14ac:dyDescent="0.2"/>
    <row r="57304" ht="12.75" hidden="1" customHeight="1" x14ac:dyDescent="0.2"/>
    <row r="57305" ht="12.75" hidden="1" customHeight="1" x14ac:dyDescent="0.2"/>
    <row r="57306" ht="12.75" hidden="1" customHeight="1" x14ac:dyDescent="0.2"/>
    <row r="57307" ht="12.75" hidden="1" customHeight="1" x14ac:dyDescent="0.2"/>
    <row r="57308" ht="12.75" hidden="1" customHeight="1" x14ac:dyDescent="0.2"/>
    <row r="57309" ht="12.75" hidden="1" customHeight="1" x14ac:dyDescent="0.2"/>
    <row r="57310" ht="12.75" hidden="1" customHeight="1" x14ac:dyDescent="0.2"/>
    <row r="57311" ht="12.75" hidden="1" customHeight="1" x14ac:dyDescent="0.2"/>
    <row r="57312" ht="12.75" hidden="1" customHeight="1" x14ac:dyDescent="0.2"/>
    <row r="57313" ht="12.75" hidden="1" customHeight="1" x14ac:dyDescent="0.2"/>
    <row r="57314" ht="12.75" hidden="1" customHeight="1" x14ac:dyDescent="0.2"/>
    <row r="57315" ht="12.75" hidden="1" customHeight="1" x14ac:dyDescent="0.2"/>
    <row r="57316" ht="12.75" hidden="1" customHeight="1" x14ac:dyDescent="0.2"/>
    <row r="57317" ht="12.75" hidden="1" customHeight="1" x14ac:dyDescent="0.2"/>
    <row r="57318" ht="12.75" hidden="1" customHeight="1" x14ac:dyDescent="0.2"/>
    <row r="57319" ht="12.75" hidden="1" customHeight="1" x14ac:dyDescent="0.2"/>
    <row r="57320" ht="12.75" hidden="1" customHeight="1" x14ac:dyDescent="0.2"/>
    <row r="57321" ht="12.75" hidden="1" customHeight="1" x14ac:dyDescent="0.2"/>
    <row r="57322" ht="12.75" hidden="1" customHeight="1" x14ac:dyDescent="0.2"/>
    <row r="57323" ht="12.75" hidden="1" customHeight="1" x14ac:dyDescent="0.2"/>
    <row r="57324" ht="12.75" hidden="1" customHeight="1" x14ac:dyDescent="0.2"/>
    <row r="57325" ht="12.75" hidden="1" customHeight="1" x14ac:dyDescent="0.2"/>
    <row r="57326" ht="12.75" hidden="1" customHeight="1" x14ac:dyDescent="0.2"/>
    <row r="57327" ht="12.75" hidden="1" customHeight="1" x14ac:dyDescent="0.2"/>
    <row r="57328" ht="12.75" hidden="1" customHeight="1" x14ac:dyDescent="0.2"/>
    <row r="57329" ht="12.75" hidden="1" customHeight="1" x14ac:dyDescent="0.2"/>
    <row r="57330" ht="12.75" hidden="1" customHeight="1" x14ac:dyDescent="0.2"/>
    <row r="57331" ht="12.75" hidden="1" customHeight="1" x14ac:dyDescent="0.2"/>
    <row r="57332" ht="12.75" hidden="1" customHeight="1" x14ac:dyDescent="0.2"/>
    <row r="57333" ht="12.75" hidden="1" customHeight="1" x14ac:dyDescent="0.2"/>
    <row r="57334" ht="12.75" hidden="1" customHeight="1" x14ac:dyDescent="0.2"/>
    <row r="57335" ht="12.75" hidden="1" customHeight="1" x14ac:dyDescent="0.2"/>
    <row r="57336" ht="12.75" hidden="1" customHeight="1" x14ac:dyDescent="0.2"/>
    <row r="57337" ht="12.75" hidden="1" customHeight="1" x14ac:dyDescent="0.2"/>
    <row r="57338" ht="12.75" hidden="1" customHeight="1" x14ac:dyDescent="0.2"/>
    <row r="57339" ht="12.75" hidden="1" customHeight="1" x14ac:dyDescent="0.2"/>
    <row r="57340" ht="12.75" hidden="1" customHeight="1" x14ac:dyDescent="0.2"/>
    <row r="57341" ht="12.75" hidden="1" customHeight="1" x14ac:dyDescent="0.2"/>
    <row r="57342" ht="12.75" hidden="1" customHeight="1" x14ac:dyDescent="0.2"/>
    <row r="57343" ht="12.75" hidden="1" customHeight="1" x14ac:dyDescent="0.2"/>
    <row r="57344" ht="12.75" hidden="1" customHeight="1" x14ac:dyDescent="0.2"/>
    <row r="57345" ht="12.75" hidden="1" customHeight="1" x14ac:dyDescent="0.2"/>
    <row r="57346" ht="12.75" hidden="1" customHeight="1" x14ac:dyDescent="0.2"/>
    <row r="57347" ht="12.75" hidden="1" customHeight="1" x14ac:dyDescent="0.2"/>
    <row r="57348" ht="12.75" hidden="1" customHeight="1" x14ac:dyDescent="0.2"/>
    <row r="57349" ht="12.75" hidden="1" customHeight="1" x14ac:dyDescent="0.2"/>
    <row r="57350" ht="12.75" hidden="1" customHeight="1" x14ac:dyDescent="0.2"/>
    <row r="57351" ht="12.75" hidden="1" customHeight="1" x14ac:dyDescent="0.2"/>
    <row r="57352" ht="12.75" hidden="1" customHeight="1" x14ac:dyDescent="0.2"/>
    <row r="57353" ht="12.75" hidden="1" customHeight="1" x14ac:dyDescent="0.2"/>
    <row r="57354" ht="12.75" hidden="1" customHeight="1" x14ac:dyDescent="0.2"/>
    <row r="57355" ht="12.75" hidden="1" customHeight="1" x14ac:dyDescent="0.2"/>
    <row r="57356" ht="12.75" hidden="1" customHeight="1" x14ac:dyDescent="0.2"/>
    <row r="57357" ht="12.75" hidden="1" customHeight="1" x14ac:dyDescent="0.2"/>
    <row r="57358" ht="12.75" hidden="1" customHeight="1" x14ac:dyDescent="0.2"/>
    <row r="57359" ht="12.75" hidden="1" customHeight="1" x14ac:dyDescent="0.2"/>
    <row r="57360" ht="12.75" hidden="1" customHeight="1" x14ac:dyDescent="0.2"/>
    <row r="57361" ht="12.75" hidden="1" customHeight="1" x14ac:dyDescent="0.2"/>
    <row r="57362" ht="12.75" hidden="1" customHeight="1" x14ac:dyDescent="0.2"/>
    <row r="57363" ht="12.75" hidden="1" customHeight="1" x14ac:dyDescent="0.2"/>
    <row r="57364" ht="12.75" hidden="1" customHeight="1" x14ac:dyDescent="0.2"/>
    <row r="57365" ht="12.75" hidden="1" customHeight="1" x14ac:dyDescent="0.2"/>
    <row r="57366" ht="12.75" hidden="1" customHeight="1" x14ac:dyDescent="0.2"/>
    <row r="57367" ht="12.75" hidden="1" customHeight="1" x14ac:dyDescent="0.2"/>
    <row r="57368" ht="12.75" hidden="1" customHeight="1" x14ac:dyDescent="0.2"/>
    <row r="57369" ht="12.75" hidden="1" customHeight="1" x14ac:dyDescent="0.2"/>
    <row r="57370" ht="12.75" hidden="1" customHeight="1" x14ac:dyDescent="0.2"/>
    <row r="57371" ht="12.75" hidden="1" customHeight="1" x14ac:dyDescent="0.2"/>
    <row r="57372" ht="12.75" hidden="1" customHeight="1" x14ac:dyDescent="0.2"/>
    <row r="57373" ht="12.75" hidden="1" customHeight="1" x14ac:dyDescent="0.2"/>
    <row r="57374" ht="12.75" hidden="1" customHeight="1" x14ac:dyDescent="0.2"/>
    <row r="57375" ht="12.75" hidden="1" customHeight="1" x14ac:dyDescent="0.2"/>
    <row r="57376" ht="12.75" hidden="1" customHeight="1" x14ac:dyDescent="0.2"/>
    <row r="57377" ht="12.75" hidden="1" customHeight="1" x14ac:dyDescent="0.2"/>
    <row r="57378" ht="12.75" hidden="1" customHeight="1" x14ac:dyDescent="0.2"/>
    <row r="57379" ht="12.75" hidden="1" customHeight="1" x14ac:dyDescent="0.2"/>
    <row r="57380" ht="12.75" hidden="1" customHeight="1" x14ac:dyDescent="0.2"/>
    <row r="57381" ht="12.75" hidden="1" customHeight="1" x14ac:dyDescent="0.2"/>
    <row r="57382" ht="12.75" hidden="1" customHeight="1" x14ac:dyDescent="0.2"/>
    <row r="57383" ht="12.75" hidden="1" customHeight="1" x14ac:dyDescent="0.2"/>
    <row r="57384" ht="12.75" hidden="1" customHeight="1" x14ac:dyDescent="0.2"/>
    <row r="57385" ht="12.75" hidden="1" customHeight="1" x14ac:dyDescent="0.2"/>
    <row r="57386" ht="12.75" hidden="1" customHeight="1" x14ac:dyDescent="0.2"/>
    <row r="57387" ht="12.75" hidden="1" customHeight="1" x14ac:dyDescent="0.2"/>
    <row r="57388" ht="12.75" hidden="1" customHeight="1" x14ac:dyDescent="0.2"/>
    <row r="57389" ht="12.75" hidden="1" customHeight="1" x14ac:dyDescent="0.2"/>
    <row r="57390" ht="12.75" hidden="1" customHeight="1" x14ac:dyDescent="0.2"/>
    <row r="57391" ht="12.75" hidden="1" customHeight="1" x14ac:dyDescent="0.2"/>
    <row r="57392" ht="12.75" hidden="1" customHeight="1" x14ac:dyDescent="0.2"/>
    <row r="57393" ht="12.75" hidden="1" customHeight="1" x14ac:dyDescent="0.2"/>
    <row r="57394" ht="12.75" hidden="1" customHeight="1" x14ac:dyDescent="0.2"/>
    <row r="57395" ht="12.75" hidden="1" customHeight="1" x14ac:dyDescent="0.2"/>
    <row r="57396" ht="12.75" hidden="1" customHeight="1" x14ac:dyDescent="0.2"/>
    <row r="57397" ht="12.75" hidden="1" customHeight="1" x14ac:dyDescent="0.2"/>
    <row r="57398" ht="12.75" hidden="1" customHeight="1" x14ac:dyDescent="0.2"/>
    <row r="57399" ht="12.75" hidden="1" customHeight="1" x14ac:dyDescent="0.2"/>
    <row r="57400" ht="12.75" hidden="1" customHeight="1" x14ac:dyDescent="0.2"/>
    <row r="57401" ht="12.75" hidden="1" customHeight="1" x14ac:dyDescent="0.2"/>
    <row r="57402" ht="12.75" hidden="1" customHeight="1" x14ac:dyDescent="0.2"/>
    <row r="57403" ht="12.75" hidden="1" customHeight="1" x14ac:dyDescent="0.2"/>
    <row r="57404" ht="12.75" hidden="1" customHeight="1" x14ac:dyDescent="0.2"/>
    <row r="57405" ht="12.75" hidden="1" customHeight="1" x14ac:dyDescent="0.2"/>
    <row r="57406" ht="12.75" hidden="1" customHeight="1" x14ac:dyDescent="0.2"/>
    <row r="57407" ht="12.75" hidden="1" customHeight="1" x14ac:dyDescent="0.2"/>
    <row r="57408" ht="12.75" hidden="1" customHeight="1" x14ac:dyDescent="0.2"/>
    <row r="57409" ht="12.75" hidden="1" customHeight="1" x14ac:dyDescent="0.2"/>
    <row r="57410" ht="12.75" hidden="1" customHeight="1" x14ac:dyDescent="0.2"/>
    <row r="57411" ht="12.75" hidden="1" customHeight="1" x14ac:dyDescent="0.2"/>
    <row r="57412" ht="12.75" hidden="1" customHeight="1" x14ac:dyDescent="0.2"/>
    <row r="57413" ht="12.75" hidden="1" customHeight="1" x14ac:dyDescent="0.2"/>
    <row r="57414" ht="12.75" hidden="1" customHeight="1" x14ac:dyDescent="0.2"/>
    <row r="57415" ht="12.75" hidden="1" customHeight="1" x14ac:dyDescent="0.2"/>
    <row r="57416" ht="12.75" hidden="1" customHeight="1" x14ac:dyDescent="0.2"/>
    <row r="57417" ht="12.75" hidden="1" customHeight="1" x14ac:dyDescent="0.2"/>
    <row r="57418" ht="12.75" hidden="1" customHeight="1" x14ac:dyDescent="0.2"/>
    <row r="57419" ht="12.75" hidden="1" customHeight="1" x14ac:dyDescent="0.2"/>
    <row r="57420" ht="12.75" hidden="1" customHeight="1" x14ac:dyDescent="0.2"/>
    <row r="57421" ht="12.75" hidden="1" customHeight="1" x14ac:dyDescent="0.2"/>
    <row r="57422" ht="12.75" hidden="1" customHeight="1" x14ac:dyDescent="0.2"/>
    <row r="57423" ht="12.75" hidden="1" customHeight="1" x14ac:dyDescent="0.2"/>
    <row r="57424" ht="12.75" hidden="1" customHeight="1" x14ac:dyDescent="0.2"/>
    <row r="57425" ht="12.75" hidden="1" customHeight="1" x14ac:dyDescent="0.2"/>
    <row r="57426" ht="12.75" hidden="1" customHeight="1" x14ac:dyDescent="0.2"/>
    <row r="57427" ht="12.75" hidden="1" customHeight="1" x14ac:dyDescent="0.2"/>
    <row r="57428" ht="12.75" hidden="1" customHeight="1" x14ac:dyDescent="0.2"/>
    <row r="57429" ht="12.75" hidden="1" customHeight="1" x14ac:dyDescent="0.2"/>
    <row r="57430" ht="12.75" hidden="1" customHeight="1" x14ac:dyDescent="0.2"/>
    <row r="57431" ht="12.75" hidden="1" customHeight="1" x14ac:dyDescent="0.2"/>
    <row r="57432" ht="12.75" hidden="1" customHeight="1" x14ac:dyDescent="0.2"/>
    <row r="57433" ht="12.75" hidden="1" customHeight="1" x14ac:dyDescent="0.2"/>
    <row r="57434" ht="12.75" hidden="1" customHeight="1" x14ac:dyDescent="0.2"/>
    <row r="57435" ht="12.75" hidden="1" customHeight="1" x14ac:dyDescent="0.2"/>
    <row r="57436" ht="12.75" hidden="1" customHeight="1" x14ac:dyDescent="0.2"/>
    <row r="57437" ht="12.75" hidden="1" customHeight="1" x14ac:dyDescent="0.2"/>
    <row r="57438" ht="12.75" hidden="1" customHeight="1" x14ac:dyDescent="0.2"/>
    <row r="57439" ht="12.75" hidden="1" customHeight="1" x14ac:dyDescent="0.2"/>
    <row r="57440" ht="12.75" hidden="1" customHeight="1" x14ac:dyDescent="0.2"/>
    <row r="57441" ht="12.75" hidden="1" customHeight="1" x14ac:dyDescent="0.2"/>
    <row r="57442" ht="12.75" hidden="1" customHeight="1" x14ac:dyDescent="0.2"/>
    <row r="57443" ht="12.75" hidden="1" customHeight="1" x14ac:dyDescent="0.2"/>
    <row r="57444" ht="12.75" hidden="1" customHeight="1" x14ac:dyDescent="0.2"/>
    <row r="57445" ht="12.75" hidden="1" customHeight="1" x14ac:dyDescent="0.2"/>
    <row r="57446" ht="12.75" hidden="1" customHeight="1" x14ac:dyDescent="0.2"/>
    <row r="57447" ht="12.75" hidden="1" customHeight="1" x14ac:dyDescent="0.2"/>
    <row r="57448" ht="12.75" hidden="1" customHeight="1" x14ac:dyDescent="0.2"/>
    <row r="57449" ht="12.75" hidden="1" customHeight="1" x14ac:dyDescent="0.2"/>
    <row r="57450" ht="12.75" hidden="1" customHeight="1" x14ac:dyDescent="0.2"/>
    <row r="57451" ht="12.75" hidden="1" customHeight="1" x14ac:dyDescent="0.2"/>
    <row r="57452" ht="12.75" hidden="1" customHeight="1" x14ac:dyDescent="0.2"/>
    <row r="57453" ht="12.75" hidden="1" customHeight="1" x14ac:dyDescent="0.2"/>
    <row r="57454" ht="12.75" hidden="1" customHeight="1" x14ac:dyDescent="0.2"/>
    <row r="57455" ht="12.75" hidden="1" customHeight="1" x14ac:dyDescent="0.2"/>
    <row r="57456" ht="12.75" hidden="1" customHeight="1" x14ac:dyDescent="0.2"/>
    <row r="57457" ht="12.75" hidden="1" customHeight="1" x14ac:dyDescent="0.2"/>
    <row r="57458" ht="12.75" hidden="1" customHeight="1" x14ac:dyDescent="0.2"/>
    <row r="57459" ht="12.75" hidden="1" customHeight="1" x14ac:dyDescent="0.2"/>
    <row r="57460" ht="12.75" hidden="1" customHeight="1" x14ac:dyDescent="0.2"/>
    <row r="57461" ht="12.75" hidden="1" customHeight="1" x14ac:dyDescent="0.2"/>
    <row r="57462" ht="12.75" hidden="1" customHeight="1" x14ac:dyDescent="0.2"/>
    <row r="57463" ht="12.75" hidden="1" customHeight="1" x14ac:dyDescent="0.2"/>
    <row r="57464" ht="12.75" hidden="1" customHeight="1" x14ac:dyDescent="0.2"/>
    <row r="57465" ht="12.75" hidden="1" customHeight="1" x14ac:dyDescent="0.2"/>
    <row r="57466" ht="12.75" hidden="1" customHeight="1" x14ac:dyDescent="0.2"/>
    <row r="57467" ht="12.75" hidden="1" customHeight="1" x14ac:dyDescent="0.2"/>
    <row r="57468" ht="12.75" hidden="1" customHeight="1" x14ac:dyDescent="0.2"/>
    <row r="57469" ht="12.75" hidden="1" customHeight="1" x14ac:dyDescent="0.2"/>
    <row r="57470" ht="12.75" hidden="1" customHeight="1" x14ac:dyDescent="0.2"/>
    <row r="57471" ht="12.75" hidden="1" customHeight="1" x14ac:dyDescent="0.2"/>
    <row r="57472" ht="12.75" hidden="1" customHeight="1" x14ac:dyDescent="0.2"/>
    <row r="57473" ht="12.75" hidden="1" customHeight="1" x14ac:dyDescent="0.2"/>
    <row r="57474" ht="12.75" hidden="1" customHeight="1" x14ac:dyDescent="0.2"/>
    <row r="57475" ht="12.75" hidden="1" customHeight="1" x14ac:dyDescent="0.2"/>
    <row r="57476" ht="12.75" hidden="1" customHeight="1" x14ac:dyDescent="0.2"/>
    <row r="57477" ht="12.75" hidden="1" customHeight="1" x14ac:dyDescent="0.2"/>
    <row r="57478" ht="12.75" hidden="1" customHeight="1" x14ac:dyDescent="0.2"/>
    <row r="57479" ht="12.75" hidden="1" customHeight="1" x14ac:dyDescent="0.2"/>
    <row r="57480" ht="12.75" hidden="1" customHeight="1" x14ac:dyDescent="0.2"/>
    <row r="57481" ht="12.75" hidden="1" customHeight="1" x14ac:dyDescent="0.2"/>
    <row r="57482" ht="12.75" hidden="1" customHeight="1" x14ac:dyDescent="0.2"/>
    <row r="57483" ht="12.75" hidden="1" customHeight="1" x14ac:dyDescent="0.2"/>
    <row r="57484" ht="12.75" hidden="1" customHeight="1" x14ac:dyDescent="0.2"/>
    <row r="57485" ht="12.75" hidden="1" customHeight="1" x14ac:dyDescent="0.2"/>
    <row r="57486" ht="12.75" hidden="1" customHeight="1" x14ac:dyDescent="0.2"/>
    <row r="57487" ht="12.75" hidden="1" customHeight="1" x14ac:dyDescent="0.2"/>
    <row r="57488" ht="12.75" hidden="1" customHeight="1" x14ac:dyDescent="0.2"/>
    <row r="57489" ht="12.75" hidden="1" customHeight="1" x14ac:dyDescent="0.2"/>
    <row r="57490" ht="12.75" hidden="1" customHeight="1" x14ac:dyDescent="0.2"/>
    <row r="57491" ht="12.75" hidden="1" customHeight="1" x14ac:dyDescent="0.2"/>
    <row r="57492" ht="12.75" hidden="1" customHeight="1" x14ac:dyDescent="0.2"/>
    <row r="57493" ht="12.75" hidden="1" customHeight="1" x14ac:dyDescent="0.2"/>
    <row r="57494" ht="12.75" hidden="1" customHeight="1" x14ac:dyDescent="0.2"/>
    <row r="57495" ht="12.75" hidden="1" customHeight="1" x14ac:dyDescent="0.2"/>
    <row r="57496" ht="12.75" hidden="1" customHeight="1" x14ac:dyDescent="0.2"/>
    <row r="57497" ht="12.75" hidden="1" customHeight="1" x14ac:dyDescent="0.2"/>
    <row r="57498" ht="12.75" hidden="1" customHeight="1" x14ac:dyDescent="0.2"/>
    <row r="57499" ht="12.75" hidden="1" customHeight="1" x14ac:dyDescent="0.2"/>
    <row r="57500" ht="12.75" hidden="1" customHeight="1" x14ac:dyDescent="0.2"/>
    <row r="57501" ht="12.75" hidden="1" customHeight="1" x14ac:dyDescent="0.2"/>
    <row r="57502" ht="12.75" hidden="1" customHeight="1" x14ac:dyDescent="0.2"/>
    <row r="57503" ht="12.75" hidden="1" customHeight="1" x14ac:dyDescent="0.2"/>
    <row r="57504" ht="12.75" hidden="1" customHeight="1" x14ac:dyDescent="0.2"/>
    <row r="57505" ht="12.75" hidden="1" customHeight="1" x14ac:dyDescent="0.2"/>
    <row r="57506" ht="12.75" hidden="1" customHeight="1" x14ac:dyDescent="0.2"/>
    <row r="57507" ht="12.75" hidden="1" customHeight="1" x14ac:dyDescent="0.2"/>
    <row r="57508" ht="12.75" hidden="1" customHeight="1" x14ac:dyDescent="0.2"/>
    <row r="57509" ht="12.75" hidden="1" customHeight="1" x14ac:dyDescent="0.2"/>
    <row r="57510" ht="12.75" hidden="1" customHeight="1" x14ac:dyDescent="0.2"/>
    <row r="57511" ht="12.75" hidden="1" customHeight="1" x14ac:dyDescent="0.2"/>
    <row r="57512" ht="12.75" hidden="1" customHeight="1" x14ac:dyDescent="0.2"/>
    <row r="57513" ht="12.75" hidden="1" customHeight="1" x14ac:dyDescent="0.2"/>
    <row r="57514" ht="12.75" hidden="1" customHeight="1" x14ac:dyDescent="0.2"/>
    <row r="57515" ht="12.75" hidden="1" customHeight="1" x14ac:dyDescent="0.2"/>
    <row r="57516" ht="12.75" hidden="1" customHeight="1" x14ac:dyDescent="0.2"/>
    <row r="57517" ht="12.75" hidden="1" customHeight="1" x14ac:dyDescent="0.2"/>
    <row r="57518" ht="12.75" hidden="1" customHeight="1" x14ac:dyDescent="0.2"/>
    <row r="57519" ht="12.75" hidden="1" customHeight="1" x14ac:dyDescent="0.2"/>
    <row r="57520" ht="12.75" hidden="1" customHeight="1" x14ac:dyDescent="0.2"/>
    <row r="57521" ht="12.75" hidden="1" customHeight="1" x14ac:dyDescent="0.2"/>
    <row r="57522" ht="12.75" hidden="1" customHeight="1" x14ac:dyDescent="0.2"/>
    <row r="57523" ht="12.75" hidden="1" customHeight="1" x14ac:dyDescent="0.2"/>
    <row r="57524" ht="12.75" hidden="1" customHeight="1" x14ac:dyDescent="0.2"/>
    <row r="57525" ht="12.75" hidden="1" customHeight="1" x14ac:dyDescent="0.2"/>
    <row r="57526" ht="12.75" hidden="1" customHeight="1" x14ac:dyDescent="0.2"/>
    <row r="57527" ht="12.75" hidden="1" customHeight="1" x14ac:dyDescent="0.2"/>
    <row r="57528" ht="12.75" hidden="1" customHeight="1" x14ac:dyDescent="0.2"/>
    <row r="57529" ht="12.75" hidden="1" customHeight="1" x14ac:dyDescent="0.2"/>
    <row r="57530" ht="12.75" hidden="1" customHeight="1" x14ac:dyDescent="0.2"/>
    <row r="57531" ht="12.75" hidden="1" customHeight="1" x14ac:dyDescent="0.2"/>
    <row r="57532" ht="12.75" hidden="1" customHeight="1" x14ac:dyDescent="0.2"/>
    <row r="57533" ht="12.75" hidden="1" customHeight="1" x14ac:dyDescent="0.2"/>
    <row r="57534" ht="12.75" hidden="1" customHeight="1" x14ac:dyDescent="0.2"/>
    <row r="57535" ht="12.75" hidden="1" customHeight="1" x14ac:dyDescent="0.2"/>
    <row r="57536" ht="12.75" hidden="1" customHeight="1" x14ac:dyDescent="0.2"/>
    <row r="57537" ht="12.75" hidden="1" customHeight="1" x14ac:dyDescent="0.2"/>
    <row r="57538" ht="12.75" hidden="1" customHeight="1" x14ac:dyDescent="0.2"/>
    <row r="57539" ht="12.75" hidden="1" customHeight="1" x14ac:dyDescent="0.2"/>
    <row r="57540" ht="12.75" hidden="1" customHeight="1" x14ac:dyDescent="0.2"/>
    <row r="57541" ht="12.75" hidden="1" customHeight="1" x14ac:dyDescent="0.2"/>
    <row r="57542" ht="12.75" hidden="1" customHeight="1" x14ac:dyDescent="0.2"/>
    <row r="57543" ht="12.75" hidden="1" customHeight="1" x14ac:dyDescent="0.2"/>
    <row r="57544" ht="12.75" hidden="1" customHeight="1" x14ac:dyDescent="0.2"/>
    <row r="57545" ht="12.75" hidden="1" customHeight="1" x14ac:dyDescent="0.2"/>
    <row r="57546" ht="12.75" hidden="1" customHeight="1" x14ac:dyDescent="0.2"/>
    <row r="57547" ht="12.75" hidden="1" customHeight="1" x14ac:dyDescent="0.2"/>
    <row r="57548" ht="12.75" hidden="1" customHeight="1" x14ac:dyDescent="0.2"/>
    <row r="57549" ht="12.75" hidden="1" customHeight="1" x14ac:dyDescent="0.2"/>
    <row r="57550" ht="12.75" hidden="1" customHeight="1" x14ac:dyDescent="0.2"/>
    <row r="57551" ht="12.75" hidden="1" customHeight="1" x14ac:dyDescent="0.2"/>
    <row r="57552" ht="12.75" hidden="1" customHeight="1" x14ac:dyDescent="0.2"/>
    <row r="57553" ht="12.75" hidden="1" customHeight="1" x14ac:dyDescent="0.2"/>
    <row r="57554" ht="12.75" hidden="1" customHeight="1" x14ac:dyDescent="0.2"/>
    <row r="57555" ht="12.75" hidden="1" customHeight="1" x14ac:dyDescent="0.2"/>
    <row r="57556" ht="12.75" hidden="1" customHeight="1" x14ac:dyDescent="0.2"/>
    <row r="57557" ht="12.75" hidden="1" customHeight="1" x14ac:dyDescent="0.2"/>
    <row r="57558" ht="12.75" hidden="1" customHeight="1" x14ac:dyDescent="0.2"/>
    <row r="57559" ht="12.75" hidden="1" customHeight="1" x14ac:dyDescent="0.2"/>
    <row r="57560" ht="12.75" hidden="1" customHeight="1" x14ac:dyDescent="0.2"/>
    <row r="57561" ht="12.75" hidden="1" customHeight="1" x14ac:dyDescent="0.2"/>
    <row r="57562" ht="12.75" hidden="1" customHeight="1" x14ac:dyDescent="0.2"/>
    <row r="57563" ht="12.75" hidden="1" customHeight="1" x14ac:dyDescent="0.2"/>
    <row r="57564" ht="12.75" hidden="1" customHeight="1" x14ac:dyDescent="0.2"/>
    <row r="57565" ht="12.75" hidden="1" customHeight="1" x14ac:dyDescent="0.2"/>
    <row r="57566" ht="12.75" hidden="1" customHeight="1" x14ac:dyDescent="0.2"/>
    <row r="57567" ht="12.75" hidden="1" customHeight="1" x14ac:dyDescent="0.2"/>
    <row r="57568" ht="12.75" hidden="1" customHeight="1" x14ac:dyDescent="0.2"/>
    <row r="57569" ht="12.75" hidden="1" customHeight="1" x14ac:dyDescent="0.2"/>
    <row r="57570" ht="12.75" hidden="1" customHeight="1" x14ac:dyDescent="0.2"/>
    <row r="57571" ht="12.75" hidden="1" customHeight="1" x14ac:dyDescent="0.2"/>
    <row r="57572" ht="12.75" hidden="1" customHeight="1" x14ac:dyDescent="0.2"/>
    <row r="57573" ht="12.75" hidden="1" customHeight="1" x14ac:dyDescent="0.2"/>
    <row r="57574" ht="12.75" hidden="1" customHeight="1" x14ac:dyDescent="0.2"/>
    <row r="57575" ht="12.75" hidden="1" customHeight="1" x14ac:dyDescent="0.2"/>
    <row r="57576" ht="12.75" hidden="1" customHeight="1" x14ac:dyDescent="0.2"/>
    <row r="57577" ht="12.75" hidden="1" customHeight="1" x14ac:dyDescent="0.2"/>
    <row r="57578" ht="12.75" hidden="1" customHeight="1" x14ac:dyDescent="0.2"/>
    <row r="57579" ht="12.75" hidden="1" customHeight="1" x14ac:dyDescent="0.2"/>
    <row r="57580" ht="12.75" hidden="1" customHeight="1" x14ac:dyDescent="0.2"/>
    <row r="57581" ht="12.75" hidden="1" customHeight="1" x14ac:dyDescent="0.2"/>
    <row r="57582" ht="12.75" hidden="1" customHeight="1" x14ac:dyDescent="0.2"/>
    <row r="57583" ht="12.75" hidden="1" customHeight="1" x14ac:dyDescent="0.2"/>
    <row r="57584" ht="12.75" hidden="1" customHeight="1" x14ac:dyDescent="0.2"/>
    <row r="57585" ht="12.75" hidden="1" customHeight="1" x14ac:dyDescent="0.2"/>
    <row r="57586" ht="12.75" hidden="1" customHeight="1" x14ac:dyDescent="0.2"/>
    <row r="57587" ht="12.75" hidden="1" customHeight="1" x14ac:dyDescent="0.2"/>
    <row r="57588" ht="12.75" hidden="1" customHeight="1" x14ac:dyDescent="0.2"/>
    <row r="57589" ht="12.75" hidden="1" customHeight="1" x14ac:dyDescent="0.2"/>
    <row r="57590" ht="12.75" hidden="1" customHeight="1" x14ac:dyDescent="0.2"/>
    <row r="57591" ht="12.75" hidden="1" customHeight="1" x14ac:dyDescent="0.2"/>
    <row r="57592" ht="12.75" hidden="1" customHeight="1" x14ac:dyDescent="0.2"/>
    <row r="57593" ht="12.75" hidden="1" customHeight="1" x14ac:dyDescent="0.2"/>
    <row r="57594" ht="12.75" hidden="1" customHeight="1" x14ac:dyDescent="0.2"/>
    <row r="57595" ht="12.75" hidden="1" customHeight="1" x14ac:dyDescent="0.2"/>
    <row r="57596" ht="12.75" hidden="1" customHeight="1" x14ac:dyDescent="0.2"/>
    <row r="57597" ht="12.75" hidden="1" customHeight="1" x14ac:dyDescent="0.2"/>
    <row r="57598" ht="12.75" hidden="1" customHeight="1" x14ac:dyDescent="0.2"/>
    <row r="57599" ht="12.75" hidden="1" customHeight="1" x14ac:dyDescent="0.2"/>
    <row r="57600" ht="12.75" hidden="1" customHeight="1" x14ac:dyDescent="0.2"/>
    <row r="57601" ht="12.75" hidden="1" customHeight="1" x14ac:dyDescent="0.2"/>
    <row r="57602" ht="12.75" hidden="1" customHeight="1" x14ac:dyDescent="0.2"/>
    <row r="57603" ht="12.75" hidden="1" customHeight="1" x14ac:dyDescent="0.2"/>
    <row r="57604" ht="12.75" hidden="1" customHeight="1" x14ac:dyDescent="0.2"/>
    <row r="57605" ht="12.75" hidden="1" customHeight="1" x14ac:dyDescent="0.2"/>
    <row r="57606" ht="12.75" hidden="1" customHeight="1" x14ac:dyDescent="0.2"/>
    <row r="57607" ht="12.75" hidden="1" customHeight="1" x14ac:dyDescent="0.2"/>
    <row r="57608" ht="12.75" hidden="1" customHeight="1" x14ac:dyDescent="0.2"/>
    <row r="57609" ht="12.75" hidden="1" customHeight="1" x14ac:dyDescent="0.2"/>
    <row r="57610" ht="12.75" hidden="1" customHeight="1" x14ac:dyDescent="0.2"/>
    <row r="57611" ht="12.75" hidden="1" customHeight="1" x14ac:dyDescent="0.2"/>
    <row r="57612" ht="12.75" hidden="1" customHeight="1" x14ac:dyDescent="0.2"/>
    <row r="57613" ht="12.75" hidden="1" customHeight="1" x14ac:dyDescent="0.2"/>
    <row r="57614" ht="12.75" hidden="1" customHeight="1" x14ac:dyDescent="0.2"/>
    <row r="57615" ht="12.75" hidden="1" customHeight="1" x14ac:dyDescent="0.2"/>
    <row r="57616" ht="12.75" hidden="1" customHeight="1" x14ac:dyDescent="0.2"/>
    <row r="57617" ht="12.75" hidden="1" customHeight="1" x14ac:dyDescent="0.2"/>
    <row r="57618" ht="12.75" hidden="1" customHeight="1" x14ac:dyDescent="0.2"/>
    <row r="57619" ht="12.75" hidden="1" customHeight="1" x14ac:dyDescent="0.2"/>
    <row r="57620" ht="12.75" hidden="1" customHeight="1" x14ac:dyDescent="0.2"/>
    <row r="57621" ht="12.75" hidden="1" customHeight="1" x14ac:dyDescent="0.2"/>
    <row r="57622" ht="12.75" hidden="1" customHeight="1" x14ac:dyDescent="0.2"/>
    <row r="57623" ht="12.75" hidden="1" customHeight="1" x14ac:dyDescent="0.2"/>
    <row r="57624" ht="12.75" hidden="1" customHeight="1" x14ac:dyDescent="0.2"/>
    <row r="57625" ht="12.75" hidden="1" customHeight="1" x14ac:dyDescent="0.2"/>
    <row r="57626" ht="12.75" hidden="1" customHeight="1" x14ac:dyDescent="0.2"/>
    <row r="57627" ht="12.75" hidden="1" customHeight="1" x14ac:dyDescent="0.2"/>
    <row r="57628" ht="12.75" hidden="1" customHeight="1" x14ac:dyDescent="0.2"/>
    <row r="57629" ht="12.75" hidden="1" customHeight="1" x14ac:dyDescent="0.2"/>
    <row r="57630" ht="12.75" hidden="1" customHeight="1" x14ac:dyDescent="0.2"/>
    <row r="57631" ht="12.75" hidden="1" customHeight="1" x14ac:dyDescent="0.2"/>
    <row r="57632" ht="12.75" hidden="1" customHeight="1" x14ac:dyDescent="0.2"/>
    <row r="57633" ht="12.75" hidden="1" customHeight="1" x14ac:dyDescent="0.2"/>
    <row r="57634" ht="12.75" hidden="1" customHeight="1" x14ac:dyDescent="0.2"/>
    <row r="57635" ht="12.75" hidden="1" customHeight="1" x14ac:dyDescent="0.2"/>
    <row r="57636" ht="12.75" hidden="1" customHeight="1" x14ac:dyDescent="0.2"/>
    <row r="57637" ht="12.75" hidden="1" customHeight="1" x14ac:dyDescent="0.2"/>
    <row r="57638" ht="12.75" hidden="1" customHeight="1" x14ac:dyDescent="0.2"/>
    <row r="57639" ht="12.75" hidden="1" customHeight="1" x14ac:dyDescent="0.2"/>
    <row r="57640" ht="12.75" hidden="1" customHeight="1" x14ac:dyDescent="0.2"/>
    <row r="57641" ht="12.75" hidden="1" customHeight="1" x14ac:dyDescent="0.2"/>
    <row r="57642" ht="12.75" hidden="1" customHeight="1" x14ac:dyDescent="0.2"/>
    <row r="57643" ht="12.75" hidden="1" customHeight="1" x14ac:dyDescent="0.2"/>
    <row r="57644" ht="12.75" hidden="1" customHeight="1" x14ac:dyDescent="0.2"/>
    <row r="57645" ht="12.75" hidden="1" customHeight="1" x14ac:dyDescent="0.2"/>
    <row r="57646" ht="12.75" hidden="1" customHeight="1" x14ac:dyDescent="0.2"/>
    <row r="57647" ht="12.75" hidden="1" customHeight="1" x14ac:dyDescent="0.2"/>
    <row r="57648" ht="12.75" hidden="1" customHeight="1" x14ac:dyDescent="0.2"/>
    <row r="57649" ht="12.75" hidden="1" customHeight="1" x14ac:dyDescent="0.2"/>
    <row r="57650" ht="12.75" hidden="1" customHeight="1" x14ac:dyDescent="0.2"/>
    <row r="57651" ht="12.75" hidden="1" customHeight="1" x14ac:dyDescent="0.2"/>
    <row r="57652" ht="12.75" hidden="1" customHeight="1" x14ac:dyDescent="0.2"/>
    <row r="57653" ht="12.75" hidden="1" customHeight="1" x14ac:dyDescent="0.2"/>
    <row r="57654" ht="12.75" hidden="1" customHeight="1" x14ac:dyDescent="0.2"/>
    <row r="57655" ht="12.75" hidden="1" customHeight="1" x14ac:dyDescent="0.2"/>
    <row r="57656" ht="12.75" hidden="1" customHeight="1" x14ac:dyDescent="0.2"/>
    <row r="57657" ht="12.75" hidden="1" customHeight="1" x14ac:dyDescent="0.2"/>
    <row r="57658" ht="12.75" hidden="1" customHeight="1" x14ac:dyDescent="0.2"/>
    <row r="57659" ht="12.75" hidden="1" customHeight="1" x14ac:dyDescent="0.2"/>
    <row r="57660" ht="12.75" hidden="1" customHeight="1" x14ac:dyDescent="0.2"/>
    <row r="57661" ht="12.75" hidden="1" customHeight="1" x14ac:dyDescent="0.2"/>
    <row r="57662" ht="12.75" hidden="1" customHeight="1" x14ac:dyDescent="0.2"/>
    <row r="57663" ht="12.75" hidden="1" customHeight="1" x14ac:dyDescent="0.2"/>
    <row r="57664" ht="12.75" hidden="1" customHeight="1" x14ac:dyDescent="0.2"/>
    <row r="57665" ht="12.75" hidden="1" customHeight="1" x14ac:dyDescent="0.2"/>
    <row r="57666" ht="12.75" hidden="1" customHeight="1" x14ac:dyDescent="0.2"/>
    <row r="57667" ht="12.75" hidden="1" customHeight="1" x14ac:dyDescent="0.2"/>
    <row r="57668" ht="12.75" hidden="1" customHeight="1" x14ac:dyDescent="0.2"/>
    <row r="57669" ht="12.75" hidden="1" customHeight="1" x14ac:dyDescent="0.2"/>
    <row r="57670" ht="12.75" hidden="1" customHeight="1" x14ac:dyDescent="0.2"/>
    <row r="57671" ht="12.75" hidden="1" customHeight="1" x14ac:dyDescent="0.2"/>
    <row r="57672" ht="12.75" hidden="1" customHeight="1" x14ac:dyDescent="0.2"/>
    <row r="57673" ht="12.75" hidden="1" customHeight="1" x14ac:dyDescent="0.2"/>
    <row r="57674" ht="12.75" hidden="1" customHeight="1" x14ac:dyDescent="0.2"/>
    <row r="57675" ht="12.75" hidden="1" customHeight="1" x14ac:dyDescent="0.2"/>
    <row r="57676" ht="12.75" hidden="1" customHeight="1" x14ac:dyDescent="0.2"/>
    <row r="57677" ht="12.75" hidden="1" customHeight="1" x14ac:dyDescent="0.2"/>
    <row r="57678" ht="12.75" hidden="1" customHeight="1" x14ac:dyDescent="0.2"/>
    <row r="57679" ht="12.75" hidden="1" customHeight="1" x14ac:dyDescent="0.2"/>
    <row r="57680" ht="12.75" hidden="1" customHeight="1" x14ac:dyDescent="0.2"/>
    <row r="57681" ht="12.75" hidden="1" customHeight="1" x14ac:dyDescent="0.2"/>
    <row r="57682" ht="12.75" hidden="1" customHeight="1" x14ac:dyDescent="0.2"/>
    <row r="57683" ht="12.75" hidden="1" customHeight="1" x14ac:dyDescent="0.2"/>
    <row r="57684" ht="12.75" hidden="1" customHeight="1" x14ac:dyDescent="0.2"/>
    <row r="57685" ht="12.75" hidden="1" customHeight="1" x14ac:dyDescent="0.2"/>
    <row r="57686" ht="12.75" hidden="1" customHeight="1" x14ac:dyDescent="0.2"/>
    <row r="57687" ht="12.75" hidden="1" customHeight="1" x14ac:dyDescent="0.2"/>
    <row r="57688" ht="12.75" hidden="1" customHeight="1" x14ac:dyDescent="0.2"/>
    <row r="57689" ht="12.75" hidden="1" customHeight="1" x14ac:dyDescent="0.2"/>
    <row r="57690" ht="12.75" hidden="1" customHeight="1" x14ac:dyDescent="0.2"/>
    <row r="57691" ht="12.75" hidden="1" customHeight="1" x14ac:dyDescent="0.2"/>
    <row r="57692" ht="12.75" hidden="1" customHeight="1" x14ac:dyDescent="0.2"/>
    <row r="57693" ht="12.75" hidden="1" customHeight="1" x14ac:dyDescent="0.2"/>
    <row r="57694" ht="12.75" hidden="1" customHeight="1" x14ac:dyDescent="0.2"/>
    <row r="57695" ht="12.75" hidden="1" customHeight="1" x14ac:dyDescent="0.2"/>
    <row r="57696" ht="12.75" hidden="1" customHeight="1" x14ac:dyDescent="0.2"/>
    <row r="57697" ht="12.75" hidden="1" customHeight="1" x14ac:dyDescent="0.2"/>
    <row r="57698" ht="12.75" hidden="1" customHeight="1" x14ac:dyDescent="0.2"/>
    <row r="57699" ht="12.75" hidden="1" customHeight="1" x14ac:dyDescent="0.2"/>
    <row r="57700" ht="12.75" hidden="1" customHeight="1" x14ac:dyDescent="0.2"/>
    <row r="57701" ht="12.75" hidden="1" customHeight="1" x14ac:dyDescent="0.2"/>
    <row r="57702" ht="12.75" hidden="1" customHeight="1" x14ac:dyDescent="0.2"/>
    <row r="57703" ht="12.75" hidden="1" customHeight="1" x14ac:dyDescent="0.2"/>
    <row r="57704" ht="12.75" hidden="1" customHeight="1" x14ac:dyDescent="0.2"/>
    <row r="57705" ht="12.75" hidden="1" customHeight="1" x14ac:dyDescent="0.2"/>
    <row r="57706" ht="12.75" hidden="1" customHeight="1" x14ac:dyDescent="0.2"/>
    <row r="57707" ht="12.75" hidden="1" customHeight="1" x14ac:dyDescent="0.2"/>
    <row r="57708" ht="12.75" hidden="1" customHeight="1" x14ac:dyDescent="0.2"/>
    <row r="57709" ht="12.75" hidden="1" customHeight="1" x14ac:dyDescent="0.2"/>
    <row r="57710" ht="12.75" hidden="1" customHeight="1" x14ac:dyDescent="0.2"/>
    <row r="57711" ht="12.75" hidden="1" customHeight="1" x14ac:dyDescent="0.2"/>
    <row r="57712" ht="12.75" hidden="1" customHeight="1" x14ac:dyDescent="0.2"/>
    <row r="57713" ht="12.75" hidden="1" customHeight="1" x14ac:dyDescent="0.2"/>
    <row r="57714" ht="12.75" hidden="1" customHeight="1" x14ac:dyDescent="0.2"/>
    <row r="57715" ht="12.75" hidden="1" customHeight="1" x14ac:dyDescent="0.2"/>
    <row r="57716" ht="12.75" hidden="1" customHeight="1" x14ac:dyDescent="0.2"/>
    <row r="57717" ht="12.75" hidden="1" customHeight="1" x14ac:dyDescent="0.2"/>
    <row r="57718" ht="12.75" hidden="1" customHeight="1" x14ac:dyDescent="0.2"/>
    <row r="57719" ht="12.75" hidden="1" customHeight="1" x14ac:dyDescent="0.2"/>
    <row r="57720" ht="12.75" hidden="1" customHeight="1" x14ac:dyDescent="0.2"/>
    <row r="57721" ht="12.75" hidden="1" customHeight="1" x14ac:dyDescent="0.2"/>
    <row r="57722" ht="12.75" hidden="1" customHeight="1" x14ac:dyDescent="0.2"/>
    <row r="57723" ht="12.75" hidden="1" customHeight="1" x14ac:dyDescent="0.2"/>
    <row r="57724" ht="12.75" hidden="1" customHeight="1" x14ac:dyDescent="0.2"/>
    <row r="57725" ht="12.75" hidden="1" customHeight="1" x14ac:dyDescent="0.2"/>
    <row r="57726" ht="12.75" hidden="1" customHeight="1" x14ac:dyDescent="0.2"/>
    <row r="57727" ht="12.75" hidden="1" customHeight="1" x14ac:dyDescent="0.2"/>
    <row r="57728" ht="12.75" hidden="1" customHeight="1" x14ac:dyDescent="0.2"/>
    <row r="57729" ht="12.75" hidden="1" customHeight="1" x14ac:dyDescent="0.2"/>
    <row r="57730" ht="12.75" hidden="1" customHeight="1" x14ac:dyDescent="0.2"/>
    <row r="57731" ht="12.75" hidden="1" customHeight="1" x14ac:dyDescent="0.2"/>
    <row r="57732" ht="12.75" hidden="1" customHeight="1" x14ac:dyDescent="0.2"/>
    <row r="57733" ht="12.75" hidden="1" customHeight="1" x14ac:dyDescent="0.2"/>
    <row r="57734" ht="12.75" hidden="1" customHeight="1" x14ac:dyDescent="0.2"/>
    <row r="57735" ht="12.75" hidden="1" customHeight="1" x14ac:dyDescent="0.2"/>
    <row r="57736" ht="12.75" hidden="1" customHeight="1" x14ac:dyDescent="0.2"/>
    <row r="57737" ht="12.75" hidden="1" customHeight="1" x14ac:dyDescent="0.2"/>
    <row r="57738" ht="12.75" hidden="1" customHeight="1" x14ac:dyDescent="0.2"/>
    <row r="57739" ht="12.75" hidden="1" customHeight="1" x14ac:dyDescent="0.2"/>
    <row r="57740" ht="12.75" hidden="1" customHeight="1" x14ac:dyDescent="0.2"/>
    <row r="57741" ht="12.75" hidden="1" customHeight="1" x14ac:dyDescent="0.2"/>
    <row r="57742" ht="12.75" hidden="1" customHeight="1" x14ac:dyDescent="0.2"/>
    <row r="57743" ht="12.75" hidden="1" customHeight="1" x14ac:dyDescent="0.2"/>
    <row r="57744" ht="12.75" hidden="1" customHeight="1" x14ac:dyDescent="0.2"/>
    <row r="57745" ht="12.75" hidden="1" customHeight="1" x14ac:dyDescent="0.2"/>
    <row r="57746" ht="12.75" hidden="1" customHeight="1" x14ac:dyDescent="0.2"/>
    <row r="57747" ht="12.75" hidden="1" customHeight="1" x14ac:dyDescent="0.2"/>
    <row r="57748" ht="12.75" hidden="1" customHeight="1" x14ac:dyDescent="0.2"/>
    <row r="57749" ht="12.75" hidden="1" customHeight="1" x14ac:dyDescent="0.2"/>
    <row r="57750" ht="12.75" hidden="1" customHeight="1" x14ac:dyDescent="0.2"/>
    <row r="57751" ht="12.75" hidden="1" customHeight="1" x14ac:dyDescent="0.2"/>
    <row r="57752" ht="12.75" hidden="1" customHeight="1" x14ac:dyDescent="0.2"/>
    <row r="57753" ht="12.75" hidden="1" customHeight="1" x14ac:dyDescent="0.2"/>
    <row r="57754" ht="12.75" hidden="1" customHeight="1" x14ac:dyDescent="0.2"/>
    <row r="57755" ht="12.75" hidden="1" customHeight="1" x14ac:dyDescent="0.2"/>
    <row r="57756" ht="12.75" hidden="1" customHeight="1" x14ac:dyDescent="0.2"/>
    <row r="57757" ht="12.75" hidden="1" customHeight="1" x14ac:dyDescent="0.2"/>
    <row r="57758" ht="12.75" hidden="1" customHeight="1" x14ac:dyDescent="0.2"/>
    <row r="57759" ht="12.75" hidden="1" customHeight="1" x14ac:dyDescent="0.2"/>
    <row r="57760" ht="12.75" hidden="1" customHeight="1" x14ac:dyDescent="0.2"/>
    <row r="57761" ht="12.75" hidden="1" customHeight="1" x14ac:dyDescent="0.2"/>
    <row r="57762" ht="12.75" hidden="1" customHeight="1" x14ac:dyDescent="0.2"/>
    <row r="57763" ht="12.75" hidden="1" customHeight="1" x14ac:dyDescent="0.2"/>
    <row r="57764" ht="12.75" hidden="1" customHeight="1" x14ac:dyDescent="0.2"/>
    <row r="57765" ht="12.75" hidden="1" customHeight="1" x14ac:dyDescent="0.2"/>
    <row r="57766" ht="12.75" hidden="1" customHeight="1" x14ac:dyDescent="0.2"/>
    <row r="57767" ht="12.75" hidden="1" customHeight="1" x14ac:dyDescent="0.2"/>
    <row r="57768" ht="12.75" hidden="1" customHeight="1" x14ac:dyDescent="0.2"/>
    <row r="57769" ht="12.75" hidden="1" customHeight="1" x14ac:dyDescent="0.2"/>
    <row r="57770" ht="12.75" hidden="1" customHeight="1" x14ac:dyDescent="0.2"/>
    <row r="57771" ht="12.75" hidden="1" customHeight="1" x14ac:dyDescent="0.2"/>
    <row r="57772" ht="12.75" hidden="1" customHeight="1" x14ac:dyDescent="0.2"/>
    <row r="57773" ht="12.75" hidden="1" customHeight="1" x14ac:dyDescent="0.2"/>
    <row r="57774" ht="12.75" hidden="1" customHeight="1" x14ac:dyDescent="0.2"/>
    <row r="57775" ht="12.75" hidden="1" customHeight="1" x14ac:dyDescent="0.2"/>
    <row r="57776" ht="12.75" hidden="1" customHeight="1" x14ac:dyDescent="0.2"/>
    <row r="57777" ht="12.75" hidden="1" customHeight="1" x14ac:dyDescent="0.2"/>
    <row r="57778" ht="12.75" hidden="1" customHeight="1" x14ac:dyDescent="0.2"/>
    <row r="57779" ht="12.75" hidden="1" customHeight="1" x14ac:dyDescent="0.2"/>
    <row r="57780" ht="12.75" hidden="1" customHeight="1" x14ac:dyDescent="0.2"/>
    <row r="57781" ht="12.75" hidden="1" customHeight="1" x14ac:dyDescent="0.2"/>
    <row r="57782" ht="12.75" hidden="1" customHeight="1" x14ac:dyDescent="0.2"/>
    <row r="57783" ht="12.75" hidden="1" customHeight="1" x14ac:dyDescent="0.2"/>
    <row r="57784" ht="12.75" hidden="1" customHeight="1" x14ac:dyDescent="0.2"/>
    <row r="57785" ht="12.75" hidden="1" customHeight="1" x14ac:dyDescent="0.2"/>
    <row r="57786" ht="12.75" hidden="1" customHeight="1" x14ac:dyDescent="0.2"/>
    <row r="57787" ht="12.75" hidden="1" customHeight="1" x14ac:dyDescent="0.2"/>
    <row r="57788" ht="12.75" hidden="1" customHeight="1" x14ac:dyDescent="0.2"/>
    <row r="57789" ht="12.75" hidden="1" customHeight="1" x14ac:dyDescent="0.2"/>
    <row r="57790" ht="12.75" hidden="1" customHeight="1" x14ac:dyDescent="0.2"/>
    <row r="57791" ht="12.75" hidden="1" customHeight="1" x14ac:dyDescent="0.2"/>
    <row r="57792" ht="12.75" hidden="1" customHeight="1" x14ac:dyDescent="0.2"/>
    <row r="57793" ht="12.75" hidden="1" customHeight="1" x14ac:dyDescent="0.2"/>
    <row r="57794" ht="12.75" hidden="1" customHeight="1" x14ac:dyDescent="0.2"/>
    <row r="57795" ht="12.75" hidden="1" customHeight="1" x14ac:dyDescent="0.2"/>
    <row r="57796" ht="12.75" hidden="1" customHeight="1" x14ac:dyDescent="0.2"/>
    <row r="57797" ht="12.75" hidden="1" customHeight="1" x14ac:dyDescent="0.2"/>
    <row r="57798" ht="12.75" hidden="1" customHeight="1" x14ac:dyDescent="0.2"/>
    <row r="57799" ht="12.75" hidden="1" customHeight="1" x14ac:dyDescent="0.2"/>
    <row r="57800" ht="12.75" hidden="1" customHeight="1" x14ac:dyDescent="0.2"/>
    <row r="57801" ht="12.75" hidden="1" customHeight="1" x14ac:dyDescent="0.2"/>
    <row r="57802" ht="12.75" hidden="1" customHeight="1" x14ac:dyDescent="0.2"/>
    <row r="57803" ht="12.75" hidden="1" customHeight="1" x14ac:dyDescent="0.2"/>
    <row r="57804" ht="12.75" hidden="1" customHeight="1" x14ac:dyDescent="0.2"/>
    <row r="57805" ht="12.75" hidden="1" customHeight="1" x14ac:dyDescent="0.2"/>
    <row r="57806" ht="12.75" hidden="1" customHeight="1" x14ac:dyDescent="0.2"/>
    <row r="57807" ht="12.75" hidden="1" customHeight="1" x14ac:dyDescent="0.2"/>
    <row r="57808" ht="12.75" hidden="1" customHeight="1" x14ac:dyDescent="0.2"/>
    <row r="57809" ht="12.75" hidden="1" customHeight="1" x14ac:dyDescent="0.2"/>
    <row r="57810" ht="12.75" hidden="1" customHeight="1" x14ac:dyDescent="0.2"/>
    <row r="57811" ht="12.75" hidden="1" customHeight="1" x14ac:dyDescent="0.2"/>
    <row r="57812" ht="12.75" hidden="1" customHeight="1" x14ac:dyDescent="0.2"/>
    <row r="57813" ht="12.75" hidden="1" customHeight="1" x14ac:dyDescent="0.2"/>
    <row r="57814" ht="12.75" hidden="1" customHeight="1" x14ac:dyDescent="0.2"/>
    <row r="57815" ht="12.75" hidden="1" customHeight="1" x14ac:dyDescent="0.2"/>
    <row r="57816" ht="12.75" hidden="1" customHeight="1" x14ac:dyDescent="0.2"/>
    <row r="57817" ht="12.75" hidden="1" customHeight="1" x14ac:dyDescent="0.2"/>
    <row r="57818" ht="12.75" hidden="1" customHeight="1" x14ac:dyDescent="0.2"/>
    <row r="57819" ht="12.75" hidden="1" customHeight="1" x14ac:dyDescent="0.2"/>
    <row r="57820" ht="12.75" hidden="1" customHeight="1" x14ac:dyDescent="0.2"/>
    <row r="57821" ht="12.75" hidden="1" customHeight="1" x14ac:dyDescent="0.2"/>
    <row r="57822" ht="12.75" hidden="1" customHeight="1" x14ac:dyDescent="0.2"/>
    <row r="57823" ht="12.75" hidden="1" customHeight="1" x14ac:dyDescent="0.2"/>
    <row r="57824" ht="12.75" hidden="1" customHeight="1" x14ac:dyDescent="0.2"/>
    <row r="57825" ht="12.75" hidden="1" customHeight="1" x14ac:dyDescent="0.2"/>
    <row r="57826" ht="12.75" hidden="1" customHeight="1" x14ac:dyDescent="0.2"/>
    <row r="57827" ht="12.75" hidden="1" customHeight="1" x14ac:dyDescent="0.2"/>
    <row r="57828" ht="12.75" hidden="1" customHeight="1" x14ac:dyDescent="0.2"/>
    <row r="57829" ht="12.75" hidden="1" customHeight="1" x14ac:dyDescent="0.2"/>
    <row r="57830" ht="12.75" hidden="1" customHeight="1" x14ac:dyDescent="0.2"/>
    <row r="57831" ht="12.75" hidden="1" customHeight="1" x14ac:dyDescent="0.2"/>
    <row r="57832" ht="12.75" hidden="1" customHeight="1" x14ac:dyDescent="0.2"/>
    <row r="57833" ht="12.75" hidden="1" customHeight="1" x14ac:dyDescent="0.2"/>
    <row r="57834" ht="12.75" hidden="1" customHeight="1" x14ac:dyDescent="0.2"/>
    <row r="57835" ht="12.75" hidden="1" customHeight="1" x14ac:dyDescent="0.2"/>
    <row r="57836" ht="12.75" hidden="1" customHeight="1" x14ac:dyDescent="0.2"/>
    <row r="57837" ht="12.75" hidden="1" customHeight="1" x14ac:dyDescent="0.2"/>
    <row r="57838" ht="12.75" hidden="1" customHeight="1" x14ac:dyDescent="0.2"/>
    <row r="57839" ht="12.75" hidden="1" customHeight="1" x14ac:dyDescent="0.2"/>
    <row r="57840" ht="12.75" hidden="1" customHeight="1" x14ac:dyDescent="0.2"/>
    <row r="57841" ht="12.75" hidden="1" customHeight="1" x14ac:dyDescent="0.2"/>
    <row r="57842" ht="12.75" hidden="1" customHeight="1" x14ac:dyDescent="0.2"/>
    <row r="57843" ht="12.75" hidden="1" customHeight="1" x14ac:dyDescent="0.2"/>
    <row r="57844" ht="12.75" hidden="1" customHeight="1" x14ac:dyDescent="0.2"/>
    <row r="57845" ht="12.75" hidden="1" customHeight="1" x14ac:dyDescent="0.2"/>
    <row r="57846" ht="12.75" hidden="1" customHeight="1" x14ac:dyDescent="0.2"/>
    <row r="57847" ht="12.75" hidden="1" customHeight="1" x14ac:dyDescent="0.2"/>
    <row r="57848" ht="12.75" hidden="1" customHeight="1" x14ac:dyDescent="0.2"/>
    <row r="57849" ht="12.75" hidden="1" customHeight="1" x14ac:dyDescent="0.2"/>
    <row r="57850" ht="12.75" hidden="1" customHeight="1" x14ac:dyDescent="0.2"/>
    <row r="57851" ht="12.75" hidden="1" customHeight="1" x14ac:dyDescent="0.2"/>
    <row r="57852" ht="12.75" hidden="1" customHeight="1" x14ac:dyDescent="0.2"/>
    <row r="57853" ht="12.75" hidden="1" customHeight="1" x14ac:dyDescent="0.2"/>
    <row r="57854" ht="12.75" hidden="1" customHeight="1" x14ac:dyDescent="0.2"/>
    <row r="57855" ht="12.75" hidden="1" customHeight="1" x14ac:dyDescent="0.2"/>
    <row r="57856" ht="12.75" hidden="1" customHeight="1" x14ac:dyDescent="0.2"/>
    <row r="57857" ht="12.75" hidden="1" customHeight="1" x14ac:dyDescent="0.2"/>
    <row r="57858" ht="12.75" hidden="1" customHeight="1" x14ac:dyDescent="0.2"/>
    <row r="57859" ht="12.75" hidden="1" customHeight="1" x14ac:dyDescent="0.2"/>
    <row r="57860" ht="12.75" hidden="1" customHeight="1" x14ac:dyDescent="0.2"/>
    <row r="57861" ht="12.75" hidden="1" customHeight="1" x14ac:dyDescent="0.2"/>
    <row r="57862" ht="12.75" hidden="1" customHeight="1" x14ac:dyDescent="0.2"/>
    <row r="57863" ht="12.75" hidden="1" customHeight="1" x14ac:dyDescent="0.2"/>
    <row r="57864" ht="12.75" hidden="1" customHeight="1" x14ac:dyDescent="0.2"/>
    <row r="57865" ht="12.75" hidden="1" customHeight="1" x14ac:dyDescent="0.2"/>
    <row r="57866" ht="12.75" hidden="1" customHeight="1" x14ac:dyDescent="0.2"/>
    <row r="57867" ht="12.75" hidden="1" customHeight="1" x14ac:dyDescent="0.2"/>
    <row r="57868" ht="12.75" hidden="1" customHeight="1" x14ac:dyDescent="0.2"/>
    <row r="57869" ht="12.75" hidden="1" customHeight="1" x14ac:dyDescent="0.2"/>
    <row r="57870" ht="12.75" hidden="1" customHeight="1" x14ac:dyDescent="0.2"/>
    <row r="57871" ht="12.75" hidden="1" customHeight="1" x14ac:dyDescent="0.2"/>
    <row r="57872" ht="12.75" hidden="1" customHeight="1" x14ac:dyDescent="0.2"/>
    <row r="57873" ht="12.75" hidden="1" customHeight="1" x14ac:dyDescent="0.2"/>
    <row r="57874" ht="12.75" hidden="1" customHeight="1" x14ac:dyDescent="0.2"/>
    <row r="57875" ht="12.75" hidden="1" customHeight="1" x14ac:dyDescent="0.2"/>
    <row r="57876" ht="12.75" hidden="1" customHeight="1" x14ac:dyDescent="0.2"/>
    <row r="57877" ht="12.75" hidden="1" customHeight="1" x14ac:dyDescent="0.2"/>
    <row r="57878" ht="12.75" hidden="1" customHeight="1" x14ac:dyDescent="0.2"/>
    <row r="57879" ht="12.75" hidden="1" customHeight="1" x14ac:dyDescent="0.2"/>
    <row r="57880" ht="12.75" hidden="1" customHeight="1" x14ac:dyDescent="0.2"/>
    <row r="57881" ht="12.75" hidden="1" customHeight="1" x14ac:dyDescent="0.2"/>
    <row r="57882" ht="12.75" hidden="1" customHeight="1" x14ac:dyDescent="0.2"/>
    <row r="57883" ht="12.75" hidden="1" customHeight="1" x14ac:dyDescent="0.2"/>
    <row r="57884" ht="12.75" hidden="1" customHeight="1" x14ac:dyDescent="0.2"/>
    <row r="57885" ht="12.75" hidden="1" customHeight="1" x14ac:dyDescent="0.2"/>
    <row r="57886" ht="12.75" hidden="1" customHeight="1" x14ac:dyDescent="0.2"/>
    <row r="57887" ht="12.75" hidden="1" customHeight="1" x14ac:dyDescent="0.2"/>
    <row r="57888" ht="12.75" hidden="1" customHeight="1" x14ac:dyDescent="0.2"/>
    <row r="57889" ht="12.75" hidden="1" customHeight="1" x14ac:dyDescent="0.2"/>
    <row r="57890" ht="12.75" hidden="1" customHeight="1" x14ac:dyDescent="0.2"/>
    <row r="57891" ht="12.75" hidden="1" customHeight="1" x14ac:dyDescent="0.2"/>
    <row r="57892" ht="12.75" hidden="1" customHeight="1" x14ac:dyDescent="0.2"/>
    <row r="57893" ht="12.75" hidden="1" customHeight="1" x14ac:dyDescent="0.2"/>
    <row r="57894" ht="12.75" hidden="1" customHeight="1" x14ac:dyDescent="0.2"/>
    <row r="57895" ht="12.75" hidden="1" customHeight="1" x14ac:dyDescent="0.2"/>
    <row r="57896" ht="12.75" hidden="1" customHeight="1" x14ac:dyDescent="0.2"/>
    <row r="57897" ht="12.75" hidden="1" customHeight="1" x14ac:dyDescent="0.2"/>
    <row r="57898" ht="12.75" hidden="1" customHeight="1" x14ac:dyDescent="0.2"/>
    <row r="57899" ht="12.75" hidden="1" customHeight="1" x14ac:dyDescent="0.2"/>
    <row r="57900" ht="12.75" hidden="1" customHeight="1" x14ac:dyDescent="0.2"/>
    <row r="57901" ht="12.75" hidden="1" customHeight="1" x14ac:dyDescent="0.2"/>
    <row r="57902" ht="12.75" hidden="1" customHeight="1" x14ac:dyDescent="0.2"/>
    <row r="57903" ht="12.75" hidden="1" customHeight="1" x14ac:dyDescent="0.2"/>
    <row r="57904" ht="12.75" hidden="1" customHeight="1" x14ac:dyDescent="0.2"/>
    <row r="57905" ht="12.75" hidden="1" customHeight="1" x14ac:dyDescent="0.2"/>
    <row r="57906" ht="12.75" hidden="1" customHeight="1" x14ac:dyDescent="0.2"/>
    <row r="57907" ht="12.75" hidden="1" customHeight="1" x14ac:dyDescent="0.2"/>
    <row r="57908" ht="12.75" hidden="1" customHeight="1" x14ac:dyDescent="0.2"/>
    <row r="57909" ht="12.75" hidden="1" customHeight="1" x14ac:dyDescent="0.2"/>
    <row r="57910" ht="12.75" hidden="1" customHeight="1" x14ac:dyDescent="0.2"/>
    <row r="57911" ht="12.75" hidden="1" customHeight="1" x14ac:dyDescent="0.2"/>
    <row r="57912" ht="12.75" hidden="1" customHeight="1" x14ac:dyDescent="0.2"/>
    <row r="57913" ht="12.75" hidden="1" customHeight="1" x14ac:dyDescent="0.2"/>
    <row r="57914" ht="12.75" hidden="1" customHeight="1" x14ac:dyDescent="0.2"/>
    <row r="57915" ht="12.75" hidden="1" customHeight="1" x14ac:dyDescent="0.2"/>
    <row r="57916" ht="12.75" hidden="1" customHeight="1" x14ac:dyDescent="0.2"/>
    <row r="57917" ht="12.75" hidden="1" customHeight="1" x14ac:dyDescent="0.2"/>
    <row r="57918" ht="12.75" hidden="1" customHeight="1" x14ac:dyDescent="0.2"/>
    <row r="57919" ht="12.75" hidden="1" customHeight="1" x14ac:dyDescent="0.2"/>
    <row r="57920" ht="12.75" hidden="1" customHeight="1" x14ac:dyDescent="0.2"/>
    <row r="57921" ht="12.75" hidden="1" customHeight="1" x14ac:dyDescent="0.2"/>
    <row r="57922" ht="12.75" hidden="1" customHeight="1" x14ac:dyDescent="0.2"/>
    <row r="57923" ht="12.75" hidden="1" customHeight="1" x14ac:dyDescent="0.2"/>
    <row r="57924" ht="12.75" hidden="1" customHeight="1" x14ac:dyDescent="0.2"/>
    <row r="57925" ht="12.75" hidden="1" customHeight="1" x14ac:dyDescent="0.2"/>
    <row r="57926" ht="12.75" hidden="1" customHeight="1" x14ac:dyDescent="0.2"/>
    <row r="57927" ht="12.75" hidden="1" customHeight="1" x14ac:dyDescent="0.2"/>
    <row r="57928" ht="12.75" hidden="1" customHeight="1" x14ac:dyDescent="0.2"/>
    <row r="57929" ht="12.75" hidden="1" customHeight="1" x14ac:dyDescent="0.2"/>
    <row r="57930" ht="12.75" hidden="1" customHeight="1" x14ac:dyDescent="0.2"/>
    <row r="57931" ht="12.75" hidden="1" customHeight="1" x14ac:dyDescent="0.2"/>
    <row r="57932" ht="12.75" hidden="1" customHeight="1" x14ac:dyDescent="0.2"/>
    <row r="57933" ht="12.75" hidden="1" customHeight="1" x14ac:dyDescent="0.2"/>
    <row r="57934" ht="12.75" hidden="1" customHeight="1" x14ac:dyDescent="0.2"/>
    <row r="57935" ht="12.75" hidden="1" customHeight="1" x14ac:dyDescent="0.2"/>
    <row r="57936" ht="12.75" hidden="1" customHeight="1" x14ac:dyDescent="0.2"/>
    <row r="57937" ht="12.75" hidden="1" customHeight="1" x14ac:dyDescent="0.2"/>
    <row r="57938" ht="12.75" hidden="1" customHeight="1" x14ac:dyDescent="0.2"/>
    <row r="57939" ht="12.75" hidden="1" customHeight="1" x14ac:dyDescent="0.2"/>
    <row r="57940" ht="12.75" hidden="1" customHeight="1" x14ac:dyDescent="0.2"/>
    <row r="57941" ht="12.75" hidden="1" customHeight="1" x14ac:dyDescent="0.2"/>
    <row r="57942" ht="12.75" hidden="1" customHeight="1" x14ac:dyDescent="0.2"/>
    <row r="57943" ht="12.75" hidden="1" customHeight="1" x14ac:dyDescent="0.2"/>
    <row r="57944" ht="12.75" hidden="1" customHeight="1" x14ac:dyDescent="0.2"/>
    <row r="57945" ht="12.75" hidden="1" customHeight="1" x14ac:dyDescent="0.2"/>
    <row r="57946" ht="12.75" hidden="1" customHeight="1" x14ac:dyDescent="0.2"/>
    <row r="57947" ht="12.75" hidden="1" customHeight="1" x14ac:dyDescent="0.2"/>
    <row r="57948" ht="12.75" hidden="1" customHeight="1" x14ac:dyDescent="0.2"/>
    <row r="57949" ht="12.75" hidden="1" customHeight="1" x14ac:dyDescent="0.2"/>
    <row r="57950" ht="12.75" hidden="1" customHeight="1" x14ac:dyDescent="0.2"/>
    <row r="57951" ht="12.75" hidden="1" customHeight="1" x14ac:dyDescent="0.2"/>
    <row r="57952" ht="12.75" hidden="1" customHeight="1" x14ac:dyDescent="0.2"/>
    <row r="57953" ht="12.75" hidden="1" customHeight="1" x14ac:dyDescent="0.2"/>
    <row r="57954" ht="12.75" hidden="1" customHeight="1" x14ac:dyDescent="0.2"/>
    <row r="57955" ht="12.75" hidden="1" customHeight="1" x14ac:dyDescent="0.2"/>
    <row r="57956" ht="12.75" hidden="1" customHeight="1" x14ac:dyDescent="0.2"/>
    <row r="57957" ht="12.75" hidden="1" customHeight="1" x14ac:dyDescent="0.2"/>
    <row r="57958" ht="12.75" hidden="1" customHeight="1" x14ac:dyDescent="0.2"/>
    <row r="57959" ht="12.75" hidden="1" customHeight="1" x14ac:dyDescent="0.2"/>
    <row r="57960" ht="12.75" hidden="1" customHeight="1" x14ac:dyDescent="0.2"/>
    <row r="57961" ht="12.75" hidden="1" customHeight="1" x14ac:dyDescent="0.2"/>
    <row r="57962" ht="12.75" hidden="1" customHeight="1" x14ac:dyDescent="0.2"/>
    <row r="57963" ht="12.75" hidden="1" customHeight="1" x14ac:dyDescent="0.2"/>
    <row r="57964" ht="12.75" hidden="1" customHeight="1" x14ac:dyDescent="0.2"/>
    <row r="57965" ht="12.75" hidden="1" customHeight="1" x14ac:dyDescent="0.2"/>
    <row r="57966" ht="12.75" hidden="1" customHeight="1" x14ac:dyDescent="0.2"/>
    <row r="57967" ht="12.75" hidden="1" customHeight="1" x14ac:dyDescent="0.2"/>
    <row r="57968" ht="12.75" hidden="1" customHeight="1" x14ac:dyDescent="0.2"/>
    <row r="57969" ht="12.75" hidden="1" customHeight="1" x14ac:dyDescent="0.2"/>
    <row r="57970" ht="12.75" hidden="1" customHeight="1" x14ac:dyDescent="0.2"/>
    <row r="57971" ht="12.75" hidden="1" customHeight="1" x14ac:dyDescent="0.2"/>
    <row r="57972" ht="12.75" hidden="1" customHeight="1" x14ac:dyDescent="0.2"/>
    <row r="57973" ht="12.75" hidden="1" customHeight="1" x14ac:dyDescent="0.2"/>
    <row r="57974" ht="12.75" hidden="1" customHeight="1" x14ac:dyDescent="0.2"/>
    <row r="57975" ht="12.75" hidden="1" customHeight="1" x14ac:dyDescent="0.2"/>
    <row r="57976" ht="12.75" hidden="1" customHeight="1" x14ac:dyDescent="0.2"/>
    <row r="57977" ht="12.75" hidden="1" customHeight="1" x14ac:dyDescent="0.2"/>
    <row r="57978" ht="12.75" hidden="1" customHeight="1" x14ac:dyDescent="0.2"/>
    <row r="57979" ht="12.75" hidden="1" customHeight="1" x14ac:dyDescent="0.2"/>
    <row r="57980" ht="12.75" hidden="1" customHeight="1" x14ac:dyDescent="0.2"/>
    <row r="57981" ht="12.75" hidden="1" customHeight="1" x14ac:dyDescent="0.2"/>
    <row r="57982" ht="12.75" hidden="1" customHeight="1" x14ac:dyDescent="0.2"/>
    <row r="57983" ht="12.75" hidden="1" customHeight="1" x14ac:dyDescent="0.2"/>
    <row r="57984" ht="12.75" hidden="1" customHeight="1" x14ac:dyDescent="0.2"/>
    <row r="57985" ht="12.75" hidden="1" customHeight="1" x14ac:dyDescent="0.2"/>
    <row r="57986" ht="12.75" hidden="1" customHeight="1" x14ac:dyDescent="0.2"/>
    <row r="57987" ht="12.75" hidden="1" customHeight="1" x14ac:dyDescent="0.2"/>
    <row r="57988" ht="12.75" hidden="1" customHeight="1" x14ac:dyDescent="0.2"/>
    <row r="57989" ht="12.75" hidden="1" customHeight="1" x14ac:dyDescent="0.2"/>
    <row r="57990" ht="12.75" hidden="1" customHeight="1" x14ac:dyDescent="0.2"/>
    <row r="57991" ht="12.75" hidden="1" customHeight="1" x14ac:dyDescent="0.2"/>
    <row r="57992" ht="12.75" hidden="1" customHeight="1" x14ac:dyDescent="0.2"/>
    <row r="57993" ht="12.75" hidden="1" customHeight="1" x14ac:dyDescent="0.2"/>
    <row r="57994" ht="12.75" hidden="1" customHeight="1" x14ac:dyDescent="0.2"/>
    <row r="57995" ht="12.75" hidden="1" customHeight="1" x14ac:dyDescent="0.2"/>
    <row r="57996" ht="12.75" hidden="1" customHeight="1" x14ac:dyDescent="0.2"/>
    <row r="57997" ht="12.75" hidden="1" customHeight="1" x14ac:dyDescent="0.2"/>
    <row r="57998" ht="12.75" hidden="1" customHeight="1" x14ac:dyDescent="0.2"/>
    <row r="57999" ht="12.75" hidden="1" customHeight="1" x14ac:dyDescent="0.2"/>
    <row r="58000" ht="12.75" hidden="1" customHeight="1" x14ac:dyDescent="0.2"/>
    <row r="58001" ht="12.75" hidden="1" customHeight="1" x14ac:dyDescent="0.2"/>
    <row r="58002" ht="12.75" hidden="1" customHeight="1" x14ac:dyDescent="0.2"/>
    <row r="58003" ht="12.75" hidden="1" customHeight="1" x14ac:dyDescent="0.2"/>
    <row r="58004" ht="12.75" hidden="1" customHeight="1" x14ac:dyDescent="0.2"/>
    <row r="58005" ht="12.75" hidden="1" customHeight="1" x14ac:dyDescent="0.2"/>
    <row r="58006" ht="12.75" hidden="1" customHeight="1" x14ac:dyDescent="0.2"/>
    <row r="58007" ht="12.75" hidden="1" customHeight="1" x14ac:dyDescent="0.2"/>
    <row r="58008" ht="12.75" hidden="1" customHeight="1" x14ac:dyDescent="0.2"/>
    <row r="58009" ht="12.75" hidden="1" customHeight="1" x14ac:dyDescent="0.2"/>
    <row r="58010" ht="12.75" hidden="1" customHeight="1" x14ac:dyDescent="0.2"/>
    <row r="58011" ht="12.75" hidden="1" customHeight="1" x14ac:dyDescent="0.2"/>
    <row r="58012" ht="12.75" hidden="1" customHeight="1" x14ac:dyDescent="0.2"/>
    <row r="58013" ht="12.75" hidden="1" customHeight="1" x14ac:dyDescent="0.2"/>
    <row r="58014" ht="12.75" hidden="1" customHeight="1" x14ac:dyDescent="0.2"/>
    <row r="58015" ht="12.75" hidden="1" customHeight="1" x14ac:dyDescent="0.2"/>
    <row r="58016" ht="12.75" hidden="1" customHeight="1" x14ac:dyDescent="0.2"/>
    <row r="58017" ht="12.75" hidden="1" customHeight="1" x14ac:dyDescent="0.2"/>
    <row r="58018" ht="12.75" hidden="1" customHeight="1" x14ac:dyDescent="0.2"/>
    <row r="58019" ht="12.75" hidden="1" customHeight="1" x14ac:dyDescent="0.2"/>
    <row r="58020" ht="12.75" hidden="1" customHeight="1" x14ac:dyDescent="0.2"/>
    <row r="58021" ht="12.75" hidden="1" customHeight="1" x14ac:dyDescent="0.2"/>
    <row r="58022" ht="12.75" hidden="1" customHeight="1" x14ac:dyDescent="0.2"/>
    <row r="58023" ht="12.75" hidden="1" customHeight="1" x14ac:dyDescent="0.2"/>
    <row r="58024" ht="12.75" hidden="1" customHeight="1" x14ac:dyDescent="0.2"/>
    <row r="58025" ht="12.75" hidden="1" customHeight="1" x14ac:dyDescent="0.2"/>
    <row r="58026" ht="12.75" hidden="1" customHeight="1" x14ac:dyDescent="0.2"/>
    <row r="58027" ht="12.75" hidden="1" customHeight="1" x14ac:dyDescent="0.2"/>
    <row r="58028" ht="12.75" hidden="1" customHeight="1" x14ac:dyDescent="0.2"/>
    <row r="58029" ht="12.75" hidden="1" customHeight="1" x14ac:dyDescent="0.2"/>
    <row r="58030" ht="12.75" hidden="1" customHeight="1" x14ac:dyDescent="0.2"/>
    <row r="58031" ht="12.75" hidden="1" customHeight="1" x14ac:dyDescent="0.2"/>
    <row r="58032" ht="12.75" hidden="1" customHeight="1" x14ac:dyDescent="0.2"/>
    <row r="58033" ht="12.75" hidden="1" customHeight="1" x14ac:dyDescent="0.2"/>
    <row r="58034" ht="12.75" hidden="1" customHeight="1" x14ac:dyDescent="0.2"/>
    <row r="58035" ht="12.75" hidden="1" customHeight="1" x14ac:dyDescent="0.2"/>
    <row r="58036" ht="12.75" hidden="1" customHeight="1" x14ac:dyDescent="0.2"/>
    <row r="58037" ht="12.75" hidden="1" customHeight="1" x14ac:dyDescent="0.2"/>
    <row r="58038" ht="12.75" hidden="1" customHeight="1" x14ac:dyDescent="0.2"/>
    <row r="58039" ht="12.75" hidden="1" customHeight="1" x14ac:dyDescent="0.2"/>
    <row r="58040" ht="12.75" hidden="1" customHeight="1" x14ac:dyDescent="0.2"/>
    <row r="58041" ht="12.75" hidden="1" customHeight="1" x14ac:dyDescent="0.2"/>
    <row r="58042" ht="12.75" hidden="1" customHeight="1" x14ac:dyDescent="0.2"/>
    <row r="58043" ht="12.75" hidden="1" customHeight="1" x14ac:dyDescent="0.2"/>
    <row r="58044" ht="12.75" hidden="1" customHeight="1" x14ac:dyDescent="0.2"/>
    <row r="58045" ht="12.75" hidden="1" customHeight="1" x14ac:dyDescent="0.2"/>
    <row r="58046" ht="12.75" hidden="1" customHeight="1" x14ac:dyDescent="0.2"/>
    <row r="58047" ht="12.75" hidden="1" customHeight="1" x14ac:dyDescent="0.2"/>
    <row r="58048" ht="12.75" hidden="1" customHeight="1" x14ac:dyDescent="0.2"/>
    <row r="58049" ht="12.75" hidden="1" customHeight="1" x14ac:dyDescent="0.2"/>
    <row r="58050" ht="12.75" hidden="1" customHeight="1" x14ac:dyDescent="0.2"/>
    <row r="58051" ht="12.75" hidden="1" customHeight="1" x14ac:dyDescent="0.2"/>
    <row r="58052" ht="12.75" hidden="1" customHeight="1" x14ac:dyDescent="0.2"/>
    <row r="58053" ht="12.75" hidden="1" customHeight="1" x14ac:dyDescent="0.2"/>
    <row r="58054" ht="12.75" hidden="1" customHeight="1" x14ac:dyDescent="0.2"/>
    <row r="58055" ht="12.75" hidden="1" customHeight="1" x14ac:dyDescent="0.2"/>
    <row r="58056" ht="12.75" hidden="1" customHeight="1" x14ac:dyDescent="0.2"/>
    <row r="58057" ht="12.75" hidden="1" customHeight="1" x14ac:dyDescent="0.2"/>
    <row r="58058" ht="12.75" hidden="1" customHeight="1" x14ac:dyDescent="0.2"/>
    <row r="58059" ht="12.75" hidden="1" customHeight="1" x14ac:dyDescent="0.2"/>
    <row r="58060" ht="12.75" hidden="1" customHeight="1" x14ac:dyDescent="0.2"/>
    <row r="58061" ht="12.75" hidden="1" customHeight="1" x14ac:dyDescent="0.2"/>
    <row r="58062" ht="12.75" hidden="1" customHeight="1" x14ac:dyDescent="0.2"/>
    <row r="58063" ht="12.75" hidden="1" customHeight="1" x14ac:dyDescent="0.2"/>
    <row r="58064" ht="12.75" hidden="1" customHeight="1" x14ac:dyDescent="0.2"/>
    <row r="58065" ht="12.75" hidden="1" customHeight="1" x14ac:dyDescent="0.2"/>
    <row r="58066" ht="12.75" hidden="1" customHeight="1" x14ac:dyDescent="0.2"/>
    <row r="58067" ht="12.75" hidden="1" customHeight="1" x14ac:dyDescent="0.2"/>
    <row r="58068" ht="12.75" hidden="1" customHeight="1" x14ac:dyDescent="0.2"/>
    <row r="58069" ht="12.75" hidden="1" customHeight="1" x14ac:dyDescent="0.2"/>
    <row r="58070" ht="12.75" hidden="1" customHeight="1" x14ac:dyDescent="0.2"/>
    <row r="58071" ht="12.75" hidden="1" customHeight="1" x14ac:dyDescent="0.2"/>
    <row r="58072" ht="12.75" hidden="1" customHeight="1" x14ac:dyDescent="0.2"/>
    <row r="58073" ht="12.75" hidden="1" customHeight="1" x14ac:dyDescent="0.2"/>
    <row r="58074" ht="12.75" hidden="1" customHeight="1" x14ac:dyDescent="0.2"/>
    <row r="58075" ht="12.75" hidden="1" customHeight="1" x14ac:dyDescent="0.2"/>
    <row r="58076" ht="12.75" hidden="1" customHeight="1" x14ac:dyDescent="0.2"/>
    <row r="58077" ht="12.75" hidden="1" customHeight="1" x14ac:dyDescent="0.2"/>
    <row r="58078" ht="12.75" hidden="1" customHeight="1" x14ac:dyDescent="0.2"/>
    <row r="58079" ht="12.75" hidden="1" customHeight="1" x14ac:dyDescent="0.2"/>
    <row r="58080" ht="12.75" hidden="1" customHeight="1" x14ac:dyDescent="0.2"/>
    <row r="58081" ht="12.75" hidden="1" customHeight="1" x14ac:dyDescent="0.2"/>
    <row r="58082" ht="12.75" hidden="1" customHeight="1" x14ac:dyDescent="0.2"/>
    <row r="58083" ht="12.75" hidden="1" customHeight="1" x14ac:dyDescent="0.2"/>
    <row r="58084" ht="12.75" hidden="1" customHeight="1" x14ac:dyDescent="0.2"/>
    <row r="58085" ht="12.75" hidden="1" customHeight="1" x14ac:dyDescent="0.2"/>
    <row r="58086" ht="12.75" hidden="1" customHeight="1" x14ac:dyDescent="0.2"/>
    <row r="58087" ht="12.75" hidden="1" customHeight="1" x14ac:dyDescent="0.2"/>
    <row r="58088" ht="12.75" hidden="1" customHeight="1" x14ac:dyDescent="0.2"/>
    <row r="58089" ht="12.75" hidden="1" customHeight="1" x14ac:dyDescent="0.2"/>
    <row r="58090" ht="12.75" hidden="1" customHeight="1" x14ac:dyDescent="0.2"/>
    <row r="58091" ht="12.75" hidden="1" customHeight="1" x14ac:dyDescent="0.2"/>
    <row r="58092" ht="12.75" hidden="1" customHeight="1" x14ac:dyDescent="0.2"/>
    <row r="58093" ht="12.75" hidden="1" customHeight="1" x14ac:dyDescent="0.2"/>
    <row r="58094" ht="12.75" hidden="1" customHeight="1" x14ac:dyDescent="0.2"/>
    <row r="58095" ht="12.75" hidden="1" customHeight="1" x14ac:dyDescent="0.2"/>
    <row r="58096" ht="12.75" hidden="1" customHeight="1" x14ac:dyDescent="0.2"/>
    <row r="58097" ht="12.75" hidden="1" customHeight="1" x14ac:dyDescent="0.2"/>
    <row r="58098" ht="12.75" hidden="1" customHeight="1" x14ac:dyDescent="0.2"/>
    <row r="58099" ht="12.75" hidden="1" customHeight="1" x14ac:dyDescent="0.2"/>
    <row r="58100" ht="12.75" hidden="1" customHeight="1" x14ac:dyDescent="0.2"/>
    <row r="58101" ht="12.75" hidden="1" customHeight="1" x14ac:dyDescent="0.2"/>
    <row r="58102" ht="12.75" hidden="1" customHeight="1" x14ac:dyDescent="0.2"/>
    <row r="58103" ht="12.75" hidden="1" customHeight="1" x14ac:dyDescent="0.2"/>
    <row r="58104" ht="12.75" hidden="1" customHeight="1" x14ac:dyDescent="0.2"/>
    <row r="58105" ht="12.75" hidden="1" customHeight="1" x14ac:dyDescent="0.2"/>
    <row r="58106" ht="12.75" hidden="1" customHeight="1" x14ac:dyDescent="0.2"/>
    <row r="58107" ht="12.75" hidden="1" customHeight="1" x14ac:dyDescent="0.2"/>
    <row r="58108" ht="12.75" hidden="1" customHeight="1" x14ac:dyDescent="0.2"/>
    <row r="58109" ht="12.75" hidden="1" customHeight="1" x14ac:dyDescent="0.2"/>
    <row r="58110" ht="12.75" hidden="1" customHeight="1" x14ac:dyDescent="0.2"/>
    <row r="58111" ht="12.75" hidden="1" customHeight="1" x14ac:dyDescent="0.2"/>
    <row r="58112" ht="12.75" hidden="1" customHeight="1" x14ac:dyDescent="0.2"/>
    <row r="58113" ht="12.75" hidden="1" customHeight="1" x14ac:dyDescent="0.2"/>
    <row r="58114" ht="12.75" hidden="1" customHeight="1" x14ac:dyDescent="0.2"/>
    <row r="58115" ht="12.75" hidden="1" customHeight="1" x14ac:dyDescent="0.2"/>
    <row r="58116" ht="12.75" hidden="1" customHeight="1" x14ac:dyDescent="0.2"/>
    <row r="58117" ht="12.75" hidden="1" customHeight="1" x14ac:dyDescent="0.2"/>
    <row r="58118" ht="12.75" hidden="1" customHeight="1" x14ac:dyDescent="0.2"/>
    <row r="58119" ht="12.75" hidden="1" customHeight="1" x14ac:dyDescent="0.2"/>
    <row r="58120" ht="12.75" hidden="1" customHeight="1" x14ac:dyDescent="0.2"/>
    <row r="58121" ht="12.75" hidden="1" customHeight="1" x14ac:dyDescent="0.2"/>
    <row r="58122" ht="12.75" hidden="1" customHeight="1" x14ac:dyDescent="0.2"/>
    <row r="58123" ht="12.75" hidden="1" customHeight="1" x14ac:dyDescent="0.2"/>
    <row r="58124" ht="12.75" hidden="1" customHeight="1" x14ac:dyDescent="0.2"/>
    <row r="58125" ht="12.75" hidden="1" customHeight="1" x14ac:dyDescent="0.2"/>
    <row r="58126" ht="12.75" hidden="1" customHeight="1" x14ac:dyDescent="0.2"/>
    <row r="58127" ht="12.75" hidden="1" customHeight="1" x14ac:dyDescent="0.2"/>
    <row r="58128" ht="12.75" hidden="1" customHeight="1" x14ac:dyDescent="0.2"/>
    <row r="58129" ht="12.75" hidden="1" customHeight="1" x14ac:dyDescent="0.2"/>
    <row r="58130" ht="12.75" hidden="1" customHeight="1" x14ac:dyDescent="0.2"/>
    <row r="58131" ht="12.75" hidden="1" customHeight="1" x14ac:dyDescent="0.2"/>
    <row r="58132" ht="12.75" hidden="1" customHeight="1" x14ac:dyDescent="0.2"/>
    <row r="58133" ht="12.75" hidden="1" customHeight="1" x14ac:dyDescent="0.2"/>
    <row r="58134" ht="12.75" hidden="1" customHeight="1" x14ac:dyDescent="0.2"/>
    <row r="58135" ht="12.75" hidden="1" customHeight="1" x14ac:dyDescent="0.2"/>
    <row r="58136" ht="12.75" hidden="1" customHeight="1" x14ac:dyDescent="0.2"/>
    <row r="58137" ht="12.75" hidden="1" customHeight="1" x14ac:dyDescent="0.2"/>
    <row r="58138" ht="12.75" hidden="1" customHeight="1" x14ac:dyDescent="0.2"/>
    <row r="58139" ht="12.75" hidden="1" customHeight="1" x14ac:dyDescent="0.2"/>
    <row r="58140" ht="12.75" hidden="1" customHeight="1" x14ac:dyDescent="0.2"/>
    <row r="58141" ht="12.75" hidden="1" customHeight="1" x14ac:dyDescent="0.2"/>
    <row r="58142" ht="12.75" hidden="1" customHeight="1" x14ac:dyDescent="0.2"/>
    <row r="58143" ht="12.75" hidden="1" customHeight="1" x14ac:dyDescent="0.2"/>
    <row r="58144" ht="12.75" hidden="1" customHeight="1" x14ac:dyDescent="0.2"/>
    <row r="58145" ht="12.75" hidden="1" customHeight="1" x14ac:dyDescent="0.2"/>
    <row r="58146" ht="12.75" hidden="1" customHeight="1" x14ac:dyDescent="0.2"/>
    <row r="58147" ht="12.75" hidden="1" customHeight="1" x14ac:dyDescent="0.2"/>
    <row r="58148" ht="12.75" hidden="1" customHeight="1" x14ac:dyDescent="0.2"/>
    <row r="58149" ht="12.75" hidden="1" customHeight="1" x14ac:dyDescent="0.2"/>
    <row r="58150" ht="12.75" hidden="1" customHeight="1" x14ac:dyDescent="0.2"/>
    <row r="58151" ht="12.75" hidden="1" customHeight="1" x14ac:dyDescent="0.2"/>
    <row r="58152" ht="12.75" hidden="1" customHeight="1" x14ac:dyDescent="0.2"/>
    <row r="58153" ht="12.75" hidden="1" customHeight="1" x14ac:dyDescent="0.2"/>
    <row r="58154" ht="12.75" hidden="1" customHeight="1" x14ac:dyDescent="0.2"/>
    <row r="58155" ht="12.75" hidden="1" customHeight="1" x14ac:dyDescent="0.2"/>
    <row r="58156" ht="12.75" hidden="1" customHeight="1" x14ac:dyDescent="0.2"/>
    <row r="58157" ht="12.75" hidden="1" customHeight="1" x14ac:dyDescent="0.2"/>
    <row r="58158" ht="12.75" hidden="1" customHeight="1" x14ac:dyDescent="0.2"/>
    <row r="58159" ht="12.75" hidden="1" customHeight="1" x14ac:dyDescent="0.2"/>
    <row r="58160" ht="12.75" hidden="1" customHeight="1" x14ac:dyDescent="0.2"/>
    <row r="58161" ht="12.75" hidden="1" customHeight="1" x14ac:dyDescent="0.2"/>
    <row r="58162" ht="12.75" hidden="1" customHeight="1" x14ac:dyDescent="0.2"/>
    <row r="58163" ht="12.75" hidden="1" customHeight="1" x14ac:dyDescent="0.2"/>
    <row r="58164" ht="12.75" hidden="1" customHeight="1" x14ac:dyDescent="0.2"/>
    <row r="58165" ht="12.75" hidden="1" customHeight="1" x14ac:dyDescent="0.2"/>
    <row r="58166" ht="12.75" hidden="1" customHeight="1" x14ac:dyDescent="0.2"/>
    <row r="58167" ht="12.75" hidden="1" customHeight="1" x14ac:dyDescent="0.2"/>
    <row r="58168" ht="12.75" hidden="1" customHeight="1" x14ac:dyDescent="0.2"/>
    <row r="58169" ht="12.75" hidden="1" customHeight="1" x14ac:dyDescent="0.2"/>
    <row r="58170" ht="12.75" hidden="1" customHeight="1" x14ac:dyDescent="0.2"/>
    <row r="58171" ht="12.75" hidden="1" customHeight="1" x14ac:dyDescent="0.2"/>
    <row r="58172" ht="12.75" hidden="1" customHeight="1" x14ac:dyDescent="0.2"/>
    <row r="58173" ht="12.75" hidden="1" customHeight="1" x14ac:dyDescent="0.2"/>
    <row r="58174" ht="12.75" hidden="1" customHeight="1" x14ac:dyDescent="0.2"/>
    <row r="58175" ht="12.75" hidden="1" customHeight="1" x14ac:dyDescent="0.2"/>
    <row r="58176" ht="12.75" hidden="1" customHeight="1" x14ac:dyDescent="0.2"/>
    <row r="58177" ht="12.75" hidden="1" customHeight="1" x14ac:dyDescent="0.2"/>
    <row r="58178" ht="12.75" hidden="1" customHeight="1" x14ac:dyDescent="0.2"/>
    <row r="58179" ht="12.75" hidden="1" customHeight="1" x14ac:dyDescent="0.2"/>
    <row r="58180" ht="12.75" hidden="1" customHeight="1" x14ac:dyDescent="0.2"/>
    <row r="58181" ht="12.75" hidden="1" customHeight="1" x14ac:dyDescent="0.2"/>
    <row r="58182" ht="12.75" hidden="1" customHeight="1" x14ac:dyDescent="0.2"/>
    <row r="58183" ht="12.75" hidden="1" customHeight="1" x14ac:dyDescent="0.2"/>
    <row r="58184" ht="12.75" hidden="1" customHeight="1" x14ac:dyDescent="0.2"/>
    <row r="58185" ht="12.75" hidden="1" customHeight="1" x14ac:dyDescent="0.2"/>
    <row r="58186" ht="12.75" hidden="1" customHeight="1" x14ac:dyDescent="0.2"/>
    <row r="58187" ht="12.75" hidden="1" customHeight="1" x14ac:dyDescent="0.2"/>
    <row r="58188" ht="12.75" hidden="1" customHeight="1" x14ac:dyDescent="0.2"/>
    <row r="58189" ht="12.75" hidden="1" customHeight="1" x14ac:dyDescent="0.2"/>
    <row r="58190" ht="12.75" hidden="1" customHeight="1" x14ac:dyDescent="0.2"/>
    <row r="58191" ht="12.75" hidden="1" customHeight="1" x14ac:dyDescent="0.2"/>
    <row r="58192" ht="12.75" hidden="1" customHeight="1" x14ac:dyDescent="0.2"/>
    <row r="58193" ht="12.75" hidden="1" customHeight="1" x14ac:dyDescent="0.2"/>
    <row r="58194" ht="12.75" hidden="1" customHeight="1" x14ac:dyDescent="0.2"/>
    <row r="58195" ht="12.75" hidden="1" customHeight="1" x14ac:dyDescent="0.2"/>
    <row r="58196" ht="12.75" hidden="1" customHeight="1" x14ac:dyDescent="0.2"/>
    <row r="58197" ht="12.75" hidden="1" customHeight="1" x14ac:dyDescent="0.2"/>
    <row r="58198" ht="12.75" hidden="1" customHeight="1" x14ac:dyDescent="0.2"/>
    <row r="58199" ht="12.75" hidden="1" customHeight="1" x14ac:dyDescent="0.2"/>
    <row r="58200" ht="12.75" hidden="1" customHeight="1" x14ac:dyDescent="0.2"/>
    <row r="58201" ht="12.75" hidden="1" customHeight="1" x14ac:dyDescent="0.2"/>
    <row r="58202" ht="12.75" hidden="1" customHeight="1" x14ac:dyDescent="0.2"/>
    <row r="58203" ht="12.75" hidden="1" customHeight="1" x14ac:dyDescent="0.2"/>
    <row r="58204" ht="12.75" hidden="1" customHeight="1" x14ac:dyDescent="0.2"/>
    <row r="58205" ht="12.75" hidden="1" customHeight="1" x14ac:dyDescent="0.2"/>
    <row r="58206" ht="12.75" hidden="1" customHeight="1" x14ac:dyDescent="0.2"/>
    <row r="58207" ht="12.75" hidden="1" customHeight="1" x14ac:dyDescent="0.2"/>
    <row r="58208" ht="12.75" hidden="1" customHeight="1" x14ac:dyDescent="0.2"/>
    <row r="58209" ht="12.75" hidden="1" customHeight="1" x14ac:dyDescent="0.2"/>
    <row r="58210" ht="12.75" hidden="1" customHeight="1" x14ac:dyDescent="0.2"/>
    <row r="58211" ht="12.75" hidden="1" customHeight="1" x14ac:dyDescent="0.2"/>
    <row r="58212" ht="12.75" hidden="1" customHeight="1" x14ac:dyDescent="0.2"/>
    <row r="58213" ht="12.75" hidden="1" customHeight="1" x14ac:dyDescent="0.2"/>
    <row r="58214" ht="12.75" hidden="1" customHeight="1" x14ac:dyDescent="0.2"/>
    <row r="58215" ht="12.75" hidden="1" customHeight="1" x14ac:dyDescent="0.2"/>
    <row r="58216" ht="12.75" hidden="1" customHeight="1" x14ac:dyDescent="0.2"/>
    <row r="58217" ht="12.75" hidden="1" customHeight="1" x14ac:dyDescent="0.2"/>
    <row r="58218" ht="12.75" hidden="1" customHeight="1" x14ac:dyDescent="0.2"/>
    <row r="58219" ht="12.75" hidden="1" customHeight="1" x14ac:dyDescent="0.2"/>
    <row r="58220" ht="12.75" hidden="1" customHeight="1" x14ac:dyDescent="0.2"/>
    <row r="58221" ht="12.75" hidden="1" customHeight="1" x14ac:dyDescent="0.2"/>
    <row r="58222" ht="12.75" hidden="1" customHeight="1" x14ac:dyDescent="0.2"/>
    <row r="58223" ht="12.75" hidden="1" customHeight="1" x14ac:dyDescent="0.2"/>
    <row r="58224" ht="12.75" hidden="1" customHeight="1" x14ac:dyDescent="0.2"/>
    <row r="58225" ht="12.75" hidden="1" customHeight="1" x14ac:dyDescent="0.2"/>
    <row r="58226" ht="12.75" hidden="1" customHeight="1" x14ac:dyDescent="0.2"/>
    <row r="58227" ht="12.75" hidden="1" customHeight="1" x14ac:dyDescent="0.2"/>
    <row r="58228" ht="12.75" hidden="1" customHeight="1" x14ac:dyDescent="0.2"/>
    <row r="58229" ht="12.75" hidden="1" customHeight="1" x14ac:dyDescent="0.2"/>
    <row r="58230" ht="12.75" hidden="1" customHeight="1" x14ac:dyDescent="0.2"/>
    <row r="58231" ht="12.75" hidden="1" customHeight="1" x14ac:dyDescent="0.2"/>
    <row r="58232" ht="12.75" hidden="1" customHeight="1" x14ac:dyDescent="0.2"/>
    <row r="58233" ht="12.75" hidden="1" customHeight="1" x14ac:dyDescent="0.2"/>
    <row r="58234" ht="12.75" hidden="1" customHeight="1" x14ac:dyDescent="0.2"/>
    <row r="58235" ht="12.75" hidden="1" customHeight="1" x14ac:dyDescent="0.2"/>
    <row r="58236" ht="12.75" hidden="1" customHeight="1" x14ac:dyDescent="0.2"/>
    <row r="58237" ht="12.75" hidden="1" customHeight="1" x14ac:dyDescent="0.2"/>
    <row r="58238" ht="12.75" hidden="1" customHeight="1" x14ac:dyDescent="0.2"/>
    <row r="58239" ht="12.75" hidden="1" customHeight="1" x14ac:dyDescent="0.2"/>
    <row r="58240" ht="12.75" hidden="1" customHeight="1" x14ac:dyDescent="0.2"/>
    <row r="58241" ht="12.75" hidden="1" customHeight="1" x14ac:dyDescent="0.2"/>
    <row r="58242" ht="12.75" hidden="1" customHeight="1" x14ac:dyDescent="0.2"/>
    <row r="58243" ht="12.75" hidden="1" customHeight="1" x14ac:dyDescent="0.2"/>
    <row r="58244" ht="12.75" hidden="1" customHeight="1" x14ac:dyDescent="0.2"/>
    <row r="58245" ht="12.75" hidden="1" customHeight="1" x14ac:dyDescent="0.2"/>
    <row r="58246" ht="12.75" hidden="1" customHeight="1" x14ac:dyDescent="0.2"/>
    <row r="58247" ht="12.75" hidden="1" customHeight="1" x14ac:dyDescent="0.2"/>
    <row r="58248" ht="12.75" hidden="1" customHeight="1" x14ac:dyDescent="0.2"/>
    <row r="58249" ht="12.75" hidden="1" customHeight="1" x14ac:dyDescent="0.2"/>
    <row r="58250" ht="12.75" hidden="1" customHeight="1" x14ac:dyDescent="0.2"/>
    <row r="58251" ht="12.75" hidden="1" customHeight="1" x14ac:dyDescent="0.2"/>
    <row r="58252" ht="12.75" hidden="1" customHeight="1" x14ac:dyDescent="0.2"/>
    <row r="58253" ht="12.75" hidden="1" customHeight="1" x14ac:dyDescent="0.2"/>
    <row r="58254" ht="12.75" hidden="1" customHeight="1" x14ac:dyDescent="0.2"/>
    <row r="58255" ht="12.75" hidden="1" customHeight="1" x14ac:dyDescent="0.2"/>
    <row r="58256" ht="12.75" hidden="1" customHeight="1" x14ac:dyDescent="0.2"/>
    <row r="58257" ht="12.75" hidden="1" customHeight="1" x14ac:dyDescent="0.2"/>
    <row r="58258" ht="12.75" hidden="1" customHeight="1" x14ac:dyDescent="0.2"/>
    <row r="58259" ht="12.75" hidden="1" customHeight="1" x14ac:dyDescent="0.2"/>
    <row r="58260" ht="12.75" hidden="1" customHeight="1" x14ac:dyDescent="0.2"/>
    <row r="58261" ht="12.75" hidden="1" customHeight="1" x14ac:dyDescent="0.2"/>
    <row r="58262" ht="12.75" hidden="1" customHeight="1" x14ac:dyDescent="0.2"/>
    <row r="58263" ht="12.75" hidden="1" customHeight="1" x14ac:dyDescent="0.2"/>
    <row r="58264" ht="12.75" hidden="1" customHeight="1" x14ac:dyDescent="0.2"/>
    <row r="58265" ht="12.75" hidden="1" customHeight="1" x14ac:dyDescent="0.2"/>
    <row r="58266" ht="12.75" hidden="1" customHeight="1" x14ac:dyDescent="0.2"/>
    <row r="58267" ht="12.75" hidden="1" customHeight="1" x14ac:dyDescent="0.2"/>
    <row r="58268" ht="12.75" hidden="1" customHeight="1" x14ac:dyDescent="0.2"/>
    <row r="58269" ht="12.75" hidden="1" customHeight="1" x14ac:dyDescent="0.2"/>
    <row r="58270" ht="12.75" hidden="1" customHeight="1" x14ac:dyDescent="0.2"/>
    <row r="58271" ht="12.75" hidden="1" customHeight="1" x14ac:dyDescent="0.2"/>
    <row r="58272" ht="12.75" hidden="1" customHeight="1" x14ac:dyDescent="0.2"/>
    <row r="58273" ht="12.75" hidden="1" customHeight="1" x14ac:dyDescent="0.2"/>
    <row r="58274" ht="12.75" hidden="1" customHeight="1" x14ac:dyDescent="0.2"/>
    <row r="58275" ht="12.75" hidden="1" customHeight="1" x14ac:dyDescent="0.2"/>
    <row r="58276" ht="12.75" hidden="1" customHeight="1" x14ac:dyDescent="0.2"/>
    <row r="58277" ht="12.75" hidden="1" customHeight="1" x14ac:dyDescent="0.2"/>
    <row r="58278" ht="12.75" hidden="1" customHeight="1" x14ac:dyDescent="0.2"/>
    <row r="58279" ht="12.75" hidden="1" customHeight="1" x14ac:dyDescent="0.2"/>
    <row r="58280" ht="12.75" hidden="1" customHeight="1" x14ac:dyDescent="0.2"/>
    <row r="58281" ht="12.75" hidden="1" customHeight="1" x14ac:dyDescent="0.2"/>
    <row r="58282" ht="12.75" hidden="1" customHeight="1" x14ac:dyDescent="0.2"/>
    <row r="58283" ht="12.75" hidden="1" customHeight="1" x14ac:dyDescent="0.2"/>
    <row r="58284" ht="12.75" hidden="1" customHeight="1" x14ac:dyDescent="0.2"/>
    <row r="58285" ht="12.75" hidden="1" customHeight="1" x14ac:dyDescent="0.2"/>
    <row r="58286" ht="12.75" hidden="1" customHeight="1" x14ac:dyDescent="0.2"/>
    <row r="58287" ht="12.75" hidden="1" customHeight="1" x14ac:dyDescent="0.2"/>
    <row r="58288" ht="12.75" hidden="1" customHeight="1" x14ac:dyDescent="0.2"/>
    <row r="58289" ht="12.75" hidden="1" customHeight="1" x14ac:dyDescent="0.2"/>
    <row r="58290" ht="12.75" hidden="1" customHeight="1" x14ac:dyDescent="0.2"/>
    <row r="58291" ht="12.75" hidden="1" customHeight="1" x14ac:dyDescent="0.2"/>
    <row r="58292" ht="12.75" hidden="1" customHeight="1" x14ac:dyDescent="0.2"/>
    <row r="58293" ht="12.75" hidden="1" customHeight="1" x14ac:dyDescent="0.2"/>
    <row r="58294" ht="12.75" hidden="1" customHeight="1" x14ac:dyDescent="0.2"/>
    <row r="58295" ht="12.75" hidden="1" customHeight="1" x14ac:dyDescent="0.2"/>
    <row r="58296" ht="12.75" hidden="1" customHeight="1" x14ac:dyDescent="0.2"/>
    <row r="58297" ht="12.75" hidden="1" customHeight="1" x14ac:dyDescent="0.2"/>
    <row r="58298" ht="12.75" hidden="1" customHeight="1" x14ac:dyDescent="0.2"/>
    <row r="58299" ht="12.75" hidden="1" customHeight="1" x14ac:dyDescent="0.2"/>
    <row r="58300" ht="12.75" hidden="1" customHeight="1" x14ac:dyDescent="0.2"/>
    <row r="58301" ht="12.75" hidden="1" customHeight="1" x14ac:dyDescent="0.2"/>
    <row r="58302" ht="12.75" hidden="1" customHeight="1" x14ac:dyDescent="0.2"/>
    <row r="58303" ht="12.75" hidden="1" customHeight="1" x14ac:dyDescent="0.2"/>
    <row r="58304" ht="12.75" hidden="1" customHeight="1" x14ac:dyDescent="0.2"/>
    <row r="58305" ht="12.75" hidden="1" customHeight="1" x14ac:dyDescent="0.2"/>
    <row r="58306" ht="12.75" hidden="1" customHeight="1" x14ac:dyDescent="0.2"/>
    <row r="58307" ht="12.75" hidden="1" customHeight="1" x14ac:dyDescent="0.2"/>
    <row r="58308" ht="12.75" hidden="1" customHeight="1" x14ac:dyDescent="0.2"/>
    <row r="58309" ht="12.75" hidden="1" customHeight="1" x14ac:dyDescent="0.2"/>
    <row r="58310" ht="12.75" hidden="1" customHeight="1" x14ac:dyDescent="0.2"/>
    <row r="58311" ht="12.75" hidden="1" customHeight="1" x14ac:dyDescent="0.2"/>
    <row r="58312" ht="12.75" hidden="1" customHeight="1" x14ac:dyDescent="0.2"/>
    <row r="58313" ht="12.75" hidden="1" customHeight="1" x14ac:dyDescent="0.2"/>
    <row r="58314" ht="12.75" hidden="1" customHeight="1" x14ac:dyDescent="0.2"/>
    <row r="58315" ht="12.75" hidden="1" customHeight="1" x14ac:dyDescent="0.2"/>
    <row r="58316" ht="12.75" hidden="1" customHeight="1" x14ac:dyDescent="0.2"/>
    <row r="58317" ht="12.75" hidden="1" customHeight="1" x14ac:dyDescent="0.2"/>
    <row r="58318" ht="12.75" hidden="1" customHeight="1" x14ac:dyDescent="0.2"/>
    <row r="58319" ht="12.75" hidden="1" customHeight="1" x14ac:dyDescent="0.2"/>
    <row r="58320" ht="12.75" hidden="1" customHeight="1" x14ac:dyDescent="0.2"/>
    <row r="58321" ht="12.75" hidden="1" customHeight="1" x14ac:dyDescent="0.2"/>
    <row r="58322" ht="12.75" hidden="1" customHeight="1" x14ac:dyDescent="0.2"/>
    <row r="58323" ht="12.75" hidden="1" customHeight="1" x14ac:dyDescent="0.2"/>
    <row r="58324" ht="12.75" hidden="1" customHeight="1" x14ac:dyDescent="0.2"/>
    <row r="58325" ht="12.75" hidden="1" customHeight="1" x14ac:dyDescent="0.2"/>
    <row r="58326" ht="12.75" hidden="1" customHeight="1" x14ac:dyDescent="0.2"/>
    <row r="58327" ht="12.75" hidden="1" customHeight="1" x14ac:dyDescent="0.2"/>
    <row r="58328" ht="12.75" hidden="1" customHeight="1" x14ac:dyDescent="0.2"/>
    <row r="58329" ht="12.75" hidden="1" customHeight="1" x14ac:dyDescent="0.2"/>
    <row r="58330" ht="12.75" hidden="1" customHeight="1" x14ac:dyDescent="0.2"/>
    <row r="58331" ht="12.75" hidden="1" customHeight="1" x14ac:dyDescent="0.2"/>
    <row r="58332" ht="12.75" hidden="1" customHeight="1" x14ac:dyDescent="0.2"/>
    <row r="58333" ht="12.75" hidden="1" customHeight="1" x14ac:dyDescent="0.2"/>
    <row r="58334" ht="12.75" hidden="1" customHeight="1" x14ac:dyDescent="0.2"/>
    <row r="58335" ht="12.75" hidden="1" customHeight="1" x14ac:dyDescent="0.2"/>
    <row r="58336" ht="12.75" hidden="1" customHeight="1" x14ac:dyDescent="0.2"/>
    <row r="58337" ht="12.75" hidden="1" customHeight="1" x14ac:dyDescent="0.2"/>
    <row r="58338" ht="12.75" hidden="1" customHeight="1" x14ac:dyDescent="0.2"/>
    <row r="58339" ht="12.75" hidden="1" customHeight="1" x14ac:dyDescent="0.2"/>
    <row r="58340" ht="12.75" hidden="1" customHeight="1" x14ac:dyDescent="0.2"/>
    <row r="58341" ht="12.75" hidden="1" customHeight="1" x14ac:dyDescent="0.2"/>
    <row r="58342" ht="12.75" hidden="1" customHeight="1" x14ac:dyDescent="0.2"/>
    <row r="58343" ht="12.75" hidden="1" customHeight="1" x14ac:dyDescent="0.2"/>
    <row r="58344" ht="12.75" hidden="1" customHeight="1" x14ac:dyDescent="0.2"/>
    <row r="58345" ht="12.75" hidden="1" customHeight="1" x14ac:dyDescent="0.2"/>
    <row r="58346" ht="12.75" hidden="1" customHeight="1" x14ac:dyDescent="0.2"/>
    <row r="58347" ht="12.75" hidden="1" customHeight="1" x14ac:dyDescent="0.2"/>
    <row r="58348" ht="12.75" hidden="1" customHeight="1" x14ac:dyDescent="0.2"/>
    <row r="58349" ht="12.75" hidden="1" customHeight="1" x14ac:dyDescent="0.2"/>
    <row r="58350" ht="12.75" hidden="1" customHeight="1" x14ac:dyDescent="0.2"/>
    <row r="58351" ht="12.75" hidden="1" customHeight="1" x14ac:dyDescent="0.2"/>
    <row r="58352" ht="12.75" hidden="1" customHeight="1" x14ac:dyDescent="0.2"/>
    <row r="58353" ht="12.75" hidden="1" customHeight="1" x14ac:dyDescent="0.2"/>
    <row r="58354" ht="12.75" hidden="1" customHeight="1" x14ac:dyDescent="0.2"/>
    <row r="58355" ht="12.75" hidden="1" customHeight="1" x14ac:dyDescent="0.2"/>
    <row r="58356" ht="12.75" hidden="1" customHeight="1" x14ac:dyDescent="0.2"/>
    <row r="58357" ht="12.75" hidden="1" customHeight="1" x14ac:dyDescent="0.2"/>
    <row r="58358" ht="12.75" hidden="1" customHeight="1" x14ac:dyDescent="0.2"/>
    <row r="58359" ht="12.75" hidden="1" customHeight="1" x14ac:dyDescent="0.2"/>
    <row r="58360" ht="12.75" hidden="1" customHeight="1" x14ac:dyDescent="0.2"/>
    <row r="58361" ht="12.75" hidden="1" customHeight="1" x14ac:dyDescent="0.2"/>
    <row r="58362" ht="12.75" hidden="1" customHeight="1" x14ac:dyDescent="0.2"/>
    <row r="58363" ht="12.75" hidden="1" customHeight="1" x14ac:dyDescent="0.2"/>
    <row r="58364" ht="12.75" hidden="1" customHeight="1" x14ac:dyDescent="0.2"/>
    <row r="58365" ht="12.75" hidden="1" customHeight="1" x14ac:dyDescent="0.2"/>
    <row r="58366" ht="12.75" hidden="1" customHeight="1" x14ac:dyDescent="0.2"/>
    <row r="58367" ht="12.75" hidden="1" customHeight="1" x14ac:dyDescent="0.2"/>
    <row r="58368" ht="12.75" hidden="1" customHeight="1" x14ac:dyDescent="0.2"/>
    <row r="58369" ht="12.75" hidden="1" customHeight="1" x14ac:dyDescent="0.2"/>
    <row r="58370" ht="12.75" hidden="1" customHeight="1" x14ac:dyDescent="0.2"/>
    <row r="58371" ht="12.75" hidden="1" customHeight="1" x14ac:dyDescent="0.2"/>
    <row r="58372" ht="12.75" hidden="1" customHeight="1" x14ac:dyDescent="0.2"/>
    <row r="58373" ht="12.75" hidden="1" customHeight="1" x14ac:dyDescent="0.2"/>
    <row r="58374" ht="12.75" hidden="1" customHeight="1" x14ac:dyDescent="0.2"/>
    <row r="58375" ht="12.75" hidden="1" customHeight="1" x14ac:dyDescent="0.2"/>
    <row r="58376" ht="12.75" hidden="1" customHeight="1" x14ac:dyDescent="0.2"/>
    <row r="58377" ht="12.75" hidden="1" customHeight="1" x14ac:dyDescent="0.2"/>
    <row r="58378" ht="12.75" hidden="1" customHeight="1" x14ac:dyDescent="0.2"/>
    <row r="58379" ht="12.75" hidden="1" customHeight="1" x14ac:dyDescent="0.2"/>
    <row r="58380" ht="12.75" hidden="1" customHeight="1" x14ac:dyDescent="0.2"/>
    <row r="58381" ht="12.75" hidden="1" customHeight="1" x14ac:dyDescent="0.2"/>
    <row r="58382" ht="12.75" hidden="1" customHeight="1" x14ac:dyDescent="0.2"/>
    <row r="58383" ht="12.75" hidden="1" customHeight="1" x14ac:dyDescent="0.2"/>
    <row r="58384" ht="12.75" hidden="1" customHeight="1" x14ac:dyDescent="0.2"/>
    <row r="58385" ht="12.75" hidden="1" customHeight="1" x14ac:dyDescent="0.2"/>
    <row r="58386" ht="12.75" hidden="1" customHeight="1" x14ac:dyDescent="0.2"/>
    <row r="58387" ht="12.75" hidden="1" customHeight="1" x14ac:dyDescent="0.2"/>
    <row r="58388" ht="12.75" hidden="1" customHeight="1" x14ac:dyDescent="0.2"/>
    <row r="58389" ht="12.75" hidden="1" customHeight="1" x14ac:dyDescent="0.2"/>
    <row r="58390" ht="12.75" hidden="1" customHeight="1" x14ac:dyDescent="0.2"/>
    <row r="58391" ht="12.75" hidden="1" customHeight="1" x14ac:dyDescent="0.2"/>
    <row r="58392" ht="12.75" hidden="1" customHeight="1" x14ac:dyDescent="0.2"/>
    <row r="58393" ht="12.75" hidden="1" customHeight="1" x14ac:dyDescent="0.2"/>
    <row r="58394" ht="12.75" hidden="1" customHeight="1" x14ac:dyDescent="0.2"/>
    <row r="58395" ht="12.75" hidden="1" customHeight="1" x14ac:dyDescent="0.2"/>
    <row r="58396" ht="12.75" hidden="1" customHeight="1" x14ac:dyDescent="0.2"/>
    <row r="58397" ht="12.75" hidden="1" customHeight="1" x14ac:dyDescent="0.2"/>
    <row r="58398" ht="12.75" hidden="1" customHeight="1" x14ac:dyDescent="0.2"/>
    <row r="58399" ht="12.75" hidden="1" customHeight="1" x14ac:dyDescent="0.2"/>
    <row r="58400" ht="12.75" hidden="1" customHeight="1" x14ac:dyDescent="0.2"/>
    <row r="58401" ht="12.75" hidden="1" customHeight="1" x14ac:dyDescent="0.2"/>
    <row r="58402" ht="12.75" hidden="1" customHeight="1" x14ac:dyDescent="0.2"/>
    <row r="58403" ht="12.75" hidden="1" customHeight="1" x14ac:dyDescent="0.2"/>
    <row r="58404" ht="12.75" hidden="1" customHeight="1" x14ac:dyDescent="0.2"/>
    <row r="58405" ht="12.75" hidden="1" customHeight="1" x14ac:dyDescent="0.2"/>
    <row r="58406" ht="12.75" hidden="1" customHeight="1" x14ac:dyDescent="0.2"/>
    <row r="58407" ht="12.75" hidden="1" customHeight="1" x14ac:dyDescent="0.2"/>
    <row r="58408" ht="12.75" hidden="1" customHeight="1" x14ac:dyDescent="0.2"/>
    <row r="58409" ht="12.75" hidden="1" customHeight="1" x14ac:dyDescent="0.2"/>
    <row r="58410" ht="12.75" hidden="1" customHeight="1" x14ac:dyDescent="0.2"/>
    <row r="58411" ht="12.75" hidden="1" customHeight="1" x14ac:dyDescent="0.2"/>
    <row r="58412" ht="12.75" hidden="1" customHeight="1" x14ac:dyDescent="0.2"/>
    <row r="58413" ht="12.75" hidden="1" customHeight="1" x14ac:dyDescent="0.2"/>
    <row r="58414" ht="12.75" hidden="1" customHeight="1" x14ac:dyDescent="0.2"/>
    <row r="58415" ht="12.75" hidden="1" customHeight="1" x14ac:dyDescent="0.2"/>
    <row r="58416" ht="12.75" hidden="1" customHeight="1" x14ac:dyDescent="0.2"/>
    <row r="58417" ht="12.75" hidden="1" customHeight="1" x14ac:dyDescent="0.2"/>
    <row r="58418" ht="12.75" hidden="1" customHeight="1" x14ac:dyDescent="0.2"/>
    <row r="58419" ht="12.75" hidden="1" customHeight="1" x14ac:dyDescent="0.2"/>
    <row r="58420" ht="12.75" hidden="1" customHeight="1" x14ac:dyDescent="0.2"/>
    <row r="58421" ht="12.75" hidden="1" customHeight="1" x14ac:dyDescent="0.2"/>
    <row r="58422" ht="12.75" hidden="1" customHeight="1" x14ac:dyDescent="0.2"/>
    <row r="58423" ht="12.75" hidden="1" customHeight="1" x14ac:dyDescent="0.2"/>
    <row r="58424" ht="12.75" hidden="1" customHeight="1" x14ac:dyDescent="0.2"/>
    <row r="58425" ht="12.75" hidden="1" customHeight="1" x14ac:dyDescent="0.2"/>
    <row r="58426" ht="12.75" hidden="1" customHeight="1" x14ac:dyDescent="0.2"/>
    <row r="58427" ht="12.75" hidden="1" customHeight="1" x14ac:dyDescent="0.2"/>
    <row r="58428" ht="12.75" hidden="1" customHeight="1" x14ac:dyDescent="0.2"/>
    <row r="58429" ht="12.75" hidden="1" customHeight="1" x14ac:dyDescent="0.2"/>
    <row r="58430" ht="12.75" hidden="1" customHeight="1" x14ac:dyDescent="0.2"/>
    <row r="58431" ht="12.75" hidden="1" customHeight="1" x14ac:dyDescent="0.2"/>
    <row r="58432" ht="12.75" hidden="1" customHeight="1" x14ac:dyDescent="0.2"/>
    <row r="58433" ht="12.75" hidden="1" customHeight="1" x14ac:dyDescent="0.2"/>
    <row r="58434" ht="12.75" hidden="1" customHeight="1" x14ac:dyDescent="0.2"/>
    <row r="58435" ht="12.75" hidden="1" customHeight="1" x14ac:dyDescent="0.2"/>
    <row r="58436" ht="12.75" hidden="1" customHeight="1" x14ac:dyDescent="0.2"/>
    <row r="58437" ht="12.75" hidden="1" customHeight="1" x14ac:dyDescent="0.2"/>
    <row r="58438" ht="12.75" hidden="1" customHeight="1" x14ac:dyDescent="0.2"/>
    <row r="58439" ht="12.75" hidden="1" customHeight="1" x14ac:dyDescent="0.2"/>
    <row r="58440" ht="12.75" hidden="1" customHeight="1" x14ac:dyDescent="0.2"/>
    <row r="58441" ht="12.75" hidden="1" customHeight="1" x14ac:dyDescent="0.2"/>
    <row r="58442" ht="12.75" hidden="1" customHeight="1" x14ac:dyDescent="0.2"/>
    <row r="58443" ht="12.75" hidden="1" customHeight="1" x14ac:dyDescent="0.2"/>
    <row r="58444" ht="12.75" hidden="1" customHeight="1" x14ac:dyDescent="0.2"/>
    <row r="58445" ht="12.75" hidden="1" customHeight="1" x14ac:dyDescent="0.2"/>
    <row r="58446" ht="12.75" hidden="1" customHeight="1" x14ac:dyDescent="0.2"/>
    <row r="58447" ht="12.75" hidden="1" customHeight="1" x14ac:dyDescent="0.2"/>
    <row r="58448" ht="12.75" hidden="1" customHeight="1" x14ac:dyDescent="0.2"/>
    <row r="58449" ht="12.75" hidden="1" customHeight="1" x14ac:dyDescent="0.2"/>
    <row r="58450" ht="12.75" hidden="1" customHeight="1" x14ac:dyDescent="0.2"/>
    <row r="58451" ht="12.75" hidden="1" customHeight="1" x14ac:dyDescent="0.2"/>
    <row r="58452" ht="12.75" hidden="1" customHeight="1" x14ac:dyDescent="0.2"/>
    <row r="58453" ht="12.75" hidden="1" customHeight="1" x14ac:dyDescent="0.2"/>
    <row r="58454" ht="12.75" hidden="1" customHeight="1" x14ac:dyDescent="0.2"/>
    <row r="58455" ht="12.75" hidden="1" customHeight="1" x14ac:dyDescent="0.2"/>
    <row r="58456" ht="12.75" hidden="1" customHeight="1" x14ac:dyDescent="0.2"/>
    <row r="58457" ht="12.75" hidden="1" customHeight="1" x14ac:dyDescent="0.2"/>
    <row r="58458" ht="12.75" hidden="1" customHeight="1" x14ac:dyDescent="0.2"/>
    <row r="58459" ht="12.75" hidden="1" customHeight="1" x14ac:dyDescent="0.2"/>
    <row r="58460" ht="12.75" hidden="1" customHeight="1" x14ac:dyDescent="0.2"/>
    <row r="58461" ht="12.75" hidden="1" customHeight="1" x14ac:dyDescent="0.2"/>
    <row r="58462" ht="12.75" hidden="1" customHeight="1" x14ac:dyDescent="0.2"/>
    <row r="58463" ht="12.75" hidden="1" customHeight="1" x14ac:dyDescent="0.2"/>
    <row r="58464" ht="12.75" hidden="1" customHeight="1" x14ac:dyDescent="0.2"/>
    <row r="58465" ht="12.75" hidden="1" customHeight="1" x14ac:dyDescent="0.2"/>
    <row r="58466" ht="12.75" hidden="1" customHeight="1" x14ac:dyDescent="0.2"/>
    <row r="58467" ht="12.75" hidden="1" customHeight="1" x14ac:dyDescent="0.2"/>
    <row r="58468" ht="12.75" hidden="1" customHeight="1" x14ac:dyDescent="0.2"/>
    <row r="58469" ht="12.75" hidden="1" customHeight="1" x14ac:dyDescent="0.2"/>
    <row r="58470" ht="12.75" hidden="1" customHeight="1" x14ac:dyDescent="0.2"/>
    <row r="58471" ht="12.75" hidden="1" customHeight="1" x14ac:dyDescent="0.2"/>
    <row r="58472" ht="12.75" hidden="1" customHeight="1" x14ac:dyDescent="0.2"/>
    <row r="58473" ht="12.75" hidden="1" customHeight="1" x14ac:dyDescent="0.2"/>
    <row r="58474" ht="12.75" hidden="1" customHeight="1" x14ac:dyDescent="0.2"/>
    <row r="58475" ht="12.75" hidden="1" customHeight="1" x14ac:dyDescent="0.2"/>
    <row r="58476" ht="12.75" hidden="1" customHeight="1" x14ac:dyDescent="0.2"/>
    <row r="58477" ht="12.75" hidden="1" customHeight="1" x14ac:dyDescent="0.2"/>
    <row r="58478" ht="12.75" hidden="1" customHeight="1" x14ac:dyDescent="0.2"/>
    <row r="58479" ht="12.75" hidden="1" customHeight="1" x14ac:dyDescent="0.2"/>
    <row r="58480" ht="12.75" hidden="1" customHeight="1" x14ac:dyDescent="0.2"/>
    <row r="58481" ht="12.75" hidden="1" customHeight="1" x14ac:dyDescent="0.2"/>
    <row r="58482" ht="12.75" hidden="1" customHeight="1" x14ac:dyDescent="0.2"/>
    <row r="58483" ht="12.75" hidden="1" customHeight="1" x14ac:dyDescent="0.2"/>
    <row r="58484" ht="12.75" hidden="1" customHeight="1" x14ac:dyDescent="0.2"/>
    <row r="58485" ht="12.75" hidden="1" customHeight="1" x14ac:dyDescent="0.2"/>
    <row r="58486" ht="12.75" hidden="1" customHeight="1" x14ac:dyDescent="0.2"/>
    <row r="58487" ht="12.75" hidden="1" customHeight="1" x14ac:dyDescent="0.2"/>
    <row r="58488" ht="12.75" hidden="1" customHeight="1" x14ac:dyDescent="0.2"/>
    <row r="58489" ht="12.75" hidden="1" customHeight="1" x14ac:dyDescent="0.2"/>
    <row r="58490" ht="12.75" hidden="1" customHeight="1" x14ac:dyDescent="0.2"/>
    <row r="58491" ht="12.75" hidden="1" customHeight="1" x14ac:dyDescent="0.2"/>
    <row r="58492" ht="12.75" hidden="1" customHeight="1" x14ac:dyDescent="0.2"/>
    <row r="58493" ht="12.75" hidden="1" customHeight="1" x14ac:dyDescent="0.2"/>
    <row r="58494" ht="12.75" hidden="1" customHeight="1" x14ac:dyDescent="0.2"/>
    <row r="58495" ht="12.75" hidden="1" customHeight="1" x14ac:dyDescent="0.2"/>
    <row r="58496" ht="12.75" hidden="1" customHeight="1" x14ac:dyDescent="0.2"/>
    <row r="58497" ht="12.75" hidden="1" customHeight="1" x14ac:dyDescent="0.2"/>
    <row r="58498" ht="12.75" hidden="1" customHeight="1" x14ac:dyDescent="0.2"/>
    <row r="58499" ht="12.75" hidden="1" customHeight="1" x14ac:dyDescent="0.2"/>
    <row r="58500" ht="12.75" hidden="1" customHeight="1" x14ac:dyDescent="0.2"/>
    <row r="58501" ht="12.75" hidden="1" customHeight="1" x14ac:dyDescent="0.2"/>
    <row r="58502" ht="12.75" hidden="1" customHeight="1" x14ac:dyDescent="0.2"/>
    <row r="58503" ht="12.75" hidden="1" customHeight="1" x14ac:dyDescent="0.2"/>
    <row r="58504" ht="12.75" hidden="1" customHeight="1" x14ac:dyDescent="0.2"/>
    <row r="58505" ht="12.75" hidden="1" customHeight="1" x14ac:dyDescent="0.2"/>
    <row r="58506" ht="12.75" hidden="1" customHeight="1" x14ac:dyDescent="0.2"/>
    <row r="58507" ht="12.75" hidden="1" customHeight="1" x14ac:dyDescent="0.2"/>
    <row r="58508" ht="12.75" hidden="1" customHeight="1" x14ac:dyDescent="0.2"/>
    <row r="58509" ht="12.75" hidden="1" customHeight="1" x14ac:dyDescent="0.2"/>
    <row r="58510" ht="12.75" hidden="1" customHeight="1" x14ac:dyDescent="0.2"/>
    <row r="58511" ht="12.75" hidden="1" customHeight="1" x14ac:dyDescent="0.2"/>
    <row r="58512" ht="12.75" hidden="1" customHeight="1" x14ac:dyDescent="0.2"/>
    <row r="58513" ht="12.75" hidden="1" customHeight="1" x14ac:dyDescent="0.2"/>
    <row r="58514" ht="12.75" hidden="1" customHeight="1" x14ac:dyDescent="0.2"/>
    <row r="58515" ht="12.75" hidden="1" customHeight="1" x14ac:dyDescent="0.2"/>
    <row r="58516" ht="12.75" hidden="1" customHeight="1" x14ac:dyDescent="0.2"/>
    <row r="58517" ht="12.75" hidden="1" customHeight="1" x14ac:dyDescent="0.2"/>
    <row r="58518" ht="12.75" hidden="1" customHeight="1" x14ac:dyDescent="0.2"/>
    <row r="58519" ht="12.75" hidden="1" customHeight="1" x14ac:dyDescent="0.2"/>
    <row r="58520" ht="12.75" hidden="1" customHeight="1" x14ac:dyDescent="0.2"/>
    <row r="58521" ht="12.75" hidden="1" customHeight="1" x14ac:dyDescent="0.2"/>
    <row r="58522" ht="12.75" hidden="1" customHeight="1" x14ac:dyDescent="0.2"/>
    <row r="58523" ht="12.75" hidden="1" customHeight="1" x14ac:dyDescent="0.2"/>
    <row r="58524" ht="12.75" hidden="1" customHeight="1" x14ac:dyDescent="0.2"/>
    <row r="58525" ht="12.75" hidden="1" customHeight="1" x14ac:dyDescent="0.2"/>
    <row r="58526" ht="12.75" hidden="1" customHeight="1" x14ac:dyDescent="0.2"/>
    <row r="58527" ht="12.75" hidden="1" customHeight="1" x14ac:dyDescent="0.2"/>
    <row r="58528" ht="12.75" hidden="1" customHeight="1" x14ac:dyDescent="0.2"/>
    <row r="58529" ht="12.75" hidden="1" customHeight="1" x14ac:dyDescent="0.2"/>
    <row r="58530" ht="12.75" hidden="1" customHeight="1" x14ac:dyDescent="0.2"/>
    <row r="58531" ht="12.75" hidden="1" customHeight="1" x14ac:dyDescent="0.2"/>
    <row r="58532" ht="12.75" hidden="1" customHeight="1" x14ac:dyDescent="0.2"/>
    <row r="58533" ht="12.75" hidden="1" customHeight="1" x14ac:dyDescent="0.2"/>
    <row r="58534" ht="12.75" hidden="1" customHeight="1" x14ac:dyDescent="0.2"/>
    <row r="58535" ht="12.75" hidden="1" customHeight="1" x14ac:dyDescent="0.2"/>
    <row r="58536" ht="12.75" hidden="1" customHeight="1" x14ac:dyDescent="0.2"/>
    <row r="58537" ht="12.75" hidden="1" customHeight="1" x14ac:dyDescent="0.2"/>
    <row r="58538" ht="12.75" hidden="1" customHeight="1" x14ac:dyDescent="0.2"/>
    <row r="58539" ht="12.75" hidden="1" customHeight="1" x14ac:dyDescent="0.2"/>
    <row r="58540" ht="12.75" hidden="1" customHeight="1" x14ac:dyDescent="0.2"/>
    <row r="58541" ht="12.75" hidden="1" customHeight="1" x14ac:dyDescent="0.2"/>
    <row r="58542" ht="12.75" hidden="1" customHeight="1" x14ac:dyDescent="0.2"/>
    <row r="58543" ht="12.75" hidden="1" customHeight="1" x14ac:dyDescent="0.2"/>
    <row r="58544" ht="12.75" hidden="1" customHeight="1" x14ac:dyDescent="0.2"/>
    <row r="58545" ht="12.75" hidden="1" customHeight="1" x14ac:dyDescent="0.2"/>
    <row r="58546" ht="12.75" hidden="1" customHeight="1" x14ac:dyDescent="0.2"/>
    <row r="58547" ht="12.75" hidden="1" customHeight="1" x14ac:dyDescent="0.2"/>
    <row r="58548" ht="12.75" hidden="1" customHeight="1" x14ac:dyDescent="0.2"/>
    <row r="58549" ht="12.75" hidden="1" customHeight="1" x14ac:dyDescent="0.2"/>
    <row r="58550" ht="12.75" hidden="1" customHeight="1" x14ac:dyDescent="0.2"/>
    <row r="58551" ht="12.75" hidden="1" customHeight="1" x14ac:dyDescent="0.2"/>
    <row r="58552" ht="12.75" hidden="1" customHeight="1" x14ac:dyDescent="0.2"/>
    <row r="58553" ht="12.75" hidden="1" customHeight="1" x14ac:dyDescent="0.2"/>
    <row r="58554" ht="12.75" hidden="1" customHeight="1" x14ac:dyDescent="0.2"/>
    <row r="58555" ht="12.75" hidden="1" customHeight="1" x14ac:dyDescent="0.2"/>
    <row r="58556" ht="12.75" hidden="1" customHeight="1" x14ac:dyDescent="0.2"/>
    <row r="58557" ht="12.75" hidden="1" customHeight="1" x14ac:dyDescent="0.2"/>
    <row r="58558" ht="12.75" hidden="1" customHeight="1" x14ac:dyDescent="0.2"/>
    <row r="58559" ht="12.75" hidden="1" customHeight="1" x14ac:dyDescent="0.2"/>
    <row r="58560" ht="12.75" hidden="1" customHeight="1" x14ac:dyDescent="0.2"/>
    <row r="58561" ht="12.75" hidden="1" customHeight="1" x14ac:dyDescent="0.2"/>
    <row r="58562" ht="12.75" hidden="1" customHeight="1" x14ac:dyDescent="0.2"/>
    <row r="58563" ht="12.75" hidden="1" customHeight="1" x14ac:dyDescent="0.2"/>
    <row r="58564" ht="12.75" hidden="1" customHeight="1" x14ac:dyDescent="0.2"/>
    <row r="58565" ht="12.75" hidden="1" customHeight="1" x14ac:dyDescent="0.2"/>
    <row r="58566" ht="12.75" hidden="1" customHeight="1" x14ac:dyDescent="0.2"/>
    <row r="58567" ht="12.75" hidden="1" customHeight="1" x14ac:dyDescent="0.2"/>
    <row r="58568" ht="12.75" hidden="1" customHeight="1" x14ac:dyDescent="0.2"/>
    <row r="58569" ht="12.75" hidden="1" customHeight="1" x14ac:dyDescent="0.2"/>
    <row r="58570" ht="12.75" hidden="1" customHeight="1" x14ac:dyDescent="0.2"/>
    <row r="58571" ht="12.75" hidden="1" customHeight="1" x14ac:dyDescent="0.2"/>
    <row r="58572" ht="12.75" hidden="1" customHeight="1" x14ac:dyDescent="0.2"/>
    <row r="58573" ht="12.75" hidden="1" customHeight="1" x14ac:dyDescent="0.2"/>
    <row r="58574" ht="12.75" hidden="1" customHeight="1" x14ac:dyDescent="0.2"/>
    <row r="58575" ht="12.75" hidden="1" customHeight="1" x14ac:dyDescent="0.2"/>
    <row r="58576" ht="12.75" hidden="1" customHeight="1" x14ac:dyDescent="0.2"/>
    <row r="58577" ht="12.75" hidden="1" customHeight="1" x14ac:dyDescent="0.2"/>
    <row r="58578" ht="12.75" hidden="1" customHeight="1" x14ac:dyDescent="0.2"/>
    <row r="58579" ht="12.75" hidden="1" customHeight="1" x14ac:dyDescent="0.2"/>
    <row r="58580" ht="12.75" hidden="1" customHeight="1" x14ac:dyDescent="0.2"/>
    <row r="58581" ht="12.75" hidden="1" customHeight="1" x14ac:dyDescent="0.2"/>
    <row r="58582" ht="12.75" hidden="1" customHeight="1" x14ac:dyDescent="0.2"/>
    <row r="58583" ht="12.75" hidden="1" customHeight="1" x14ac:dyDescent="0.2"/>
    <row r="58584" ht="12.75" hidden="1" customHeight="1" x14ac:dyDescent="0.2"/>
    <row r="58585" ht="12.75" hidden="1" customHeight="1" x14ac:dyDescent="0.2"/>
    <row r="58586" ht="12.75" hidden="1" customHeight="1" x14ac:dyDescent="0.2"/>
    <row r="58587" ht="12.75" hidden="1" customHeight="1" x14ac:dyDescent="0.2"/>
    <row r="58588" ht="12.75" hidden="1" customHeight="1" x14ac:dyDescent="0.2"/>
    <row r="58589" ht="12.75" hidden="1" customHeight="1" x14ac:dyDescent="0.2"/>
    <row r="58590" ht="12.75" hidden="1" customHeight="1" x14ac:dyDescent="0.2"/>
    <row r="58591" ht="12.75" hidden="1" customHeight="1" x14ac:dyDescent="0.2"/>
    <row r="58592" ht="12.75" hidden="1" customHeight="1" x14ac:dyDescent="0.2"/>
    <row r="58593" ht="12.75" hidden="1" customHeight="1" x14ac:dyDescent="0.2"/>
    <row r="58594" ht="12.75" hidden="1" customHeight="1" x14ac:dyDescent="0.2"/>
    <row r="58595" ht="12.75" hidden="1" customHeight="1" x14ac:dyDescent="0.2"/>
    <row r="58596" ht="12.75" hidden="1" customHeight="1" x14ac:dyDescent="0.2"/>
    <row r="58597" ht="12.75" hidden="1" customHeight="1" x14ac:dyDescent="0.2"/>
    <row r="58598" ht="12.75" hidden="1" customHeight="1" x14ac:dyDescent="0.2"/>
    <row r="58599" ht="12.75" hidden="1" customHeight="1" x14ac:dyDescent="0.2"/>
    <row r="58600" ht="12.75" hidden="1" customHeight="1" x14ac:dyDescent="0.2"/>
    <row r="58601" ht="12.75" hidden="1" customHeight="1" x14ac:dyDescent="0.2"/>
    <row r="58602" ht="12.75" hidden="1" customHeight="1" x14ac:dyDescent="0.2"/>
    <row r="58603" ht="12.75" hidden="1" customHeight="1" x14ac:dyDescent="0.2"/>
    <row r="58604" ht="12.75" hidden="1" customHeight="1" x14ac:dyDescent="0.2"/>
    <row r="58605" ht="12.75" hidden="1" customHeight="1" x14ac:dyDescent="0.2"/>
    <row r="58606" ht="12.75" hidden="1" customHeight="1" x14ac:dyDescent="0.2"/>
    <row r="58607" ht="12.75" hidden="1" customHeight="1" x14ac:dyDescent="0.2"/>
    <row r="58608" ht="12.75" hidden="1" customHeight="1" x14ac:dyDescent="0.2"/>
    <row r="58609" ht="12.75" hidden="1" customHeight="1" x14ac:dyDescent="0.2"/>
    <row r="58610" ht="12.75" hidden="1" customHeight="1" x14ac:dyDescent="0.2"/>
    <row r="58611" ht="12.75" hidden="1" customHeight="1" x14ac:dyDescent="0.2"/>
    <row r="58612" ht="12.75" hidden="1" customHeight="1" x14ac:dyDescent="0.2"/>
    <row r="58613" ht="12.75" hidden="1" customHeight="1" x14ac:dyDescent="0.2"/>
    <row r="58614" ht="12.75" hidden="1" customHeight="1" x14ac:dyDescent="0.2"/>
    <row r="58615" ht="12.75" hidden="1" customHeight="1" x14ac:dyDescent="0.2"/>
    <row r="58616" ht="12.75" hidden="1" customHeight="1" x14ac:dyDescent="0.2"/>
    <row r="58617" ht="12.75" hidden="1" customHeight="1" x14ac:dyDescent="0.2"/>
    <row r="58618" ht="12.75" hidden="1" customHeight="1" x14ac:dyDescent="0.2"/>
    <row r="58619" ht="12.75" hidden="1" customHeight="1" x14ac:dyDescent="0.2"/>
    <row r="58620" ht="12.75" hidden="1" customHeight="1" x14ac:dyDescent="0.2"/>
    <row r="58621" ht="12.75" hidden="1" customHeight="1" x14ac:dyDescent="0.2"/>
    <row r="58622" ht="12.75" hidden="1" customHeight="1" x14ac:dyDescent="0.2"/>
    <row r="58623" ht="12.75" hidden="1" customHeight="1" x14ac:dyDescent="0.2"/>
    <row r="58624" ht="12.75" hidden="1" customHeight="1" x14ac:dyDescent="0.2"/>
    <row r="58625" ht="12.75" hidden="1" customHeight="1" x14ac:dyDescent="0.2"/>
    <row r="58626" ht="12.75" hidden="1" customHeight="1" x14ac:dyDescent="0.2"/>
    <row r="58627" ht="12.75" hidden="1" customHeight="1" x14ac:dyDescent="0.2"/>
    <row r="58628" ht="12.75" hidden="1" customHeight="1" x14ac:dyDescent="0.2"/>
    <row r="58629" ht="12.75" hidden="1" customHeight="1" x14ac:dyDescent="0.2"/>
    <row r="58630" ht="12.75" hidden="1" customHeight="1" x14ac:dyDescent="0.2"/>
    <row r="58631" ht="12.75" hidden="1" customHeight="1" x14ac:dyDescent="0.2"/>
    <row r="58632" ht="12.75" hidden="1" customHeight="1" x14ac:dyDescent="0.2"/>
    <row r="58633" ht="12.75" hidden="1" customHeight="1" x14ac:dyDescent="0.2"/>
    <row r="58634" ht="12.75" hidden="1" customHeight="1" x14ac:dyDescent="0.2"/>
    <row r="58635" ht="12.75" hidden="1" customHeight="1" x14ac:dyDescent="0.2"/>
    <row r="58636" ht="12.75" hidden="1" customHeight="1" x14ac:dyDescent="0.2"/>
    <row r="58637" ht="12.75" hidden="1" customHeight="1" x14ac:dyDescent="0.2"/>
    <row r="58638" ht="12.75" hidden="1" customHeight="1" x14ac:dyDescent="0.2"/>
    <row r="58639" ht="12.75" hidden="1" customHeight="1" x14ac:dyDescent="0.2"/>
    <row r="58640" ht="12.75" hidden="1" customHeight="1" x14ac:dyDescent="0.2"/>
    <row r="58641" ht="12.75" hidden="1" customHeight="1" x14ac:dyDescent="0.2"/>
    <row r="58642" ht="12.75" hidden="1" customHeight="1" x14ac:dyDescent="0.2"/>
    <row r="58643" ht="12.75" hidden="1" customHeight="1" x14ac:dyDescent="0.2"/>
    <row r="58644" ht="12.75" hidden="1" customHeight="1" x14ac:dyDescent="0.2"/>
    <row r="58645" ht="12.75" hidden="1" customHeight="1" x14ac:dyDescent="0.2"/>
    <row r="58646" ht="12.75" hidden="1" customHeight="1" x14ac:dyDescent="0.2"/>
    <row r="58647" ht="12.75" hidden="1" customHeight="1" x14ac:dyDescent="0.2"/>
    <row r="58648" ht="12.75" hidden="1" customHeight="1" x14ac:dyDescent="0.2"/>
    <row r="58649" ht="12.75" hidden="1" customHeight="1" x14ac:dyDescent="0.2"/>
    <row r="58650" ht="12.75" hidden="1" customHeight="1" x14ac:dyDescent="0.2"/>
    <row r="58651" ht="12.75" hidden="1" customHeight="1" x14ac:dyDescent="0.2"/>
    <row r="58652" ht="12.75" hidden="1" customHeight="1" x14ac:dyDescent="0.2"/>
    <row r="58653" ht="12.75" hidden="1" customHeight="1" x14ac:dyDescent="0.2"/>
    <row r="58654" ht="12.75" hidden="1" customHeight="1" x14ac:dyDescent="0.2"/>
    <row r="58655" ht="12.75" hidden="1" customHeight="1" x14ac:dyDescent="0.2"/>
    <row r="58656" ht="12.75" hidden="1" customHeight="1" x14ac:dyDescent="0.2"/>
    <row r="58657" ht="12.75" hidden="1" customHeight="1" x14ac:dyDescent="0.2"/>
    <row r="58658" ht="12.75" hidden="1" customHeight="1" x14ac:dyDescent="0.2"/>
    <row r="58659" ht="12.75" hidden="1" customHeight="1" x14ac:dyDescent="0.2"/>
    <row r="58660" ht="12.75" hidden="1" customHeight="1" x14ac:dyDescent="0.2"/>
    <row r="58661" ht="12.75" hidden="1" customHeight="1" x14ac:dyDescent="0.2"/>
    <row r="58662" ht="12.75" hidden="1" customHeight="1" x14ac:dyDescent="0.2"/>
    <row r="58663" ht="12.75" hidden="1" customHeight="1" x14ac:dyDescent="0.2"/>
    <row r="58664" ht="12.75" hidden="1" customHeight="1" x14ac:dyDescent="0.2"/>
    <row r="58665" ht="12.75" hidden="1" customHeight="1" x14ac:dyDescent="0.2"/>
    <row r="58666" ht="12.75" hidden="1" customHeight="1" x14ac:dyDescent="0.2"/>
    <row r="58667" ht="12.75" hidden="1" customHeight="1" x14ac:dyDescent="0.2"/>
    <row r="58668" ht="12.75" hidden="1" customHeight="1" x14ac:dyDescent="0.2"/>
    <row r="58669" ht="12.75" hidden="1" customHeight="1" x14ac:dyDescent="0.2"/>
    <row r="58670" ht="12.75" hidden="1" customHeight="1" x14ac:dyDescent="0.2"/>
    <row r="58671" ht="12.75" hidden="1" customHeight="1" x14ac:dyDescent="0.2"/>
    <row r="58672" ht="12.75" hidden="1" customHeight="1" x14ac:dyDescent="0.2"/>
    <row r="58673" ht="12.75" hidden="1" customHeight="1" x14ac:dyDescent="0.2"/>
    <row r="58674" ht="12.75" hidden="1" customHeight="1" x14ac:dyDescent="0.2"/>
    <row r="58675" ht="12.75" hidden="1" customHeight="1" x14ac:dyDescent="0.2"/>
    <row r="58676" ht="12.75" hidden="1" customHeight="1" x14ac:dyDescent="0.2"/>
    <row r="58677" ht="12.75" hidden="1" customHeight="1" x14ac:dyDescent="0.2"/>
    <row r="58678" ht="12.75" hidden="1" customHeight="1" x14ac:dyDescent="0.2"/>
    <row r="58679" ht="12.75" hidden="1" customHeight="1" x14ac:dyDescent="0.2"/>
    <row r="58680" ht="12.75" hidden="1" customHeight="1" x14ac:dyDescent="0.2"/>
    <row r="58681" ht="12.75" hidden="1" customHeight="1" x14ac:dyDescent="0.2"/>
    <row r="58682" ht="12.75" hidden="1" customHeight="1" x14ac:dyDescent="0.2"/>
    <row r="58683" ht="12.75" hidden="1" customHeight="1" x14ac:dyDescent="0.2"/>
    <row r="58684" ht="12.75" hidden="1" customHeight="1" x14ac:dyDescent="0.2"/>
    <row r="58685" ht="12.75" hidden="1" customHeight="1" x14ac:dyDescent="0.2"/>
    <row r="58686" ht="12.75" hidden="1" customHeight="1" x14ac:dyDescent="0.2"/>
    <row r="58687" ht="12.75" hidden="1" customHeight="1" x14ac:dyDescent="0.2"/>
    <row r="58688" ht="12.75" hidden="1" customHeight="1" x14ac:dyDescent="0.2"/>
    <row r="58689" ht="12.75" hidden="1" customHeight="1" x14ac:dyDescent="0.2"/>
    <row r="58690" ht="12.75" hidden="1" customHeight="1" x14ac:dyDescent="0.2"/>
    <row r="58691" ht="12.75" hidden="1" customHeight="1" x14ac:dyDescent="0.2"/>
    <row r="58692" ht="12.75" hidden="1" customHeight="1" x14ac:dyDescent="0.2"/>
    <row r="58693" ht="12.75" hidden="1" customHeight="1" x14ac:dyDescent="0.2"/>
    <row r="58694" ht="12.75" hidden="1" customHeight="1" x14ac:dyDescent="0.2"/>
    <row r="58695" ht="12.75" hidden="1" customHeight="1" x14ac:dyDescent="0.2"/>
    <row r="58696" ht="12.75" hidden="1" customHeight="1" x14ac:dyDescent="0.2"/>
    <row r="58697" ht="12.75" hidden="1" customHeight="1" x14ac:dyDescent="0.2"/>
    <row r="58698" ht="12.75" hidden="1" customHeight="1" x14ac:dyDescent="0.2"/>
    <row r="58699" ht="12.75" hidden="1" customHeight="1" x14ac:dyDescent="0.2"/>
    <row r="58700" ht="12.75" hidden="1" customHeight="1" x14ac:dyDescent="0.2"/>
    <row r="58701" ht="12.75" hidden="1" customHeight="1" x14ac:dyDescent="0.2"/>
    <row r="58702" ht="12.75" hidden="1" customHeight="1" x14ac:dyDescent="0.2"/>
    <row r="58703" ht="12.75" hidden="1" customHeight="1" x14ac:dyDescent="0.2"/>
    <row r="58704" ht="12.75" hidden="1" customHeight="1" x14ac:dyDescent="0.2"/>
    <row r="58705" ht="12.75" hidden="1" customHeight="1" x14ac:dyDescent="0.2"/>
    <row r="58706" ht="12.75" hidden="1" customHeight="1" x14ac:dyDescent="0.2"/>
    <row r="58707" ht="12.75" hidden="1" customHeight="1" x14ac:dyDescent="0.2"/>
    <row r="58708" ht="12.75" hidden="1" customHeight="1" x14ac:dyDescent="0.2"/>
    <row r="58709" ht="12.75" hidden="1" customHeight="1" x14ac:dyDescent="0.2"/>
    <row r="58710" ht="12.75" hidden="1" customHeight="1" x14ac:dyDescent="0.2"/>
    <row r="58711" ht="12.75" hidden="1" customHeight="1" x14ac:dyDescent="0.2"/>
    <row r="58712" ht="12.75" hidden="1" customHeight="1" x14ac:dyDescent="0.2"/>
    <row r="58713" ht="12.75" hidden="1" customHeight="1" x14ac:dyDescent="0.2"/>
    <row r="58714" ht="12.75" hidden="1" customHeight="1" x14ac:dyDescent="0.2"/>
    <row r="58715" ht="12.75" hidden="1" customHeight="1" x14ac:dyDescent="0.2"/>
    <row r="58716" ht="12.75" hidden="1" customHeight="1" x14ac:dyDescent="0.2"/>
    <row r="58717" ht="12.75" hidden="1" customHeight="1" x14ac:dyDescent="0.2"/>
    <row r="58718" ht="12.75" hidden="1" customHeight="1" x14ac:dyDescent="0.2"/>
    <row r="58719" ht="12.75" hidden="1" customHeight="1" x14ac:dyDescent="0.2"/>
    <row r="58720" ht="12.75" hidden="1" customHeight="1" x14ac:dyDescent="0.2"/>
    <row r="58721" ht="12.75" hidden="1" customHeight="1" x14ac:dyDescent="0.2"/>
    <row r="58722" ht="12.75" hidden="1" customHeight="1" x14ac:dyDescent="0.2"/>
    <row r="58723" ht="12.75" hidden="1" customHeight="1" x14ac:dyDescent="0.2"/>
    <row r="58724" ht="12.75" hidden="1" customHeight="1" x14ac:dyDescent="0.2"/>
    <row r="58725" ht="12.75" hidden="1" customHeight="1" x14ac:dyDescent="0.2"/>
    <row r="58726" ht="12.75" hidden="1" customHeight="1" x14ac:dyDescent="0.2"/>
    <row r="58727" ht="12.75" hidden="1" customHeight="1" x14ac:dyDescent="0.2"/>
    <row r="58728" ht="12.75" hidden="1" customHeight="1" x14ac:dyDescent="0.2"/>
    <row r="58729" ht="12.75" hidden="1" customHeight="1" x14ac:dyDescent="0.2"/>
    <row r="58730" ht="12.75" hidden="1" customHeight="1" x14ac:dyDescent="0.2"/>
    <row r="58731" ht="12.75" hidden="1" customHeight="1" x14ac:dyDescent="0.2"/>
    <row r="58732" ht="12.75" hidden="1" customHeight="1" x14ac:dyDescent="0.2"/>
    <row r="58733" ht="12.75" hidden="1" customHeight="1" x14ac:dyDescent="0.2"/>
    <row r="58734" ht="12.75" hidden="1" customHeight="1" x14ac:dyDescent="0.2"/>
    <row r="58735" ht="12.75" hidden="1" customHeight="1" x14ac:dyDescent="0.2"/>
    <row r="58736" ht="12.75" hidden="1" customHeight="1" x14ac:dyDescent="0.2"/>
    <row r="58737" ht="12.75" hidden="1" customHeight="1" x14ac:dyDescent="0.2"/>
    <row r="58738" ht="12.75" hidden="1" customHeight="1" x14ac:dyDescent="0.2"/>
    <row r="58739" ht="12.75" hidden="1" customHeight="1" x14ac:dyDescent="0.2"/>
    <row r="58740" ht="12.75" hidden="1" customHeight="1" x14ac:dyDescent="0.2"/>
    <row r="58741" ht="12.75" hidden="1" customHeight="1" x14ac:dyDescent="0.2"/>
    <row r="58742" ht="12.75" hidden="1" customHeight="1" x14ac:dyDescent="0.2"/>
    <row r="58743" ht="12.75" hidden="1" customHeight="1" x14ac:dyDescent="0.2"/>
    <row r="58744" ht="12.75" hidden="1" customHeight="1" x14ac:dyDescent="0.2"/>
    <row r="58745" ht="12.75" hidden="1" customHeight="1" x14ac:dyDescent="0.2"/>
    <row r="58746" ht="12.75" hidden="1" customHeight="1" x14ac:dyDescent="0.2"/>
    <row r="58747" ht="12.75" hidden="1" customHeight="1" x14ac:dyDescent="0.2"/>
    <row r="58748" ht="12.75" hidden="1" customHeight="1" x14ac:dyDescent="0.2"/>
    <row r="58749" ht="12.75" hidden="1" customHeight="1" x14ac:dyDescent="0.2"/>
    <row r="58750" ht="12.75" hidden="1" customHeight="1" x14ac:dyDescent="0.2"/>
    <row r="58751" ht="12.75" hidden="1" customHeight="1" x14ac:dyDescent="0.2"/>
    <row r="58752" ht="12.75" hidden="1" customHeight="1" x14ac:dyDescent="0.2"/>
    <row r="58753" ht="12.75" hidden="1" customHeight="1" x14ac:dyDescent="0.2"/>
    <row r="58754" ht="12.75" hidden="1" customHeight="1" x14ac:dyDescent="0.2"/>
    <row r="58755" ht="12.75" hidden="1" customHeight="1" x14ac:dyDescent="0.2"/>
    <row r="58756" ht="12.75" hidden="1" customHeight="1" x14ac:dyDescent="0.2"/>
    <row r="58757" ht="12.75" hidden="1" customHeight="1" x14ac:dyDescent="0.2"/>
    <row r="58758" ht="12.75" hidden="1" customHeight="1" x14ac:dyDescent="0.2"/>
    <row r="58759" ht="12.75" hidden="1" customHeight="1" x14ac:dyDescent="0.2"/>
    <row r="58760" ht="12.75" hidden="1" customHeight="1" x14ac:dyDescent="0.2"/>
    <row r="58761" ht="12.75" hidden="1" customHeight="1" x14ac:dyDescent="0.2"/>
    <row r="58762" ht="12.75" hidden="1" customHeight="1" x14ac:dyDescent="0.2"/>
    <row r="58763" ht="12.75" hidden="1" customHeight="1" x14ac:dyDescent="0.2"/>
    <row r="58764" ht="12.75" hidden="1" customHeight="1" x14ac:dyDescent="0.2"/>
    <row r="58765" ht="12.75" hidden="1" customHeight="1" x14ac:dyDescent="0.2"/>
    <row r="58766" ht="12.75" hidden="1" customHeight="1" x14ac:dyDescent="0.2"/>
    <row r="58767" ht="12.75" hidden="1" customHeight="1" x14ac:dyDescent="0.2"/>
    <row r="58768" ht="12.75" hidden="1" customHeight="1" x14ac:dyDescent="0.2"/>
    <row r="58769" ht="12.75" hidden="1" customHeight="1" x14ac:dyDescent="0.2"/>
    <row r="58770" ht="12.75" hidden="1" customHeight="1" x14ac:dyDescent="0.2"/>
    <row r="58771" ht="12.75" hidden="1" customHeight="1" x14ac:dyDescent="0.2"/>
    <row r="58772" ht="12.75" hidden="1" customHeight="1" x14ac:dyDescent="0.2"/>
    <row r="58773" ht="12.75" hidden="1" customHeight="1" x14ac:dyDescent="0.2"/>
    <row r="58774" ht="12.75" hidden="1" customHeight="1" x14ac:dyDescent="0.2"/>
    <row r="58775" ht="12.75" hidden="1" customHeight="1" x14ac:dyDescent="0.2"/>
    <row r="58776" ht="12.75" hidden="1" customHeight="1" x14ac:dyDescent="0.2"/>
    <row r="58777" ht="12.75" hidden="1" customHeight="1" x14ac:dyDescent="0.2"/>
    <row r="58778" ht="12.75" hidden="1" customHeight="1" x14ac:dyDescent="0.2"/>
    <row r="58779" ht="12.75" hidden="1" customHeight="1" x14ac:dyDescent="0.2"/>
    <row r="58780" ht="12.75" hidden="1" customHeight="1" x14ac:dyDescent="0.2"/>
    <row r="58781" ht="12.75" hidden="1" customHeight="1" x14ac:dyDescent="0.2"/>
    <row r="58782" ht="12.75" hidden="1" customHeight="1" x14ac:dyDescent="0.2"/>
    <row r="58783" ht="12.75" hidden="1" customHeight="1" x14ac:dyDescent="0.2"/>
    <row r="58784" ht="12.75" hidden="1" customHeight="1" x14ac:dyDescent="0.2"/>
    <row r="58785" ht="12.75" hidden="1" customHeight="1" x14ac:dyDescent="0.2"/>
    <row r="58786" ht="12.75" hidden="1" customHeight="1" x14ac:dyDescent="0.2"/>
    <row r="58787" ht="12.75" hidden="1" customHeight="1" x14ac:dyDescent="0.2"/>
    <row r="58788" ht="12.75" hidden="1" customHeight="1" x14ac:dyDescent="0.2"/>
    <row r="58789" ht="12.75" hidden="1" customHeight="1" x14ac:dyDescent="0.2"/>
    <row r="58790" ht="12.75" hidden="1" customHeight="1" x14ac:dyDescent="0.2"/>
    <row r="58791" ht="12.75" hidden="1" customHeight="1" x14ac:dyDescent="0.2"/>
    <row r="58792" ht="12.75" hidden="1" customHeight="1" x14ac:dyDescent="0.2"/>
    <row r="58793" ht="12.75" hidden="1" customHeight="1" x14ac:dyDescent="0.2"/>
    <row r="58794" ht="12.75" hidden="1" customHeight="1" x14ac:dyDescent="0.2"/>
    <row r="58795" ht="12.75" hidden="1" customHeight="1" x14ac:dyDescent="0.2"/>
    <row r="58796" ht="12.75" hidden="1" customHeight="1" x14ac:dyDescent="0.2"/>
    <row r="58797" ht="12.75" hidden="1" customHeight="1" x14ac:dyDescent="0.2"/>
    <row r="58798" ht="12.75" hidden="1" customHeight="1" x14ac:dyDescent="0.2"/>
    <row r="58799" ht="12.75" hidden="1" customHeight="1" x14ac:dyDescent="0.2"/>
    <row r="58800" ht="12.75" hidden="1" customHeight="1" x14ac:dyDescent="0.2"/>
    <row r="58801" ht="12.75" hidden="1" customHeight="1" x14ac:dyDescent="0.2"/>
    <row r="58802" ht="12.75" hidden="1" customHeight="1" x14ac:dyDescent="0.2"/>
    <row r="58803" ht="12.75" hidden="1" customHeight="1" x14ac:dyDescent="0.2"/>
    <row r="58804" ht="12.75" hidden="1" customHeight="1" x14ac:dyDescent="0.2"/>
    <row r="58805" ht="12.75" hidden="1" customHeight="1" x14ac:dyDescent="0.2"/>
    <row r="58806" ht="12.75" hidden="1" customHeight="1" x14ac:dyDescent="0.2"/>
    <row r="58807" ht="12.75" hidden="1" customHeight="1" x14ac:dyDescent="0.2"/>
    <row r="58808" ht="12.75" hidden="1" customHeight="1" x14ac:dyDescent="0.2"/>
    <row r="58809" ht="12.75" hidden="1" customHeight="1" x14ac:dyDescent="0.2"/>
    <row r="58810" ht="12.75" hidden="1" customHeight="1" x14ac:dyDescent="0.2"/>
    <row r="58811" ht="12.75" hidden="1" customHeight="1" x14ac:dyDescent="0.2"/>
    <row r="58812" ht="12.75" hidden="1" customHeight="1" x14ac:dyDescent="0.2"/>
    <row r="58813" ht="12.75" hidden="1" customHeight="1" x14ac:dyDescent="0.2"/>
    <row r="58814" ht="12.75" hidden="1" customHeight="1" x14ac:dyDescent="0.2"/>
    <row r="58815" ht="12.75" hidden="1" customHeight="1" x14ac:dyDescent="0.2"/>
    <row r="58816" ht="12.75" hidden="1" customHeight="1" x14ac:dyDescent="0.2"/>
    <row r="58817" ht="12.75" hidden="1" customHeight="1" x14ac:dyDescent="0.2"/>
    <row r="58818" ht="12.75" hidden="1" customHeight="1" x14ac:dyDescent="0.2"/>
    <row r="58819" ht="12.75" hidden="1" customHeight="1" x14ac:dyDescent="0.2"/>
    <row r="58820" ht="12.75" hidden="1" customHeight="1" x14ac:dyDescent="0.2"/>
    <row r="58821" ht="12.75" hidden="1" customHeight="1" x14ac:dyDescent="0.2"/>
    <row r="58822" ht="12.75" hidden="1" customHeight="1" x14ac:dyDescent="0.2"/>
    <row r="58823" ht="12.75" hidden="1" customHeight="1" x14ac:dyDescent="0.2"/>
    <row r="58824" ht="12.75" hidden="1" customHeight="1" x14ac:dyDescent="0.2"/>
    <row r="58825" ht="12.75" hidden="1" customHeight="1" x14ac:dyDescent="0.2"/>
    <row r="58826" ht="12.75" hidden="1" customHeight="1" x14ac:dyDescent="0.2"/>
    <row r="58827" ht="12.75" hidden="1" customHeight="1" x14ac:dyDescent="0.2"/>
    <row r="58828" ht="12.75" hidden="1" customHeight="1" x14ac:dyDescent="0.2"/>
    <row r="58829" ht="12.75" hidden="1" customHeight="1" x14ac:dyDescent="0.2"/>
    <row r="58830" ht="12.75" hidden="1" customHeight="1" x14ac:dyDescent="0.2"/>
    <row r="58831" ht="12.75" hidden="1" customHeight="1" x14ac:dyDescent="0.2"/>
    <row r="58832" ht="12.75" hidden="1" customHeight="1" x14ac:dyDescent="0.2"/>
    <row r="58833" ht="12.75" hidden="1" customHeight="1" x14ac:dyDescent="0.2"/>
    <row r="58834" ht="12.75" hidden="1" customHeight="1" x14ac:dyDescent="0.2"/>
    <row r="58835" ht="12.75" hidden="1" customHeight="1" x14ac:dyDescent="0.2"/>
    <row r="58836" ht="12.75" hidden="1" customHeight="1" x14ac:dyDescent="0.2"/>
    <row r="58837" ht="12.75" hidden="1" customHeight="1" x14ac:dyDescent="0.2"/>
    <row r="58838" ht="12.75" hidden="1" customHeight="1" x14ac:dyDescent="0.2"/>
    <row r="58839" ht="12.75" hidden="1" customHeight="1" x14ac:dyDescent="0.2"/>
    <row r="58840" ht="12.75" hidden="1" customHeight="1" x14ac:dyDescent="0.2"/>
    <row r="58841" ht="12.75" hidden="1" customHeight="1" x14ac:dyDescent="0.2"/>
    <row r="58842" ht="12.75" hidden="1" customHeight="1" x14ac:dyDescent="0.2"/>
    <row r="58843" ht="12.75" hidden="1" customHeight="1" x14ac:dyDescent="0.2"/>
    <row r="58844" ht="12.75" hidden="1" customHeight="1" x14ac:dyDescent="0.2"/>
    <row r="58845" ht="12.75" hidden="1" customHeight="1" x14ac:dyDescent="0.2"/>
    <row r="58846" ht="12.75" hidden="1" customHeight="1" x14ac:dyDescent="0.2"/>
    <row r="58847" ht="12.75" hidden="1" customHeight="1" x14ac:dyDescent="0.2"/>
    <row r="58848" ht="12.75" hidden="1" customHeight="1" x14ac:dyDescent="0.2"/>
    <row r="58849" ht="12.75" hidden="1" customHeight="1" x14ac:dyDescent="0.2"/>
    <row r="58850" ht="12.75" hidden="1" customHeight="1" x14ac:dyDescent="0.2"/>
    <row r="58851" ht="12.75" hidden="1" customHeight="1" x14ac:dyDescent="0.2"/>
    <row r="58852" ht="12.75" hidden="1" customHeight="1" x14ac:dyDescent="0.2"/>
    <row r="58853" ht="12.75" hidden="1" customHeight="1" x14ac:dyDescent="0.2"/>
    <row r="58854" ht="12.75" hidden="1" customHeight="1" x14ac:dyDescent="0.2"/>
    <row r="58855" ht="12.75" hidden="1" customHeight="1" x14ac:dyDescent="0.2"/>
    <row r="58856" ht="12.75" hidden="1" customHeight="1" x14ac:dyDescent="0.2"/>
    <row r="58857" ht="12.75" hidden="1" customHeight="1" x14ac:dyDescent="0.2"/>
    <row r="58858" ht="12.75" hidden="1" customHeight="1" x14ac:dyDescent="0.2"/>
    <row r="58859" ht="12.75" hidden="1" customHeight="1" x14ac:dyDescent="0.2"/>
    <row r="58860" ht="12.75" hidden="1" customHeight="1" x14ac:dyDescent="0.2"/>
    <row r="58861" ht="12.75" hidden="1" customHeight="1" x14ac:dyDescent="0.2"/>
    <row r="58862" ht="12.75" hidden="1" customHeight="1" x14ac:dyDescent="0.2"/>
    <row r="58863" ht="12.75" hidden="1" customHeight="1" x14ac:dyDescent="0.2"/>
    <row r="58864" ht="12.75" hidden="1" customHeight="1" x14ac:dyDescent="0.2"/>
    <row r="58865" ht="12.75" hidden="1" customHeight="1" x14ac:dyDescent="0.2"/>
    <row r="58866" ht="12.75" hidden="1" customHeight="1" x14ac:dyDescent="0.2"/>
    <row r="58867" ht="12.75" hidden="1" customHeight="1" x14ac:dyDescent="0.2"/>
    <row r="58868" ht="12.75" hidden="1" customHeight="1" x14ac:dyDescent="0.2"/>
    <row r="58869" ht="12.75" hidden="1" customHeight="1" x14ac:dyDescent="0.2"/>
    <row r="58870" ht="12.75" hidden="1" customHeight="1" x14ac:dyDescent="0.2"/>
    <row r="58871" ht="12.75" hidden="1" customHeight="1" x14ac:dyDescent="0.2"/>
    <row r="58872" ht="12.75" hidden="1" customHeight="1" x14ac:dyDescent="0.2"/>
    <row r="58873" ht="12.75" hidden="1" customHeight="1" x14ac:dyDescent="0.2"/>
    <row r="58874" ht="12.75" hidden="1" customHeight="1" x14ac:dyDescent="0.2"/>
    <row r="58875" ht="12.75" hidden="1" customHeight="1" x14ac:dyDescent="0.2"/>
    <row r="58876" ht="12.75" hidden="1" customHeight="1" x14ac:dyDescent="0.2"/>
    <row r="58877" ht="12.75" hidden="1" customHeight="1" x14ac:dyDescent="0.2"/>
    <row r="58878" ht="12.75" hidden="1" customHeight="1" x14ac:dyDescent="0.2"/>
    <row r="58879" ht="12.75" hidden="1" customHeight="1" x14ac:dyDescent="0.2"/>
    <row r="58880" ht="12.75" hidden="1" customHeight="1" x14ac:dyDescent="0.2"/>
    <row r="58881" ht="12.75" hidden="1" customHeight="1" x14ac:dyDescent="0.2"/>
    <row r="58882" ht="12.75" hidden="1" customHeight="1" x14ac:dyDescent="0.2"/>
    <row r="58883" ht="12.75" hidden="1" customHeight="1" x14ac:dyDescent="0.2"/>
    <row r="58884" ht="12.75" hidden="1" customHeight="1" x14ac:dyDescent="0.2"/>
    <row r="58885" ht="12.75" hidden="1" customHeight="1" x14ac:dyDescent="0.2"/>
    <row r="58886" ht="12.75" hidden="1" customHeight="1" x14ac:dyDescent="0.2"/>
    <row r="58887" ht="12.75" hidden="1" customHeight="1" x14ac:dyDescent="0.2"/>
    <row r="58888" ht="12.75" hidden="1" customHeight="1" x14ac:dyDescent="0.2"/>
    <row r="58889" ht="12.75" hidden="1" customHeight="1" x14ac:dyDescent="0.2"/>
    <row r="58890" ht="12.75" hidden="1" customHeight="1" x14ac:dyDescent="0.2"/>
    <row r="58891" ht="12.75" hidden="1" customHeight="1" x14ac:dyDescent="0.2"/>
    <row r="58892" ht="12.75" hidden="1" customHeight="1" x14ac:dyDescent="0.2"/>
    <row r="58893" ht="12.75" hidden="1" customHeight="1" x14ac:dyDescent="0.2"/>
    <row r="58894" ht="12.75" hidden="1" customHeight="1" x14ac:dyDescent="0.2"/>
    <row r="58895" ht="12.75" hidden="1" customHeight="1" x14ac:dyDescent="0.2"/>
    <row r="58896" ht="12.75" hidden="1" customHeight="1" x14ac:dyDescent="0.2"/>
    <row r="58897" ht="12.75" hidden="1" customHeight="1" x14ac:dyDescent="0.2"/>
    <row r="58898" ht="12.75" hidden="1" customHeight="1" x14ac:dyDescent="0.2"/>
    <row r="58899" ht="12.75" hidden="1" customHeight="1" x14ac:dyDescent="0.2"/>
    <row r="58900" ht="12.75" hidden="1" customHeight="1" x14ac:dyDescent="0.2"/>
    <row r="58901" ht="12.75" hidden="1" customHeight="1" x14ac:dyDescent="0.2"/>
    <row r="58902" ht="12.75" hidden="1" customHeight="1" x14ac:dyDescent="0.2"/>
    <row r="58903" ht="12.75" hidden="1" customHeight="1" x14ac:dyDescent="0.2"/>
    <row r="58904" ht="12.75" hidden="1" customHeight="1" x14ac:dyDescent="0.2"/>
    <row r="58905" ht="12.75" hidden="1" customHeight="1" x14ac:dyDescent="0.2"/>
    <row r="58906" ht="12.75" hidden="1" customHeight="1" x14ac:dyDescent="0.2"/>
    <row r="58907" ht="12.75" hidden="1" customHeight="1" x14ac:dyDescent="0.2"/>
    <row r="58908" ht="12.75" hidden="1" customHeight="1" x14ac:dyDescent="0.2"/>
    <row r="58909" ht="12.75" hidden="1" customHeight="1" x14ac:dyDescent="0.2"/>
    <row r="58910" ht="12.75" hidden="1" customHeight="1" x14ac:dyDescent="0.2"/>
    <row r="58911" ht="12.75" hidden="1" customHeight="1" x14ac:dyDescent="0.2"/>
    <row r="58912" ht="12.75" hidden="1" customHeight="1" x14ac:dyDescent="0.2"/>
    <row r="58913" ht="12.75" hidden="1" customHeight="1" x14ac:dyDescent="0.2"/>
    <row r="58914" ht="12.75" hidden="1" customHeight="1" x14ac:dyDescent="0.2"/>
    <row r="58915" ht="12.75" hidden="1" customHeight="1" x14ac:dyDescent="0.2"/>
    <row r="58916" ht="12.75" hidden="1" customHeight="1" x14ac:dyDescent="0.2"/>
    <row r="58917" ht="12.75" hidden="1" customHeight="1" x14ac:dyDescent="0.2"/>
    <row r="58918" ht="12.75" hidden="1" customHeight="1" x14ac:dyDescent="0.2"/>
    <row r="58919" ht="12.75" hidden="1" customHeight="1" x14ac:dyDescent="0.2"/>
    <row r="58920" ht="12.75" hidden="1" customHeight="1" x14ac:dyDescent="0.2"/>
    <row r="58921" ht="12.75" hidden="1" customHeight="1" x14ac:dyDescent="0.2"/>
    <row r="58922" ht="12.75" hidden="1" customHeight="1" x14ac:dyDescent="0.2"/>
    <row r="58923" ht="12.75" hidden="1" customHeight="1" x14ac:dyDescent="0.2"/>
    <row r="58924" ht="12.75" hidden="1" customHeight="1" x14ac:dyDescent="0.2"/>
    <row r="58925" ht="12.75" hidden="1" customHeight="1" x14ac:dyDescent="0.2"/>
    <row r="58926" ht="12.75" hidden="1" customHeight="1" x14ac:dyDescent="0.2"/>
    <row r="58927" ht="12.75" hidden="1" customHeight="1" x14ac:dyDescent="0.2"/>
    <row r="58928" ht="12.75" hidden="1" customHeight="1" x14ac:dyDescent="0.2"/>
    <row r="58929" ht="12.75" hidden="1" customHeight="1" x14ac:dyDescent="0.2"/>
    <row r="58930" ht="12.75" hidden="1" customHeight="1" x14ac:dyDescent="0.2"/>
    <row r="58931" ht="12.75" hidden="1" customHeight="1" x14ac:dyDescent="0.2"/>
    <row r="58932" ht="12.75" hidden="1" customHeight="1" x14ac:dyDescent="0.2"/>
    <row r="58933" ht="12.75" hidden="1" customHeight="1" x14ac:dyDescent="0.2"/>
    <row r="58934" ht="12.75" hidden="1" customHeight="1" x14ac:dyDescent="0.2"/>
    <row r="58935" ht="12.75" hidden="1" customHeight="1" x14ac:dyDescent="0.2"/>
    <row r="58936" ht="12.75" hidden="1" customHeight="1" x14ac:dyDescent="0.2"/>
    <row r="58937" ht="12.75" hidden="1" customHeight="1" x14ac:dyDescent="0.2"/>
    <row r="58938" ht="12.75" hidden="1" customHeight="1" x14ac:dyDescent="0.2"/>
    <row r="58939" ht="12.75" hidden="1" customHeight="1" x14ac:dyDescent="0.2"/>
    <row r="58940" ht="12.75" hidden="1" customHeight="1" x14ac:dyDescent="0.2"/>
    <row r="58941" ht="12.75" hidden="1" customHeight="1" x14ac:dyDescent="0.2"/>
    <row r="58942" ht="12.75" hidden="1" customHeight="1" x14ac:dyDescent="0.2"/>
    <row r="58943" ht="12.75" hidden="1" customHeight="1" x14ac:dyDescent="0.2"/>
    <row r="58944" ht="12.75" hidden="1" customHeight="1" x14ac:dyDescent="0.2"/>
    <row r="58945" ht="12.75" hidden="1" customHeight="1" x14ac:dyDescent="0.2"/>
    <row r="58946" ht="12.75" hidden="1" customHeight="1" x14ac:dyDescent="0.2"/>
    <row r="58947" ht="12.75" hidden="1" customHeight="1" x14ac:dyDescent="0.2"/>
    <row r="58948" ht="12.75" hidden="1" customHeight="1" x14ac:dyDescent="0.2"/>
    <row r="58949" ht="12.75" hidden="1" customHeight="1" x14ac:dyDescent="0.2"/>
    <row r="58950" ht="12.75" hidden="1" customHeight="1" x14ac:dyDescent="0.2"/>
    <row r="58951" ht="12.75" hidden="1" customHeight="1" x14ac:dyDescent="0.2"/>
    <row r="58952" ht="12.75" hidden="1" customHeight="1" x14ac:dyDescent="0.2"/>
    <row r="58953" ht="12.75" hidden="1" customHeight="1" x14ac:dyDescent="0.2"/>
    <row r="58954" ht="12.75" hidden="1" customHeight="1" x14ac:dyDescent="0.2"/>
    <row r="58955" ht="12.75" hidden="1" customHeight="1" x14ac:dyDescent="0.2"/>
    <row r="58956" ht="12.75" hidden="1" customHeight="1" x14ac:dyDescent="0.2"/>
    <row r="58957" ht="12.75" hidden="1" customHeight="1" x14ac:dyDescent="0.2"/>
    <row r="58958" ht="12.75" hidden="1" customHeight="1" x14ac:dyDescent="0.2"/>
    <row r="58959" ht="12.75" hidden="1" customHeight="1" x14ac:dyDescent="0.2"/>
    <row r="58960" ht="12.75" hidden="1" customHeight="1" x14ac:dyDescent="0.2"/>
    <row r="58961" ht="12.75" hidden="1" customHeight="1" x14ac:dyDescent="0.2"/>
    <row r="58962" ht="12.75" hidden="1" customHeight="1" x14ac:dyDescent="0.2"/>
    <row r="58963" ht="12.75" hidden="1" customHeight="1" x14ac:dyDescent="0.2"/>
    <row r="58964" ht="12.75" hidden="1" customHeight="1" x14ac:dyDescent="0.2"/>
    <row r="58965" ht="12.75" hidden="1" customHeight="1" x14ac:dyDescent="0.2"/>
    <row r="58966" ht="12.75" hidden="1" customHeight="1" x14ac:dyDescent="0.2"/>
    <row r="58967" ht="12.75" hidden="1" customHeight="1" x14ac:dyDescent="0.2"/>
    <row r="58968" ht="12.75" hidden="1" customHeight="1" x14ac:dyDescent="0.2"/>
    <row r="58969" ht="12.75" hidden="1" customHeight="1" x14ac:dyDescent="0.2"/>
    <row r="58970" ht="12.75" hidden="1" customHeight="1" x14ac:dyDescent="0.2"/>
    <row r="58971" ht="12.75" hidden="1" customHeight="1" x14ac:dyDescent="0.2"/>
    <row r="58972" ht="12.75" hidden="1" customHeight="1" x14ac:dyDescent="0.2"/>
    <row r="58973" ht="12.75" hidden="1" customHeight="1" x14ac:dyDescent="0.2"/>
    <row r="58974" ht="12.75" hidden="1" customHeight="1" x14ac:dyDescent="0.2"/>
    <row r="58975" ht="12.75" hidden="1" customHeight="1" x14ac:dyDescent="0.2"/>
    <row r="58976" ht="12.75" hidden="1" customHeight="1" x14ac:dyDescent="0.2"/>
    <row r="58977" ht="12.75" hidden="1" customHeight="1" x14ac:dyDescent="0.2"/>
    <row r="58978" ht="12.75" hidden="1" customHeight="1" x14ac:dyDescent="0.2"/>
    <row r="58979" ht="12.75" hidden="1" customHeight="1" x14ac:dyDescent="0.2"/>
    <row r="58980" ht="12.75" hidden="1" customHeight="1" x14ac:dyDescent="0.2"/>
    <row r="58981" ht="12.75" hidden="1" customHeight="1" x14ac:dyDescent="0.2"/>
    <row r="58982" ht="12.75" hidden="1" customHeight="1" x14ac:dyDescent="0.2"/>
    <row r="58983" ht="12.75" hidden="1" customHeight="1" x14ac:dyDescent="0.2"/>
    <row r="58984" ht="12.75" hidden="1" customHeight="1" x14ac:dyDescent="0.2"/>
    <row r="58985" ht="12.75" hidden="1" customHeight="1" x14ac:dyDescent="0.2"/>
    <row r="58986" ht="12.75" hidden="1" customHeight="1" x14ac:dyDescent="0.2"/>
    <row r="58987" ht="12.75" hidden="1" customHeight="1" x14ac:dyDescent="0.2"/>
    <row r="58988" ht="12.75" hidden="1" customHeight="1" x14ac:dyDescent="0.2"/>
    <row r="58989" ht="12.75" hidden="1" customHeight="1" x14ac:dyDescent="0.2"/>
    <row r="58990" ht="12.75" hidden="1" customHeight="1" x14ac:dyDescent="0.2"/>
    <row r="58991" ht="12.75" hidden="1" customHeight="1" x14ac:dyDescent="0.2"/>
    <row r="58992" ht="12.75" hidden="1" customHeight="1" x14ac:dyDescent="0.2"/>
    <row r="58993" ht="12.75" hidden="1" customHeight="1" x14ac:dyDescent="0.2"/>
    <row r="58994" ht="12.75" hidden="1" customHeight="1" x14ac:dyDescent="0.2"/>
    <row r="58995" ht="12.75" hidden="1" customHeight="1" x14ac:dyDescent="0.2"/>
    <row r="58996" ht="12.75" hidden="1" customHeight="1" x14ac:dyDescent="0.2"/>
    <row r="58997" ht="12.75" hidden="1" customHeight="1" x14ac:dyDescent="0.2"/>
    <row r="58998" ht="12.75" hidden="1" customHeight="1" x14ac:dyDescent="0.2"/>
    <row r="58999" ht="12.75" hidden="1" customHeight="1" x14ac:dyDescent="0.2"/>
    <row r="59000" ht="12.75" hidden="1" customHeight="1" x14ac:dyDescent="0.2"/>
    <row r="59001" ht="12.75" hidden="1" customHeight="1" x14ac:dyDescent="0.2"/>
    <row r="59002" ht="12.75" hidden="1" customHeight="1" x14ac:dyDescent="0.2"/>
    <row r="59003" ht="12.75" hidden="1" customHeight="1" x14ac:dyDescent="0.2"/>
    <row r="59004" ht="12.75" hidden="1" customHeight="1" x14ac:dyDescent="0.2"/>
    <row r="59005" ht="12.75" hidden="1" customHeight="1" x14ac:dyDescent="0.2"/>
    <row r="59006" ht="12.75" hidden="1" customHeight="1" x14ac:dyDescent="0.2"/>
    <row r="59007" ht="12.75" hidden="1" customHeight="1" x14ac:dyDescent="0.2"/>
    <row r="59008" ht="12.75" hidden="1" customHeight="1" x14ac:dyDescent="0.2"/>
    <row r="59009" ht="12.75" hidden="1" customHeight="1" x14ac:dyDescent="0.2"/>
    <row r="59010" ht="12.75" hidden="1" customHeight="1" x14ac:dyDescent="0.2"/>
    <row r="59011" ht="12.75" hidden="1" customHeight="1" x14ac:dyDescent="0.2"/>
    <row r="59012" ht="12.75" hidden="1" customHeight="1" x14ac:dyDescent="0.2"/>
    <row r="59013" ht="12.75" hidden="1" customHeight="1" x14ac:dyDescent="0.2"/>
    <row r="59014" ht="12.75" hidden="1" customHeight="1" x14ac:dyDescent="0.2"/>
    <row r="59015" ht="12.75" hidden="1" customHeight="1" x14ac:dyDescent="0.2"/>
    <row r="59016" ht="12.75" hidden="1" customHeight="1" x14ac:dyDescent="0.2"/>
    <row r="59017" ht="12.75" hidden="1" customHeight="1" x14ac:dyDescent="0.2"/>
    <row r="59018" ht="12.75" hidden="1" customHeight="1" x14ac:dyDescent="0.2"/>
    <row r="59019" ht="12.75" hidden="1" customHeight="1" x14ac:dyDescent="0.2"/>
    <row r="59020" ht="12.75" hidden="1" customHeight="1" x14ac:dyDescent="0.2"/>
    <row r="59021" ht="12.75" hidden="1" customHeight="1" x14ac:dyDescent="0.2"/>
    <row r="59022" ht="12.75" hidden="1" customHeight="1" x14ac:dyDescent="0.2"/>
    <row r="59023" ht="12.75" hidden="1" customHeight="1" x14ac:dyDescent="0.2"/>
    <row r="59024" ht="12.75" hidden="1" customHeight="1" x14ac:dyDescent="0.2"/>
    <row r="59025" ht="12.75" hidden="1" customHeight="1" x14ac:dyDescent="0.2"/>
    <row r="59026" ht="12.75" hidden="1" customHeight="1" x14ac:dyDescent="0.2"/>
    <row r="59027" ht="12.75" hidden="1" customHeight="1" x14ac:dyDescent="0.2"/>
    <row r="59028" ht="12.75" hidden="1" customHeight="1" x14ac:dyDescent="0.2"/>
    <row r="59029" ht="12.75" hidden="1" customHeight="1" x14ac:dyDescent="0.2"/>
    <row r="59030" ht="12.75" hidden="1" customHeight="1" x14ac:dyDescent="0.2"/>
    <row r="59031" ht="12.75" hidden="1" customHeight="1" x14ac:dyDescent="0.2"/>
    <row r="59032" ht="12.75" hidden="1" customHeight="1" x14ac:dyDescent="0.2"/>
    <row r="59033" ht="12.75" hidden="1" customHeight="1" x14ac:dyDescent="0.2"/>
    <row r="59034" ht="12.75" hidden="1" customHeight="1" x14ac:dyDescent="0.2"/>
    <row r="59035" ht="12.75" hidden="1" customHeight="1" x14ac:dyDescent="0.2"/>
    <row r="59036" ht="12.75" hidden="1" customHeight="1" x14ac:dyDescent="0.2"/>
    <row r="59037" ht="12.75" hidden="1" customHeight="1" x14ac:dyDescent="0.2"/>
    <row r="59038" ht="12.75" hidden="1" customHeight="1" x14ac:dyDescent="0.2"/>
    <row r="59039" ht="12.75" hidden="1" customHeight="1" x14ac:dyDescent="0.2"/>
    <row r="59040" ht="12.75" hidden="1" customHeight="1" x14ac:dyDescent="0.2"/>
    <row r="59041" ht="12.75" hidden="1" customHeight="1" x14ac:dyDescent="0.2"/>
    <row r="59042" ht="12.75" hidden="1" customHeight="1" x14ac:dyDescent="0.2"/>
    <row r="59043" ht="12.75" hidden="1" customHeight="1" x14ac:dyDescent="0.2"/>
    <row r="59044" ht="12.75" hidden="1" customHeight="1" x14ac:dyDescent="0.2"/>
    <row r="59045" ht="12.75" hidden="1" customHeight="1" x14ac:dyDescent="0.2"/>
    <row r="59046" ht="12.75" hidden="1" customHeight="1" x14ac:dyDescent="0.2"/>
    <row r="59047" ht="12.75" hidden="1" customHeight="1" x14ac:dyDescent="0.2"/>
    <row r="59048" ht="12.75" hidden="1" customHeight="1" x14ac:dyDescent="0.2"/>
    <row r="59049" ht="12.75" hidden="1" customHeight="1" x14ac:dyDescent="0.2"/>
    <row r="59050" ht="12.75" hidden="1" customHeight="1" x14ac:dyDescent="0.2"/>
    <row r="59051" ht="12.75" hidden="1" customHeight="1" x14ac:dyDescent="0.2"/>
    <row r="59052" ht="12.75" hidden="1" customHeight="1" x14ac:dyDescent="0.2"/>
    <row r="59053" ht="12.75" hidden="1" customHeight="1" x14ac:dyDescent="0.2"/>
    <row r="59054" ht="12.75" hidden="1" customHeight="1" x14ac:dyDescent="0.2"/>
    <row r="59055" ht="12.75" hidden="1" customHeight="1" x14ac:dyDescent="0.2"/>
    <row r="59056" ht="12.75" hidden="1" customHeight="1" x14ac:dyDescent="0.2"/>
    <row r="59057" ht="12.75" hidden="1" customHeight="1" x14ac:dyDescent="0.2"/>
    <row r="59058" ht="12.75" hidden="1" customHeight="1" x14ac:dyDescent="0.2"/>
    <row r="59059" ht="12.75" hidden="1" customHeight="1" x14ac:dyDescent="0.2"/>
    <row r="59060" ht="12.75" hidden="1" customHeight="1" x14ac:dyDescent="0.2"/>
    <row r="59061" ht="12.75" hidden="1" customHeight="1" x14ac:dyDescent="0.2"/>
    <row r="59062" ht="12.75" hidden="1" customHeight="1" x14ac:dyDescent="0.2"/>
    <row r="59063" ht="12.75" hidden="1" customHeight="1" x14ac:dyDescent="0.2"/>
    <row r="59064" ht="12.75" hidden="1" customHeight="1" x14ac:dyDescent="0.2"/>
    <row r="59065" ht="12.75" hidden="1" customHeight="1" x14ac:dyDescent="0.2"/>
    <row r="59066" ht="12.75" hidden="1" customHeight="1" x14ac:dyDescent="0.2"/>
    <row r="59067" ht="12.75" hidden="1" customHeight="1" x14ac:dyDescent="0.2"/>
    <row r="59068" ht="12.75" hidden="1" customHeight="1" x14ac:dyDescent="0.2"/>
    <row r="59069" ht="12.75" hidden="1" customHeight="1" x14ac:dyDescent="0.2"/>
    <row r="59070" ht="12.75" hidden="1" customHeight="1" x14ac:dyDescent="0.2"/>
    <row r="59071" ht="12.75" hidden="1" customHeight="1" x14ac:dyDescent="0.2"/>
    <row r="59072" ht="12.75" hidden="1" customHeight="1" x14ac:dyDescent="0.2"/>
    <row r="59073" ht="12.75" hidden="1" customHeight="1" x14ac:dyDescent="0.2"/>
    <row r="59074" ht="12.75" hidden="1" customHeight="1" x14ac:dyDescent="0.2"/>
    <row r="59075" ht="12.75" hidden="1" customHeight="1" x14ac:dyDescent="0.2"/>
    <row r="59076" ht="12.75" hidden="1" customHeight="1" x14ac:dyDescent="0.2"/>
    <row r="59077" ht="12.75" hidden="1" customHeight="1" x14ac:dyDescent="0.2"/>
    <row r="59078" ht="12.75" hidden="1" customHeight="1" x14ac:dyDescent="0.2"/>
    <row r="59079" ht="12.75" hidden="1" customHeight="1" x14ac:dyDescent="0.2"/>
    <row r="59080" ht="12.75" hidden="1" customHeight="1" x14ac:dyDescent="0.2"/>
    <row r="59081" ht="12.75" hidden="1" customHeight="1" x14ac:dyDescent="0.2"/>
    <row r="59082" ht="12.75" hidden="1" customHeight="1" x14ac:dyDescent="0.2"/>
    <row r="59083" ht="12.75" hidden="1" customHeight="1" x14ac:dyDescent="0.2"/>
    <row r="59084" ht="12.75" hidden="1" customHeight="1" x14ac:dyDescent="0.2"/>
    <row r="59085" ht="12.75" hidden="1" customHeight="1" x14ac:dyDescent="0.2"/>
    <row r="59086" ht="12.75" hidden="1" customHeight="1" x14ac:dyDescent="0.2"/>
    <row r="59087" ht="12.75" hidden="1" customHeight="1" x14ac:dyDescent="0.2"/>
    <row r="59088" ht="12.75" hidden="1" customHeight="1" x14ac:dyDescent="0.2"/>
    <row r="59089" ht="12.75" hidden="1" customHeight="1" x14ac:dyDescent="0.2"/>
    <row r="59090" ht="12.75" hidden="1" customHeight="1" x14ac:dyDescent="0.2"/>
    <row r="59091" ht="12.75" hidden="1" customHeight="1" x14ac:dyDescent="0.2"/>
    <row r="59092" ht="12.75" hidden="1" customHeight="1" x14ac:dyDescent="0.2"/>
    <row r="59093" ht="12.75" hidden="1" customHeight="1" x14ac:dyDescent="0.2"/>
    <row r="59094" ht="12.75" hidden="1" customHeight="1" x14ac:dyDescent="0.2"/>
    <row r="59095" ht="12.75" hidden="1" customHeight="1" x14ac:dyDescent="0.2"/>
    <row r="59096" ht="12.75" hidden="1" customHeight="1" x14ac:dyDescent="0.2"/>
    <row r="59097" ht="12.75" hidden="1" customHeight="1" x14ac:dyDescent="0.2"/>
    <row r="59098" ht="12.75" hidden="1" customHeight="1" x14ac:dyDescent="0.2"/>
    <row r="59099" ht="12.75" hidden="1" customHeight="1" x14ac:dyDescent="0.2"/>
    <row r="59100" ht="12.75" hidden="1" customHeight="1" x14ac:dyDescent="0.2"/>
    <row r="59101" ht="12.75" hidden="1" customHeight="1" x14ac:dyDescent="0.2"/>
    <row r="59102" ht="12.75" hidden="1" customHeight="1" x14ac:dyDescent="0.2"/>
    <row r="59103" ht="12.75" hidden="1" customHeight="1" x14ac:dyDescent="0.2"/>
    <row r="59104" ht="12.75" hidden="1" customHeight="1" x14ac:dyDescent="0.2"/>
    <row r="59105" ht="12.75" hidden="1" customHeight="1" x14ac:dyDescent="0.2"/>
    <row r="59106" ht="12.75" hidden="1" customHeight="1" x14ac:dyDescent="0.2"/>
    <row r="59107" ht="12.75" hidden="1" customHeight="1" x14ac:dyDescent="0.2"/>
    <row r="59108" ht="12.75" hidden="1" customHeight="1" x14ac:dyDescent="0.2"/>
    <row r="59109" ht="12.75" hidden="1" customHeight="1" x14ac:dyDescent="0.2"/>
    <row r="59110" ht="12.75" hidden="1" customHeight="1" x14ac:dyDescent="0.2"/>
    <row r="59111" ht="12.75" hidden="1" customHeight="1" x14ac:dyDescent="0.2"/>
    <row r="59112" ht="12.75" hidden="1" customHeight="1" x14ac:dyDescent="0.2"/>
    <row r="59113" ht="12.75" hidden="1" customHeight="1" x14ac:dyDescent="0.2"/>
    <row r="59114" ht="12.75" hidden="1" customHeight="1" x14ac:dyDescent="0.2"/>
    <row r="59115" ht="12.75" hidden="1" customHeight="1" x14ac:dyDescent="0.2"/>
    <row r="59116" ht="12.75" hidden="1" customHeight="1" x14ac:dyDescent="0.2"/>
    <row r="59117" ht="12.75" hidden="1" customHeight="1" x14ac:dyDescent="0.2"/>
    <row r="59118" ht="12.75" hidden="1" customHeight="1" x14ac:dyDescent="0.2"/>
    <row r="59119" ht="12.75" hidden="1" customHeight="1" x14ac:dyDescent="0.2"/>
    <row r="59120" ht="12.75" hidden="1" customHeight="1" x14ac:dyDescent="0.2"/>
    <row r="59121" ht="12.75" hidden="1" customHeight="1" x14ac:dyDescent="0.2"/>
    <row r="59122" ht="12.75" hidden="1" customHeight="1" x14ac:dyDescent="0.2"/>
    <row r="59123" ht="12.75" hidden="1" customHeight="1" x14ac:dyDescent="0.2"/>
    <row r="59124" ht="12.75" hidden="1" customHeight="1" x14ac:dyDescent="0.2"/>
    <row r="59125" ht="12.75" hidden="1" customHeight="1" x14ac:dyDescent="0.2"/>
    <row r="59126" ht="12.75" hidden="1" customHeight="1" x14ac:dyDescent="0.2"/>
    <row r="59127" ht="12.75" hidden="1" customHeight="1" x14ac:dyDescent="0.2"/>
    <row r="59128" ht="12.75" hidden="1" customHeight="1" x14ac:dyDescent="0.2"/>
    <row r="59129" ht="12.75" hidden="1" customHeight="1" x14ac:dyDescent="0.2"/>
    <row r="59130" ht="12.75" hidden="1" customHeight="1" x14ac:dyDescent="0.2"/>
    <row r="59131" ht="12.75" hidden="1" customHeight="1" x14ac:dyDescent="0.2"/>
    <row r="59132" ht="12.75" hidden="1" customHeight="1" x14ac:dyDescent="0.2"/>
    <row r="59133" ht="12.75" hidden="1" customHeight="1" x14ac:dyDescent="0.2"/>
    <row r="59134" ht="12.75" hidden="1" customHeight="1" x14ac:dyDescent="0.2"/>
    <row r="59135" ht="12.75" hidden="1" customHeight="1" x14ac:dyDescent="0.2"/>
    <row r="59136" ht="12.75" hidden="1" customHeight="1" x14ac:dyDescent="0.2"/>
    <row r="59137" ht="12.75" hidden="1" customHeight="1" x14ac:dyDescent="0.2"/>
    <row r="59138" ht="12.75" hidden="1" customHeight="1" x14ac:dyDescent="0.2"/>
    <row r="59139" ht="12.75" hidden="1" customHeight="1" x14ac:dyDescent="0.2"/>
    <row r="59140" ht="12.75" hidden="1" customHeight="1" x14ac:dyDescent="0.2"/>
    <row r="59141" ht="12.75" hidden="1" customHeight="1" x14ac:dyDescent="0.2"/>
    <row r="59142" ht="12.75" hidden="1" customHeight="1" x14ac:dyDescent="0.2"/>
    <row r="59143" ht="12.75" hidden="1" customHeight="1" x14ac:dyDescent="0.2"/>
    <row r="59144" ht="12.75" hidden="1" customHeight="1" x14ac:dyDescent="0.2"/>
    <row r="59145" ht="12.75" hidden="1" customHeight="1" x14ac:dyDescent="0.2"/>
    <row r="59146" ht="12.75" hidden="1" customHeight="1" x14ac:dyDescent="0.2"/>
    <row r="59147" ht="12.75" hidden="1" customHeight="1" x14ac:dyDescent="0.2"/>
    <row r="59148" ht="12.75" hidden="1" customHeight="1" x14ac:dyDescent="0.2"/>
    <row r="59149" ht="12.75" hidden="1" customHeight="1" x14ac:dyDescent="0.2"/>
    <row r="59150" ht="12.75" hidden="1" customHeight="1" x14ac:dyDescent="0.2"/>
    <row r="59151" ht="12.75" hidden="1" customHeight="1" x14ac:dyDescent="0.2"/>
    <row r="59152" ht="12.75" hidden="1" customHeight="1" x14ac:dyDescent="0.2"/>
    <row r="59153" ht="12.75" hidden="1" customHeight="1" x14ac:dyDescent="0.2"/>
    <row r="59154" ht="12.75" hidden="1" customHeight="1" x14ac:dyDescent="0.2"/>
    <row r="59155" ht="12.75" hidden="1" customHeight="1" x14ac:dyDescent="0.2"/>
    <row r="59156" ht="12.75" hidden="1" customHeight="1" x14ac:dyDescent="0.2"/>
    <row r="59157" ht="12.75" hidden="1" customHeight="1" x14ac:dyDescent="0.2"/>
    <row r="59158" ht="12.75" hidden="1" customHeight="1" x14ac:dyDescent="0.2"/>
    <row r="59159" ht="12.75" hidden="1" customHeight="1" x14ac:dyDescent="0.2"/>
    <row r="59160" ht="12.75" hidden="1" customHeight="1" x14ac:dyDescent="0.2"/>
    <row r="59161" ht="12.75" hidden="1" customHeight="1" x14ac:dyDescent="0.2"/>
    <row r="59162" ht="12.75" hidden="1" customHeight="1" x14ac:dyDescent="0.2"/>
    <row r="59163" ht="12.75" hidden="1" customHeight="1" x14ac:dyDescent="0.2"/>
    <row r="59164" ht="12.75" hidden="1" customHeight="1" x14ac:dyDescent="0.2"/>
    <row r="59165" ht="12.75" hidden="1" customHeight="1" x14ac:dyDescent="0.2"/>
    <row r="59166" ht="12.75" hidden="1" customHeight="1" x14ac:dyDescent="0.2"/>
    <row r="59167" ht="12.75" hidden="1" customHeight="1" x14ac:dyDescent="0.2"/>
    <row r="59168" ht="12.75" hidden="1" customHeight="1" x14ac:dyDescent="0.2"/>
    <row r="59169" ht="12.75" hidden="1" customHeight="1" x14ac:dyDescent="0.2"/>
    <row r="59170" ht="12.75" hidden="1" customHeight="1" x14ac:dyDescent="0.2"/>
    <row r="59171" ht="12.75" hidden="1" customHeight="1" x14ac:dyDescent="0.2"/>
    <row r="59172" ht="12.75" hidden="1" customHeight="1" x14ac:dyDescent="0.2"/>
    <row r="59173" ht="12.75" hidden="1" customHeight="1" x14ac:dyDescent="0.2"/>
    <row r="59174" ht="12.75" hidden="1" customHeight="1" x14ac:dyDescent="0.2"/>
    <row r="59175" ht="12.75" hidden="1" customHeight="1" x14ac:dyDescent="0.2"/>
    <row r="59176" ht="12.75" hidden="1" customHeight="1" x14ac:dyDescent="0.2"/>
    <row r="59177" ht="12.75" hidden="1" customHeight="1" x14ac:dyDescent="0.2"/>
    <row r="59178" ht="12.75" hidden="1" customHeight="1" x14ac:dyDescent="0.2"/>
    <row r="59179" ht="12.75" hidden="1" customHeight="1" x14ac:dyDescent="0.2"/>
    <row r="59180" ht="12.75" hidden="1" customHeight="1" x14ac:dyDescent="0.2"/>
    <row r="59181" ht="12.75" hidden="1" customHeight="1" x14ac:dyDescent="0.2"/>
    <row r="59182" ht="12.75" hidden="1" customHeight="1" x14ac:dyDescent="0.2"/>
    <row r="59183" ht="12.75" hidden="1" customHeight="1" x14ac:dyDescent="0.2"/>
    <row r="59184" ht="12.75" hidden="1" customHeight="1" x14ac:dyDescent="0.2"/>
    <row r="59185" ht="12.75" hidden="1" customHeight="1" x14ac:dyDescent="0.2"/>
    <row r="59186" ht="12.75" hidden="1" customHeight="1" x14ac:dyDescent="0.2"/>
    <row r="59187" ht="12.75" hidden="1" customHeight="1" x14ac:dyDescent="0.2"/>
    <row r="59188" ht="12.75" hidden="1" customHeight="1" x14ac:dyDescent="0.2"/>
    <row r="59189" ht="12.75" hidden="1" customHeight="1" x14ac:dyDescent="0.2"/>
    <row r="59190" ht="12.75" hidden="1" customHeight="1" x14ac:dyDescent="0.2"/>
    <row r="59191" ht="12.75" hidden="1" customHeight="1" x14ac:dyDescent="0.2"/>
    <row r="59192" ht="12.75" hidden="1" customHeight="1" x14ac:dyDescent="0.2"/>
    <row r="59193" ht="12.75" hidden="1" customHeight="1" x14ac:dyDescent="0.2"/>
    <row r="59194" ht="12.75" hidden="1" customHeight="1" x14ac:dyDescent="0.2"/>
    <row r="59195" ht="12.75" hidden="1" customHeight="1" x14ac:dyDescent="0.2"/>
    <row r="59196" ht="12.75" hidden="1" customHeight="1" x14ac:dyDescent="0.2"/>
    <row r="59197" ht="12.75" hidden="1" customHeight="1" x14ac:dyDescent="0.2"/>
    <row r="59198" ht="12.75" hidden="1" customHeight="1" x14ac:dyDescent="0.2"/>
    <row r="59199" ht="12.75" hidden="1" customHeight="1" x14ac:dyDescent="0.2"/>
    <row r="59200" ht="12.75" hidden="1" customHeight="1" x14ac:dyDescent="0.2"/>
    <row r="59201" ht="12.75" hidden="1" customHeight="1" x14ac:dyDescent="0.2"/>
    <row r="59202" ht="12.75" hidden="1" customHeight="1" x14ac:dyDescent="0.2"/>
    <row r="59203" ht="12.75" hidden="1" customHeight="1" x14ac:dyDescent="0.2"/>
    <row r="59204" ht="12.75" hidden="1" customHeight="1" x14ac:dyDescent="0.2"/>
    <row r="59205" ht="12.75" hidden="1" customHeight="1" x14ac:dyDescent="0.2"/>
    <row r="59206" ht="12.75" hidden="1" customHeight="1" x14ac:dyDescent="0.2"/>
    <row r="59207" ht="12.75" hidden="1" customHeight="1" x14ac:dyDescent="0.2"/>
    <row r="59208" ht="12.75" hidden="1" customHeight="1" x14ac:dyDescent="0.2"/>
    <row r="59209" ht="12.75" hidden="1" customHeight="1" x14ac:dyDescent="0.2"/>
    <row r="59210" ht="12.75" hidden="1" customHeight="1" x14ac:dyDescent="0.2"/>
    <row r="59211" ht="12.75" hidden="1" customHeight="1" x14ac:dyDescent="0.2"/>
    <row r="59212" ht="12.75" hidden="1" customHeight="1" x14ac:dyDescent="0.2"/>
    <row r="59213" ht="12.75" hidden="1" customHeight="1" x14ac:dyDescent="0.2"/>
    <row r="59214" ht="12.75" hidden="1" customHeight="1" x14ac:dyDescent="0.2"/>
    <row r="59215" ht="12.75" hidden="1" customHeight="1" x14ac:dyDescent="0.2"/>
    <row r="59216" ht="12.75" hidden="1" customHeight="1" x14ac:dyDescent="0.2"/>
    <row r="59217" ht="12.75" hidden="1" customHeight="1" x14ac:dyDescent="0.2"/>
    <row r="59218" ht="12.75" hidden="1" customHeight="1" x14ac:dyDescent="0.2"/>
    <row r="59219" ht="12.75" hidden="1" customHeight="1" x14ac:dyDescent="0.2"/>
    <row r="59220" ht="12.75" hidden="1" customHeight="1" x14ac:dyDescent="0.2"/>
    <row r="59221" ht="12.75" hidden="1" customHeight="1" x14ac:dyDescent="0.2"/>
    <row r="59222" ht="12.75" hidden="1" customHeight="1" x14ac:dyDescent="0.2"/>
    <row r="59223" ht="12.75" hidden="1" customHeight="1" x14ac:dyDescent="0.2"/>
    <row r="59224" ht="12.75" hidden="1" customHeight="1" x14ac:dyDescent="0.2"/>
    <row r="59225" ht="12.75" hidden="1" customHeight="1" x14ac:dyDescent="0.2"/>
    <row r="59226" ht="12.75" hidden="1" customHeight="1" x14ac:dyDescent="0.2"/>
    <row r="59227" ht="12.75" hidden="1" customHeight="1" x14ac:dyDescent="0.2"/>
    <row r="59228" ht="12.75" hidden="1" customHeight="1" x14ac:dyDescent="0.2"/>
    <row r="59229" ht="12.75" hidden="1" customHeight="1" x14ac:dyDescent="0.2"/>
    <row r="59230" ht="12.75" hidden="1" customHeight="1" x14ac:dyDescent="0.2"/>
    <row r="59231" ht="12.75" hidden="1" customHeight="1" x14ac:dyDescent="0.2"/>
    <row r="59232" ht="12.75" hidden="1" customHeight="1" x14ac:dyDescent="0.2"/>
    <row r="59233" ht="12.75" hidden="1" customHeight="1" x14ac:dyDescent="0.2"/>
    <row r="59234" ht="12.75" hidden="1" customHeight="1" x14ac:dyDescent="0.2"/>
    <row r="59235" ht="12.75" hidden="1" customHeight="1" x14ac:dyDescent="0.2"/>
    <row r="59236" ht="12.75" hidden="1" customHeight="1" x14ac:dyDescent="0.2"/>
    <row r="59237" ht="12.75" hidden="1" customHeight="1" x14ac:dyDescent="0.2"/>
    <row r="59238" ht="12.75" hidden="1" customHeight="1" x14ac:dyDescent="0.2"/>
    <row r="59239" ht="12.75" hidden="1" customHeight="1" x14ac:dyDescent="0.2"/>
    <row r="59240" ht="12.75" hidden="1" customHeight="1" x14ac:dyDescent="0.2"/>
    <row r="59241" ht="12.75" hidden="1" customHeight="1" x14ac:dyDescent="0.2"/>
    <row r="59242" ht="12.75" hidden="1" customHeight="1" x14ac:dyDescent="0.2"/>
    <row r="59243" ht="12.75" hidden="1" customHeight="1" x14ac:dyDescent="0.2"/>
    <row r="59244" ht="12.75" hidden="1" customHeight="1" x14ac:dyDescent="0.2"/>
    <row r="59245" ht="12.75" hidden="1" customHeight="1" x14ac:dyDescent="0.2"/>
    <row r="59246" ht="12.75" hidden="1" customHeight="1" x14ac:dyDescent="0.2"/>
    <row r="59247" ht="12.75" hidden="1" customHeight="1" x14ac:dyDescent="0.2"/>
    <row r="59248" ht="12.75" hidden="1" customHeight="1" x14ac:dyDescent="0.2"/>
    <row r="59249" ht="12.75" hidden="1" customHeight="1" x14ac:dyDescent="0.2"/>
    <row r="59250" ht="12.75" hidden="1" customHeight="1" x14ac:dyDescent="0.2"/>
    <row r="59251" ht="12.75" hidden="1" customHeight="1" x14ac:dyDescent="0.2"/>
    <row r="59252" ht="12.75" hidden="1" customHeight="1" x14ac:dyDescent="0.2"/>
    <row r="59253" ht="12.75" hidden="1" customHeight="1" x14ac:dyDescent="0.2"/>
    <row r="59254" ht="12.75" hidden="1" customHeight="1" x14ac:dyDescent="0.2"/>
    <row r="59255" ht="12.75" hidden="1" customHeight="1" x14ac:dyDescent="0.2"/>
    <row r="59256" ht="12.75" hidden="1" customHeight="1" x14ac:dyDescent="0.2"/>
    <row r="59257" ht="12.75" hidden="1" customHeight="1" x14ac:dyDescent="0.2"/>
    <row r="59258" ht="12.75" hidden="1" customHeight="1" x14ac:dyDescent="0.2"/>
    <row r="59259" ht="12.75" hidden="1" customHeight="1" x14ac:dyDescent="0.2"/>
    <row r="59260" ht="12.75" hidden="1" customHeight="1" x14ac:dyDescent="0.2"/>
    <row r="59261" ht="12.75" hidden="1" customHeight="1" x14ac:dyDescent="0.2"/>
    <row r="59262" ht="12.75" hidden="1" customHeight="1" x14ac:dyDescent="0.2"/>
    <row r="59263" ht="12.75" hidden="1" customHeight="1" x14ac:dyDescent="0.2"/>
    <row r="59264" ht="12.75" hidden="1" customHeight="1" x14ac:dyDescent="0.2"/>
    <row r="59265" ht="12.75" hidden="1" customHeight="1" x14ac:dyDescent="0.2"/>
    <row r="59266" ht="12.75" hidden="1" customHeight="1" x14ac:dyDescent="0.2"/>
    <row r="59267" ht="12.75" hidden="1" customHeight="1" x14ac:dyDescent="0.2"/>
    <row r="59268" ht="12.75" hidden="1" customHeight="1" x14ac:dyDescent="0.2"/>
    <row r="59269" ht="12.75" hidden="1" customHeight="1" x14ac:dyDescent="0.2"/>
    <row r="59270" ht="12.75" hidden="1" customHeight="1" x14ac:dyDescent="0.2"/>
    <row r="59271" ht="12.75" hidden="1" customHeight="1" x14ac:dyDescent="0.2"/>
    <row r="59272" ht="12.75" hidden="1" customHeight="1" x14ac:dyDescent="0.2"/>
    <row r="59273" ht="12.75" hidden="1" customHeight="1" x14ac:dyDescent="0.2"/>
    <row r="59274" ht="12.75" hidden="1" customHeight="1" x14ac:dyDescent="0.2"/>
    <row r="59275" ht="12.75" hidden="1" customHeight="1" x14ac:dyDescent="0.2"/>
    <row r="59276" ht="12.75" hidden="1" customHeight="1" x14ac:dyDescent="0.2"/>
    <row r="59277" ht="12.75" hidden="1" customHeight="1" x14ac:dyDescent="0.2"/>
    <row r="59278" ht="12.75" hidden="1" customHeight="1" x14ac:dyDescent="0.2"/>
    <row r="59279" ht="12.75" hidden="1" customHeight="1" x14ac:dyDescent="0.2"/>
    <row r="59280" ht="12.75" hidden="1" customHeight="1" x14ac:dyDescent="0.2"/>
    <row r="59281" ht="12.75" hidden="1" customHeight="1" x14ac:dyDescent="0.2"/>
    <row r="59282" ht="12.75" hidden="1" customHeight="1" x14ac:dyDescent="0.2"/>
    <row r="59283" ht="12.75" hidden="1" customHeight="1" x14ac:dyDescent="0.2"/>
    <row r="59284" ht="12.75" hidden="1" customHeight="1" x14ac:dyDescent="0.2"/>
    <row r="59285" ht="12.75" hidden="1" customHeight="1" x14ac:dyDescent="0.2"/>
    <row r="59286" ht="12.75" hidden="1" customHeight="1" x14ac:dyDescent="0.2"/>
    <row r="59287" ht="12.75" hidden="1" customHeight="1" x14ac:dyDescent="0.2"/>
    <row r="59288" ht="12.75" hidden="1" customHeight="1" x14ac:dyDescent="0.2"/>
    <row r="59289" ht="12.75" hidden="1" customHeight="1" x14ac:dyDescent="0.2"/>
    <row r="59290" ht="12.75" hidden="1" customHeight="1" x14ac:dyDescent="0.2"/>
    <row r="59291" ht="12.75" hidden="1" customHeight="1" x14ac:dyDescent="0.2"/>
    <row r="59292" ht="12.75" hidden="1" customHeight="1" x14ac:dyDescent="0.2"/>
    <row r="59293" ht="12.75" hidden="1" customHeight="1" x14ac:dyDescent="0.2"/>
    <row r="59294" ht="12.75" hidden="1" customHeight="1" x14ac:dyDescent="0.2"/>
    <row r="59295" ht="12.75" hidden="1" customHeight="1" x14ac:dyDescent="0.2"/>
    <row r="59296" ht="12.75" hidden="1" customHeight="1" x14ac:dyDescent="0.2"/>
    <row r="59297" ht="12.75" hidden="1" customHeight="1" x14ac:dyDescent="0.2"/>
    <row r="59298" ht="12.75" hidden="1" customHeight="1" x14ac:dyDescent="0.2"/>
    <row r="59299" ht="12.75" hidden="1" customHeight="1" x14ac:dyDescent="0.2"/>
    <row r="59300" ht="12.75" hidden="1" customHeight="1" x14ac:dyDescent="0.2"/>
    <row r="59301" ht="12.75" hidden="1" customHeight="1" x14ac:dyDescent="0.2"/>
    <row r="59302" ht="12.75" hidden="1" customHeight="1" x14ac:dyDescent="0.2"/>
    <row r="59303" ht="12.75" hidden="1" customHeight="1" x14ac:dyDescent="0.2"/>
    <row r="59304" ht="12.75" hidden="1" customHeight="1" x14ac:dyDescent="0.2"/>
    <row r="59305" ht="12.75" hidden="1" customHeight="1" x14ac:dyDescent="0.2"/>
    <row r="59306" ht="12.75" hidden="1" customHeight="1" x14ac:dyDescent="0.2"/>
    <row r="59307" ht="12.75" hidden="1" customHeight="1" x14ac:dyDescent="0.2"/>
    <row r="59308" ht="12.75" hidden="1" customHeight="1" x14ac:dyDescent="0.2"/>
    <row r="59309" ht="12.75" hidden="1" customHeight="1" x14ac:dyDescent="0.2"/>
    <row r="59310" ht="12.75" hidden="1" customHeight="1" x14ac:dyDescent="0.2"/>
    <row r="59311" ht="12.75" hidden="1" customHeight="1" x14ac:dyDescent="0.2"/>
    <row r="59312" ht="12.75" hidden="1" customHeight="1" x14ac:dyDescent="0.2"/>
    <row r="59313" ht="12.75" hidden="1" customHeight="1" x14ac:dyDescent="0.2"/>
    <row r="59314" ht="12.75" hidden="1" customHeight="1" x14ac:dyDescent="0.2"/>
    <row r="59315" ht="12.75" hidden="1" customHeight="1" x14ac:dyDescent="0.2"/>
    <row r="59316" ht="12.75" hidden="1" customHeight="1" x14ac:dyDescent="0.2"/>
    <row r="59317" ht="12.75" hidden="1" customHeight="1" x14ac:dyDescent="0.2"/>
    <row r="59318" ht="12.75" hidden="1" customHeight="1" x14ac:dyDescent="0.2"/>
    <row r="59319" ht="12.75" hidden="1" customHeight="1" x14ac:dyDescent="0.2"/>
    <row r="59320" ht="12.75" hidden="1" customHeight="1" x14ac:dyDescent="0.2"/>
    <row r="59321" ht="12.75" hidden="1" customHeight="1" x14ac:dyDescent="0.2"/>
    <row r="59322" ht="12.75" hidden="1" customHeight="1" x14ac:dyDescent="0.2"/>
    <row r="59323" ht="12.75" hidden="1" customHeight="1" x14ac:dyDescent="0.2"/>
    <row r="59324" ht="12.75" hidden="1" customHeight="1" x14ac:dyDescent="0.2"/>
    <row r="59325" ht="12.75" hidden="1" customHeight="1" x14ac:dyDescent="0.2"/>
    <row r="59326" ht="12.75" hidden="1" customHeight="1" x14ac:dyDescent="0.2"/>
    <row r="59327" ht="12.75" hidden="1" customHeight="1" x14ac:dyDescent="0.2"/>
    <row r="59328" ht="12.75" hidden="1" customHeight="1" x14ac:dyDescent="0.2"/>
    <row r="59329" ht="12.75" hidden="1" customHeight="1" x14ac:dyDescent="0.2"/>
    <row r="59330" ht="12.75" hidden="1" customHeight="1" x14ac:dyDescent="0.2"/>
    <row r="59331" ht="12.75" hidden="1" customHeight="1" x14ac:dyDescent="0.2"/>
    <row r="59332" ht="12.75" hidden="1" customHeight="1" x14ac:dyDescent="0.2"/>
    <row r="59333" ht="12.75" hidden="1" customHeight="1" x14ac:dyDescent="0.2"/>
    <row r="59334" ht="12.75" hidden="1" customHeight="1" x14ac:dyDescent="0.2"/>
    <row r="59335" ht="12.75" hidden="1" customHeight="1" x14ac:dyDescent="0.2"/>
    <row r="59336" ht="12.75" hidden="1" customHeight="1" x14ac:dyDescent="0.2"/>
    <row r="59337" ht="12.75" hidden="1" customHeight="1" x14ac:dyDescent="0.2"/>
    <row r="59338" ht="12.75" hidden="1" customHeight="1" x14ac:dyDescent="0.2"/>
    <row r="59339" ht="12.75" hidden="1" customHeight="1" x14ac:dyDescent="0.2"/>
    <row r="59340" ht="12.75" hidden="1" customHeight="1" x14ac:dyDescent="0.2"/>
    <row r="59341" ht="12.75" hidden="1" customHeight="1" x14ac:dyDescent="0.2"/>
    <row r="59342" ht="12.75" hidden="1" customHeight="1" x14ac:dyDescent="0.2"/>
    <row r="59343" ht="12.75" hidden="1" customHeight="1" x14ac:dyDescent="0.2"/>
    <row r="59344" ht="12.75" hidden="1" customHeight="1" x14ac:dyDescent="0.2"/>
    <row r="59345" ht="12.75" hidden="1" customHeight="1" x14ac:dyDescent="0.2"/>
    <row r="59346" ht="12.75" hidden="1" customHeight="1" x14ac:dyDescent="0.2"/>
    <row r="59347" ht="12.75" hidden="1" customHeight="1" x14ac:dyDescent="0.2"/>
    <row r="59348" ht="12.75" hidden="1" customHeight="1" x14ac:dyDescent="0.2"/>
    <row r="59349" ht="12.75" hidden="1" customHeight="1" x14ac:dyDescent="0.2"/>
    <row r="59350" ht="12.75" hidden="1" customHeight="1" x14ac:dyDescent="0.2"/>
    <row r="59351" ht="12.75" hidden="1" customHeight="1" x14ac:dyDescent="0.2"/>
    <row r="59352" ht="12.75" hidden="1" customHeight="1" x14ac:dyDescent="0.2"/>
    <row r="59353" ht="12.75" hidden="1" customHeight="1" x14ac:dyDescent="0.2"/>
    <row r="59354" ht="12.75" hidden="1" customHeight="1" x14ac:dyDescent="0.2"/>
    <row r="59355" ht="12.75" hidden="1" customHeight="1" x14ac:dyDescent="0.2"/>
    <row r="59356" ht="12.75" hidden="1" customHeight="1" x14ac:dyDescent="0.2"/>
    <row r="59357" ht="12.75" hidden="1" customHeight="1" x14ac:dyDescent="0.2"/>
    <row r="59358" ht="12.75" hidden="1" customHeight="1" x14ac:dyDescent="0.2"/>
    <row r="59359" ht="12.75" hidden="1" customHeight="1" x14ac:dyDescent="0.2"/>
    <row r="59360" ht="12.75" hidden="1" customHeight="1" x14ac:dyDescent="0.2"/>
    <row r="59361" ht="12.75" hidden="1" customHeight="1" x14ac:dyDescent="0.2"/>
    <row r="59362" ht="12.75" hidden="1" customHeight="1" x14ac:dyDescent="0.2"/>
    <row r="59363" ht="12.75" hidden="1" customHeight="1" x14ac:dyDescent="0.2"/>
    <row r="59364" ht="12.75" hidden="1" customHeight="1" x14ac:dyDescent="0.2"/>
    <row r="59365" ht="12.75" hidden="1" customHeight="1" x14ac:dyDescent="0.2"/>
    <row r="59366" ht="12.75" hidden="1" customHeight="1" x14ac:dyDescent="0.2"/>
    <row r="59367" ht="12.75" hidden="1" customHeight="1" x14ac:dyDescent="0.2"/>
    <row r="59368" ht="12.75" hidden="1" customHeight="1" x14ac:dyDescent="0.2"/>
    <row r="59369" ht="12.75" hidden="1" customHeight="1" x14ac:dyDescent="0.2"/>
    <row r="59370" ht="12.75" hidden="1" customHeight="1" x14ac:dyDescent="0.2"/>
    <row r="59371" ht="12.75" hidden="1" customHeight="1" x14ac:dyDescent="0.2"/>
    <row r="59372" ht="12.75" hidden="1" customHeight="1" x14ac:dyDescent="0.2"/>
    <row r="59373" ht="12.75" hidden="1" customHeight="1" x14ac:dyDescent="0.2"/>
    <row r="59374" ht="12.75" hidden="1" customHeight="1" x14ac:dyDescent="0.2"/>
    <row r="59375" ht="12.75" hidden="1" customHeight="1" x14ac:dyDescent="0.2"/>
    <row r="59376" ht="12.75" hidden="1" customHeight="1" x14ac:dyDescent="0.2"/>
    <row r="59377" ht="12.75" hidden="1" customHeight="1" x14ac:dyDescent="0.2"/>
    <row r="59378" ht="12.75" hidden="1" customHeight="1" x14ac:dyDescent="0.2"/>
    <row r="59379" ht="12.75" hidden="1" customHeight="1" x14ac:dyDescent="0.2"/>
    <row r="59380" ht="12.75" hidden="1" customHeight="1" x14ac:dyDescent="0.2"/>
    <row r="59381" ht="12.75" hidden="1" customHeight="1" x14ac:dyDescent="0.2"/>
    <row r="59382" ht="12.75" hidden="1" customHeight="1" x14ac:dyDescent="0.2"/>
    <row r="59383" ht="12.75" hidden="1" customHeight="1" x14ac:dyDescent="0.2"/>
    <row r="59384" ht="12.75" hidden="1" customHeight="1" x14ac:dyDescent="0.2"/>
    <row r="59385" ht="12.75" hidden="1" customHeight="1" x14ac:dyDescent="0.2"/>
    <row r="59386" ht="12.75" hidden="1" customHeight="1" x14ac:dyDescent="0.2"/>
    <row r="59387" ht="12.75" hidden="1" customHeight="1" x14ac:dyDescent="0.2"/>
    <row r="59388" ht="12.75" hidden="1" customHeight="1" x14ac:dyDescent="0.2"/>
    <row r="59389" ht="12.75" hidden="1" customHeight="1" x14ac:dyDescent="0.2"/>
    <row r="59390" ht="12.75" hidden="1" customHeight="1" x14ac:dyDescent="0.2"/>
    <row r="59391" ht="12.75" hidden="1" customHeight="1" x14ac:dyDescent="0.2"/>
    <row r="59392" ht="12.75" hidden="1" customHeight="1" x14ac:dyDescent="0.2"/>
    <row r="59393" ht="12.75" hidden="1" customHeight="1" x14ac:dyDescent="0.2"/>
    <row r="59394" ht="12.75" hidden="1" customHeight="1" x14ac:dyDescent="0.2"/>
    <row r="59395" ht="12.75" hidden="1" customHeight="1" x14ac:dyDescent="0.2"/>
    <row r="59396" ht="12.75" hidden="1" customHeight="1" x14ac:dyDescent="0.2"/>
    <row r="59397" ht="12.75" hidden="1" customHeight="1" x14ac:dyDescent="0.2"/>
    <row r="59398" ht="12.75" hidden="1" customHeight="1" x14ac:dyDescent="0.2"/>
    <row r="59399" ht="12.75" hidden="1" customHeight="1" x14ac:dyDescent="0.2"/>
    <row r="59400" ht="12.75" hidden="1" customHeight="1" x14ac:dyDescent="0.2"/>
    <row r="59401" ht="12.75" hidden="1" customHeight="1" x14ac:dyDescent="0.2"/>
    <row r="59402" ht="12.75" hidden="1" customHeight="1" x14ac:dyDescent="0.2"/>
    <row r="59403" ht="12.75" hidden="1" customHeight="1" x14ac:dyDescent="0.2"/>
    <row r="59404" ht="12.75" hidden="1" customHeight="1" x14ac:dyDescent="0.2"/>
    <row r="59405" ht="12.75" hidden="1" customHeight="1" x14ac:dyDescent="0.2"/>
    <row r="59406" ht="12.75" hidden="1" customHeight="1" x14ac:dyDescent="0.2"/>
    <row r="59407" ht="12.75" hidden="1" customHeight="1" x14ac:dyDescent="0.2"/>
    <row r="59408" ht="12.75" hidden="1" customHeight="1" x14ac:dyDescent="0.2"/>
    <row r="59409" ht="12.75" hidden="1" customHeight="1" x14ac:dyDescent="0.2"/>
    <row r="59410" ht="12.75" hidden="1" customHeight="1" x14ac:dyDescent="0.2"/>
    <row r="59411" ht="12.75" hidden="1" customHeight="1" x14ac:dyDescent="0.2"/>
    <row r="59412" ht="12.75" hidden="1" customHeight="1" x14ac:dyDescent="0.2"/>
    <row r="59413" ht="12.75" hidden="1" customHeight="1" x14ac:dyDescent="0.2"/>
    <row r="59414" ht="12.75" hidden="1" customHeight="1" x14ac:dyDescent="0.2"/>
    <row r="59415" ht="12.75" hidden="1" customHeight="1" x14ac:dyDescent="0.2"/>
    <row r="59416" ht="12.75" hidden="1" customHeight="1" x14ac:dyDescent="0.2"/>
    <row r="59417" ht="12.75" hidden="1" customHeight="1" x14ac:dyDescent="0.2"/>
    <row r="59418" ht="12.75" hidden="1" customHeight="1" x14ac:dyDescent="0.2"/>
    <row r="59419" ht="12.75" hidden="1" customHeight="1" x14ac:dyDescent="0.2"/>
    <row r="59420" ht="12.75" hidden="1" customHeight="1" x14ac:dyDescent="0.2"/>
    <row r="59421" ht="12.75" hidden="1" customHeight="1" x14ac:dyDescent="0.2"/>
    <row r="59422" ht="12.75" hidden="1" customHeight="1" x14ac:dyDescent="0.2"/>
    <row r="59423" ht="12.75" hidden="1" customHeight="1" x14ac:dyDescent="0.2"/>
    <row r="59424" ht="12.75" hidden="1" customHeight="1" x14ac:dyDescent="0.2"/>
    <row r="59425" ht="12.75" hidden="1" customHeight="1" x14ac:dyDescent="0.2"/>
    <row r="59426" ht="12.75" hidden="1" customHeight="1" x14ac:dyDescent="0.2"/>
    <row r="59427" ht="12.75" hidden="1" customHeight="1" x14ac:dyDescent="0.2"/>
    <row r="59428" ht="12.75" hidden="1" customHeight="1" x14ac:dyDescent="0.2"/>
    <row r="59429" ht="12.75" hidden="1" customHeight="1" x14ac:dyDescent="0.2"/>
    <row r="59430" ht="12.75" hidden="1" customHeight="1" x14ac:dyDescent="0.2"/>
    <row r="59431" ht="12.75" hidden="1" customHeight="1" x14ac:dyDescent="0.2"/>
    <row r="59432" ht="12.75" hidden="1" customHeight="1" x14ac:dyDescent="0.2"/>
    <row r="59433" ht="12.75" hidden="1" customHeight="1" x14ac:dyDescent="0.2"/>
    <row r="59434" ht="12.75" hidden="1" customHeight="1" x14ac:dyDescent="0.2"/>
    <row r="59435" ht="12.75" hidden="1" customHeight="1" x14ac:dyDescent="0.2"/>
    <row r="59436" ht="12.75" hidden="1" customHeight="1" x14ac:dyDescent="0.2"/>
    <row r="59437" ht="12.75" hidden="1" customHeight="1" x14ac:dyDescent="0.2"/>
    <row r="59438" ht="12.75" hidden="1" customHeight="1" x14ac:dyDescent="0.2"/>
    <row r="59439" ht="12.75" hidden="1" customHeight="1" x14ac:dyDescent="0.2"/>
    <row r="59440" ht="12.75" hidden="1" customHeight="1" x14ac:dyDescent="0.2"/>
    <row r="59441" ht="12.75" hidden="1" customHeight="1" x14ac:dyDescent="0.2"/>
    <row r="59442" ht="12.75" hidden="1" customHeight="1" x14ac:dyDescent="0.2"/>
    <row r="59443" ht="12.75" hidden="1" customHeight="1" x14ac:dyDescent="0.2"/>
    <row r="59444" ht="12.75" hidden="1" customHeight="1" x14ac:dyDescent="0.2"/>
    <row r="59445" ht="12.75" hidden="1" customHeight="1" x14ac:dyDescent="0.2"/>
    <row r="59446" ht="12.75" hidden="1" customHeight="1" x14ac:dyDescent="0.2"/>
    <row r="59447" ht="12.75" hidden="1" customHeight="1" x14ac:dyDescent="0.2"/>
    <row r="59448" ht="12.75" hidden="1" customHeight="1" x14ac:dyDescent="0.2"/>
    <row r="59449" ht="12.75" hidden="1" customHeight="1" x14ac:dyDescent="0.2"/>
    <row r="59450" ht="12.75" hidden="1" customHeight="1" x14ac:dyDescent="0.2"/>
    <row r="59451" ht="12.75" hidden="1" customHeight="1" x14ac:dyDescent="0.2"/>
    <row r="59452" ht="12.75" hidden="1" customHeight="1" x14ac:dyDescent="0.2"/>
    <row r="59453" ht="12.75" hidden="1" customHeight="1" x14ac:dyDescent="0.2"/>
    <row r="59454" ht="12.75" hidden="1" customHeight="1" x14ac:dyDescent="0.2"/>
    <row r="59455" ht="12.75" hidden="1" customHeight="1" x14ac:dyDescent="0.2"/>
    <row r="59456" ht="12.75" hidden="1" customHeight="1" x14ac:dyDescent="0.2"/>
    <row r="59457" ht="12.75" hidden="1" customHeight="1" x14ac:dyDescent="0.2"/>
    <row r="59458" ht="12.75" hidden="1" customHeight="1" x14ac:dyDescent="0.2"/>
    <row r="59459" ht="12.75" hidden="1" customHeight="1" x14ac:dyDescent="0.2"/>
    <row r="59460" ht="12.75" hidden="1" customHeight="1" x14ac:dyDescent="0.2"/>
    <row r="59461" ht="12.75" hidden="1" customHeight="1" x14ac:dyDescent="0.2"/>
    <row r="59462" ht="12.75" hidden="1" customHeight="1" x14ac:dyDescent="0.2"/>
    <row r="59463" ht="12.75" hidden="1" customHeight="1" x14ac:dyDescent="0.2"/>
    <row r="59464" ht="12.75" hidden="1" customHeight="1" x14ac:dyDescent="0.2"/>
    <row r="59465" ht="12.75" hidden="1" customHeight="1" x14ac:dyDescent="0.2"/>
    <row r="59466" ht="12.75" hidden="1" customHeight="1" x14ac:dyDescent="0.2"/>
    <row r="59467" ht="12.75" hidden="1" customHeight="1" x14ac:dyDescent="0.2"/>
    <row r="59468" ht="12.75" hidden="1" customHeight="1" x14ac:dyDescent="0.2"/>
    <row r="59469" ht="12.75" hidden="1" customHeight="1" x14ac:dyDescent="0.2"/>
    <row r="59470" ht="12.75" hidden="1" customHeight="1" x14ac:dyDescent="0.2"/>
    <row r="59471" ht="12.75" hidden="1" customHeight="1" x14ac:dyDescent="0.2"/>
    <row r="59472" ht="12.75" hidden="1" customHeight="1" x14ac:dyDescent="0.2"/>
    <row r="59473" ht="12.75" hidden="1" customHeight="1" x14ac:dyDescent="0.2"/>
    <row r="59474" ht="12.75" hidden="1" customHeight="1" x14ac:dyDescent="0.2"/>
    <row r="59475" ht="12.75" hidden="1" customHeight="1" x14ac:dyDescent="0.2"/>
    <row r="59476" ht="12.75" hidden="1" customHeight="1" x14ac:dyDescent="0.2"/>
    <row r="59477" ht="12.75" hidden="1" customHeight="1" x14ac:dyDescent="0.2"/>
    <row r="59478" ht="12.75" hidden="1" customHeight="1" x14ac:dyDescent="0.2"/>
    <row r="59479" ht="12.75" hidden="1" customHeight="1" x14ac:dyDescent="0.2"/>
    <row r="59480" ht="12.75" hidden="1" customHeight="1" x14ac:dyDescent="0.2"/>
    <row r="59481" ht="12.75" hidden="1" customHeight="1" x14ac:dyDescent="0.2"/>
    <row r="59482" ht="12.75" hidden="1" customHeight="1" x14ac:dyDescent="0.2"/>
    <row r="59483" ht="12.75" hidden="1" customHeight="1" x14ac:dyDescent="0.2"/>
    <row r="59484" ht="12.75" hidden="1" customHeight="1" x14ac:dyDescent="0.2"/>
    <row r="59485" ht="12.75" hidden="1" customHeight="1" x14ac:dyDescent="0.2"/>
    <row r="59486" ht="12.75" hidden="1" customHeight="1" x14ac:dyDescent="0.2"/>
    <row r="59487" ht="12.75" hidden="1" customHeight="1" x14ac:dyDescent="0.2"/>
    <row r="59488" ht="12.75" hidden="1" customHeight="1" x14ac:dyDescent="0.2"/>
    <row r="59489" ht="12.75" hidden="1" customHeight="1" x14ac:dyDescent="0.2"/>
    <row r="59490" ht="12.75" hidden="1" customHeight="1" x14ac:dyDescent="0.2"/>
    <row r="59491" ht="12.75" hidden="1" customHeight="1" x14ac:dyDescent="0.2"/>
    <row r="59492" ht="12.75" hidden="1" customHeight="1" x14ac:dyDescent="0.2"/>
    <row r="59493" ht="12.75" hidden="1" customHeight="1" x14ac:dyDescent="0.2"/>
    <row r="59494" ht="12.75" hidden="1" customHeight="1" x14ac:dyDescent="0.2"/>
    <row r="59495" ht="12.75" hidden="1" customHeight="1" x14ac:dyDescent="0.2"/>
    <row r="59496" ht="12.75" hidden="1" customHeight="1" x14ac:dyDescent="0.2"/>
    <row r="59497" ht="12.75" hidden="1" customHeight="1" x14ac:dyDescent="0.2"/>
    <row r="59498" ht="12.75" hidden="1" customHeight="1" x14ac:dyDescent="0.2"/>
    <row r="59499" ht="12.75" hidden="1" customHeight="1" x14ac:dyDescent="0.2"/>
    <row r="59500" ht="12.75" hidden="1" customHeight="1" x14ac:dyDescent="0.2"/>
    <row r="59501" ht="12.75" hidden="1" customHeight="1" x14ac:dyDescent="0.2"/>
    <row r="59502" ht="12.75" hidden="1" customHeight="1" x14ac:dyDescent="0.2"/>
    <row r="59503" ht="12.75" hidden="1" customHeight="1" x14ac:dyDescent="0.2"/>
    <row r="59504" ht="12.75" hidden="1" customHeight="1" x14ac:dyDescent="0.2"/>
    <row r="59505" ht="12.75" hidden="1" customHeight="1" x14ac:dyDescent="0.2"/>
    <row r="59506" ht="12.75" hidden="1" customHeight="1" x14ac:dyDescent="0.2"/>
    <row r="59507" ht="12.75" hidden="1" customHeight="1" x14ac:dyDescent="0.2"/>
    <row r="59508" ht="12.75" hidden="1" customHeight="1" x14ac:dyDescent="0.2"/>
    <row r="59509" ht="12.75" hidden="1" customHeight="1" x14ac:dyDescent="0.2"/>
    <row r="59510" ht="12.75" hidden="1" customHeight="1" x14ac:dyDescent="0.2"/>
    <row r="59511" ht="12.75" hidden="1" customHeight="1" x14ac:dyDescent="0.2"/>
    <row r="59512" ht="12.75" hidden="1" customHeight="1" x14ac:dyDescent="0.2"/>
    <row r="59513" ht="12.75" hidden="1" customHeight="1" x14ac:dyDescent="0.2"/>
    <row r="59514" ht="12.75" hidden="1" customHeight="1" x14ac:dyDescent="0.2"/>
    <row r="59515" ht="12.75" hidden="1" customHeight="1" x14ac:dyDescent="0.2"/>
    <row r="59516" ht="12.75" hidden="1" customHeight="1" x14ac:dyDescent="0.2"/>
    <row r="59517" ht="12.75" hidden="1" customHeight="1" x14ac:dyDescent="0.2"/>
    <row r="59518" ht="12.75" hidden="1" customHeight="1" x14ac:dyDescent="0.2"/>
    <row r="59519" ht="12.75" hidden="1" customHeight="1" x14ac:dyDescent="0.2"/>
    <row r="59520" ht="12.75" hidden="1" customHeight="1" x14ac:dyDescent="0.2"/>
    <row r="59521" ht="12.75" hidden="1" customHeight="1" x14ac:dyDescent="0.2"/>
    <row r="59522" ht="12.75" hidden="1" customHeight="1" x14ac:dyDescent="0.2"/>
    <row r="59523" ht="12.75" hidden="1" customHeight="1" x14ac:dyDescent="0.2"/>
    <row r="59524" ht="12.75" hidden="1" customHeight="1" x14ac:dyDescent="0.2"/>
    <row r="59525" ht="12.75" hidden="1" customHeight="1" x14ac:dyDescent="0.2"/>
    <row r="59526" ht="12.75" hidden="1" customHeight="1" x14ac:dyDescent="0.2"/>
    <row r="59527" ht="12.75" hidden="1" customHeight="1" x14ac:dyDescent="0.2"/>
    <row r="59528" ht="12.75" hidden="1" customHeight="1" x14ac:dyDescent="0.2"/>
    <row r="59529" ht="12.75" hidden="1" customHeight="1" x14ac:dyDescent="0.2"/>
    <row r="59530" ht="12.75" hidden="1" customHeight="1" x14ac:dyDescent="0.2"/>
    <row r="59531" ht="12.75" hidden="1" customHeight="1" x14ac:dyDescent="0.2"/>
    <row r="59532" ht="12.75" hidden="1" customHeight="1" x14ac:dyDescent="0.2"/>
    <row r="59533" ht="12.75" hidden="1" customHeight="1" x14ac:dyDescent="0.2"/>
    <row r="59534" ht="12.75" hidden="1" customHeight="1" x14ac:dyDescent="0.2"/>
    <row r="59535" ht="12.75" hidden="1" customHeight="1" x14ac:dyDescent="0.2"/>
    <row r="59536" ht="12.75" hidden="1" customHeight="1" x14ac:dyDescent="0.2"/>
    <row r="59537" ht="12.75" hidden="1" customHeight="1" x14ac:dyDescent="0.2"/>
    <row r="59538" ht="12.75" hidden="1" customHeight="1" x14ac:dyDescent="0.2"/>
    <row r="59539" ht="12.75" hidden="1" customHeight="1" x14ac:dyDescent="0.2"/>
    <row r="59540" ht="12.75" hidden="1" customHeight="1" x14ac:dyDescent="0.2"/>
    <row r="59541" ht="12.75" hidden="1" customHeight="1" x14ac:dyDescent="0.2"/>
    <row r="59542" ht="12.75" hidden="1" customHeight="1" x14ac:dyDescent="0.2"/>
    <row r="59543" ht="12.75" hidden="1" customHeight="1" x14ac:dyDescent="0.2"/>
    <row r="59544" ht="12.75" hidden="1" customHeight="1" x14ac:dyDescent="0.2"/>
    <row r="59545" ht="12.75" hidden="1" customHeight="1" x14ac:dyDescent="0.2"/>
    <row r="59546" ht="12.75" hidden="1" customHeight="1" x14ac:dyDescent="0.2"/>
    <row r="59547" ht="12.75" hidden="1" customHeight="1" x14ac:dyDescent="0.2"/>
    <row r="59548" ht="12.75" hidden="1" customHeight="1" x14ac:dyDescent="0.2"/>
    <row r="59549" ht="12.75" hidden="1" customHeight="1" x14ac:dyDescent="0.2"/>
    <row r="59550" ht="12.75" hidden="1" customHeight="1" x14ac:dyDescent="0.2"/>
    <row r="59551" ht="12.75" hidden="1" customHeight="1" x14ac:dyDescent="0.2"/>
    <row r="59552" ht="12.75" hidden="1" customHeight="1" x14ac:dyDescent="0.2"/>
    <row r="59553" ht="12.75" hidden="1" customHeight="1" x14ac:dyDescent="0.2"/>
    <row r="59554" ht="12.75" hidden="1" customHeight="1" x14ac:dyDescent="0.2"/>
    <row r="59555" ht="12.75" hidden="1" customHeight="1" x14ac:dyDescent="0.2"/>
    <row r="59556" ht="12.75" hidden="1" customHeight="1" x14ac:dyDescent="0.2"/>
    <row r="59557" ht="12.75" hidden="1" customHeight="1" x14ac:dyDescent="0.2"/>
    <row r="59558" ht="12.75" hidden="1" customHeight="1" x14ac:dyDescent="0.2"/>
    <row r="59559" ht="12.75" hidden="1" customHeight="1" x14ac:dyDescent="0.2"/>
    <row r="59560" ht="12.75" hidden="1" customHeight="1" x14ac:dyDescent="0.2"/>
    <row r="59561" ht="12.75" hidden="1" customHeight="1" x14ac:dyDescent="0.2"/>
    <row r="59562" ht="12.75" hidden="1" customHeight="1" x14ac:dyDescent="0.2"/>
    <row r="59563" ht="12.75" hidden="1" customHeight="1" x14ac:dyDescent="0.2"/>
    <row r="59564" ht="12.75" hidden="1" customHeight="1" x14ac:dyDescent="0.2"/>
    <row r="59565" ht="12.75" hidden="1" customHeight="1" x14ac:dyDescent="0.2"/>
    <row r="59566" ht="12.75" hidden="1" customHeight="1" x14ac:dyDescent="0.2"/>
    <row r="59567" ht="12.75" hidden="1" customHeight="1" x14ac:dyDescent="0.2"/>
    <row r="59568" ht="12.75" hidden="1" customHeight="1" x14ac:dyDescent="0.2"/>
    <row r="59569" ht="12.75" hidden="1" customHeight="1" x14ac:dyDescent="0.2"/>
    <row r="59570" ht="12.75" hidden="1" customHeight="1" x14ac:dyDescent="0.2"/>
    <row r="59571" ht="12.75" hidden="1" customHeight="1" x14ac:dyDescent="0.2"/>
    <row r="59572" ht="12.75" hidden="1" customHeight="1" x14ac:dyDescent="0.2"/>
    <row r="59573" ht="12.75" hidden="1" customHeight="1" x14ac:dyDescent="0.2"/>
    <row r="59574" ht="12.75" hidden="1" customHeight="1" x14ac:dyDescent="0.2"/>
    <row r="59575" ht="12.75" hidden="1" customHeight="1" x14ac:dyDescent="0.2"/>
    <row r="59576" ht="12.75" hidden="1" customHeight="1" x14ac:dyDescent="0.2"/>
    <row r="59577" ht="12.75" hidden="1" customHeight="1" x14ac:dyDescent="0.2"/>
    <row r="59578" ht="12.75" hidden="1" customHeight="1" x14ac:dyDescent="0.2"/>
    <row r="59579" ht="12.75" hidden="1" customHeight="1" x14ac:dyDescent="0.2"/>
    <row r="59580" ht="12.75" hidden="1" customHeight="1" x14ac:dyDescent="0.2"/>
    <row r="59581" ht="12.75" hidden="1" customHeight="1" x14ac:dyDescent="0.2"/>
    <row r="59582" ht="12.75" hidden="1" customHeight="1" x14ac:dyDescent="0.2"/>
    <row r="59583" ht="12.75" hidden="1" customHeight="1" x14ac:dyDescent="0.2"/>
    <row r="59584" ht="12.75" hidden="1" customHeight="1" x14ac:dyDescent="0.2"/>
    <row r="59585" ht="12.75" hidden="1" customHeight="1" x14ac:dyDescent="0.2"/>
    <row r="59586" ht="12.75" hidden="1" customHeight="1" x14ac:dyDescent="0.2"/>
    <row r="59587" ht="12.75" hidden="1" customHeight="1" x14ac:dyDescent="0.2"/>
    <row r="59588" ht="12.75" hidden="1" customHeight="1" x14ac:dyDescent="0.2"/>
    <row r="59589" ht="12.75" hidden="1" customHeight="1" x14ac:dyDescent="0.2"/>
    <row r="59590" ht="12.75" hidden="1" customHeight="1" x14ac:dyDescent="0.2"/>
    <row r="59591" ht="12.75" hidden="1" customHeight="1" x14ac:dyDescent="0.2"/>
    <row r="59592" ht="12.75" hidden="1" customHeight="1" x14ac:dyDescent="0.2"/>
    <row r="59593" ht="12.75" hidden="1" customHeight="1" x14ac:dyDescent="0.2"/>
    <row r="59594" ht="12.75" hidden="1" customHeight="1" x14ac:dyDescent="0.2"/>
    <row r="59595" ht="12.75" hidden="1" customHeight="1" x14ac:dyDescent="0.2"/>
    <row r="59596" ht="12.75" hidden="1" customHeight="1" x14ac:dyDescent="0.2"/>
    <row r="59597" ht="12.75" hidden="1" customHeight="1" x14ac:dyDescent="0.2"/>
    <row r="59598" ht="12.75" hidden="1" customHeight="1" x14ac:dyDescent="0.2"/>
    <row r="59599" ht="12.75" hidden="1" customHeight="1" x14ac:dyDescent="0.2"/>
    <row r="59600" ht="12.75" hidden="1" customHeight="1" x14ac:dyDescent="0.2"/>
    <row r="59601" ht="12.75" hidden="1" customHeight="1" x14ac:dyDescent="0.2"/>
    <row r="59602" ht="12.75" hidden="1" customHeight="1" x14ac:dyDescent="0.2"/>
    <row r="59603" ht="12.75" hidden="1" customHeight="1" x14ac:dyDescent="0.2"/>
    <row r="59604" ht="12.75" hidden="1" customHeight="1" x14ac:dyDescent="0.2"/>
    <row r="59605" ht="12.75" hidden="1" customHeight="1" x14ac:dyDescent="0.2"/>
    <row r="59606" ht="12.75" hidden="1" customHeight="1" x14ac:dyDescent="0.2"/>
    <row r="59607" ht="12.75" hidden="1" customHeight="1" x14ac:dyDescent="0.2"/>
    <row r="59608" ht="12.75" hidden="1" customHeight="1" x14ac:dyDescent="0.2"/>
    <row r="59609" ht="12.75" hidden="1" customHeight="1" x14ac:dyDescent="0.2"/>
    <row r="59610" ht="12.75" hidden="1" customHeight="1" x14ac:dyDescent="0.2"/>
    <row r="59611" ht="12.75" hidden="1" customHeight="1" x14ac:dyDescent="0.2"/>
    <row r="59612" ht="12.75" hidden="1" customHeight="1" x14ac:dyDescent="0.2"/>
    <row r="59613" ht="12.75" hidden="1" customHeight="1" x14ac:dyDescent="0.2"/>
    <row r="59614" ht="12.75" hidden="1" customHeight="1" x14ac:dyDescent="0.2"/>
    <row r="59615" ht="12.75" hidden="1" customHeight="1" x14ac:dyDescent="0.2"/>
    <row r="59616" ht="12.75" hidden="1" customHeight="1" x14ac:dyDescent="0.2"/>
    <row r="59617" ht="12.75" hidden="1" customHeight="1" x14ac:dyDescent="0.2"/>
    <row r="59618" ht="12.75" hidden="1" customHeight="1" x14ac:dyDescent="0.2"/>
    <row r="59619" ht="12.75" hidden="1" customHeight="1" x14ac:dyDescent="0.2"/>
    <row r="59620" ht="12.75" hidden="1" customHeight="1" x14ac:dyDescent="0.2"/>
    <row r="59621" ht="12.75" hidden="1" customHeight="1" x14ac:dyDescent="0.2"/>
    <row r="59622" ht="12.75" hidden="1" customHeight="1" x14ac:dyDescent="0.2"/>
    <row r="59623" ht="12.75" hidden="1" customHeight="1" x14ac:dyDescent="0.2"/>
    <row r="59624" ht="12.75" hidden="1" customHeight="1" x14ac:dyDescent="0.2"/>
    <row r="59625" ht="12.75" hidden="1" customHeight="1" x14ac:dyDescent="0.2"/>
    <row r="59626" ht="12.75" hidden="1" customHeight="1" x14ac:dyDescent="0.2"/>
    <row r="59627" ht="12.75" hidden="1" customHeight="1" x14ac:dyDescent="0.2"/>
    <row r="59628" ht="12.75" hidden="1" customHeight="1" x14ac:dyDescent="0.2"/>
    <row r="59629" ht="12.75" hidden="1" customHeight="1" x14ac:dyDescent="0.2"/>
    <row r="59630" ht="12.75" hidden="1" customHeight="1" x14ac:dyDescent="0.2"/>
    <row r="59631" ht="12.75" hidden="1" customHeight="1" x14ac:dyDescent="0.2"/>
    <row r="59632" ht="12.75" hidden="1" customHeight="1" x14ac:dyDescent="0.2"/>
    <row r="59633" ht="12.75" hidden="1" customHeight="1" x14ac:dyDescent="0.2"/>
    <row r="59634" ht="12.75" hidden="1" customHeight="1" x14ac:dyDescent="0.2"/>
    <row r="59635" ht="12.75" hidden="1" customHeight="1" x14ac:dyDescent="0.2"/>
    <row r="59636" ht="12.75" hidden="1" customHeight="1" x14ac:dyDescent="0.2"/>
    <row r="59637" ht="12.75" hidden="1" customHeight="1" x14ac:dyDescent="0.2"/>
    <row r="59638" ht="12.75" hidden="1" customHeight="1" x14ac:dyDescent="0.2"/>
    <row r="59639" ht="12.75" hidden="1" customHeight="1" x14ac:dyDescent="0.2"/>
    <row r="59640" ht="12.75" hidden="1" customHeight="1" x14ac:dyDescent="0.2"/>
    <row r="59641" ht="12.75" hidden="1" customHeight="1" x14ac:dyDescent="0.2"/>
    <row r="59642" ht="12.75" hidden="1" customHeight="1" x14ac:dyDescent="0.2"/>
    <row r="59643" ht="12.75" hidden="1" customHeight="1" x14ac:dyDescent="0.2"/>
    <row r="59644" ht="12.75" hidden="1" customHeight="1" x14ac:dyDescent="0.2"/>
    <row r="59645" ht="12.75" hidden="1" customHeight="1" x14ac:dyDescent="0.2"/>
    <row r="59646" ht="12.75" hidden="1" customHeight="1" x14ac:dyDescent="0.2"/>
    <row r="59647" ht="12.75" hidden="1" customHeight="1" x14ac:dyDescent="0.2"/>
    <row r="59648" ht="12.75" hidden="1" customHeight="1" x14ac:dyDescent="0.2"/>
    <row r="59649" ht="12.75" hidden="1" customHeight="1" x14ac:dyDescent="0.2"/>
    <row r="59650" ht="12.75" hidden="1" customHeight="1" x14ac:dyDescent="0.2"/>
    <row r="59651" ht="12.75" hidden="1" customHeight="1" x14ac:dyDescent="0.2"/>
    <row r="59652" ht="12.75" hidden="1" customHeight="1" x14ac:dyDescent="0.2"/>
    <row r="59653" ht="12.75" hidden="1" customHeight="1" x14ac:dyDescent="0.2"/>
    <row r="59654" ht="12.75" hidden="1" customHeight="1" x14ac:dyDescent="0.2"/>
    <row r="59655" ht="12.75" hidden="1" customHeight="1" x14ac:dyDescent="0.2"/>
    <row r="59656" ht="12.75" hidden="1" customHeight="1" x14ac:dyDescent="0.2"/>
    <row r="59657" ht="12.75" hidden="1" customHeight="1" x14ac:dyDescent="0.2"/>
    <row r="59658" ht="12.75" hidden="1" customHeight="1" x14ac:dyDescent="0.2"/>
    <row r="59659" ht="12.75" hidden="1" customHeight="1" x14ac:dyDescent="0.2"/>
    <row r="59660" ht="12.75" hidden="1" customHeight="1" x14ac:dyDescent="0.2"/>
    <row r="59661" ht="12.75" hidden="1" customHeight="1" x14ac:dyDescent="0.2"/>
    <row r="59662" ht="12.75" hidden="1" customHeight="1" x14ac:dyDescent="0.2"/>
    <row r="59663" ht="12.75" hidden="1" customHeight="1" x14ac:dyDescent="0.2"/>
    <row r="59664" ht="12.75" hidden="1" customHeight="1" x14ac:dyDescent="0.2"/>
    <row r="59665" ht="12.75" hidden="1" customHeight="1" x14ac:dyDescent="0.2"/>
    <row r="59666" ht="12.75" hidden="1" customHeight="1" x14ac:dyDescent="0.2"/>
    <row r="59667" ht="12.75" hidden="1" customHeight="1" x14ac:dyDescent="0.2"/>
    <row r="59668" ht="12.75" hidden="1" customHeight="1" x14ac:dyDescent="0.2"/>
    <row r="59669" ht="12.75" hidden="1" customHeight="1" x14ac:dyDescent="0.2"/>
    <row r="59670" ht="12.75" hidden="1" customHeight="1" x14ac:dyDescent="0.2"/>
    <row r="59671" ht="12.75" hidden="1" customHeight="1" x14ac:dyDescent="0.2"/>
    <row r="59672" ht="12.75" hidden="1" customHeight="1" x14ac:dyDescent="0.2"/>
    <row r="59673" ht="12.75" hidden="1" customHeight="1" x14ac:dyDescent="0.2"/>
    <row r="59674" ht="12.75" hidden="1" customHeight="1" x14ac:dyDescent="0.2"/>
    <row r="59675" ht="12.75" hidden="1" customHeight="1" x14ac:dyDescent="0.2"/>
    <row r="59676" ht="12.75" hidden="1" customHeight="1" x14ac:dyDescent="0.2"/>
    <row r="59677" ht="12.75" hidden="1" customHeight="1" x14ac:dyDescent="0.2"/>
    <row r="59678" ht="12.75" hidden="1" customHeight="1" x14ac:dyDescent="0.2"/>
    <row r="59679" ht="12.75" hidden="1" customHeight="1" x14ac:dyDescent="0.2"/>
    <row r="59680" ht="12.75" hidden="1" customHeight="1" x14ac:dyDescent="0.2"/>
    <row r="59681" ht="12.75" hidden="1" customHeight="1" x14ac:dyDescent="0.2"/>
    <row r="59682" ht="12.75" hidden="1" customHeight="1" x14ac:dyDescent="0.2"/>
    <row r="59683" ht="12.75" hidden="1" customHeight="1" x14ac:dyDescent="0.2"/>
    <row r="59684" ht="12.75" hidden="1" customHeight="1" x14ac:dyDescent="0.2"/>
    <row r="59685" ht="12.75" hidden="1" customHeight="1" x14ac:dyDescent="0.2"/>
    <row r="59686" ht="12.75" hidden="1" customHeight="1" x14ac:dyDescent="0.2"/>
    <row r="59687" ht="12.75" hidden="1" customHeight="1" x14ac:dyDescent="0.2"/>
    <row r="59688" ht="12.75" hidden="1" customHeight="1" x14ac:dyDescent="0.2"/>
    <row r="59689" ht="12.75" hidden="1" customHeight="1" x14ac:dyDescent="0.2"/>
    <row r="59690" ht="12.75" hidden="1" customHeight="1" x14ac:dyDescent="0.2"/>
    <row r="59691" ht="12.75" hidden="1" customHeight="1" x14ac:dyDescent="0.2"/>
    <row r="59692" ht="12.75" hidden="1" customHeight="1" x14ac:dyDescent="0.2"/>
    <row r="59693" ht="12.75" hidden="1" customHeight="1" x14ac:dyDescent="0.2"/>
    <row r="59694" ht="12.75" hidden="1" customHeight="1" x14ac:dyDescent="0.2"/>
    <row r="59695" ht="12.75" hidden="1" customHeight="1" x14ac:dyDescent="0.2"/>
    <row r="59696" ht="12.75" hidden="1" customHeight="1" x14ac:dyDescent="0.2"/>
    <row r="59697" ht="12.75" hidden="1" customHeight="1" x14ac:dyDescent="0.2"/>
    <row r="59698" ht="12.75" hidden="1" customHeight="1" x14ac:dyDescent="0.2"/>
    <row r="59699" ht="12.75" hidden="1" customHeight="1" x14ac:dyDescent="0.2"/>
    <row r="59700" ht="12.75" hidden="1" customHeight="1" x14ac:dyDescent="0.2"/>
    <row r="59701" ht="12.75" hidden="1" customHeight="1" x14ac:dyDescent="0.2"/>
    <row r="59702" ht="12.75" hidden="1" customHeight="1" x14ac:dyDescent="0.2"/>
    <row r="59703" ht="12.75" hidden="1" customHeight="1" x14ac:dyDescent="0.2"/>
    <row r="59704" ht="12.75" hidden="1" customHeight="1" x14ac:dyDescent="0.2"/>
    <row r="59705" ht="12.75" hidden="1" customHeight="1" x14ac:dyDescent="0.2"/>
    <row r="59706" ht="12.75" hidden="1" customHeight="1" x14ac:dyDescent="0.2"/>
    <row r="59707" ht="12.75" hidden="1" customHeight="1" x14ac:dyDescent="0.2"/>
    <row r="59708" ht="12.75" hidden="1" customHeight="1" x14ac:dyDescent="0.2"/>
    <row r="59709" ht="12.75" hidden="1" customHeight="1" x14ac:dyDescent="0.2"/>
    <row r="59710" ht="12.75" hidden="1" customHeight="1" x14ac:dyDescent="0.2"/>
    <row r="59711" ht="12.75" hidden="1" customHeight="1" x14ac:dyDescent="0.2"/>
    <row r="59712" ht="12.75" hidden="1" customHeight="1" x14ac:dyDescent="0.2"/>
    <row r="59713" ht="12.75" hidden="1" customHeight="1" x14ac:dyDescent="0.2"/>
    <row r="59714" ht="12.75" hidden="1" customHeight="1" x14ac:dyDescent="0.2"/>
    <row r="59715" ht="12.75" hidden="1" customHeight="1" x14ac:dyDescent="0.2"/>
    <row r="59716" ht="12.75" hidden="1" customHeight="1" x14ac:dyDescent="0.2"/>
    <row r="59717" ht="12.75" hidden="1" customHeight="1" x14ac:dyDescent="0.2"/>
    <row r="59718" ht="12.75" hidden="1" customHeight="1" x14ac:dyDescent="0.2"/>
    <row r="59719" ht="12.75" hidden="1" customHeight="1" x14ac:dyDescent="0.2"/>
    <row r="59720" ht="12.75" hidden="1" customHeight="1" x14ac:dyDescent="0.2"/>
    <row r="59721" ht="12.75" hidden="1" customHeight="1" x14ac:dyDescent="0.2"/>
    <row r="59722" ht="12.75" hidden="1" customHeight="1" x14ac:dyDescent="0.2"/>
    <row r="59723" ht="12.75" hidden="1" customHeight="1" x14ac:dyDescent="0.2"/>
    <row r="59724" ht="12.75" hidden="1" customHeight="1" x14ac:dyDescent="0.2"/>
    <row r="59725" ht="12.75" hidden="1" customHeight="1" x14ac:dyDescent="0.2"/>
    <row r="59726" ht="12.75" hidden="1" customHeight="1" x14ac:dyDescent="0.2"/>
    <row r="59727" ht="12.75" hidden="1" customHeight="1" x14ac:dyDescent="0.2"/>
    <row r="59728" ht="12.75" hidden="1" customHeight="1" x14ac:dyDescent="0.2"/>
    <row r="59729" ht="12.75" hidden="1" customHeight="1" x14ac:dyDescent="0.2"/>
    <row r="59730" ht="12.75" hidden="1" customHeight="1" x14ac:dyDescent="0.2"/>
    <row r="59731" ht="12.75" hidden="1" customHeight="1" x14ac:dyDescent="0.2"/>
    <row r="59732" ht="12.75" hidden="1" customHeight="1" x14ac:dyDescent="0.2"/>
    <row r="59733" ht="12.75" hidden="1" customHeight="1" x14ac:dyDescent="0.2"/>
    <row r="59734" ht="12.75" hidden="1" customHeight="1" x14ac:dyDescent="0.2"/>
    <row r="59735" ht="12.75" hidden="1" customHeight="1" x14ac:dyDescent="0.2"/>
    <row r="59736" ht="12.75" hidden="1" customHeight="1" x14ac:dyDescent="0.2"/>
    <row r="59737" ht="12.75" hidden="1" customHeight="1" x14ac:dyDescent="0.2"/>
    <row r="59738" ht="12.75" hidden="1" customHeight="1" x14ac:dyDescent="0.2"/>
    <row r="59739" ht="12.75" hidden="1" customHeight="1" x14ac:dyDescent="0.2"/>
    <row r="59740" ht="12.75" hidden="1" customHeight="1" x14ac:dyDescent="0.2"/>
    <row r="59741" ht="12.75" hidden="1" customHeight="1" x14ac:dyDescent="0.2"/>
    <row r="59742" ht="12.75" hidden="1" customHeight="1" x14ac:dyDescent="0.2"/>
    <row r="59743" ht="12.75" hidden="1" customHeight="1" x14ac:dyDescent="0.2"/>
    <row r="59744" ht="12.75" hidden="1" customHeight="1" x14ac:dyDescent="0.2"/>
    <row r="59745" ht="12.75" hidden="1" customHeight="1" x14ac:dyDescent="0.2"/>
    <row r="59746" ht="12.75" hidden="1" customHeight="1" x14ac:dyDescent="0.2"/>
    <row r="59747" ht="12.75" hidden="1" customHeight="1" x14ac:dyDescent="0.2"/>
    <row r="59748" ht="12.75" hidden="1" customHeight="1" x14ac:dyDescent="0.2"/>
    <row r="59749" ht="12.75" hidden="1" customHeight="1" x14ac:dyDescent="0.2"/>
    <row r="59750" ht="12.75" hidden="1" customHeight="1" x14ac:dyDescent="0.2"/>
    <row r="59751" ht="12.75" hidden="1" customHeight="1" x14ac:dyDescent="0.2"/>
    <row r="59752" ht="12.75" hidden="1" customHeight="1" x14ac:dyDescent="0.2"/>
    <row r="59753" ht="12.75" hidden="1" customHeight="1" x14ac:dyDescent="0.2"/>
    <row r="59754" ht="12.75" hidden="1" customHeight="1" x14ac:dyDescent="0.2"/>
    <row r="59755" ht="12.75" hidden="1" customHeight="1" x14ac:dyDescent="0.2"/>
    <row r="59756" ht="12.75" hidden="1" customHeight="1" x14ac:dyDescent="0.2"/>
    <row r="59757" ht="12.75" hidden="1" customHeight="1" x14ac:dyDescent="0.2"/>
    <row r="59758" ht="12.75" hidden="1" customHeight="1" x14ac:dyDescent="0.2"/>
    <row r="59759" ht="12.75" hidden="1" customHeight="1" x14ac:dyDescent="0.2"/>
    <row r="59760" ht="12.75" hidden="1" customHeight="1" x14ac:dyDescent="0.2"/>
    <row r="59761" ht="12.75" hidden="1" customHeight="1" x14ac:dyDescent="0.2"/>
    <row r="59762" ht="12.75" hidden="1" customHeight="1" x14ac:dyDescent="0.2"/>
    <row r="59763" ht="12.75" hidden="1" customHeight="1" x14ac:dyDescent="0.2"/>
    <row r="59764" ht="12.75" hidden="1" customHeight="1" x14ac:dyDescent="0.2"/>
    <row r="59765" ht="12.75" hidden="1" customHeight="1" x14ac:dyDescent="0.2"/>
    <row r="59766" ht="12.75" hidden="1" customHeight="1" x14ac:dyDescent="0.2"/>
    <row r="59767" ht="12.75" hidden="1" customHeight="1" x14ac:dyDescent="0.2"/>
    <row r="59768" ht="12.75" hidden="1" customHeight="1" x14ac:dyDescent="0.2"/>
    <row r="59769" ht="12.75" hidden="1" customHeight="1" x14ac:dyDescent="0.2"/>
    <row r="59770" ht="12.75" hidden="1" customHeight="1" x14ac:dyDescent="0.2"/>
    <row r="59771" ht="12.75" hidden="1" customHeight="1" x14ac:dyDescent="0.2"/>
    <row r="59772" ht="12.75" hidden="1" customHeight="1" x14ac:dyDescent="0.2"/>
    <row r="59773" ht="12.75" hidden="1" customHeight="1" x14ac:dyDescent="0.2"/>
    <row r="59774" ht="12.75" hidden="1" customHeight="1" x14ac:dyDescent="0.2"/>
    <row r="59775" ht="12.75" hidden="1" customHeight="1" x14ac:dyDescent="0.2"/>
    <row r="59776" ht="12.75" hidden="1" customHeight="1" x14ac:dyDescent="0.2"/>
    <row r="59777" ht="12.75" hidden="1" customHeight="1" x14ac:dyDescent="0.2"/>
    <row r="59778" ht="12.75" hidden="1" customHeight="1" x14ac:dyDescent="0.2"/>
    <row r="59779" ht="12.75" hidden="1" customHeight="1" x14ac:dyDescent="0.2"/>
    <row r="59780" ht="12.75" hidden="1" customHeight="1" x14ac:dyDescent="0.2"/>
    <row r="59781" ht="12.75" hidden="1" customHeight="1" x14ac:dyDescent="0.2"/>
    <row r="59782" ht="12.75" hidden="1" customHeight="1" x14ac:dyDescent="0.2"/>
    <row r="59783" ht="12.75" hidden="1" customHeight="1" x14ac:dyDescent="0.2"/>
    <row r="59784" ht="12.75" hidden="1" customHeight="1" x14ac:dyDescent="0.2"/>
    <row r="59785" ht="12.75" hidden="1" customHeight="1" x14ac:dyDescent="0.2"/>
    <row r="59786" ht="12.75" hidden="1" customHeight="1" x14ac:dyDescent="0.2"/>
    <row r="59787" ht="12.75" hidden="1" customHeight="1" x14ac:dyDescent="0.2"/>
    <row r="59788" ht="12.75" hidden="1" customHeight="1" x14ac:dyDescent="0.2"/>
    <row r="59789" ht="12.75" hidden="1" customHeight="1" x14ac:dyDescent="0.2"/>
    <row r="59790" ht="12.75" hidden="1" customHeight="1" x14ac:dyDescent="0.2"/>
    <row r="59791" ht="12.75" hidden="1" customHeight="1" x14ac:dyDescent="0.2"/>
    <row r="59792" ht="12.75" hidden="1" customHeight="1" x14ac:dyDescent="0.2"/>
    <row r="59793" ht="12.75" hidden="1" customHeight="1" x14ac:dyDescent="0.2"/>
    <row r="59794" ht="12.75" hidden="1" customHeight="1" x14ac:dyDescent="0.2"/>
    <row r="59795" ht="12.75" hidden="1" customHeight="1" x14ac:dyDescent="0.2"/>
    <row r="59796" ht="12.75" hidden="1" customHeight="1" x14ac:dyDescent="0.2"/>
    <row r="59797" ht="12.75" hidden="1" customHeight="1" x14ac:dyDescent="0.2"/>
    <row r="59798" ht="12.75" hidden="1" customHeight="1" x14ac:dyDescent="0.2"/>
    <row r="59799" ht="12.75" hidden="1" customHeight="1" x14ac:dyDescent="0.2"/>
    <row r="59800" ht="12.75" hidden="1" customHeight="1" x14ac:dyDescent="0.2"/>
    <row r="59801" ht="12.75" hidden="1" customHeight="1" x14ac:dyDescent="0.2"/>
    <row r="59802" ht="12.75" hidden="1" customHeight="1" x14ac:dyDescent="0.2"/>
    <row r="59803" ht="12.75" hidden="1" customHeight="1" x14ac:dyDescent="0.2"/>
    <row r="59804" ht="12.75" hidden="1" customHeight="1" x14ac:dyDescent="0.2"/>
    <row r="59805" ht="12.75" hidden="1" customHeight="1" x14ac:dyDescent="0.2"/>
    <row r="59806" ht="12.75" hidden="1" customHeight="1" x14ac:dyDescent="0.2"/>
    <row r="59807" ht="12.75" hidden="1" customHeight="1" x14ac:dyDescent="0.2"/>
    <row r="59808" ht="12.75" hidden="1" customHeight="1" x14ac:dyDescent="0.2"/>
    <row r="59809" ht="12.75" hidden="1" customHeight="1" x14ac:dyDescent="0.2"/>
    <row r="59810" ht="12.75" hidden="1" customHeight="1" x14ac:dyDescent="0.2"/>
    <row r="59811" ht="12.75" hidden="1" customHeight="1" x14ac:dyDescent="0.2"/>
    <row r="59812" ht="12.75" hidden="1" customHeight="1" x14ac:dyDescent="0.2"/>
    <row r="59813" ht="12.75" hidden="1" customHeight="1" x14ac:dyDescent="0.2"/>
    <row r="59814" ht="12.75" hidden="1" customHeight="1" x14ac:dyDescent="0.2"/>
    <row r="59815" ht="12.75" hidden="1" customHeight="1" x14ac:dyDescent="0.2"/>
    <row r="59816" ht="12.75" hidden="1" customHeight="1" x14ac:dyDescent="0.2"/>
    <row r="59817" ht="12.75" hidden="1" customHeight="1" x14ac:dyDescent="0.2"/>
    <row r="59818" ht="12.75" hidden="1" customHeight="1" x14ac:dyDescent="0.2"/>
    <row r="59819" ht="12.75" hidden="1" customHeight="1" x14ac:dyDescent="0.2"/>
    <row r="59820" ht="12.75" hidden="1" customHeight="1" x14ac:dyDescent="0.2"/>
    <row r="59821" ht="12.75" hidden="1" customHeight="1" x14ac:dyDescent="0.2"/>
    <row r="59822" ht="12.75" hidden="1" customHeight="1" x14ac:dyDescent="0.2"/>
    <row r="59823" ht="12.75" hidden="1" customHeight="1" x14ac:dyDescent="0.2"/>
    <row r="59824" ht="12.75" hidden="1" customHeight="1" x14ac:dyDescent="0.2"/>
    <row r="59825" ht="12.75" hidden="1" customHeight="1" x14ac:dyDescent="0.2"/>
    <row r="59826" ht="12.75" hidden="1" customHeight="1" x14ac:dyDescent="0.2"/>
    <row r="59827" ht="12.75" hidden="1" customHeight="1" x14ac:dyDescent="0.2"/>
    <row r="59828" ht="12.75" hidden="1" customHeight="1" x14ac:dyDescent="0.2"/>
    <row r="59829" ht="12.75" hidden="1" customHeight="1" x14ac:dyDescent="0.2"/>
    <row r="59830" ht="12.75" hidden="1" customHeight="1" x14ac:dyDescent="0.2"/>
    <row r="59831" ht="12.75" hidden="1" customHeight="1" x14ac:dyDescent="0.2"/>
    <row r="59832" ht="12.75" hidden="1" customHeight="1" x14ac:dyDescent="0.2"/>
    <row r="59833" ht="12.75" hidden="1" customHeight="1" x14ac:dyDescent="0.2"/>
    <row r="59834" ht="12.75" hidden="1" customHeight="1" x14ac:dyDescent="0.2"/>
    <row r="59835" ht="12.75" hidden="1" customHeight="1" x14ac:dyDescent="0.2"/>
    <row r="59836" ht="12.75" hidden="1" customHeight="1" x14ac:dyDescent="0.2"/>
    <row r="59837" ht="12.75" hidden="1" customHeight="1" x14ac:dyDescent="0.2"/>
    <row r="59838" ht="12.75" hidden="1" customHeight="1" x14ac:dyDescent="0.2"/>
    <row r="59839" ht="12.75" hidden="1" customHeight="1" x14ac:dyDescent="0.2"/>
    <row r="59840" ht="12.75" hidden="1" customHeight="1" x14ac:dyDescent="0.2"/>
    <row r="59841" ht="12.75" hidden="1" customHeight="1" x14ac:dyDescent="0.2"/>
    <row r="59842" ht="12.75" hidden="1" customHeight="1" x14ac:dyDescent="0.2"/>
    <row r="59843" ht="12.75" hidden="1" customHeight="1" x14ac:dyDescent="0.2"/>
    <row r="59844" ht="12.75" hidden="1" customHeight="1" x14ac:dyDescent="0.2"/>
    <row r="59845" ht="12.75" hidden="1" customHeight="1" x14ac:dyDescent="0.2"/>
    <row r="59846" ht="12.75" hidden="1" customHeight="1" x14ac:dyDescent="0.2"/>
    <row r="59847" ht="12.75" hidden="1" customHeight="1" x14ac:dyDescent="0.2"/>
    <row r="59848" ht="12.75" hidden="1" customHeight="1" x14ac:dyDescent="0.2"/>
    <row r="59849" ht="12.75" hidden="1" customHeight="1" x14ac:dyDescent="0.2"/>
    <row r="59850" ht="12.75" hidden="1" customHeight="1" x14ac:dyDescent="0.2"/>
    <row r="59851" ht="12.75" hidden="1" customHeight="1" x14ac:dyDescent="0.2"/>
    <row r="59852" ht="12.75" hidden="1" customHeight="1" x14ac:dyDescent="0.2"/>
    <row r="59853" ht="12.75" hidden="1" customHeight="1" x14ac:dyDescent="0.2"/>
    <row r="59854" ht="12.75" hidden="1" customHeight="1" x14ac:dyDescent="0.2"/>
    <row r="59855" ht="12.75" hidden="1" customHeight="1" x14ac:dyDescent="0.2"/>
    <row r="59856" ht="12.75" hidden="1" customHeight="1" x14ac:dyDescent="0.2"/>
    <row r="59857" ht="12.75" hidden="1" customHeight="1" x14ac:dyDescent="0.2"/>
    <row r="59858" ht="12.75" hidden="1" customHeight="1" x14ac:dyDescent="0.2"/>
    <row r="59859" ht="12.75" hidden="1" customHeight="1" x14ac:dyDescent="0.2"/>
    <row r="59860" ht="12.75" hidden="1" customHeight="1" x14ac:dyDescent="0.2"/>
    <row r="59861" ht="12.75" hidden="1" customHeight="1" x14ac:dyDescent="0.2"/>
    <row r="59862" ht="12.75" hidden="1" customHeight="1" x14ac:dyDescent="0.2"/>
    <row r="59863" ht="12.75" hidden="1" customHeight="1" x14ac:dyDescent="0.2"/>
    <row r="59864" ht="12.75" hidden="1" customHeight="1" x14ac:dyDescent="0.2"/>
    <row r="59865" ht="12.75" hidden="1" customHeight="1" x14ac:dyDescent="0.2"/>
    <row r="59866" ht="12.75" hidden="1" customHeight="1" x14ac:dyDescent="0.2"/>
    <row r="59867" ht="12.75" hidden="1" customHeight="1" x14ac:dyDescent="0.2"/>
    <row r="59868" ht="12.75" hidden="1" customHeight="1" x14ac:dyDescent="0.2"/>
    <row r="59869" ht="12.75" hidden="1" customHeight="1" x14ac:dyDescent="0.2"/>
    <row r="59870" ht="12.75" hidden="1" customHeight="1" x14ac:dyDescent="0.2"/>
    <row r="59871" ht="12.75" hidden="1" customHeight="1" x14ac:dyDescent="0.2"/>
    <row r="59872" ht="12.75" hidden="1" customHeight="1" x14ac:dyDescent="0.2"/>
    <row r="59873" ht="12.75" hidden="1" customHeight="1" x14ac:dyDescent="0.2"/>
    <row r="59874" ht="12.75" hidden="1" customHeight="1" x14ac:dyDescent="0.2"/>
    <row r="59875" ht="12.75" hidden="1" customHeight="1" x14ac:dyDescent="0.2"/>
    <row r="59876" ht="12.75" hidden="1" customHeight="1" x14ac:dyDescent="0.2"/>
    <row r="59877" ht="12.75" hidden="1" customHeight="1" x14ac:dyDescent="0.2"/>
    <row r="59878" ht="12.75" hidden="1" customHeight="1" x14ac:dyDescent="0.2"/>
    <row r="59879" ht="12.75" hidden="1" customHeight="1" x14ac:dyDescent="0.2"/>
    <row r="59880" ht="12.75" hidden="1" customHeight="1" x14ac:dyDescent="0.2"/>
    <row r="59881" ht="12.75" hidden="1" customHeight="1" x14ac:dyDescent="0.2"/>
    <row r="59882" ht="12.75" hidden="1" customHeight="1" x14ac:dyDescent="0.2"/>
    <row r="59883" ht="12.75" hidden="1" customHeight="1" x14ac:dyDescent="0.2"/>
    <row r="59884" ht="12.75" hidden="1" customHeight="1" x14ac:dyDescent="0.2"/>
    <row r="59885" ht="12.75" hidden="1" customHeight="1" x14ac:dyDescent="0.2"/>
    <row r="59886" ht="12.75" hidden="1" customHeight="1" x14ac:dyDescent="0.2"/>
    <row r="59887" ht="12.75" hidden="1" customHeight="1" x14ac:dyDescent="0.2"/>
    <row r="59888" ht="12.75" hidden="1" customHeight="1" x14ac:dyDescent="0.2"/>
    <row r="59889" ht="12.75" hidden="1" customHeight="1" x14ac:dyDescent="0.2"/>
    <row r="59890" ht="12.75" hidden="1" customHeight="1" x14ac:dyDescent="0.2"/>
    <row r="59891" ht="12.75" hidden="1" customHeight="1" x14ac:dyDescent="0.2"/>
    <row r="59892" ht="12.75" hidden="1" customHeight="1" x14ac:dyDescent="0.2"/>
    <row r="59893" ht="12.75" hidden="1" customHeight="1" x14ac:dyDescent="0.2"/>
    <row r="59894" ht="12.75" hidden="1" customHeight="1" x14ac:dyDescent="0.2"/>
    <row r="59895" ht="12.75" hidden="1" customHeight="1" x14ac:dyDescent="0.2"/>
    <row r="59896" ht="12.75" hidden="1" customHeight="1" x14ac:dyDescent="0.2"/>
    <row r="59897" ht="12.75" hidden="1" customHeight="1" x14ac:dyDescent="0.2"/>
    <row r="59898" ht="12.75" hidden="1" customHeight="1" x14ac:dyDescent="0.2"/>
    <row r="59899" ht="12.75" hidden="1" customHeight="1" x14ac:dyDescent="0.2"/>
    <row r="59900" ht="12.75" hidden="1" customHeight="1" x14ac:dyDescent="0.2"/>
    <row r="59901" ht="12.75" hidden="1" customHeight="1" x14ac:dyDescent="0.2"/>
    <row r="59902" ht="12.75" hidden="1" customHeight="1" x14ac:dyDescent="0.2"/>
    <row r="59903" ht="12.75" hidden="1" customHeight="1" x14ac:dyDescent="0.2"/>
    <row r="59904" ht="12.75" hidden="1" customHeight="1" x14ac:dyDescent="0.2"/>
    <row r="59905" ht="12.75" hidden="1" customHeight="1" x14ac:dyDescent="0.2"/>
    <row r="59906" ht="12.75" hidden="1" customHeight="1" x14ac:dyDescent="0.2"/>
    <row r="59907" ht="12.75" hidden="1" customHeight="1" x14ac:dyDescent="0.2"/>
    <row r="59908" ht="12.75" hidden="1" customHeight="1" x14ac:dyDescent="0.2"/>
    <row r="59909" ht="12.75" hidden="1" customHeight="1" x14ac:dyDescent="0.2"/>
    <row r="59910" ht="12.75" hidden="1" customHeight="1" x14ac:dyDescent="0.2"/>
    <row r="59911" ht="12.75" hidden="1" customHeight="1" x14ac:dyDescent="0.2"/>
    <row r="59912" ht="12.75" hidden="1" customHeight="1" x14ac:dyDescent="0.2"/>
    <row r="59913" ht="12.75" hidden="1" customHeight="1" x14ac:dyDescent="0.2"/>
    <row r="59914" ht="12.75" hidden="1" customHeight="1" x14ac:dyDescent="0.2"/>
    <row r="59915" ht="12.75" hidden="1" customHeight="1" x14ac:dyDescent="0.2"/>
    <row r="59916" ht="12.75" hidden="1" customHeight="1" x14ac:dyDescent="0.2"/>
    <row r="59917" ht="12.75" hidden="1" customHeight="1" x14ac:dyDescent="0.2"/>
    <row r="59918" ht="12.75" hidden="1" customHeight="1" x14ac:dyDescent="0.2"/>
    <row r="59919" ht="12.75" hidden="1" customHeight="1" x14ac:dyDescent="0.2"/>
    <row r="59920" ht="12.75" hidden="1" customHeight="1" x14ac:dyDescent="0.2"/>
    <row r="59921" ht="12.75" hidden="1" customHeight="1" x14ac:dyDescent="0.2"/>
    <row r="59922" ht="12.75" hidden="1" customHeight="1" x14ac:dyDescent="0.2"/>
    <row r="59923" ht="12.75" hidden="1" customHeight="1" x14ac:dyDescent="0.2"/>
    <row r="59924" ht="12.75" hidden="1" customHeight="1" x14ac:dyDescent="0.2"/>
    <row r="59925" ht="12.75" hidden="1" customHeight="1" x14ac:dyDescent="0.2"/>
    <row r="59926" ht="12.75" hidden="1" customHeight="1" x14ac:dyDescent="0.2"/>
    <row r="59927" ht="12.75" hidden="1" customHeight="1" x14ac:dyDescent="0.2"/>
    <row r="59928" ht="12.75" hidden="1" customHeight="1" x14ac:dyDescent="0.2"/>
    <row r="59929" ht="12.75" hidden="1" customHeight="1" x14ac:dyDescent="0.2"/>
    <row r="59930" ht="12.75" hidden="1" customHeight="1" x14ac:dyDescent="0.2"/>
    <row r="59931" ht="12.75" hidden="1" customHeight="1" x14ac:dyDescent="0.2"/>
    <row r="59932" ht="12.75" hidden="1" customHeight="1" x14ac:dyDescent="0.2"/>
    <row r="59933" ht="12.75" hidden="1" customHeight="1" x14ac:dyDescent="0.2"/>
    <row r="59934" ht="12.75" hidden="1" customHeight="1" x14ac:dyDescent="0.2"/>
    <row r="59935" ht="12.75" hidden="1" customHeight="1" x14ac:dyDescent="0.2"/>
    <row r="59936" ht="12.75" hidden="1" customHeight="1" x14ac:dyDescent="0.2"/>
    <row r="59937" ht="12.75" hidden="1" customHeight="1" x14ac:dyDescent="0.2"/>
    <row r="59938" ht="12.75" hidden="1" customHeight="1" x14ac:dyDescent="0.2"/>
    <row r="59939" ht="12.75" hidden="1" customHeight="1" x14ac:dyDescent="0.2"/>
    <row r="59940" ht="12.75" hidden="1" customHeight="1" x14ac:dyDescent="0.2"/>
    <row r="59941" ht="12.75" hidden="1" customHeight="1" x14ac:dyDescent="0.2"/>
    <row r="59942" ht="12.75" hidden="1" customHeight="1" x14ac:dyDescent="0.2"/>
    <row r="59943" ht="12.75" hidden="1" customHeight="1" x14ac:dyDescent="0.2"/>
    <row r="59944" ht="12.75" hidden="1" customHeight="1" x14ac:dyDescent="0.2"/>
    <row r="59945" ht="12.75" hidden="1" customHeight="1" x14ac:dyDescent="0.2"/>
    <row r="59946" ht="12.75" hidden="1" customHeight="1" x14ac:dyDescent="0.2"/>
    <row r="59947" ht="12.75" hidden="1" customHeight="1" x14ac:dyDescent="0.2"/>
    <row r="59948" ht="12.75" hidden="1" customHeight="1" x14ac:dyDescent="0.2"/>
    <row r="59949" ht="12.75" hidden="1" customHeight="1" x14ac:dyDescent="0.2"/>
    <row r="59950" ht="12.75" hidden="1" customHeight="1" x14ac:dyDescent="0.2"/>
    <row r="59951" ht="12.75" hidden="1" customHeight="1" x14ac:dyDescent="0.2"/>
    <row r="59952" ht="12.75" hidden="1" customHeight="1" x14ac:dyDescent="0.2"/>
    <row r="59953" ht="12.75" hidden="1" customHeight="1" x14ac:dyDescent="0.2"/>
    <row r="59954" ht="12.75" hidden="1" customHeight="1" x14ac:dyDescent="0.2"/>
    <row r="59955" ht="12.75" hidden="1" customHeight="1" x14ac:dyDescent="0.2"/>
    <row r="59956" ht="12.75" hidden="1" customHeight="1" x14ac:dyDescent="0.2"/>
    <row r="59957" ht="12.75" hidden="1" customHeight="1" x14ac:dyDescent="0.2"/>
    <row r="59958" ht="12.75" hidden="1" customHeight="1" x14ac:dyDescent="0.2"/>
    <row r="59959" ht="12.75" hidden="1" customHeight="1" x14ac:dyDescent="0.2"/>
    <row r="59960" ht="12.75" hidden="1" customHeight="1" x14ac:dyDescent="0.2"/>
    <row r="59961" ht="12.75" hidden="1" customHeight="1" x14ac:dyDescent="0.2"/>
    <row r="59962" ht="12.75" hidden="1" customHeight="1" x14ac:dyDescent="0.2"/>
    <row r="59963" ht="12.75" hidden="1" customHeight="1" x14ac:dyDescent="0.2"/>
    <row r="59964" ht="12.75" hidden="1" customHeight="1" x14ac:dyDescent="0.2"/>
    <row r="59965" ht="12.75" hidden="1" customHeight="1" x14ac:dyDescent="0.2"/>
    <row r="59966" ht="12.75" hidden="1" customHeight="1" x14ac:dyDescent="0.2"/>
    <row r="59967" ht="12.75" hidden="1" customHeight="1" x14ac:dyDescent="0.2"/>
    <row r="59968" ht="12.75" hidden="1" customHeight="1" x14ac:dyDescent="0.2"/>
    <row r="59969" ht="12.75" hidden="1" customHeight="1" x14ac:dyDescent="0.2"/>
    <row r="59970" ht="12.75" hidden="1" customHeight="1" x14ac:dyDescent="0.2"/>
    <row r="59971" ht="12.75" hidden="1" customHeight="1" x14ac:dyDescent="0.2"/>
    <row r="59972" ht="12.75" hidden="1" customHeight="1" x14ac:dyDescent="0.2"/>
    <row r="59973" ht="12.75" hidden="1" customHeight="1" x14ac:dyDescent="0.2"/>
    <row r="59974" ht="12.75" hidden="1" customHeight="1" x14ac:dyDescent="0.2"/>
    <row r="59975" ht="12.75" hidden="1" customHeight="1" x14ac:dyDescent="0.2"/>
    <row r="59976" ht="12.75" hidden="1" customHeight="1" x14ac:dyDescent="0.2"/>
    <row r="59977" ht="12.75" hidden="1" customHeight="1" x14ac:dyDescent="0.2"/>
    <row r="59978" ht="12.75" hidden="1" customHeight="1" x14ac:dyDescent="0.2"/>
    <row r="59979" ht="12.75" hidden="1" customHeight="1" x14ac:dyDescent="0.2"/>
    <row r="59980" ht="12.75" hidden="1" customHeight="1" x14ac:dyDescent="0.2"/>
    <row r="59981" ht="12.75" hidden="1" customHeight="1" x14ac:dyDescent="0.2"/>
    <row r="59982" ht="12.75" hidden="1" customHeight="1" x14ac:dyDescent="0.2"/>
    <row r="59983" ht="12.75" hidden="1" customHeight="1" x14ac:dyDescent="0.2"/>
    <row r="59984" ht="12.75" hidden="1" customHeight="1" x14ac:dyDescent="0.2"/>
    <row r="59985" ht="12.75" hidden="1" customHeight="1" x14ac:dyDescent="0.2"/>
    <row r="59986" ht="12.75" hidden="1" customHeight="1" x14ac:dyDescent="0.2"/>
    <row r="59987" ht="12.75" hidden="1" customHeight="1" x14ac:dyDescent="0.2"/>
    <row r="59988" ht="12.75" hidden="1" customHeight="1" x14ac:dyDescent="0.2"/>
    <row r="59989" ht="12.75" hidden="1" customHeight="1" x14ac:dyDescent="0.2"/>
    <row r="59990" ht="12.75" hidden="1" customHeight="1" x14ac:dyDescent="0.2"/>
    <row r="59991" ht="12.75" hidden="1" customHeight="1" x14ac:dyDescent="0.2"/>
    <row r="59992" ht="12.75" hidden="1" customHeight="1" x14ac:dyDescent="0.2"/>
    <row r="59993" ht="12.75" hidden="1" customHeight="1" x14ac:dyDescent="0.2"/>
    <row r="59994" ht="12.75" hidden="1" customHeight="1" x14ac:dyDescent="0.2"/>
    <row r="59995" ht="12.75" hidden="1" customHeight="1" x14ac:dyDescent="0.2"/>
    <row r="59996" ht="12.75" hidden="1" customHeight="1" x14ac:dyDescent="0.2"/>
    <row r="59997" ht="12.75" hidden="1" customHeight="1" x14ac:dyDescent="0.2"/>
    <row r="59998" ht="12.75" hidden="1" customHeight="1" x14ac:dyDescent="0.2"/>
    <row r="59999" ht="12.75" hidden="1" customHeight="1" x14ac:dyDescent="0.2"/>
    <row r="60000" ht="12.75" hidden="1" customHeight="1" x14ac:dyDescent="0.2"/>
    <row r="60001" ht="12.75" hidden="1" customHeight="1" x14ac:dyDescent="0.2"/>
    <row r="60002" ht="12.75" hidden="1" customHeight="1" x14ac:dyDescent="0.2"/>
    <row r="60003" ht="12.75" hidden="1" customHeight="1" x14ac:dyDescent="0.2"/>
    <row r="60004" ht="12.75" hidden="1" customHeight="1" x14ac:dyDescent="0.2"/>
    <row r="60005" ht="12.75" hidden="1" customHeight="1" x14ac:dyDescent="0.2"/>
    <row r="60006" ht="12.75" hidden="1" customHeight="1" x14ac:dyDescent="0.2"/>
    <row r="60007" ht="12.75" hidden="1" customHeight="1" x14ac:dyDescent="0.2"/>
    <row r="60008" ht="12.75" hidden="1" customHeight="1" x14ac:dyDescent="0.2"/>
    <row r="60009" ht="12.75" hidden="1" customHeight="1" x14ac:dyDescent="0.2"/>
    <row r="60010" ht="12.75" hidden="1" customHeight="1" x14ac:dyDescent="0.2"/>
    <row r="60011" ht="12.75" hidden="1" customHeight="1" x14ac:dyDescent="0.2"/>
    <row r="60012" ht="12.75" hidden="1" customHeight="1" x14ac:dyDescent="0.2"/>
    <row r="60013" ht="12.75" hidden="1" customHeight="1" x14ac:dyDescent="0.2"/>
    <row r="60014" ht="12.75" hidden="1" customHeight="1" x14ac:dyDescent="0.2"/>
    <row r="60015" ht="12.75" hidden="1" customHeight="1" x14ac:dyDescent="0.2"/>
    <row r="60016" ht="12.75" hidden="1" customHeight="1" x14ac:dyDescent="0.2"/>
    <row r="60017" ht="12.75" hidden="1" customHeight="1" x14ac:dyDescent="0.2"/>
    <row r="60018" ht="12.75" hidden="1" customHeight="1" x14ac:dyDescent="0.2"/>
    <row r="60019" ht="12.75" hidden="1" customHeight="1" x14ac:dyDescent="0.2"/>
    <row r="60020" ht="12.75" hidden="1" customHeight="1" x14ac:dyDescent="0.2"/>
    <row r="60021" ht="12.75" hidden="1" customHeight="1" x14ac:dyDescent="0.2"/>
    <row r="60022" ht="12.75" hidden="1" customHeight="1" x14ac:dyDescent="0.2"/>
    <row r="60023" ht="12.75" hidden="1" customHeight="1" x14ac:dyDescent="0.2"/>
    <row r="60024" ht="12.75" hidden="1" customHeight="1" x14ac:dyDescent="0.2"/>
    <row r="60025" ht="12.75" hidden="1" customHeight="1" x14ac:dyDescent="0.2"/>
    <row r="60026" ht="12.75" hidden="1" customHeight="1" x14ac:dyDescent="0.2"/>
    <row r="60027" ht="12.75" hidden="1" customHeight="1" x14ac:dyDescent="0.2"/>
    <row r="60028" ht="12.75" hidden="1" customHeight="1" x14ac:dyDescent="0.2"/>
    <row r="60029" ht="12.75" hidden="1" customHeight="1" x14ac:dyDescent="0.2"/>
    <row r="60030" ht="12.75" hidden="1" customHeight="1" x14ac:dyDescent="0.2"/>
    <row r="60031" ht="12.75" hidden="1" customHeight="1" x14ac:dyDescent="0.2"/>
    <row r="60032" ht="12.75" hidden="1" customHeight="1" x14ac:dyDescent="0.2"/>
    <row r="60033" ht="12.75" hidden="1" customHeight="1" x14ac:dyDescent="0.2"/>
    <row r="60034" ht="12.75" hidden="1" customHeight="1" x14ac:dyDescent="0.2"/>
    <row r="60035" ht="12.75" hidden="1" customHeight="1" x14ac:dyDescent="0.2"/>
    <row r="60036" ht="12.75" hidden="1" customHeight="1" x14ac:dyDescent="0.2"/>
    <row r="60037" ht="12.75" hidden="1" customHeight="1" x14ac:dyDescent="0.2"/>
    <row r="60038" ht="12.75" hidden="1" customHeight="1" x14ac:dyDescent="0.2"/>
    <row r="60039" ht="12.75" hidden="1" customHeight="1" x14ac:dyDescent="0.2"/>
    <row r="60040" ht="12.75" hidden="1" customHeight="1" x14ac:dyDescent="0.2"/>
    <row r="60041" ht="12.75" hidden="1" customHeight="1" x14ac:dyDescent="0.2"/>
    <row r="60042" ht="12.75" hidden="1" customHeight="1" x14ac:dyDescent="0.2"/>
    <row r="60043" ht="12.75" hidden="1" customHeight="1" x14ac:dyDescent="0.2"/>
    <row r="60044" ht="12.75" hidden="1" customHeight="1" x14ac:dyDescent="0.2"/>
    <row r="60045" ht="12.75" hidden="1" customHeight="1" x14ac:dyDescent="0.2"/>
    <row r="60046" ht="12.75" hidden="1" customHeight="1" x14ac:dyDescent="0.2"/>
    <row r="60047" ht="12.75" hidden="1" customHeight="1" x14ac:dyDescent="0.2"/>
    <row r="60048" ht="12.75" hidden="1" customHeight="1" x14ac:dyDescent="0.2"/>
    <row r="60049" ht="12.75" hidden="1" customHeight="1" x14ac:dyDescent="0.2"/>
    <row r="60050" ht="12.75" hidden="1" customHeight="1" x14ac:dyDescent="0.2"/>
    <row r="60051" ht="12.75" hidden="1" customHeight="1" x14ac:dyDescent="0.2"/>
    <row r="60052" ht="12.75" hidden="1" customHeight="1" x14ac:dyDescent="0.2"/>
    <row r="60053" ht="12.75" hidden="1" customHeight="1" x14ac:dyDescent="0.2"/>
    <row r="60054" ht="12.75" hidden="1" customHeight="1" x14ac:dyDescent="0.2"/>
    <row r="60055" ht="12.75" hidden="1" customHeight="1" x14ac:dyDescent="0.2"/>
    <row r="60056" ht="12.75" hidden="1" customHeight="1" x14ac:dyDescent="0.2"/>
    <row r="60057" ht="12.75" hidden="1" customHeight="1" x14ac:dyDescent="0.2"/>
    <row r="60058" ht="12.75" hidden="1" customHeight="1" x14ac:dyDescent="0.2"/>
    <row r="60059" ht="12.75" hidden="1" customHeight="1" x14ac:dyDescent="0.2"/>
    <row r="60060" ht="12.75" hidden="1" customHeight="1" x14ac:dyDescent="0.2"/>
    <row r="60061" ht="12.75" hidden="1" customHeight="1" x14ac:dyDescent="0.2"/>
    <row r="60062" ht="12.75" hidden="1" customHeight="1" x14ac:dyDescent="0.2"/>
    <row r="60063" ht="12.75" hidden="1" customHeight="1" x14ac:dyDescent="0.2"/>
    <row r="60064" ht="12.75" hidden="1" customHeight="1" x14ac:dyDescent="0.2"/>
    <row r="60065" ht="12.75" hidden="1" customHeight="1" x14ac:dyDescent="0.2"/>
    <row r="60066" ht="12.75" hidden="1" customHeight="1" x14ac:dyDescent="0.2"/>
    <row r="60067" ht="12.75" hidden="1" customHeight="1" x14ac:dyDescent="0.2"/>
    <row r="60068" ht="12.75" hidden="1" customHeight="1" x14ac:dyDescent="0.2"/>
    <row r="60069" ht="12.75" hidden="1" customHeight="1" x14ac:dyDescent="0.2"/>
    <row r="60070" ht="12.75" hidden="1" customHeight="1" x14ac:dyDescent="0.2"/>
    <row r="60071" ht="12.75" hidden="1" customHeight="1" x14ac:dyDescent="0.2"/>
    <row r="60072" ht="12.75" hidden="1" customHeight="1" x14ac:dyDescent="0.2"/>
    <row r="60073" ht="12.75" hidden="1" customHeight="1" x14ac:dyDescent="0.2"/>
    <row r="60074" ht="12.75" hidden="1" customHeight="1" x14ac:dyDescent="0.2"/>
    <row r="60075" ht="12.75" hidden="1" customHeight="1" x14ac:dyDescent="0.2"/>
    <row r="60076" ht="12.75" hidden="1" customHeight="1" x14ac:dyDescent="0.2"/>
    <row r="60077" ht="12.75" hidden="1" customHeight="1" x14ac:dyDescent="0.2"/>
    <row r="60078" ht="12.75" hidden="1" customHeight="1" x14ac:dyDescent="0.2"/>
    <row r="60079" ht="12.75" hidden="1" customHeight="1" x14ac:dyDescent="0.2"/>
    <row r="60080" ht="12.75" hidden="1" customHeight="1" x14ac:dyDescent="0.2"/>
    <row r="60081" ht="12.75" hidden="1" customHeight="1" x14ac:dyDescent="0.2"/>
    <row r="60082" ht="12.75" hidden="1" customHeight="1" x14ac:dyDescent="0.2"/>
    <row r="60083" ht="12.75" hidden="1" customHeight="1" x14ac:dyDescent="0.2"/>
    <row r="60084" ht="12.75" hidden="1" customHeight="1" x14ac:dyDescent="0.2"/>
    <row r="60085" ht="12.75" hidden="1" customHeight="1" x14ac:dyDescent="0.2"/>
    <row r="60086" ht="12.75" hidden="1" customHeight="1" x14ac:dyDescent="0.2"/>
    <row r="60087" ht="12.75" hidden="1" customHeight="1" x14ac:dyDescent="0.2"/>
    <row r="60088" ht="12.75" hidden="1" customHeight="1" x14ac:dyDescent="0.2"/>
    <row r="60089" ht="12.75" hidden="1" customHeight="1" x14ac:dyDescent="0.2"/>
    <row r="60090" ht="12.75" hidden="1" customHeight="1" x14ac:dyDescent="0.2"/>
    <row r="60091" ht="12.75" hidden="1" customHeight="1" x14ac:dyDescent="0.2"/>
    <row r="60092" ht="12.75" hidden="1" customHeight="1" x14ac:dyDescent="0.2"/>
    <row r="60093" ht="12.75" hidden="1" customHeight="1" x14ac:dyDescent="0.2"/>
    <row r="60094" ht="12.75" hidden="1" customHeight="1" x14ac:dyDescent="0.2"/>
    <row r="60095" ht="12.75" hidden="1" customHeight="1" x14ac:dyDescent="0.2"/>
    <row r="60096" ht="12.75" hidden="1" customHeight="1" x14ac:dyDescent="0.2"/>
    <row r="60097" ht="12.75" hidden="1" customHeight="1" x14ac:dyDescent="0.2"/>
    <row r="60098" ht="12.75" hidden="1" customHeight="1" x14ac:dyDescent="0.2"/>
    <row r="60099" ht="12.75" hidden="1" customHeight="1" x14ac:dyDescent="0.2"/>
    <row r="60100" ht="12.75" hidden="1" customHeight="1" x14ac:dyDescent="0.2"/>
    <row r="60101" ht="12.75" hidden="1" customHeight="1" x14ac:dyDescent="0.2"/>
    <row r="60102" ht="12.75" hidden="1" customHeight="1" x14ac:dyDescent="0.2"/>
    <row r="60103" ht="12.75" hidden="1" customHeight="1" x14ac:dyDescent="0.2"/>
    <row r="60104" ht="12.75" hidden="1" customHeight="1" x14ac:dyDescent="0.2"/>
    <row r="60105" ht="12.75" hidden="1" customHeight="1" x14ac:dyDescent="0.2"/>
    <row r="60106" ht="12.75" hidden="1" customHeight="1" x14ac:dyDescent="0.2"/>
    <row r="60107" ht="12.75" hidden="1" customHeight="1" x14ac:dyDescent="0.2"/>
    <row r="60108" ht="12.75" hidden="1" customHeight="1" x14ac:dyDescent="0.2"/>
    <row r="60109" ht="12.75" hidden="1" customHeight="1" x14ac:dyDescent="0.2"/>
    <row r="60110" ht="12.75" hidden="1" customHeight="1" x14ac:dyDescent="0.2"/>
    <row r="60111" ht="12.75" hidden="1" customHeight="1" x14ac:dyDescent="0.2"/>
    <row r="60112" ht="12.75" hidden="1" customHeight="1" x14ac:dyDescent="0.2"/>
    <row r="60113" ht="12.75" hidden="1" customHeight="1" x14ac:dyDescent="0.2"/>
    <row r="60114" ht="12.75" hidden="1" customHeight="1" x14ac:dyDescent="0.2"/>
    <row r="60115" ht="12.75" hidden="1" customHeight="1" x14ac:dyDescent="0.2"/>
    <row r="60116" ht="12.75" hidden="1" customHeight="1" x14ac:dyDescent="0.2"/>
    <row r="60117" ht="12.75" hidden="1" customHeight="1" x14ac:dyDescent="0.2"/>
    <row r="60118" ht="12.75" hidden="1" customHeight="1" x14ac:dyDescent="0.2"/>
    <row r="60119" ht="12.75" hidden="1" customHeight="1" x14ac:dyDescent="0.2"/>
    <row r="60120" ht="12.75" hidden="1" customHeight="1" x14ac:dyDescent="0.2"/>
    <row r="60121" ht="12.75" hidden="1" customHeight="1" x14ac:dyDescent="0.2"/>
    <row r="60122" ht="12.75" hidden="1" customHeight="1" x14ac:dyDescent="0.2"/>
    <row r="60123" ht="12.75" hidden="1" customHeight="1" x14ac:dyDescent="0.2"/>
    <row r="60124" ht="12.75" hidden="1" customHeight="1" x14ac:dyDescent="0.2"/>
    <row r="60125" ht="12.75" hidden="1" customHeight="1" x14ac:dyDescent="0.2"/>
    <row r="60126" ht="12.75" hidden="1" customHeight="1" x14ac:dyDescent="0.2"/>
    <row r="60127" ht="12.75" hidden="1" customHeight="1" x14ac:dyDescent="0.2"/>
    <row r="60128" ht="12.75" hidden="1" customHeight="1" x14ac:dyDescent="0.2"/>
    <row r="60129" ht="12.75" hidden="1" customHeight="1" x14ac:dyDescent="0.2"/>
    <row r="60130" ht="12.75" hidden="1" customHeight="1" x14ac:dyDescent="0.2"/>
    <row r="60131" ht="12.75" hidden="1" customHeight="1" x14ac:dyDescent="0.2"/>
    <row r="60132" ht="12.75" hidden="1" customHeight="1" x14ac:dyDescent="0.2"/>
    <row r="60133" ht="12.75" hidden="1" customHeight="1" x14ac:dyDescent="0.2"/>
    <row r="60134" ht="12.75" hidden="1" customHeight="1" x14ac:dyDescent="0.2"/>
    <row r="60135" ht="12.75" hidden="1" customHeight="1" x14ac:dyDescent="0.2"/>
    <row r="60136" ht="12.75" hidden="1" customHeight="1" x14ac:dyDescent="0.2"/>
    <row r="60137" ht="12.75" hidden="1" customHeight="1" x14ac:dyDescent="0.2"/>
    <row r="60138" ht="12.75" hidden="1" customHeight="1" x14ac:dyDescent="0.2"/>
    <row r="60139" ht="12.75" hidden="1" customHeight="1" x14ac:dyDescent="0.2"/>
    <row r="60140" ht="12.75" hidden="1" customHeight="1" x14ac:dyDescent="0.2"/>
    <row r="60141" ht="12.75" hidden="1" customHeight="1" x14ac:dyDescent="0.2"/>
    <row r="60142" ht="12.75" hidden="1" customHeight="1" x14ac:dyDescent="0.2"/>
    <row r="60143" ht="12.75" hidden="1" customHeight="1" x14ac:dyDescent="0.2"/>
    <row r="60144" ht="12.75" hidden="1" customHeight="1" x14ac:dyDescent="0.2"/>
    <row r="60145" ht="12.75" hidden="1" customHeight="1" x14ac:dyDescent="0.2"/>
    <row r="60146" ht="12.75" hidden="1" customHeight="1" x14ac:dyDescent="0.2"/>
    <row r="60147" ht="12.75" hidden="1" customHeight="1" x14ac:dyDescent="0.2"/>
    <row r="60148" ht="12.75" hidden="1" customHeight="1" x14ac:dyDescent="0.2"/>
    <row r="60149" ht="12.75" hidden="1" customHeight="1" x14ac:dyDescent="0.2"/>
    <row r="60150" ht="12.75" hidden="1" customHeight="1" x14ac:dyDescent="0.2"/>
    <row r="60151" ht="12.75" hidden="1" customHeight="1" x14ac:dyDescent="0.2"/>
    <row r="60152" ht="12.75" hidden="1" customHeight="1" x14ac:dyDescent="0.2"/>
    <row r="60153" ht="12.75" hidden="1" customHeight="1" x14ac:dyDescent="0.2"/>
    <row r="60154" ht="12.75" hidden="1" customHeight="1" x14ac:dyDescent="0.2"/>
    <row r="60155" ht="12.75" hidden="1" customHeight="1" x14ac:dyDescent="0.2"/>
    <row r="60156" ht="12.75" hidden="1" customHeight="1" x14ac:dyDescent="0.2"/>
    <row r="60157" ht="12.75" hidden="1" customHeight="1" x14ac:dyDescent="0.2"/>
    <row r="60158" ht="12.75" hidden="1" customHeight="1" x14ac:dyDescent="0.2"/>
    <row r="60159" ht="12.75" hidden="1" customHeight="1" x14ac:dyDescent="0.2"/>
    <row r="60160" ht="12.75" hidden="1" customHeight="1" x14ac:dyDescent="0.2"/>
    <row r="60161" ht="12.75" hidden="1" customHeight="1" x14ac:dyDescent="0.2"/>
    <row r="60162" ht="12.75" hidden="1" customHeight="1" x14ac:dyDescent="0.2"/>
    <row r="60163" ht="12.75" hidden="1" customHeight="1" x14ac:dyDescent="0.2"/>
    <row r="60164" ht="12.75" hidden="1" customHeight="1" x14ac:dyDescent="0.2"/>
    <row r="60165" ht="12.75" hidden="1" customHeight="1" x14ac:dyDescent="0.2"/>
    <row r="60166" ht="12.75" hidden="1" customHeight="1" x14ac:dyDescent="0.2"/>
    <row r="60167" ht="12.75" hidden="1" customHeight="1" x14ac:dyDescent="0.2"/>
    <row r="60168" ht="12.75" hidden="1" customHeight="1" x14ac:dyDescent="0.2"/>
    <row r="60169" ht="12.75" hidden="1" customHeight="1" x14ac:dyDescent="0.2"/>
    <row r="60170" ht="12.75" hidden="1" customHeight="1" x14ac:dyDescent="0.2"/>
    <row r="60171" ht="12.75" hidden="1" customHeight="1" x14ac:dyDescent="0.2"/>
    <row r="60172" ht="12.75" hidden="1" customHeight="1" x14ac:dyDescent="0.2"/>
    <row r="60173" ht="12.75" hidden="1" customHeight="1" x14ac:dyDescent="0.2"/>
    <row r="60174" ht="12.75" hidden="1" customHeight="1" x14ac:dyDescent="0.2"/>
    <row r="60175" ht="12.75" hidden="1" customHeight="1" x14ac:dyDescent="0.2"/>
    <row r="60176" ht="12.75" hidden="1" customHeight="1" x14ac:dyDescent="0.2"/>
    <row r="60177" ht="12.75" hidden="1" customHeight="1" x14ac:dyDescent="0.2"/>
    <row r="60178" ht="12.75" hidden="1" customHeight="1" x14ac:dyDescent="0.2"/>
    <row r="60179" ht="12.75" hidden="1" customHeight="1" x14ac:dyDescent="0.2"/>
    <row r="60180" ht="12.75" hidden="1" customHeight="1" x14ac:dyDescent="0.2"/>
    <row r="60181" ht="12.75" hidden="1" customHeight="1" x14ac:dyDescent="0.2"/>
    <row r="60182" ht="12.75" hidden="1" customHeight="1" x14ac:dyDescent="0.2"/>
    <row r="60183" ht="12.75" hidden="1" customHeight="1" x14ac:dyDescent="0.2"/>
    <row r="60184" ht="12.75" hidden="1" customHeight="1" x14ac:dyDescent="0.2"/>
    <row r="60185" ht="12.75" hidden="1" customHeight="1" x14ac:dyDescent="0.2"/>
    <row r="60186" ht="12.75" hidden="1" customHeight="1" x14ac:dyDescent="0.2"/>
    <row r="60187" ht="12.75" hidden="1" customHeight="1" x14ac:dyDescent="0.2"/>
    <row r="60188" ht="12.75" hidden="1" customHeight="1" x14ac:dyDescent="0.2"/>
    <row r="60189" ht="12.75" hidden="1" customHeight="1" x14ac:dyDescent="0.2"/>
    <row r="60190" ht="12.75" hidden="1" customHeight="1" x14ac:dyDescent="0.2"/>
    <row r="60191" ht="12.75" hidden="1" customHeight="1" x14ac:dyDescent="0.2"/>
    <row r="60192" ht="12.75" hidden="1" customHeight="1" x14ac:dyDescent="0.2"/>
    <row r="60193" ht="12.75" hidden="1" customHeight="1" x14ac:dyDescent="0.2"/>
    <row r="60194" ht="12.75" hidden="1" customHeight="1" x14ac:dyDescent="0.2"/>
    <row r="60195" ht="12.75" hidden="1" customHeight="1" x14ac:dyDescent="0.2"/>
    <row r="60196" ht="12.75" hidden="1" customHeight="1" x14ac:dyDescent="0.2"/>
    <row r="60197" ht="12.75" hidden="1" customHeight="1" x14ac:dyDescent="0.2"/>
    <row r="60198" ht="12.75" hidden="1" customHeight="1" x14ac:dyDescent="0.2"/>
    <row r="60199" ht="12.75" hidden="1" customHeight="1" x14ac:dyDescent="0.2"/>
    <row r="60200" ht="12.75" hidden="1" customHeight="1" x14ac:dyDescent="0.2"/>
    <row r="60201" ht="12.75" hidden="1" customHeight="1" x14ac:dyDescent="0.2"/>
    <row r="60202" ht="12.75" hidden="1" customHeight="1" x14ac:dyDescent="0.2"/>
    <row r="60203" ht="12.75" hidden="1" customHeight="1" x14ac:dyDescent="0.2"/>
    <row r="60204" ht="12.75" hidden="1" customHeight="1" x14ac:dyDescent="0.2"/>
    <row r="60205" ht="12.75" hidden="1" customHeight="1" x14ac:dyDescent="0.2"/>
    <row r="60206" ht="12.75" hidden="1" customHeight="1" x14ac:dyDescent="0.2"/>
    <row r="60207" ht="12.75" hidden="1" customHeight="1" x14ac:dyDescent="0.2"/>
    <row r="60208" ht="12.75" hidden="1" customHeight="1" x14ac:dyDescent="0.2"/>
    <row r="60209" ht="12.75" hidden="1" customHeight="1" x14ac:dyDescent="0.2"/>
    <row r="60210" ht="12.75" hidden="1" customHeight="1" x14ac:dyDescent="0.2"/>
    <row r="60211" ht="12.75" hidden="1" customHeight="1" x14ac:dyDescent="0.2"/>
    <row r="60212" ht="12.75" hidden="1" customHeight="1" x14ac:dyDescent="0.2"/>
    <row r="60213" ht="12.75" hidden="1" customHeight="1" x14ac:dyDescent="0.2"/>
    <row r="60214" ht="12.75" hidden="1" customHeight="1" x14ac:dyDescent="0.2"/>
    <row r="60215" ht="12.75" hidden="1" customHeight="1" x14ac:dyDescent="0.2"/>
    <row r="60216" ht="12.75" hidden="1" customHeight="1" x14ac:dyDescent="0.2"/>
    <row r="60217" ht="12.75" hidden="1" customHeight="1" x14ac:dyDescent="0.2"/>
    <row r="60218" ht="12.75" hidden="1" customHeight="1" x14ac:dyDescent="0.2"/>
    <row r="60219" ht="12.75" hidden="1" customHeight="1" x14ac:dyDescent="0.2"/>
    <row r="60220" ht="12.75" hidden="1" customHeight="1" x14ac:dyDescent="0.2"/>
    <row r="60221" ht="12.75" hidden="1" customHeight="1" x14ac:dyDescent="0.2"/>
    <row r="60222" ht="12.75" hidden="1" customHeight="1" x14ac:dyDescent="0.2"/>
    <row r="60223" ht="12.75" hidden="1" customHeight="1" x14ac:dyDescent="0.2"/>
    <row r="60224" ht="12.75" hidden="1" customHeight="1" x14ac:dyDescent="0.2"/>
    <row r="60225" ht="12.75" hidden="1" customHeight="1" x14ac:dyDescent="0.2"/>
    <row r="60226" ht="12.75" hidden="1" customHeight="1" x14ac:dyDescent="0.2"/>
    <row r="60227" ht="12.75" hidden="1" customHeight="1" x14ac:dyDescent="0.2"/>
    <row r="60228" ht="12.75" hidden="1" customHeight="1" x14ac:dyDescent="0.2"/>
    <row r="60229" ht="12.75" hidden="1" customHeight="1" x14ac:dyDescent="0.2"/>
    <row r="60230" ht="12.75" hidden="1" customHeight="1" x14ac:dyDescent="0.2"/>
    <row r="60231" ht="12.75" hidden="1" customHeight="1" x14ac:dyDescent="0.2"/>
    <row r="60232" ht="12.75" hidden="1" customHeight="1" x14ac:dyDescent="0.2"/>
    <row r="60233" ht="12.75" hidden="1" customHeight="1" x14ac:dyDescent="0.2"/>
    <row r="60234" ht="12.75" hidden="1" customHeight="1" x14ac:dyDescent="0.2"/>
    <row r="60235" ht="12.75" hidden="1" customHeight="1" x14ac:dyDescent="0.2"/>
    <row r="60236" ht="12.75" hidden="1" customHeight="1" x14ac:dyDescent="0.2"/>
    <row r="60237" ht="12.75" hidden="1" customHeight="1" x14ac:dyDescent="0.2"/>
    <row r="60238" ht="12.75" hidden="1" customHeight="1" x14ac:dyDescent="0.2"/>
    <row r="60239" ht="12.75" hidden="1" customHeight="1" x14ac:dyDescent="0.2"/>
    <row r="60240" ht="12.75" hidden="1" customHeight="1" x14ac:dyDescent="0.2"/>
    <row r="60241" ht="12.75" hidden="1" customHeight="1" x14ac:dyDescent="0.2"/>
    <row r="60242" ht="12.75" hidden="1" customHeight="1" x14ac:dyDescent="0.2"/>
    <row r="60243" ht="12.75" hidden="1" customHeight="1" x14ac:dyDescent="0.2"/>
    <row r="60244" ht="12.75" hidden="1" customHeight="1" x14ac:dyDescent="0.2"/>
    <row r="60245" ht="12.75" hidden="1" customHeight="1" x14ac:dyDescent="0.2"/>
    <row r="60246" ht="12.75" hidden="1" customHeight="1" x14ac:dyDescent="0.2"/>
    <row r="60247" ht="12.75" hidden="1" customHeight="1" x14ac:dyDescent="0.2"/>
    <row r="60248" ht="12.75" hidden="1" customHeight="1" x14ac:dyDescent="0.2"/>
    <row r="60249" ht="12.75" hidden="1" customHeight="1" x14ac:dyDescent="0.2"/>
    <row r="60250" ht="12.75" hidden="1" customHeight="1" x14ac:dyDescent="0.2"/>
    <row r="60251" ht="12.75" hidden="1" customHeight="1" x14ac:dyDescent="0.2"/>
    <row r="60252" ht="12.75" hidden="1" customHeight="1" x14ac:dyDescent="0.2"/>
    <row r="60253" ht="12.75" hidden="1" customHeight="1" x14ac:dyDescent="0.2"/>
    <row r="60254" ht="12.75" hidden="1" customHeight="1" x14ac:dyDescent="0.2"/>
    <row r="60255" ht="12.75" hidden="1" customHeight="1" x14ac:dyDescent="0.2"/>
    <row r="60256" ht="12.75" hidden="1" customHeight="1" x14ac:dyDescent="0.2"/>
    <row r="60257" ht="12.75" hidden="1" customHeight="1" x14ac:dyDescent="0.2"/>
    <row r="60258" ht="12.75" hidden="1" customHeight="1" x14ac:dyDescent="0.2"/>
    <row r="60259" ht="12.75" hidden="1" customHeight="1" x14ac:dyDescent="0.2"/>
    <row r="60260" ht="12.75" hidden="1" customHeight="1" x14ac:dyDescent="0.2"/>
    <row r="60261" ht="12.75" hidden="1" customHeight="1" x14ac:dyDescent="0.2"/>
    <row r="60262" ht="12.75" hidden="1" customHeight="1" x14ac:dyDescent="0.2"/>
    <row r="60263" ht="12.75" hidden="1" customHeight="1" x14ac:dyDescent="0.2"/>
    <row r="60264" ht="12.75" hidden="1" customHeight="1" x14ac:dyDescent="0.2"/>
    <row r="60265" ht="12.75" hidden="1" customHeight="1" x14ac:dyDescent="0.2"/>
    <row r="60266" ht="12.75" hidden="1" customHeight="1" x14ac:dyDescent="0.2"/>
    <row r="60267" ht="12.75" hidden="1" customHeight="1" x14ac:dyDescent="0.2"/>
    <row r="60268" ht="12.75" hidden="1" customHeight="1" x14ac:dyDescent="0.2"/>
    <row r="60269" ht="12.75" hidden="1" customHeight="1" x14ac:dyDescent="0.2"/>
    <row r="60270" ht="12.75" hidden="1" customHeight="1" x14ac:dyDescent="0.2"/>
    <row r="60271" ht="12.75" hidden="1" customHeight="1" x14ac:dyDescent="0.2"/>
    <row r="60272" ht="12.75" hidden="1" customHeight="1" x14ac:dyDescent="0.2"/>
    <row r="60273" ht="12.75" hidden="1" customHeight="1" x14ac:dyDescent="0.2"/>
    <row r="60274" ht="12.75" hidden="1" customHeight="1" x14ac:dyDescent="0.2"/>
    <row r="60275" ht="12.75" hidden="1" customHeight="1" x14ac:dyDescent="0.2"/>
    <row r="60276" ht="12.75" hidden="1" customHeight="1" x14ac:dyDescent="0.2"/>
    <row r="60277" ht="12.75" hidden="1" customHeight="1" x14ac:dyDescent="0.2"/>
    <row r="60278" ht="12.75" hidden="1" customHeight="1" x14ac:dyDescent="0.2"/>
    <row r="60279" ht="12.75" hidden="1" customHeight="1" x14ac:dyDescent="0.2"/>
    <row r="60280" ht="12.75" hidden="1" customHeight="1" x14ac:dyDescent="0.2"/>
    <row r="60281" ht="12.75" hidden="1" customHeight="1" x14ac:dyDescent="0.2"/>
    <row r="60282" ht="12.75" hidden="1" customHeight="1" x14ac:dyDescent="0.2"/>
    <row r="60283" ht="12.75" hidden="1" customHeight="1" x14ac:dyDescent="0.2"/>
    <row r="60284" ht="12.75" hidden="1" customHeight="1" x14ac:dyDescent="0.2"/>
    <row r="60285" ht="12.75" hidden="1" customHeight="1" x14ac:dyDescent="0.2"/>
    <row r="60286" ht="12.75" hidden="1" customHeight="1" x14ac:dyDescent="0.2"/>
    <row r="60287" ht="12.75" hidden="1" customHeight="1" x14ac:dyDescent="0.2"/>
    <row r="60288" ht="12.75" hidden="1" customHeight="1" x14ac:dyDescent="0.2"/>
    <row r="60289" ht="12.75" hidden="1" customHeight="1" x14ac:dyDescent="0.2"/>
    <row r="60290" ht="12.75" hidden="1" customHeight="1" x14ac:dyDescent="0.2"/>
    <row r="60291" ht="12.75" hidden="1" customHeight="1" x14ac:dyDescent="0.2"/>
    <row r="60292" ht="12.75" hidden="1" customHeight="1" x14ac:dyDescent="0.2"/>
    <row r="60293" ht="12.75" hidden="1" customHeight="1" x14ac:dyDescent="0.2"/>
    <row r="60294" ht="12.75" hidden="1" customHeight="1" x14ac:dyDescent="0.2"/>
    <row r="60295" ht="12.75" hidden="1" customHeight="1" x14ac:dyDescent="0.2"/>
    <row r="60296" ht="12.75" hidden="1" customHeight="1" x14ac:dyDescent="0.2"/>
    <row r="60297" ht="12.75" hidden="1" customHeight="1" x14ac:dyDescent="0.2"/>
    <row r="60298" ht="12.75" hidden="1" customHeight="1" x14ac:dyDescent="0.2"/>
    <row r="60299" ht="12.75" hidden="1" customHeight="1" x14ac:dyDescent="0.2"/>
    <row r="60300" ht="12.75" hidden="1" customHeight="1" x14ac:dyDescent="0.2"/>
    <row r="60301" ht="12.75" hidden="1" customHeight="1" x14ac:dyDescent="0.2"/>
    <row r="60302" ht="12.75" hidden="1" customHeight="1" x14ac:dyDescent="0.2"/>
    <row r="60303" ht="12.75" hidden="1" customHeight="1" x14ac:dyDescent="0.2"/>
    <row r="60304" ht="12.75" hidden="1" customHeight="1" x14ac:dyDescent="0.2"/>
    <row r="60305" ht="12.75" hidden="1" customHeight="1" x14ac:dyDescent="0.2"/>
    <row r="60306" ht="12.75" hidden="1" customHeight="1" x14ac:dyDescent="0.2"/>
    <row r="60307" ht="12.75" hidden="1" customHeight="1" x14ac:dyDescent="0.2"/>
    <row r="60308" ht="12.75" hidden="1" customHeight="1" x14ac:dyDescent="0.2"/>
    <row r="60309" ht="12.75" hidden="1" customHeight="1" x14ac:dyDescent="0.2"/>
    <row r="60310" ht="12.75" hidden="1" customHeight="1" x14ac:dyDescent="0.2"/>
    <row r="60311" ht="12.75" hidden="1" customHeight="1" x14ac:dyDescent="0.2"/>
    <row r="60312" ht="12.75" hidden="1" customHeight="1" x14ac:dyDescent="0.2"/>
    <row r="60313" ht="12.75" hidden="1" customHeight="1" x14ac:dyDescent="0.2"/>
    <row r="60314" ht="12.75" hidden="1" customHeight="1" x14ac:dyDescent="0.2"/>
    <row r="60315" ht="12.75" hidden="1" customHeight="1" x14ac:dyDescent="0.2"/>
    <row r="60316" ht="12.75" hidden="1" customHeight="1" x14ac:dyDescent="0.2"/>
    <row r="60317" ht="12.75" hidden="1" customHeight="1" x14ac:dyDescent="0.2"/>
    <row r="60318" ht="12.75" hidden="1" customHeight="1" x14ac:dyDescent="0.2"/>
    <row r="60319" ht="12.75" hidden="1" customHeight="1" x14ac:dyDescent="0.2"/>
    <row r="60320" ht="12.75" hidden="1" customHeight="1" x14ac:dyDescent="0.2"/>
    <row r="60321" ht="12.75" hidden="1" customHeight="1" x14ac:dyDescent="0.2"/>
    <row r="60322" ht="12.75" hidden="1" customHeight="1" x14ac:dyDescent="0.2"/>
    <row r="60323" ht="12.75" hidden="1" customHeight="1" x14ac:dyDescent="0.2"/>
    <row r="60324" ht="12.75" hidden="1" customHeight="1" x14ac:dyDescent="0.2"/>
    <row r="60325" ht="12.75" hidden="1" customHeight="1" x14ac:dyDescent="0.2"/>
    <row r="60326" ht="12.75" hidden="1" customHeight="1" x14ac:dyDescent="0.2"/>
    <row r="60327" ht="12.75" hidden="1" customHeight="1" x14ac:dyDescent="0.2"/>
    <row r="60328" ht="12.75" hidden="1" customHeight="1" x14ac:dyDescent="0.2"/>
    <row r="60329" ht="12.75" hidden="1" customHeight="1" x14ac:dyDescent="0.2"/>
    <row r="60330" ht="12.75" hidden="1" customHeight="1" x14ac:dyDescent="0.2"/>
    <row r="60331" ht="12.75" hidden="1" customHeight="1" x14ac:dyDescent="0.2"/>
    <row r="60332" ht="12.75" hidden="1" customHeight="1" x14ac:dyDescent="0.2"/>
    <row r="60333" ht="12.75" hidden="1" customHeight="1" x14ac:dyDescent="0.2"/>
    <row r="60334" ht="12.75" hidden="1" customHeight="1" x14ac:dyDescent="0.2"/>
    <row r="60335" ht="12.75" hidden="1" customHeight="1" x14ac:dyDescent="0.2"/>
    <row r="60336" ht="12.75" hidden="1" customHeight="1" x14ac:dyDescent="0.2"/>
    <row r="60337" ht="12.75" hidden="1" customHeight="1" x14ac:dyDescent="0.2"/>
    <row r="60338" ht="12.75" hidden="1" customHeight="1" x14ac:dyDescent="0.2"/>
    <row r="60339" ht="12.75" hidden="1" customHeight="1" x14ac:dyDescent="0.2"/>
    <row r="60340" ht="12.75" hidden="1" customHeight="1" x14ac:dyDescent="0.2"/>
    <row r="60341" ht="12.75" hidden="1" customHeight="1" x14ac:dyDescent="0.2"/>
    <row r="60342" ht="12.75" hidden="1" customHeight="1" x14ac:dyDescent="0.2"/>
    <row r="60343" ht="12.75" hidden="1" customHeight="1" x14ac:dyDescent="0.2"/>
    <row r="60344" ht="12.75" hidden="1" customHeight="1" x14ac:dyDescent="0.2"/>
    <row r="60345" ht="12.75" hidden="1" customHeight="1" x14ac:dyDescent="0.2"/>
    <row r="60346" ht="12.75" hidden="1" customHeight="1" x14ac:dyDescent="0.2"/>
    <row r="60347" ht="12.75" hidden="1" customHeight="1" x14ac:dyDescent="0.2"/>
    <row r="60348" ht="12.75" hidden="1" customHeight="1" x14ac:dyDescent="0.2"/>
    <row r="60349" ht="12.75" hidden="1" customHeight="1" x14ac:dyDescent="0.2"/>
    <row r="60350" ht="12.75" hidden="1" customHeight="1" x14ac:dyDescent="0.2"/>
    <row r="60351" ht="12.75" hidden="1" customHeight="1" x14ac:dyDescent="0.2"/>
    <row r="60352" ht="12.75" hidden="1" customHeight="1" x14ac:dyDescent="0.2"/>
    <row r="60353" ht="12.75" hidden="1" customHeight="1" x14ac:dyDescent="0.2"/>
    <row r="60354" ht="12.75" hidden="1" customHeight="1" x14ac:dyDescent="0.2"/>
    <row r="60355" ht="12.75" hidden="1" customHeight="1" x14ac:dyDescent="0.2"/>
    <row r="60356" ht="12.75" hidden="1" customHeight="1" x14ac:dyDescent="0.2"/>
    <row r="60357" ht="12.75" hidden="1" customHeight="1" x14ac:dyDescent="0.2"/>
    <row r="60358" ht="12.75" hidden="1" customHeight="1" x14ac:dyDescent="0.2"/>
    <row r="60359" ht="12.75" hidden="1" customHeight="1" x14ac:dyDescent="0.2"/>
    <row r="60360" ht="12.75" hidden="1" customHeight="1" x14ac:dyDescent="0.2"/>
    <row r="60361" ht="12.75" hidden="1" customHeight="1" x14ac:dyDescent="0.2"/>
    <row r="60362" ht="12.75" hidden="1" customHeight="1" x14ac:dyDescent="0.2"/>
    <row r="60363" ht="12.75" hidden="1" customHeight="1" x14ac:dyDescent="0.2"/>
    <row r="60364" ht="12.75" hidden="1" customHeight="1" x14ac:dyDescent="0.2"/>
    <row r="60365" ht="12.75" hidden="1" customHeight="1" x14ac:dyDescent="0.2"/>
    <row r="60366" ht="12.75" hidden="1" customHeight="1" x14ac:dyDescent="0.2"/>
    <row r="60367" ht="12.75" hidden="1" customHeight="1" x14ac:dyDescent="0.2"/>
    <row r="60368" ht="12.75" hidden="1" customHeight="1" x14ac:dyDescent="0.2"/>
    <row r="60369" ht="12.75" hidden="1" customHeight="1" x14ac:dyDescent="0.2"/>
    <row r="60370" ht="12.75" hidden="1" customHeight="1" x14ac:dyDescent="0.2"/>
    <row r="60371" ht="12.75" hidden="1" customHeight="1" x14ac:dyDescent="0.2"/>
    <row r="60372" ht="12.75" hidden="1" customHeight="1" x14ac:dyDescent="0.2"/>
    <row r="60373" ht="12.75" hidden="1" customHeight="1" x14ac:dyDescent="0.2"/>
    <row r="60374" ht="12.75" hidden="1" customHeight="1" x14ac:dyDescent="0.2"/>
    <row r="60375" ht="12.75" hidden="1" customHeight="1" x14ac:dyDescent="0.2"/>
    <row r="60376" ht="12.75" hidden="1" customHeight="1" x14ac:dyDescent="0.2"/>
    <row r="60377" ht="12.75" hidden="1" customHeight="1" x14ac:dyDescent="0.2"/>
    <row r="60378" ht="12.75" hidden="1" customHeight="1" x14ac:dyDescent="0.2"/>
    <row r="60379" ht="12.75" hidden="1" customHeight="1" x14ac:dyDescent="0.2"/>
    <row r="60380" ht="12.75" hidden="1" customHeight="1" x14ac:dyDescent="0.2"/>
    <row r="60381" ht="12.75" hidden="1" customHeight="1" x14ac:dyDescent="0.2"/>
    <row r="60382" ht="12.75" hidden="1" customHeight="1" x14ac:dyDescent="0.2"/>
    <row r="60383" ht="12.75" hidden="1" customHeight="1" x14ac:dyDescent="0.2"/>
    <row r="60384" ht="12.75" hidden="1" customHeight="1" x14ac:dyDescent="0.2"/>
    <row r="60385" ht="12.75" hidden="1" customHeight="1" x14ac:dyDescent="0.2"/>
    <row r="60386" ht="12.75" hidden="1" customHeight="1" x14ac:dyDescent="0.2"/>
    <row r="60387" ht="12.75" hidden="1" customHeight="1" x14ac:dyDescent="0.2"/>
    <row r="60388" ht="12.75" hidden="1" customHeight="1" x14ac:dyDescent="0.2"/>
    <row r="60389" ht="12.75" hidden="1" customHeight="1" x14ac:dyDescent="0.2"/>
    <row r="60390" ht="12.75" hidden="1" customHeight="1" x14ac:dyDescent="0.2"/>
    <row r="60391" ht="12.75" hidden="1" customHeight="1" x14ac:dyDescent="0.2"/>
    <row r="60392" ht="12.75" hidden="1" customHeight="1" x14ac:dyDescent="0.2"/>
    <row r="60393" ht="12.75" hidden="1" customHeight="1" x14ac:dyDescent="0.2"/>
    <row r="60394" ht="12.75" hidden="1" customHeight="1" x14ac:dyDescent="0.2"/>
    <row r="60395" ht="12.75" hidden="1" customHeight="1" x14ac:dyDescent="0.2"/>
    <row r="60396" ht="12.75" hidden="1" customHeight="1" x14ac:dyDescent="0.2"/>
    <row r="60397" ht="12.75" hidden="1" customHeight="1" x14ac:dyDescent="0.2"/>
    <row r="60398" ht="12.75" hidden="1" customHeight="1" x14ac:dyDescent="0.2"/>
    <row r="60399" ht="12.75" hidden="1" customHeight="1" x14ac:dyDescent="0.2"/>
    <row r="60400" ht="12.75" hidden="1" customHeight="1" x14ac:dyDescent="0.2"/>
    <row r="60401" ht="12.75" hidden="1" customHeight="1" x14ac:dyDescent="0.2"/>
    <row r="60402" ht="12.75" hidden="1" customHeight="1" x14ac:dyDescent="0.2"/>
    <row r="60403" ht="12.75" hidden="1" customHeight="1" x14ac:dyDescent="0.2"/>
    <row r="60404" ht="12.75" hidden="1" customHeight="1" x14ac:dyDescent="0.2"/>
    <row r="60405" ht="12.75" hidden="1" customHeight="1" x14ac:dyDescent="0.2"/>
    <row r="60406" ht="12.75" hidden="1" customHeight="1" x14ac:dyDescent="0.2"/>
    <row r="60407" ht="12.75" hidden="1" customHeight="1" x14ac:dyDescent="0.2"/>
    <row r="60408" ht="12.75" hidden="1" customHeight="1" x14ac:dyDescent="0.2"/>
    <row r="60409" ht="12.75" hidden="1" customHeight="1" x14ac:dyDescent="0.2"/>
    <row r="60410" ht="12.75" hidden="1" customHeight="1" x14ac:dyDescent="0.2"/>
    <row r="60411" ht="12.75" hidden="1" customHeight="1" x14ac:dyDescent="0.2"/>
    <row r="60412" ht="12.75" hidden="1" customHeight="1" x14ac:dyDescent="0.2"/>
    <row r="60413" ht="12.75" hidden="1" customHeight="1" x14ac:dyDescent="0.2"/>
    <row r="60414" ht="12.75" hidden="1" customHeight="1" x14ac:dyDescent="0.2"/>
    <row r="60415" ht="12.75" hidden="1" customHeight="1" x14ac:dyDescent="0.2"/>
    <row r="60416" ht="12.75" hidden="1" customHeight="1" x14ac:dyDescent="0.2"/>
    <row r="60417" ht="12.75" hidden="1" customHeight="1" x14ac:dyDescent="0.2"/>
    <row r="60418" ht="12.75" hidden="1" customHeight="1" x14ac:dyDescent="0.2"/>
    <row r="60419" ht="12.75" hidden="1" customHeight="1" x14ac:dyDescent="0.2"/>
    <row r="60420" ht="12.75" hidden="1" customHeight="1" x14ac:dyDescent="0.2"/>
    <row r="60421" ht="12.75" hidden="1" customHeight="1" x14ac:dyDescent="0.2"/>
    <row r="60422" ht="12.75" hidden="1" customHeight="1" x14ac:dyDescent="0.2"/>
    <row r="60423" ht="12.75" hidden="1" customHeight="1" x14ac:dyDescent="0.2"/>
    <row r="60424" ht="12.75" hidden="1" customHeight="1" x14ac:dyDescent="0.2"/>
    <row r="60425" ht="12.75" hidden="1" customHeight="1" x14ac:dyDescent="0.2"/>
    <row r="60426" ht="12.75" hidden="1" customHeight="1" x14ac:dyDescent="0.2"/>
    <row r="60427" ht="12.75" hidden="1" customHeight="1" x14ac:dyDescent="0.2"/>
    <row r="60428" ht="12.75" hidden="1" customHeight="1" x14ac:dyDescent="0.2"/>
    <row r="60429" ht="12.75" hidden="1" customHeight="1" x14ac:dyDescent="0.2"/>
    <row r="60430" ht="12.75" hidden="1" customHeight="1" x14ac:dyDescent="0.2"/>
    <row r="60431" ht="12.75" hidden="1" customHeight="1" x14ac:dyDescent="0.2"/>
    <row r="60432" ht="12.75" hidden="1" customHeight="1" x14ac:dyDescent="0.2"/>
    <row r="60433" ht="12.75" hidden="1" customHeight="1" x14ac:dyDescent="0.2"/>
    <row r="60434" ht="12.75" hidden="1" customHeight="1" x14ac:dyDescent="0.2"/>
    <row r="60435" ht="12.75" hidden="1" customHeight="1" x14ac:dyDescent="0.2"/>
    <row r="60436" ht="12.75" hidden="1" customHeight="1" x14ac:dyDescent="0.2"/>
    <row r="60437" ht="12.75" hidden="1" customHeight="1" x14ac:dyDescent="0.2"/>
    <row r="60438" ht="12.75" hidden="1" customHeight="1" x14ac:dyDescent="0.2"/>
    <row r="60439" ht="12.75" hidden="1" customHeight="1" x14ac:dyDescent="0.2"/>
    <row r="60440" ht="12.75" hidden="1" customHeight="1" x14ac:dyDescent="0.2"/>
    <row r="60441" ht="12.75" hidden="1" customHeight="1" x14ac:dyDescent="0.2"/>
    <row r="60442" ht="12.75" hidden="1" customHeight="1" x14ac:dyDescent="0.2"/>
    <row r="60443" ht="12.75" hidden="1" customHeight="1" x14ac:dyDescent="0.2"/>
    <row r="60444" ht="12.75" hidden="1" customHeight="1" x14ac:dyDescent="0.2"/>
    <row r="60445" ht="12.75" hidden="1" customHeight="1" x14ac:dyDescent="0.2"/>
    <row r="60446" ht="12.75" hidden="1" customHeight="1" x14ac:dyDescent="0.2"/>
    <row r="60447" ht="12.75" hidden="1" customHeight="1" x14ac:dyDescent="0.2"/>
    <row r="60448" ht="12.75" hidden="1" customHeight="1" x14ac:dyDescent="0.2"/>
    <row r="60449" ht="12.75" hidden="1" customHeight="1" x14ac:dyDescent="0.2"/>
    <row r="60450" ht="12.75" hidden="1" customHeight="1" x14ac:dyDescent="0.2"/>
    <row r="60451" ht="12.75" hidden="1" customHeight="1" x14ac:dyDescent="0.2"/>
    <row r="60452" ht="12.75" hidden="1" customHeight="1" x14ac:dyDescent="0.2"/>
    <row r="60453" ht="12.75" hidden="1" customHeight="1" x14ac:dyDescent="0.2"/>
    <row r="60454" ht="12.75" hidden="1" customHeight="1" x14ac:dyDescent="0.2"/>
    <row r="60455" ht="12.75" hidden="1" customHeight="1" x14ac:dyDescent="0.2"/>
    <row r="60456" ht="12.75" hidden="1" customHeight="1" x14ac:dyDescent="0.2"/>
    <row r="60457" ht="12.75" hidden="1" customHeight="1" x14ac:dyDescent="0.2"/>
    <row r="60458" ht="12.75" hidden="1" customHeight="1" x14ac:dyDescent="0.2"/>
    <row r="60459" ht="12.75" hidden="1" customHeight="1" x14ac:dyDescent="0.2"/>
    <row r="60460" ht="12.75" hidden="1" customHeight="1" x14ac:dyDescent="0.2"/>
    <row r="60461" ht="12.75" hidden="1" customHeight="1" x14ac:dyDescent="0.2"/>
    <row r="60462" ht="12.75" hidden="1" customHeight="1" x14ac:dyDescent="0.2"/>
    <row r="60463" ht="12.75" hidden="1" customHeight="1" x14ac:dyDescent="0.2"/>
    <row r="60464" ht="12.75" hidden="1" customHeight="1" x14ac:dyDescent="0.2"/>
    <row r="60465" ht="12.75" hidden="1" customHeight="1" x14ac:dyDescent="0.2"/>
    <row r="60466" ht="12.75" hidden="1" customHeight="1" x14ac:dyDescent="0.2"/>
    <row r="60467" ht="12.75" hidden="1" customHeight="1" x14ac:dyDescent="0.2"/>
    <row r="60468" ht="12.75" hidden="1" customHeight="1" x14ac:dyDescent="0.2"/>
    <row r="60469" ht="12.75" hidden="1" customHeight="1" x14ac:dyDescent="0.2"/>
    <row r="60470" ht="12.75" hidden="1" customHeight="1" x14ac:dyDescent="0.2"/>
    <row r="60471" ht="12.75" hidden="1" customHeight="1" x14ac:dyDescent="0.2"/>
    <row r="60472" ht="12.75" hidden="1" customHeight="1" x14ac:dyDescent="0.2"/>
    <row r="60473" ht="12.75" hidden="1" customHeight="1" x14ac:dyDescent="0.2"/>
    <row r="60474" ht="12.75" hidden="1" customHeight="1" x14ac:dyDescent="0.2"/>
    <row r="60475" ht="12.75" hidden="1" customHeight="1" x14ac:dyDescent="0.2"/>
    <row r="60476" ht="12.75" hidden="1" customHeight="1" x14ac:dyDescent="0.2"/>
    <row r="60477" ht="12.75" hidden="1" customHeight="1" x14ac:dyDescent="0.2"/>
    <row r="60478" ht="12.75" hidden="1" customHeight="1" x14ac:dyDescent="0.2"/>
    <row r="60479" ht="12.75" hidden="1" customHeight="1" x14ac:dyDescent="0.2"/>
    <row r="60480" ht="12.75" hidden="1" customHeight="1" x14ac:dyDescent="0.2"/>
    <row r="60481" ht="12.75" hidden="1" customHeight="1" x14ac:dyDescent="0.2"/>
    <row r="60482" ht="12.75" hidden="1" customHeight="1" x14ac:dyDescent="0.2"/>
    <row r="60483" ht="12.75" hidden="1" customHeight="1" x14ac:dyDescent="0.2"/>
    <row r="60484" ht="12.75" hidden="1" customHeight="1" x14ac:dyDescent="0.2"/>
    <row r="60485" ht="12.75" hidden="1" customHeight="1" x14ac:dyDescent="0.2"/>
    <row r="60486" ht="12.75" hidden="1" customHeight="1" x14ac:dyDescent="0.2"/>
    <row r="60487" ht="12.75" hidden="1" customHeight="1" x14ac:dyDescent="0.2"/>
    <row r="60488" ht="12.75" hidden="1" customHeight="1" x14ac:dyDescent="0.2"/>
    <row r="60489" ht="12.75" hidden="1" customHeight="1" x14ac:dyDescent="0.2"/>
    <row r="60490" ht="12.75" hidden="1" customHeight="1" x14ac:dyDescent="0.2"/>
    <row r="60491" ht="12.75" hidden="1" customHeight="1" x14ac:dyDescent="0.2"/>
    <row r="60492" ht="12.75" hidden="1" customHeight="1" x14ac:dyDescent="0.2"/>
    <row r="60493" ht="12.75" hidden="1" customHeight="1" x14ac:dyDescent="0.2"/>
    <row r="60494" ht="12.75" hidden="1" customHeight="1" x14ac:dyDescent="0.2"/>
    <row r="60495" ht="12.75" hidden="1" customHeight="1" x14ac:dyDescent="0.2"/>
    <row r="60496" ht="12.75" hidden="1" customHeight="1" x14ac:dyDescent="0.2"/>
    <row r="60497" ht="12.75" hidden="1" customHeight="1" x14ac:dyDescent="0.2"/>
    <row r="60498" ht="12.75" hidden="1" customHeight="1" x14ac:dyDescent="0.2"/>
    <row r="60499" ht="12.75" hidden="1" customHeight="1" x14ac:dyDescent="0.2"/>
    <row r="60500" ht="12.75" hidden="1" customHeight="1" x14ac:dyDescent="0.2"/>
    <row r="60501" ht="12.75" hidden="1" customHeight="1" x14ac:dyDescent="0.2"/>
    <row r="60502" ht="12.75" hidden="1" customHeight="1" x14ac:dyDescent="0.2"/>
    <row r="60503" ht="12.75" hidden="1" customHeight="1" x14ac:dyDescent="0.2"/>
    <row r="60504" ht="12.75" hidden="1" customHeight="1" x14ac:dyDescent="0.2"/>
    <row r="60505" ht="12.75" hidden="1" customHeight="1" x14ac:dyDescent="0.2"/>
    <row r="60506" ht="12.75" hidden="1" customHeight="1" x14ac:dyDescent="0.2"/>
    <row r="60507" ht="12.75" hidden="1" customHeight="1" x14ac:dyDescent="0.2"/>
    <row r="60508" ht="12.75" hidden="1" customHeight="1" x14ac:dyDescent="0.2"/>
    <row r="60509" ht="12.75" hidden="1" customHeight="1" x14ac:dyDescent="0.2"/>
    <row r="60510" ht="12.75" hidden="1" customHeight="1" x14ac:dyDescent="0.2"/>
    <row r="60511" ht="12.75" hidden="1" customHeight="1" x14ac:dyDescent="0.2"/>
    <row r="60512" ht="12.75" hidden="1" customHeight="1" x14ac:dyDescent="0.2"/>
    <row r="60513" ht="12.75" hidden="1" customHeight="1" x14ac:dyDescent="0.2"/>
    <row r="60514" ht="12.75" hidden="1" customHeight="1" x14ac:dyDescent="0.2"/>
    <row r="60515" ht="12.75" hidden="1" customHeight="1" x14ac:dyDescent="0.2"/>
    <row r="60516" ht="12.75" hidden="1" customHeight="1" x14ac:dyDescent="0.2"/>
    <row r="60517" ht="12.75" hidden="1" customHeight="1" x14ac:dyDescent="0.2"/>
    <row r="60518" ht="12.75" hidden="1" customHeight="1" x14ac:dyDescent="0.2"/>
    <row r="60519" ht="12.75" hidden="1" customHeight="1" x14ac:dyDescent="0.2"/>
    <row r="60520" ht="12.75" hidden="1" customHeight="1" x14ac:dyDescent="0.2"/>
    <row r="60521" ht="12.75" hidden="1" customHeight="1" x14ac:dyDescent="0.2"/>
    <row r="60522" ht="12.75" hidden="1" customHeight="1" x14ac:dyDescent="0.2"/>
    <row r="60523" ht="12.75" hidden="1" customHeight="1" x14ac:dyDescent="0.2"/>
    <row r="60524" ht="12.75" hidden="1" customHeight="1" x14ac:dyDescent="0.2"/>
    <row r="60525" ht="12.75" hidden="1" customHeight="1" x14ac:dyDescent="0.2"/>
    <row r="60526" ht="12.75" hidden="1" customHeight="1" x14ac:dyDescent="0.2"/>
    <row r="60527" ht="12.75" hidden="1" customHeight="1" x14ac:dyDescent="0.2"/>
    <row r="60528" ht="12.75" hidden="1" customHeight="1" x14ac:dyDescent="0.2"/>
    <row r="60529" ht="12.75" hidden="1" customHeight="1" x14ac:dyDescent="0.2"/>
    <row r="60530" ht="12.75" hidden="1" customHeight="1" x14ac:dyDescent="0.2"/>
    <row r="60531" ht="12.75" hidden="1" customHeight="1" x14ac:dyDescent="0.2"/>
    <row r="60532" ht="12.75" hidden="1" customHeight="1" x14ac:dyDescent="0.2"/>
    <row r="60533" ht="12.75" hidden="1" customHeight="1" x14ac:dyDescent="0.2"/>
    <row r="60534" ht="12.75" hidden="1" customHeight="1" x14ac:dyDescent="0.2"/>
    <row r="60535" ht="12.75" hidden="1" customHeight="1" x14ac:dyDescent="0.2"/>
    <row r="60536" ht="12.75" hidden="1" customHeight="1" x14ac:dyDescent="0.2"/>
    <row r="60537" ht="12.75" hidden="1" customHeight="1" x14ac:dyDescent="0.2"/>
    <row r="60538" ht="12.75" hidden="1" customHeight="1" x14ac:dyDescent="0.2"/>
    <row r="60539" ht="12.75" hidden="1" customHeight="1" x14ac:dyDescent="0.2"/>
    <row r="60540" ht="12.75" hidden="1" customHeight="1" x14ac:dyDescent="0.2"/>
    <row r="60541" ht="12.75" hidden="1" customHeight="1" x14ac:dyDescent="0.2"/>
    <row r="60542" ht="12.75" hidden="1" customHeight="1" x14ac:dyDescent="0.2"/>
    <row r="60543" ht="12.75" hidden="1" customHeight="1" x14ac:dyDescent="0.2"/>
    <row r="60544" ht="12.75" hidden="1" customHeight="1" x14ac:dyDescent="0.2"/>
    <row r="60545" ht="12.75" hidden="1" customHeight="1" x14ac:dyDescent="0.2"/>
    <row r="60546" ht="12.75" hidden="1" customHeight="1" x14ac:dyDescent="0.2"/>
    <row r="60547" ht="12.75" hidden="1" customHeight="1" x14ac:dyDescent="0.2"/>
    <row r="60548" ht="12.75" hidden="1" customHeight="1" x14ac:dyDescent="0.2"/>
    <row r="60549" ht="12.75" hidden="1" customHeight="1" x14ac:dyDescent="0.2"/>
    <row r="60550" ht="12.75" hidden="1" customHeight="1" x14ac:dyDescent="0.2"/>
    <row r="60551" ht="12.75" hidden="1" customHeight="1" x14ac:dyDescent="0.2"/>
    <row r="60552" ht="12.75" hidden="1" customHeight="1" x14ac:dyDescent="0.2"/>
    <row r="60553" ht="12.75" hidden="1" customHeight="1" x14ac:dyDescent="0.2"/>
    <row r="60554" ht="12.75" hidden="1" customHeight="1" x14ac:dyDescent="0.2"/>
    <row r="60555" ht="12.75" hidden="1" customHeight="1" x14ac:dyDescent="0.2"/>
    <row r="60556" ht="12.75" hidden="1" customHeight="1" x14ac:dyDescent="0.2"/>
    <row r="60557" ht="12.75" hidden="1" customHeight="1" x14ac:dyDescent="0.2"/>
    <row r="60558" ht="12.75" hidden="1" customHeight="1" x14ac:dyDescent="0.2"/>
    <row r="60559" ht="12.75" hidden="1" customHeight="1" x14ac:dyDescent="0.2"/>
    <row r="60560" ht="12.75" hidden="1" customHeight="1" x14ac:dyDescent="0.2"/>
    <row r="60561" ht="12.75" hidden="1" customHeight="1" x14ac:dyDescent="0.2"/>
    <row r="60562" ht="12.75" hidden="1" customHeight="1" x14ac:dyDescent="0.2"/>
    <row r="60563" ht="12.75" hidden="1" customHeight="1" x14ac:dyDescent="0.2"/>
    <row r="60564" ht="12.75" hidden="1" customHeight="1" x14ac:dyDescent="0.2"/>
    <row r="60565" ht="12.75" hidden="1" customHeight="1" x14ac:dyDescent="0.2"/>
    <row r="60566" ht="12.75" hidden="1" customHeight="1" x14ac:dyDescent="0.2"/>
    <row r="60567" ht="12.75" hidden="1" customHeight="1" x14ac:dyDescent="0.2"/>
    <row r="60568" ht="12.75" hidden="1" customHeight="1" x14ac:dyDescent="0.2"/>
    <row r="60569" ht="12.75" hidden="1" customHeight="1" x14ac:dyDescent="0.2"/>
    <row r="60570" ht="12.75" hidden="1" customHeight="1" x14ac:dyDescent="0.2"/>
    <row r="60571" ht="12.75" hidden="1" customHeight="1" x14ac:dyDescent="0.2"/>
    <row r="60572" ht="12.75" hidden="1" customHeight="1" x14ac:dyDescent="0.2"/>
    <row r="60573" ht="12.75" hidden="1" customHeight="1" x14ac:dyDescent="0.2"/>
    <row r="60574" ht="12.75" hidden="1" customHeight="1" x14ac:dyDescent="0.2"/>
    <row r="60575" ht="12.75" hidden="1" customHeight="1" x14ac:dyDescent="0.2"/>
    <row r="60576" ht="12.75" hidden="1" customHeight="1" x14ac:dyDescent="0.2"/>
    <row r="60577" ht="12.75" hidden="1" customHeight="1" x14ac:dyDescent="0.2"/>
    <row r="60578" ht="12.75" hidden="1" customHeight="1" x14ac:dyDescent="0.2"/>
    <row r="60579" ht="12.75" hidden="1" customHeight="1" x14ac:dyDescent="0.2"/>
    <row r="60580" ht="12.75" hidden="1" customHeight="1" x14ac:dyDescent="0.2"/>
    <row r="60581" ht="12.75" hidden="1" customHeight="1" x14ac:dyDescent="0.2"/>
    <row r="60582" ht="12.75" hidden="1" customHeight="1" x14ac:dyDescent="0.2"/>
    <row r="60583" ht="12.75" hidden="1" customHeight="1" x14ac:dyDescent="0.2"/>
    <row r="60584" ht="12.75" hidden="1" customHeight="1" x14ac:dyDescent="0.2"/>
    <row r="60585" ht="12.75" hidden="1" customHeight="1" x14ac:dyDescent="0.2"/>
    <row r="60586" ht="12.75" hidden="1" customHeight="1" x14ac:dyDescent="0.2"/>
    <row r="60587" ht="12.75" hidden="1" customHeight="1" x14ac:dyDescent="0.2"/>
    <row r="60588" ht="12.75" hidden="1" customHeight="1" x14ac:dyDescent="0.2"/>
    <row r="60589" ht="12.75" hidden="1" customHeight="1" x14ac:dyDescent="0.2"/>
    <row r="60590" ht="12.75" hidden="1" customHeight="1" x14ac:dyDescent="0.2"/>
    <row r="60591" ht="12.75" hidden="1" customHeight="1" x14ac:dyDescent="0.2"/>
    <row r="60592" ht="12.75" hidden="1" customHeight="1" x14ac:dyDescent="0.2"/>
    <row r="60593" ht="12.75" hidden="1" customHeight="1" x14ac:dyDescent="0.2"/>
    <row r="60594" ht="12.75" hidden="1" customHeight="1" x14ac:dyDescent="0.2"/>
    <row r="60595" ht="12.75" hidden="1" customHeight="1" x14ac:dyDescent="0.2"/>
    <row r="60596" ht="12.75" hidden="1" customHeight="1" x14ac:dyDescent="0.2"/>
    <row r="60597" ht="12.75" hidden="1" customHeight="1" x14ac:dyDescent="0.2"/>
    <row r="60598" ht="12.75" hidden="1" customHeight="1" x14ac:dyDescent="0.2"/>
    <row r="60599" ht="12.75" hidden="1" customHeight="1" x14ac:dyDescent="0.2"/>
    <row r="60600" ht="12.75" hidden="1" customHeight="1" x14ac:dyDescent="0.2"/>
    <row r="60601" ht="12.75" hidden="1" customHeight="1" x14ac:dyDescent="0.2"/>
    <row r="60602" ht="12.75" hidden="1" customHeight="1" x14ac:dyDescent="0.2"/>
    <row r="60603" ht="12.75" hidden="1" customHeight="1" x14ac:dyDescent="0.2"/>
    <row r="60604" ht="12.75" hidden="1" customHeight="1" x14ac:dyDescent="0.2"/>
    <row r="60605" ht="12.75" hidden="1" customHeight="1" x14ac:dyDescent="0.2"/>
    <row r="60606" ht="12.75" hidden="1" customHeight="1" x14ac:dyDescent="0.2"/>
    <row r="60607" ht="12.75" hidden="1" customHeight="1" x14ac:dyDescent="0.2"/>
    <row r="60608" ht="12.75" hidden="1" customHeight="1" x14ac:dyDescent="0.2"/>
    <row r="60609" ht="12.75" hidden="1" customHeight="1" x14ac:dyDescent="0.2"/>
    <row r="60610" ht="12.75" hidden="1" customHeight="1" x14ac:dyDescent="0.2"/>
    <row r="60611" ht="12.75" hidden="1" customHeight="1" x14ac:dyDescent="0.2"/>
    <row r="60612" ht="12.75" hidden="1" customHeight="1" x14ac:dyDescent="0.2"/>
    <row r="60613" ht="12.75" hidden="1" customHeight="1" x14ac:dyDescent="0.2"/>
    <row r="60614" ht="12.75" hidden="1" customHeight="1" x14ac:dyDescent="0.2"/>
    <row r="60615" ht="12.75" hidden="1" customHeight="1" x14ac:dyDescent="0.2"/>
    <row r="60616" ht="12.75" hidden="1" customHeight="1" x14ac:dyDescent="0.2"/>
    <row r="60617" ht="12.75" hidden="1" customHeight="1" x14ac:dyDescent="0.2"/>
    <row r="60618" ht="12.75" hidden="1" customHeight="1" x14ac:dyDescent="0.2"/>
    <row r="60619" ht="12.75" hidden="1" customHeight="1" x14ac:dyDescent="0.2"/>
    <row r="60620" ht="12.75" hidden="1" customHeight="1" x14ac:dyDescent="0.2"/>
    <row r="60621" ht="12.75" hidden="1" customHeight="1" x14ac:dyDescent="0.2"/>
    <row r="60622" ht="12.75" hidden="1" customHeight="1" x14ac:dyDescent="0.2"/>
    <row r="60623" ht="12.75" hidden="1" customHeight="1" x14ac:dyDescent="0.2"/>
    <row r="60624" ht="12.75" hidden="1" customHeight="1" x14ac:dyDescent="0.2"/>
    <row r="60625" ht="12.75" hidden="1" customHeight="1" x14ac:dyDescent="0.2"/>
    <row r="60626" ht="12.75" hidden="1" customHeight="1" x14ac:dyDescent="0.2"/>
    <row r="60627" ht="12.75" hidden="1" customHeight="1" x14ac:dyDescent="0.2"/>
    <row r="60628" ht="12.75" hidden="1" customHeight="1" x14ac:dyDescent="0.2"/>
    <row r="60629" ht="12.75" hidden="1" customHeight="1" x14ac:dyDescent="0.2"/>
    <row r="60630" ht="12.75" hidden="1" customHeight="1" x14ac:dyDescent="0.2"/>
    <row r="60631" ht="12.75" hidden="1" customHeight="1" x14ac:dyDescent="0.2"/>
    <row r="60632" ht="12.75" hidden="1" customHeight="1" x14ac:dyDescent="0.2"/>
    <row r="60633" ht="12.75" hidden="1" customHeight="1" x14ac:dyDescent="0.2"/>
    <row r="60634" ht="12.75" hidden="1" customHeight="1" x14ac:dyDescent="0.2"/>
    <row r="60635" ht="12.75" hidden="1" customHeight="1" x14ac:dyDescent="0.2"/>
    <row r="60636" ht="12.75" hidden="1" customHeight="1" x14ac:dyDescent="0.2"/>
    <row r="60637" ht="12.75" hidden="1" customHeight="1" x14ac:dyDescent="0.2"/>
    <row r="60638" ht="12.75" hidden="1" customHeight="1" x14ac:dyDescent="0.2"/>
    <row r="60639" ht="12.75" hidden="1" customHeight="1" x14ac:dyDescent="0.2"/>
    <row r="60640" ht="12.75" hidden="1" customHeight="1" x14ac:dyDescent="0.2"/>
    <row r="60641" ht="12.75" hidden="1" customHeight="1" x14ac:dyDescent="0.2"/>
    <row r="60642" ht="12.75" hidden="1" customHeight="1" x14ac:dyDescent="0.2"/>
    <row r="60643" ht="12.75" hidden="1" customHeight="1" x14ac:dyDescent="0.2"/>
    <row r="60644" ht="12.75" hidden="1" customHeight="1" x14ac:dyDescent="0.2"/>
    <row r="60645" ht="12.75" hidden="1" customHeight="1" x14ac:dyDescent="0.2"/>
    <row r="60646" ht="12.75" hidden="1" customHeight="1" x14ac:dyDescent="0.2"/>
    <row r="60647" ht="12.75" hidden="1" customHeight="1" x14ac:dyDescent="0.2"/>
    <row r="60648" ht="12.75" hidden="1" customHeight="1" x14ac:dyDescent="0.2"/>
    <row r="60649" ht="12.75" hidden="1" customHeight="1" x14ac:dyDescent="0.2"/>
    <row r="60650" ht="12.75" hidden="1" customHeight="1" x14ac:dyDescent="0.2"/>
    <row r="60651" ht="12.75" hidden="1" customHeight="1" x14ac:dyDescent="0.2"/>
    <row r="60652" ht="12.75" hidden="1" customHeight="1" x14ac:dyDescent="0.2"/>
    <row r="60653" ht="12.75" hidden="1" customHeight="1" x14ac:dyDescent="0.2"/>
    <row r="60654" ht="12.75" hidden="1" customHeight="1" x14ac:dyDescent="0.2"/>
    <row r="60655" ht="12.75" hidden="1" customHeight="1" x14ac:dyDescent="0.2"/>
    <row r="60656" ht="12.75" hidden="1" customHeight="1" x14ac:dyDescent="0.2"/>
    <row r="60657" ht="12.75" hidden="1" customHeight="1" x14ac:dyDescent="0.2"/>
    <row r="60658" ht="12.75" hidden="1" customHeight="1" x14ac:dyDescent="0.2"/>
    <row r="60659" ht="12.75" hidden="1" customHeight="1" x14ac:dyDescent="0.2"/>
    <row r="60660" ht="12.75" hidden="1" customHeight="1" x14ac:dyDescent="0.2"/>
    <row r="60661" ht="12.75" hidden="1" customHeight="1" x14ac:dyDescent="0.2"/>
    <row r="60662" ht="12.75" hidden="1" customHeight="1" x14ac:dyDescent="0.2"/>
    <row r="60663" ht="12.75" hidden="1" customHeight="1" x14ac:dyDescent="0.2"/>
    <row r="60664" ht="12.75" hidden="1" customHeight="1" x14ac:dyDescent="0.2"/>
    <row r="60665" ht="12.75" hidden="1" customHeight="1" x14ac:dyDescent="0.2"/>
    <row r="60666" ht="12.75" hidden="1" customHeight="1" x14ac:dyDescent="0.2"/>
    <row r="60667" ht="12.75" hidden="1" customHeight="1" x14ac:dyDescent="0.2"/>
    <row r="60668" ht="12.75" hidden="1" customHeight="1" x14ac:dyDescent="0.2"/>
    <row r="60669" ht="12.75" hidden="1" customHeight="1" x14ac:dyDescent="0.2"/>
    <row r="60670" ht="12.75" hidden="1" customHeight="1" x14ac:dyDescent="0.2"/>
    <row r="60671" ht="12.75" hidden="1" customHeight="1" x14ac:dyDescent="0.2"/>
    <row r="60672" ht="12.75" hidden="1" customHeight="1" x14ac:dyDescent="0.2"/>
    <row r="60673" ht="12.75" hidden="1" customHeight="1" x14ac:dyDescent="0.2"/>
    <row r="60674" ht="12.75" hidden="1" customHeight="1" x14ac:dyDescent="0.2"/>
    <row r="60675" ht="12.75" hidden="1" customHeight="1" x14ac:dyDescent="0.2"/>
    <row r="60676" ht="12.75" hidden="1" customHeight="1" x14ac:dyDescent="0.2"/>
    <row r="60677" ht="12.75" hidden="1" customHeight="1" x14ac:dyDescent="0.2"/>
    <row r="60678" ht="12.75" hidden="1" customHeight="1" x14ac:dyDescent="0.2"/>
    <row r="60679" ht="12.75" hidden="1" customHeight="1" x14ac:dyDescent="0.2"/>
    <row r="60680" ht="12.75" hidden="1" customHeight="1" x14ac:dyDescent="0.2"/>
    <row r="60681" ht="12.75" hidden="1" customHeight="1" x14ac:dyDescent="0.2"/>
    <row r="60682" ht="12.75" hidden="1" customHeight="1" x14ac:dyDescent="0.2"/>
    <row r="60683" ht="12.75" hidden="1" customHeight="1" x14ac:dyDescent="0.2"/>
    <row r="60684" ht="12.75" hidden="1" customHeight="1" x14ac:dyDescent="0.2"/>
    <row r="60685" ht="12.75" hidden="1" customHeight="1" x14ac:dyDescent="0.2"/>
    <row r="60686" ht="12.75" hidden="1" customHeight="1" x14ac:dyDescent="0.2"/>
    <row r="60687" ht="12.75" hidden="1" customHeight="1" x14ac:dyDescent="0.2"/>
    <row r="60688" ht="12.75" hidden="1" customHeight="1" x14ac:dyDescent="0.2"/>
    <row r="60689" ht="12.75" hidden="1" customHeight="1" x14ac:dyDescent="0.2"/>
    <row r="60690" ht="12.75" hidden="1" customHeight="1" x14ac:dyDescent="0.2"/>
    <row r="60691" ht="12.75" hidden="1" customHeight="1" x14ac:dyDescent="0.2"/>
    <row r="60692" ht="12.75" hidden="1" customHeight="1" x14ac:dyDescent="0.2"/>
    <row r="60693" ht="12.75" hidden="1" customHeight="1" x14ac:dyDescent="0.2"/>
    <row r="60694" ht="12.75" hidden="1" customHeight="1" x14ac:dyDescent="0.2"/>
    <row r="60695" ht="12.75" hidden="1" customHeight="1" x14ac:dyDescent="0.2"/>
    <row r="60696" ht="12.75" hidden="1" customHeight="1" x14ac:dyDescent="0.2"/>
    <row r="60697" ht="12.75" hidden="1" customHeight="1" x14ac:dyDescent="0.2"/>
    <row r="60698" ht="12.75" hidden="1" customHeight="1" x14ac:dyDescent="0.2"/>
    <row r="60699" ht="12.75" hidden="1" customHeight="1" x14ac:dyDescent="0.2"/>
    <row r="60700" ht="12.75" hidden="1" customHeight="1" x14ac:dyDescent="0.2"/>
    <row r="60701" ht="12.75" hidden="1" customHeight="1" x14ac:dyDescent="0.2"/>
    <row r="60702" ht="12.75" hidden="1" customHeight="1" x14ac:dyDescent="0.2"/>
    <row r="60703" ht="12.75" hidden="1" customHeight="1" x14ac:dyDescent="0.2"/>
    <row r="60704" ht="12.75" hidden="1" customHeight="1" x14ac:dyDescent="0.2"/>
    <row r="60705" ht="12.75" hidden="1" customHeight="1" x14ac:dyDescent="0.2"/>
    <row r="60706" ht="12.75" hidden="1" customHeight="1" x14ac:dyDescent="0.2"/>
    <row r="60707" ht="12.75" hidden="1" customHeight="1" x14ac:dyDescent="0.2"/>
    <row r="60708" ht="12.75" hidden="1" customHeight="1" x14ac:dyDescent="0.2"/>
    <row r="60709" ht="12.75" hidden="1" customHeight="1" x14ac:dyDescent="0.2"/>
    <row r="60710" ht="12.75" hidden="1" customHeight="1" x14ac:dyDescent="0.2"/>
    <row r="60711" ht="12.75" hidden="1" customHeight="1" x14ac:dyDescent="0.2"/>
    <row r="60712" ht="12.75" hidden="1" customHeight="1" x14ac:dyDescent="0.2"/>
    <row r="60713" ht="12.75" hidden="1" customHeight="1" x14ac:dyDescent="0.2"/>
    <row r="60714" ht="12.75" hidden="1" customHeight="1" x14ac:dyDescent="0.2"/>
    <row r="60715" ht="12.75" hidden="1" customHeight="1" x14ac:dyDescent="0.2"/>
    <row r="60716" ht="12.75" hidden="1" customHeight="1" x14ac:dyDescent="0.2"/>
    <row r="60717" ht="12.75" hidden="1" customHeight="1" x14ac:dyDescent="0.2"/>
    <row r="60718" ht="12.75" hidden="1" customHeight="1" x14ac:dyDescent="0.2"/>
    <row r="60719" ht="12.75" hidden="1" customHeight="1" x14ac:dyDescent="0.2"/>
    <row r="60720" ht="12.75" hidden="1" customHeight="1" x14ac:dyDescent="0.2"/>
    <row r="60721" ht="12.75" hidden="1" customHeight="1" x14ac:dyDescent="0.2"/>
    <row r="60722" ht="12.75" hidden="1" customHeight="1" x14ac:dyDescent="0.2"/>
    <row r="60723" ht="12.75" hidden="1" customHeight="1" x14ac:dyDescent="0.2"/>
    <row r="60724" ht="12.75" hidden="1" customHeight="1" x14ac:dyDescent="0.2"/>
    <row r="60725" ht="12.75" hidden="1" customHeight="1" x14ac:dyDescent="0.2"/>
    <row r="60726" ht="12.75" hidden="1" customHeight="1" x14ac:dyDescent="0.2"/>
    <row r="60727" ht="12.75" hidden="1" customHeight="1" x14ac:dyDescent="0.2"/>
    <row r="60728" ht="12.75" hidden="1" customHeight="1" x14ac:dyDescent="0.2"/>
    <row r="60729" ht="12.75" hidden="1" customHeight="1" x14ac:dyDescent="0.2"/>
    <row r="60730" ht="12.75" hidden="1" customHeight="1" x14ac:dyDescent="0.2"/>
    <row r="60731" ht="12.75" hidden="1" customHeight="1" x14ac:dyDescent="0.2"/>
    <row r="60732" ht="12.75" hidden="1" customHeight="1" x14ac:dyDescent="0.2"/>
    <row r="60733" ht="12.75" hidden="1" customHeight="1" x14ac:dyDescent="0.2"/>
    <row r="60734" ht="12.75" hidden="1" customHeight="1" x14ac:dyDescent="0.2"/>
    <row r="60735" ht="12.75" hidden="1" customHeight="1" x14ac:dyDescent="0.2"/>
    <row r="60736" ht="12.75" hidden="1" customHeight="1" x14ac:dyDescent="0.2"/>
    <row r="60737" ht="12.75" hidden="1" customHeight="1" x14ac:dyDescent="0.2"/>
    <row r="60738" ht="12.75" hidden="1" customHeight="1" x14ac:dyDescent="0.2"/>
    <row r="60739" ht="12.75" hidden="1" customHeight="1" x14ac:dyDescent="0.2"/>
    <row r="60740" ht="12.75" hidden="1" customHeight="1" x14ac:dyDescent="0.2"/>
    <row r="60741" ht="12.75" hidden="1" customHeight="1" x14ac:dyDescent="0.2"/>
    <row r="60742" ht="12.75" hidden="1" customHeight="1" x14ac:dyDescent="0.2"/>
    <row r="60743" ht="12.75" hidden="1" customHeight="1" x14ac:dyDescent="0.2"/>
    <row r="60744" ht="12.75" hidden="1" customHeight="1" x14ac:dyDescent="0.2"/>
    <row r="60745" ht="12.75" hidden="1" customHeight="1" x14ac:dyDescent="0.2"/>
    <row r="60746" ht="12.75" hidden="1" customHeight="1" x14ac:dyDescent="0.2"/>
    <row r="60747" ht="12.75" hidden="1" customHeight="1" x14ac:dyDescent="0.2"/>
    <row r="60748" ht="12.75" hidden="1" customHeight="1" x14ac:dyDescent="0.2"/>
    <row r="60749" ht="12.75" hidden="1" customHeight="1" x14ac:dyDescent="0.2"/>
    <row r="60750" ht="12.75" hidden="1" customHeight="1" x14ac:dyDescent="0.2"/>
    <row r="60751" ht="12.75" hidden="1" customHeight="1" x14ac:dyDescent="0.2"/>
    <row r="60752" ht="12.75" hidden="1" customHeight="1" x14ac:dyDescent="0.2"/>
    <row r="60753" ht="12.75" hidden="1" customHeight="1" x14ac:dyDescent="0.2"/>
    <row r="60754" ht="12.75" hidden="1" customHeight="1" x14ac:dyDescent="0.2"/>
    <row r="60755" ht="12.75" hidden="1" customHeight="1" x14ac:dyDescent="0.2"/>
    <row r="60756" ht="12.75" hidden="1" customHeight="1" x14ac:dyDescent="0.2"/>
    <row r="60757" ht="12.75" hidden="1" customHeight="1" x14ac:dyDescent="0.2"/>
    <row r="60758" ht="12.75" hidden="1" customHeight="1" x14ac:dyDescent="0.2"/>
    <row r="60759" ht="12.75" hidden="1" customHeight="1" x14ac:dyDescent="0.2"/>
    <row r="60760" ht="12.75" hidden="1" customHeight="1" x14ac:dyDescent="0.2"/>
    <row r="60761" ht="12.75" hidden="1" customHeight="1" x14ac:dyDescent="0.2"/>
    <row r="60762" ht="12.75" hidden="1" customHeight="1" x14ac:dyDescent="0.2"/>
    <row r="60763" ht="12.75" hidden="1" customHeight="1" x14ac:dyDescent="0.2"/>
    <row r="60764" ht="12.75" hidden="1" customHeight="1" x14ac:dyDescent="0.2"/>
    <row r="60765" ht="12.75" hidden="1" customHeight="1" x14ac:dyDescent="0.2"/>
    <row r="60766" ht="12.75" hidden="1" customHeight="1" x14ac:dyDescent="0.2"/>
    <row r="60767" ht="12.75" hidden="1" customHeight="1" x14ac:dyDescent="0.2"/>
    <row r="60768" ht="12.75" hidden="1" customHeight="1" x14ac:dyDescent="0.2"/>
    <row r="60769" ht="12.75" hidden="1" customHeight="1" x14ac:dyDescent="0.2"/>
    <row r="60770" ht="12.75" hidden="1" customHeight="1" x14ac:dyDescent="0.2"/>
    <row r="60771" ht="12.75" hidden="1" customHeight="1" x14ac:dyDescent="0.2"/>
    <row r="60772" ht="12.75" hidden="1" customHeight="1" x14ac:dyDescent="0.2"/>
    <row r="60773" ht="12.75" hidden="1" customHeight="1" x14ac:dyDescent="0.2"/>
    <row r="60774" ht="12.75" hidden="1" customHeight="1" x14ac:dyDescent="0.2"/>
    <row r="60775" ht="12.75" hidden="1" customHeight="1" x14ac:dyDescent="0.2"/>
    <row r="60776" ht="12.75" hidden="1" customHeight="1" x14ac:dyDescent="0.2"/>
    <row r="60777" ht="12.75" hidden="1" customHeight="1" x14ac:dyDescent="0.2"/>
    <row r="60778" ht="12.75" hidden="1" customHeight="1" x14ac:dyDescent="0.2"/>
    <row r="60779" ht="12.75" hidden="1" customHeight="1" x14ac:dyDescent="0.2"/>
    <row r="60780" ht="12.75" hidden="1" customHeight="1" x14ac:dyDescent="0.2"/>
    <row r="60781" ht="12.75" hidden="1" customHeight="1" x14ac:dyDescent="0.2"/>
    <row r="60782" ht="12.75" hidden="1" customHeight="1" x14ac:dyDescent="0.2"/>
    <row r="60783" ht="12.75" hidden="1" customHeight="1" x14ac:dyDescent="0.2"/>
    <row r="60784" ht="12.75" hidden="1" customHeight="1" x14ac:dyDescent="0.2"/>
    <row r="60785" ht="12.75" hidden="1" customHeight="1" x14ac:dyDescent="0.2"/>
    <row r="60786" ht="12.75" hidden="1" customHeight="1" x14ac:dyDescent="0.2"/>
    <row r="60787" ht="12.75" hidden="1" customHeight="1" x14ac:dyDescent="0.2"/>
    <row r="60788" ht="12.75" hidden="1" customHeight="1" x14ac:dyDescent="0.2"/>
    <row r="60789" ht="12.75" hidden="1" customHeight="1" x14ac:dyDescent="0.2"/>
    <row r="60790" ht="12.75" hidden="1" customHeight="1" x14ac:dyDescent="0.2"/>
    <row r="60791" ht="12.75" hidden="1" customHeight="1" x14ac:dyDescent="0.2"/>
    <row r="60792" ht="12.75" hidden="1" customHeight="1" x14ac:dyDescent="0.2"/>
    <row r="60793" ht="12.75" hidden="1" customHeight="1" x14ac:dyDescent="0.2"/>
    <row r="60794" ht="12.75" hidden="1" customHeight="1" x14ac:dyDescent="0.2"/>
    <row r="60795" ht="12.75" hidden="1" customHeight="1" x14ac:dyDescent="0.2"/>
    <row r="60796" ht="12.75" hidden="1" customHeight="1" x14ac:dyDescent="0.2"/>
    <row r="60797" ht="12.75" hidden="1" customHeight="1" x14ac:dyDescent="0.2"/>
    <row r="60798" ht="12.75" hidden="1" customHeight="1" x14ac:dyDescent="0.2"/>
    <row r="60799" ht="12.75" hidden="1" customHeight="1" x14ac:dyDescent="0.2"/>
    <row r="60800" ht="12.75" hidden="1" customHeight="1" x14ac:dyDescent="0.2"/>
    <row r="60801" ht="12.75" hidden="1" customHeight="1" x14ac:dyDescent="0.2"/>
    <row r="60802" ht="12.75" hidden="1" customHeight="1" x14ac:dyDescent="0.2"/>
    <row r="60803" ht="12.75" hidden="1" customHeight="1" x14ac:dyDescent="0.2"/>
    <row r="60804" ht="12.75" hidden="1" customHeight="1" x14ac:dyDescent="0.2"/>
    <row r="60805" ht="12.75" hidden="1" customHeight="1" x14ac:dyDescent="0.2"/>
    <row r="60806" ht="12.75" hidden="1" customHeight="1" x14ac:dyDescent="0.2"/>
    <row r="60807" ht="12.75" hidden="1" customHeight="1" x14ac:dyDescent="0.2"/>
    <row r="60808" ht="12.75" hidden="1" customHeight="1" x14ac:dyDescent="0.2"/>
    <row r="60809" ht="12.75" hidden="1" customHeight="1" x14ac:dyDescent="0.2"/>
    <row r="60810" ht="12.75" hidden="1" customHeight="1" x14ac:dyDescent="0.2"/>
    <row r="60811" ht="12.75" hidden="1" customHeight="1" x14ac:dyDescent="0.2"/>
    <row r="60812" ht="12.75" hidden="1" customHeight="1" x14ac:dyDescent="0.2"/>
    <row r="60813" ht="12.75" hidden="1" customHeight="1" x14ac:dyDescent="0.2"/>
    <row r="60814" ht="12.75" hidden="1" customHeight="1" x14ac:dyDescent="0.2"/>
    <row r="60815" ht="12.75" hidden="1" customHeight="1" x14ac:dyDescent="0.2"/>
    <row r="60816" ht="12.75" hidden="1" customHeight="1" x14ac:dyDescent="0.2"/>
    <row r="60817" ht="12.75" hidden="1" customHeight="1" x14ac:dyDescent="0.2"/>
    <row r="60818" ht="12.75" hidden="1" customHeight="1" x14ac:dyDescent="0.2"/>
    <row r="60819" ht="12.75" hidden="1" customHeight="1" x14ac:dyDescent="0.2"/>
    <row r="60820" ht="12.75" hidden="1" customHeight="1" x14ac:dyDescent="0.2"/>
    <row r="60821" ht="12.75" hidden="1" customHeight="1" x14ac:dyDescent="0.2"/>
    <row r="60822" ht="12.75" hidden="1" customHeight="1" x14ac:dyDescent="0.2"/>
    <row r="60823" ht="12.75" hidden="1" customHeight="1" x14ac:dyDescent="0.2"/>
    <row r="60824" ht="12.75" hidden="1" customHeight="1" x14ac:dyDescent="0.2"/>
    <row r="60825" ht="12.75" hidden="1" customHeight="1" x14ac:dyDescent="0.2"/>
    <row r="60826" ht="12.75" hidden="1" customHeight="1" x14ac:dyDescent="0.2"/>
    <row r="60827" ht="12.75" hidden="1" customHeight="1" x14ac:dyDescent="0.2"/>
    <row r="60828" ht="12.75" hidden="1" customHeight="1" x14ac:dyDescent="0.2"/>
    <row r="60829" ht="12.75" hidden="1" customHeight="1" x14ac:dyDescent="0.2"/>
    <row r="60830" ht="12.75" hidden="1" customHeight="1" x14ac:dyDescent="0.2"/>
    <row r="60831" ht="12.75" hidden="1" customHeight="1" x14ac:dyDescent="0.2"/>
    <row r="60832" ht="12.75" hidden="1" customHeight="1" x14ac:dyDescent="0.2"/>
    <row r="60833" ht="12.75" hidden="1" customHeight="1" x14ac:dyDescent="0.2"/>
    <row r="60834" ht="12.75" hidden="1" customHeight="1" x14ac:dyDescent="0.2"/>
    <row r="60835" ht="12.75" hidden="1" customHeight="1" x14ac:dyDescent="0.2"/>
    <row r="60836" ht="12.75" hidden="1" customHeight="1" x14ac:dyDescent="0.2"/>
    <row r="60837" ht="12.75" hidden="1" customHeight="1" x14ac:dyDescent="0.2"/>
    <row r="60838" ht="12.75" hidden="1" customHeight="1" x14ac:dyDescent="0.2"/>
    <row r="60839" ht="12.75" hidden="1" customHeight="1" x14ac:dyDescent="0.2"/>
    <row r="60840" ht="12.75" hidden="1" customHeight="1" x14ac:dyDescent="0.2"/>
    <row r="60841" ht="12.75" hidden="1" customHeight="1" x14ac:dyDescent="0.2"/>
    <row r="60842" ht="12.75" hidden="1" customHeight="1" x14ac:dyDescent="0.2"/>
    <row r="60843" ht="12.75" hidden="1" customHeight="1" x14ac:dyDescent="0.2"/>
    <row r="60844" ht="12.75" hidden="1" customHeight="1" x14ac:dyDescent="0.2"/>
    <row r="60845" ht="12.75" hidden="1" customHeight="1" x14ac:dyDescent="0.2"/>
    <row r="60846" ht="12.75" hidden="1" customHeight="1" x14ac:dyDescent="0.2"/>
    <row r="60847" ht="12.75" hidden="1" customHeight="1" x14ac:dyDescent="0.2"/>
    <row r="60848" ht="12.75" hidden="1" customHeight="1" x14ac:dyDescent="0.2"/>
    <row r="60849" ht="12.75" hidden="1" customHeight="1" x14ac:dyDescent="0.2"/>
    <row r="60850" ht="12.75" hidden="1" customHeight="1" x14ac:dyDescent="0.2"/>
    <row r="60851" ht="12.75" hidden="1" customHeight="1" x14ac:dyDescent="0.2"/>
    <row r="60852" ht="12.75" hidden="1" customHeight="1" x14ac:dyDescent="0.2"/>
    <row r="60853" ht="12.75" hidden="1" customHeight="1" x14ac:dyDescent="0.2"/>
    <row r="60854" ht="12.75" hidden="1" customHeight="1" x14ac:dyDescent="0.2"/>
    <row r="60855" ht="12.75" hidden="1" customHeight="1" x14ac:dyDescent="0.2"/>
    <row r="60856" ht="12.75" hidden="1" customHeight="1" x14ac:dyDescent="0.2"/>
    <row r="60857" ht="12.75" hidden="1" customHeight="1" x14ac:dyDescent="0.2"/>
    <row r="60858" ht="12.75" hidden="1" customHeight="1" x14ac:dyDescent="0.2"/>
    <row r="60859" ht="12.75" hidden="1" customHeight="1" x14ac:dyDescent="0.2"/>
    <row r="60860" ht="12.75" hidden="1" customHeight="1" x14ac:dyDescent="0.2"/>
    <row r="60861" ht="12.75" hidden="1" customHeight="1" x14ac:dyDescent="0.2"/>
    <row r="60862" ht="12.75" hidden="1" customHeight="1" x14ac:dyDescent="0.2"/>
    <row r="60863" ht="12.75" hidden="1" customHeight="1" x14ac:dyDescent="0.2"/>
    <row r="60864" ht="12.75" hidden="1" customHeight="1" x14ac:dyDescent="0.2"/>
    <row r="60865" ht="12.75" hidden="1" customHeight="1" x14ac:dyDescent="0.2"/>
    <row r="60866" ht="12.75" hidden="1" customHeight="1" x14ac:dyDescent="0.2"/>
    <row r="60867" ht="12.75" hidden="1" customHeight="1" x14ac:dyDescent="0.2"/>
    <row r="60868" ht="12.75" hidden="1" customHeight="1" x14ac:dyDescent="0.2"/>
    <row r="60869" ht="12.75" hidden="1" customHeight="1" x14ac:dyDescent="0.2"/>
    <row r="60870" ht="12.75" hidden="1" customHeight="1" x14ac:dyDescent="0.2"/>
    <row r="60871" ht="12.75" hidden="1" customHeight="1" x14ac:dyDescent="0.2"/>
    <row r="60872" ht="12.75" hidden="1" customHeight="1" x14ac:dyDescent="0.2"/>
    <row r="60873" ht="12.75" hidden="1" customHeight="1" x14ac:dyDescent="0.2"/>
    <row r="60874" ht="12.75" hidden="1" customHeight="1" x14ac:dyDescent="0.2"/>
    <row r="60875" ht="12.75" hidden="1" customHeight="1" x14ac:dyDescent="0.2"/>
    <row r="60876" ht="12.75" hidden="1" customHeight="1" x14ac:dyDescent="0.2"/>
    <row r="60877" ht="12.75" hidden="1" customHeight="1" x14ac:dyDescent="0.2"/>
    <row r="60878" ht="12.75" hidden="1" customHeight="1" x14ac:dyDescent="0.2"/>
    <row r="60879" ht="12.75" hidden="1" customHeight="1" x14ac:dyDescent="0.2"/>
    <row r="60880" ht="12.75" hidden="1" customHeight="1" x14ac:dyDescent="0.2"/>
    <row r="60881" ht="12.75" hidden="1" customHeight="1" x14ac:dyDescent="0.2"/>
    <row r="60882" ht="12.75" hidden="1" customHeight="1" x14ac:dyDescent="0.2"/>
    <row r="60883" ht="12.75" hidden="1" customHeight="1" x14ac:dyDescent="0.2"/>
    <row r="60884" ht="12.75" hidden="1" customHeight="1" x14ac:dyDescent="0.2"/>
    <row r="60885" ht="12.75" hidden="1" customHeight="1" x14ac:dyDescent="0.2"/>
    <row r="60886" ht="12.75" hidden="1" customHeight="1" x14ac:dyDescent="0.2"/>
    <row r="60887" ht="12.75" hidden="1" customHeight="1" x14ac:dyDescent="0.2"/>
    <row r="60888" ht="12.75" hidden="1" customHeight="1" x14ac:dyDescent="0.2"/>
    <row r="60889" ht="12.75" hidden="1" customHeight="1" x14ac:dyDescent="0.2"/>
    <row r="60890" ht="12.75" hidden="1" customHeight="1" x14ac:dyDescent="0.2"/>
    <row r="60891" ht="12.75" hidden="1" customHeight="1" x14ac:dyDescent="0.2"/>
    <row r="60892" ht="12.75" hidden="1" customHeight="1" x14ac:dyDescent="0.2"/>
    <row r="60893" ht="12.75" hidden="1" customHeight="1" x14ac:dyDescent="0.2"/>
    <row r="60894" ht="12.75" hidden="1" customHeight="1" x14ac:dyDescent="0.2"/>
    <row r="60895" ht="12.75" hidden="1" customHeight="1" x14ac:dyDescent="0.2"/>
    <row r="60896" ht="12.75" hidden="1" customHeight="1" x14ac:dyDescent="0.2"/>
    <row r="60897" ht="12.75" hidden="1" customHeight="1" x14ac:dyDescent="0.2"/>
    <row r="60898" ht="12.75" hidden="1" customHeight="1" x14ac:dyDescent="0.2"/>
    <row r="60899" ht="12.75" hidden="1" customHeight="1" x14ac:dyDescent="0.2"/>
    <row r="60900" ht="12.75" hidden="1" customHeight="1" x14ac:dyDescent="0.2"/>
    <row r="60901" ht="12.75" hidden="1" customHeight="1" x14ac:dyDescent="0.2"/>
    <row r="60902" ht="12.75" hidden="1" customHeight="1" x14ac:dyDescent="0.2"/>
    <row r="60903" ht="12.75" hidden="1" customHeight="1" x14ac:dyDescent="0.2"/>
    <row r="60904" ht="12.75" hidden="1" customHeight="1" x14ac:dyDescent="0.2"/>
    <row r="60905" ht="12.75" hidden="1" customHeight="1" x14ac:dyDescent="0.2"/>
    <row r="60906" ht="12.75" hidden="1" customHeight="1" x14ac:dyDescent="0.2"/>
    <row r="60907" ht="12.75" hidden="1" customHeight="1" x14ac:dyDescent="0.2"/>
    <row r="60908" ht="12.75" hidden="1" customHeight="1" x14ac:dyDescent="0.2"/>
    <row r="60909" ht="12.75" hidden="1" customHeight="1" x14ac:dyDescent="0.2"/>
    <row r="60910" ht="12.75" hidden="1" customHeight="1" x14ac:dyDescent="0.2"/>
    <row r="60911" ht="12.75" hidden="1" customHeight="1" x14ac:dyDescent="0.2"/>
    <row r="60912" ht="12.75" hidden="1" customHeight="1" x14ac:dyDescent="0.2"/>
    <row r="60913" ht="12.75" hidden="1" customHeight="1" x14ac:dyDescent="0.2"/>
    <row r="60914" ht="12.75" hidden="1" customHeight="1" x14ac:dyDescent="0.2"/>
    <row r="60915" ht="12.75" hidden="1" customHeight="1" x14ac:dyDescent="0.2"/>
    <row r="60916" ht="12.75" hidden="1" customHeight="1" x14ac:dyDescent="0.2"/>
    <row r="60917" ht="12.75" hidden="1" customHeight="1" x14ac:dyDescent="0.2"/>
    <row r="60918" ht="12.75" hidden="1" customHeight="1" x14ac:dyDescent="0.2"/>
    <row r="60919" ht="12.75" hidden="1" customHeight="1" x14ac:dyDescent="0.2"/>
    <row r="60920" ht="12.75" hidden="1" customHeight="1" x14ac:dyDescent="0.2"/>
    <row r="60921" ht="12.75" hidden="1" customHeight="1" x14ac:dyDescent="0.2"/>
    <row r="60922" ht="12.75" hidden="1" customHeight="1" x14ac:dyDescent="0.2"/>
    <row r="60923" ht="12.75" hidden="1" customHeight="1" x14ac:dyDescent="0.2"/>
    <row r="60924" ht="12.75" hidden="1" customHeight="1" x14ac:dyDescent="0.2"/>
    <row r="60925" ht="12.75" hidden="1" customHeight="1" x14ac:dyDescent="0.2"/>
    <row r="60926" ht="12.75" hidden="1" customHeight="1" x14ac:dyDescent="0.2"/>
    <row r="60927" ht="12.75" hidden="1" customHeight="1" x14ac:dyDescent="0.2"/>
    <row r="60928" ht="12.75" hidden="1" customHeight="1" x14ac:dyDescent="0.2"/>
    <row r="60929" ht="12.75" hidden="1" customHeight="1" x14ac:dyDescent="0.2"/>
    <row r="60930" ht="12.75" hidden="1" customHeight="1" x14ac:dyDescent="0.2"/>
    <row r="60931" ht="12.75" hidden="1" customHeight="1" x14ac:dyDescent="0.2"/>
    <row r="60932" ht="12.75" hidden="1" customHeight="1" x14ac:dyDescent="0.2"/>
    <row r="60933" ht="12.75" hidden="1" customHeight="1" x14ac:dyDescent="0.2"/>
    <row r="60934" ht="12.75" hidden="1" customHeight="1" x14ac:dyDescent="0.2"/>
    <row r="60935" ht="12.75" hidden="1" customHeight="1" x14ac:dyDescent="0.2"/>
    <row r="60936" ht="12.75" hidden="1" customHeight="1" x14ac:dyDescent="0.2"/>
    <row r="60937" ht="12.75" hidden="1" customHeight="1" x14ac:dyDescent="0.2"/>
    <row r="60938" ht="12.75" hidden="1" customHeight="1" x14ac:dyDescent="0.2"/>
    <row r="60939" ht="12.75" hidden="1" customHeight="1" x14ac:dyDescent="0.2"/>
    <row r="60940" ht="12.75" hidden="1" customHeight="1" x14ac:dyDescent="0.2"/>
    <row r="60941" ht="12.75" hidden="1" customHeight="1" x14ac:dyDescent="0.2"/>
    <row r="60942" ht="12.75" hidden="1" customHeight="1" x14ac:dyDescent="0.2"/>
    <row r="60943" ht="12.75" hidden="1" customHeight="1" x14ac:dyDescent="0.2"/>
    <row r="60944" ht="12.75" hidden="1" customHeight="1" x14ac:dyDescent="0.2"/>
    <row r="60945" ht="12.75" hidden="1" customHeight="1" x14ac:dyDescent="0.2"/>
    <row r="60946" ht="12.75" hidden="1" customHeight="1" x14ac:dyDescent="0.2"/>
    <row r="60947" ht="12.75" hidden="1" customHeight="1" x14ac:dyDescent="0.2"/>
    <row r="60948" ht="12.75" hidden="1" customHeight="1" x14ac:dyDescent="0.2"/>
    <row r="60949" ht="12.75" hidden="1" customHeight="1" x14ac:dyDescent="0.2"/>
    <row r="60950" ht="12.75" hidden="1" customHeight="1" x14ac:dyDescent="0.2"/>
    <row r="60951" ht="12.75" hidden="1" customHeight="1" x14ac:dyDescent="0.2"/>
    <row r="60952" ht="12.75" hidden="1" customHeight="1" x14ac:dyDescent="0.2"/>
    <row r="60953" ht="12.75" hidden="1" customHeight="1" x14ac:dyDescent="0.2"/>
    <row r="60954" ht="12.75" hidden="1" customHeight="1" x14ac:dyDescent="0.2"/>
    <row r="60955" ht="12.75" hidden="1" customHeight="1" x14ac:dyDescent="0.2"/>
    <row r="60956" ht="12.75" hidden="1" customHeight="1" x14ac:dyDescent="0.2"/>
    <row r="60957" ht="12.75" hidden="1" customHeight="1" x14ac:dyDescent="0.2"/>
    <row r="60958" ht="12.75" hidden="1" customHeight="1" x14ac:dyDescent="0.2"/>
    <row r="60959" ht="12.75" hidden="1" customHeight="1" x14ac:dyDescent="0.2"/>
    <row r="60960" ht="12.75" hidden="1" customHeight="1" x14ac:dyDescent="0.2"/>
    <row r="60961" ht="12.75" hidden="1" customHeight="1" x14ac:dyDescent="0.2"/>
    <row r="60962" ht="12.75" hidden="1" customHeight="1" x14ac:dyDescent="0.2"/>
    <row r="60963" ht="12.75" hidden="1" customHeight="1" x14ac:dyDescent="0.2"/>
    <row r="60964" ht="12.75" hidden="1" customHeight="1" x14ac:dyDescent="0.2"/>
    <row r="60965" ht="12.75" hidden="1" customHeight="1" x14ac:dyDescent="0.2"/>
    <row r="60966" ht="12.75" hidden="1" customHeight="1" x14ac:dyDescent="0.2"/>
    <row r="60967" ht="12.75" hidden="1" customHeight="1" x14ac:dyDescent="0.2"/>
    <row r="60968" ht="12.75" hidden="1" customHeight="1" x14ac:dyDescent="0.2"/>
    <row r="60969" ht="12.75" hidden="1" customHeight="1" x14ac:dyDescent="0.2"/>
    <row r="60970" ht="12.75" hidden="1" customHeight="1" x14ac:dyDescent="0.2"/>
    <row r="60971" ht="12.75" hidden="1" customHeight="1" x14ac:dyDescent="0.2"/>
    <row r="60972" ht="12.75" hidden="1" customHeight="1" x14ac:dyDescent="0.2"/>
    <row r="60973" ht="12.75" hidden="1" customHeight="1" x14ac:dyDescent="0.2"/>
    <row r="60974" ht="12.75" hidden="1" customHeight="1" x14ac:dyDescent="0.2"/>
    <row r="60975" ht="12.75" hidden="1" customHeight="1" x14ac:dyDescent="0.2"/>
    <row r="60976" ht="12.75" hidden="1" customHeight="1" x14ac:dyDescent="0.2"/>
    <row r="60977" ht="12.75" hidden="1" customHeight="1" x14ac:dyDescent="0.2"/>
    <row r="60978" ht="12.75" hidden="1" customHeight="1" x14ac:dyDescent="0.2"/>
    <row r="60979" ht="12.75" hidden="1" customHeight="1" x14ac:dyDescent="0.2"/>
    <row r="60980" ht="12.75" hidden="1" customHeight="1" x14ac:dyDescent="0.2"/>
    <row r="60981" ht="12.75" hidden="1" customHeight="1" x14ac:dyDescent="0.2"/>
    <row r="60982" ht="12.75" hidden="1" customHeight="1" x14ac:dyDescent="0.2"/>
    <row r="60983" ht="12.75" hidden="1" customHeight="1" x14ac:dyDescent="0.2"/>
    <row r="60984" ht="12.75" hidden="1" customHeight="1" x14ac:dyDescent="0.2"/>
    <row r="60985" ht="12.75" hidden="1" customHeight="1" x14ac:dyDescent="0.2"/>
    <row r="60986" ht="12.75" hidden="1" customHeight="1" x14ac:dyDescent="0.2"/>
    <row r="60987" ht="12.75" hidden="1" customHeight="1" x14ac:dyDescent="0.2"/>
    <row r="60988" ht="12.75" hidden="1" customHeight="1" x14ac:dyDescent="0.2"/>
    <row r="60989" ht="12.75" hidden="1" customHeight="1" x14ac:dyDescent="0.2"/>
    <row r="60990" ht="12.75" hidden="1" customHeight="1" x14ac:dyDescent="0.2"/>
    <row r="60991" ht="12.75" hidden="1" customHeight="1" x14ac:dyDescent="0.2"/>
    <row r="60992" ht="12.75" hidden="1" customHeight="1" x14ac:dyDescent="0.2"/>
    <row r="60993" ht="12.75" hidden="1" customHeight="1" x14ac:dyDescent="0.2"/>
    <row r="60994" ht="12.75" hidden="1" customHeight="1" x14ac:dyDescent="0.2"/>
    <row r="60995" ht="12.75" hidden="1" customHeight="1" x14ac:dyDescent="0.2"/>
    <row r="60996" ht="12.75" hidden="1" customHeight="1" x14ac:dyDescent="0.2"/>
    <row r="60997" ht="12.75" hidden="1" customHeight="1" x14ac:dyDescent="0.2"/>
    <row r="60998" ht="12.75" hidden="1" customHeight="1" x14ac:dyDescent="0.2"/>
    <row r="60999" ht="12.75" hidden="1" customHeight="1" x14ac:dyDescent="0.2"/>
    <row r="61000" ht="12.75" hidden="1" customHeight="1" x14ac:dyDescent="0.2"/>
    <row r="61001" ht="12.75" hidden="1" customHeight="1" x14ac:dyDescent="0.2"/>
    <row r="61002" ht="12.75" hidden="1" customHeight="1" x14ac:dyDescent="0.2"/>
    <row r="61003" ht="12.75" hidden="1" customHeight="1" x14ac:dyDescent="0.2"/>
    <row r="61004" ht="12.75" hidden="1" customHeight="1" x14ac:dyDescent="0.2"/>
    <row r="61005" ht="12.75" hidden="1" customHeight="1" x14ac:dyDescent="0.2"/>
    <row r="61006" ht="12.75" hidden="1" customHeight="1" x14ac:dyDescent="0.2"/>
    <row r="61007" ht="12.75" hidden="1" customHeight="1" x14ac:dyDescent="0.2"/>
    <row r="61008" ht="12.75" hidden="1" customHeight="1" x14ac:dyDescent="0.2"/>
    <row r="61009" ht="12.75" hidden="1" customHeight="1" x14ac:dyDescent="0.2"/>
    <row r="61010" ht="12.75" hidden="1" customHeight="1" x14ac:dyDescent="0.2"/>
    <row r="61011" ht="12.75" hidden="1" customHeight="1" x14ac:dyDescent="0.2"/>
    <row r="61012" ht="12.75" hidden="1" customHeight="1" x14ac:dyDescent="0.2"/>
    <row r="61013" ht="12.75" hidden="1" customHeight="1" x14ac:dyDescent="0.2"/>
    <row r="61014" ht="12.75" hidden="1" customHeight="1" x14ac:dyDescent="0.2"/>
    <row r="61015" ht="12.75" hidden="1" customHeight="1" x14ac:dyDescent="0.2"/>
    <row r="61016" ht="12.75" hidden="1" customHeight="1" x14ac:dyDescent="0.2"/>
    <row r="61017" ht="12.75" hidden="1" customHeight="1" x14ac:dyDescent="0.2"/>
    <row r="61018" ht="12.75" hidden="1" customHeight="1" x14ac:dyDescent="0.2"/>
    <row r="61019" ht="12.75" hidden="1" customHeight="1" x14ac:dyDescent="0.2"/>
    <row r="61020" ht="12.75" hidden="1" customHeight="1" x14ac:dyDescent="0.2"/>
    <row r="61021" ht="12.75" hidden="1" customHeight="1" x14ac:dyDescent="0.2"/>
    <row r="61022" ht="12.75" hidden="1" customHeight="1" x14ac:dyDescent="0.2"/>
    <row r="61023" ht="12.75" hidden="1" customHeight="1" x14ac:dyDescent="0.2"/>
    <row r="61024" ht="12.75" hidden="1" customHeight="1" x14ac:dyDescent="0.2"/>
    <row r="61025" ht="12.75" hidden="1" customHeight="1" x14ac:dyDescent="0.2"/>
    <row r="61026" ht="12.75" hidden="1" customHeight="1" x14ac:dyDescent="0.2"/>
    <row r="61027" ht="12.75" hidden="1" customHeight="1" x14ac:dyDescent="0.2"/>
    <row r="61028" ht="12.75" hidden="1" customHeight="1" x14ac:dyDescent="0.2"/>
    <row r="61029" ht="12.75" hidden="1" customHeight="1" x14ac:dyDescent="0.2"/>
    <row r="61030" ht="12.75" hidden="1" customHeight="1" x14ac:dyDescent="0.2"/>
    <row r="61031" ht="12.75" hidden="1" customHeight="1" x14ac:dyDescent="0.2"/>
    <row r="61032" ht="12.75" hidden="1" customHeight="1" x14ac:dyDescent="0.2"/>
    <row r="61033" ht="12.75" hidden="1" customHeight="1" x14ac:dyDescent="0.2"/>
    <row r="61034" ht="12.75" hidden="1" customHeight="1" x14ac:dyDescent="0.2"/>
    <row r="61035" ht="12.75" hidden="1" customHeight="1" x14ac:dyDescent="0.2"/>
    <row r="61036" ht="12.75" hidden="1" customHeight="1" x14ac:dyDescent="0.2"/>
    <row r="61037" ht="12.75" hidden="1" customHeight="1" x14ac:dyDescent="0.2"/>
    <row r="61038" ht="12.75" hidden="1" customHeight="1" x14ac:dyDescent="0.2"/>
    <row r="61039" ht="12.75" hidden="1" customHeight="1" x14ac:dyDescent="0.2"/>
    <row r="61040" ht="12.75" hidden="1" customHeight="1" x14ac:dyDescent="0.2"/>
    <row r="61041" ht="12.75" hidden="1" customHeight="1" x14ac:dyDescent="0.2"/>
    <row r="61042" ht="12.75" hidden="1" customHeight="1" x14ac:dyDescent="0.2"/>
    <row r="61043" ht="12.75" hidden="1" customHeight="1" x14ac:dyDescent="0.2"/>
    <row r="61044" ht="12.75" hidden="1" customHeight="1" x14ac:dyDescent="0.2"/>
    <row r="61045" ht="12.75" hidden="1" customHeight="1" x14ac:dyDescent="0.2"/>
    <row r="61046" ht="12.75" hidden="1" customHeight="1" x14ac:dyDescent="0.2"/>
    <row r="61047" ht="12.75" hidden="1" customHeight="1" x14ac:dyDescent="0.2"/>
    <row r="61048" ht="12.75" hidden="1" customHeight="1" x14ac:dyDescent="0.2"/>
    <row r="61049" ht="12.75" hidden="1" customHeight="1" x14ac:dyDescent="0.2"/>
    <row r="61050" ht="12.75" hidden="1" customHeight="1" x14ac:dyDescent="0.2"/>
    <row r="61051" ht="12.75" hidden="1" customHeight="1" x14ac:dyDescent="0.2"/>
    <row r="61052" ht="12.75" hidden="1" customHeight="1" x14ac:dyDescent="0.2"/>
    <row r="61053" ht="12.75" hidden="1" customHeight="1" x14ac:dyDescent="0.2"/>
    <row r="61054" ht="12.75" hidden="1" customHeight="1" x14ac:dyDescent="0.2"/>
    <row r="61055" ht="12.75" hidden="1" customHeight="1" x14ac:dyDescent="0.2"/>
    <row r="61056" ht="12.75" hidden="1" customHeight="1" x14ac:dyDescent="0.2"/>
    <row r="61057" ht="12.75" hidden="1" customHeight="1" x14ac:dyDescent="0.2"/>
    <row r="61058" ht="12.75" hidden="1" customHeight="1" x14ac:dyDescent="0.2"/>
    <row r="61059" ht="12.75" hidden="1" customHeight="1" x14ac:dyDescent="0.2"/>
    <row r="61060" ht="12.75" hidden="1" customHeight="1" x14ac:dyDescent="0.2"/>
    <row r="61061" ht="12.75" hidden="1" customHeight="1" x14ac:dyDescent="0.2"/>
    <row r="61062" ht="12.75" hidden="1" customHeight="1" x14ac:dyDescent="0.2"/>
    <row r="61063" ht="12.75" hidden="1" customHeight="1" x14ac:dyDescent="0.2"/>
    <row r="61064" ht="12.75" hidden="1" customHeight="1" x14ac:dyDescent="0.2"/>
    <row r="61065" ht="12.75" hidden="1" customHeight="1" x14ac:dyDescent="0.2"/>
    <row r="61066" ht="12.75" hidden="1" customHeight="1" x14ac:dyDescent="0.2"/>
    <row r="61067" ht="12.75" hidden="1" customHeight="1" x14ac:dyDescent="0.2"/>
    <row r="61068" ht="12.75" hidden="1" customHeight="1" x14ac:dyDescent="0.2"/>
    <row r="61069" ht="12.75" hidden="1" customHeight="1" x14ac:dyDescent="0.2"/>
    <row r="61070" ht="12.75" hidden="1" customHeight="1" x14ac:dyDescent="0.2"/>
    <row r="61071" ht="12.75" hidden="1" customHeight="1" x14ac:dyDescent="0.2"/>
    <row r="61072" ht="12.75" hidden="1" customHeight="1" x14ac:dyDescent="0.2"/>
    <row r="61073" ht="12.75" hidden="1" customHeight="1" x14ac:dyDescent="0.2"/>
    <row r="61074" ht="12.75" hidden="1" customHeight="1" x14ac:dyDescent="0.2"/>
    <row r="61075" ht="12.75" hidden="1" customHeight="1" x14ac:dyDescent="0.2"/>
    <row r="61076" ht="12.75" hidden="1" customHeight="1" x14ac:dyDescent="0.2"/>
    <row r="61077" ht="12.75" hidden="1" customHeight="1" x14ac:dyDescent="0.2"/>
    <row r="61078" ht="12.75" hidden="1" customHeight="1" x14ac:dyDescent="0.2"/>
    <row r="61079" ht="12.75" hidden="1" customHeight="1" x14ac:dyDescent="0.2"/>
    <row r="61080" ht="12.75" hidden="1" customHeight="1" x14ac:dyDescent="0.2"/>
    <row r="61081" ht="12.75" hidden="1" customHeight="1" x14ac:dyDescent="0.2"/>
    <row r="61082" ht="12.75" hidden="1" customHeight="1" x14ac:dyDescent="0.2"/>
    <row r="61083" ht="12.75" hidden="1" customHeight="1" x14ac:dyDescent="0.2"/>
    <row r="61084" ht="12.75" hidden="1" customHeight="1" x14ac:dyDescent="0.2"/>
    <row r="61085" ht="12.75" hidden="1" customHeight="1" x14ac:dyDescent="0.2"/>
    <row r="61086" ht="12.75" hidden="1" customHeight="1" x14ac:dyDescent="0.2"/>
    <row r="61087" ht="12.75" hidden="1" customHeight="1" x14ac:dyDescent="0.2"/>
    <row r="61088" ht="12.75" hidden="1" customHeight="1" x14ac:dyDescent="0.2"/>
    <row r="61089" ht="12.75" hidden="1" customHeight="1" x14ac:dyDescent="0.2"/>
    <row r="61090" ht="12.75" hidden="1" customHeight="1" x14ac:dyDescent="0.2"/>
    <row r="61091" ht="12.75" hidden="1" customHeight="1" x14ac:dyDescent="0.2"/>
    <row r="61092" ht="12.75" hidden="1" customHeight="1" x14ac:dyDescent="0.2"/>
    <row r="61093" ht="12.75" hidden="1" customHeight="1" x14ac:dyDescent="0.2"/>
    <row r="61094" ht="12.75" hidden="1" customHeight="1" x14ac:dyDescent="0.2"/>
    <row r="61095" ht="12.75" hidden="1" customHeight="1" x14ac:dyDescent="0.2"/>
    <row r="61096" ht="12.75" hidden="1" customHeight="1" x14ac:dyDescent="0.2"/>
    <row r="61097" ht="12.75" hidden="1" customHeight="1" x14ac:dyDescent="0.2"/>
    <row r="61098" ht="12.75" hidden="1" customHeight="1" x14ac:dyDescent="0.2"/>
    <row r="61099" ht="12.75" hidden="1" customHeight="1" x14ac:dyDescent="0.2"/>
    <row r="61100" ht="12.75" hidden="1" customHeight="1" x14ac:dyDescent="0.2"/>
    <row r="61101" ht="12.75" hidden="1" customHeight="1" x14ac:dyDescent="0.2"/>
    <row r="61102" ht="12.75" hidden="1" customHeight="1" x14ac:dyDescent="0.2"/>
    <row r="61103" ht="12.75" hidden="1" customHeight="1" x14ac:dyDescent="0.2"/>
    <row r="61104" ht="12.75" hidden="1" customHeight="1" x14ac:dyDescent="0.2"/>
    <row r="61105" ht="12.75" hidden="1" customHeight="1" x14ac:dyDescent="0.2"/>
    <row r="61106" ht="12.75" hidden="1" customHeight="1" x14ac:dyDescent="0.2"/>
    <row r="61107" ht="12.75" hidden="1" customHeight="1" x14ac:dyDescent="0.2"/>
    <row r="61108" ht="12.75" hidden="1" customHeight="1" x14ac:dyDescent="0.2"/>
    <row r="61109" ht="12.75" hidden="1" customHeight="1" x14ac:dyDescent="0.2"/>
    <row r="61110" ht="12.75" hidden="1" customHeight="1" x14ac:dyDescent="0.2"/>
    <row r="61111" ht="12.75" hidden="1" customHeight="1" x14ac:dyDescent="0.2"/>
    <row r="61112" ht="12.75" hidden="1" customHeight="1" x14ac:dyDescent="0.2"/>
    <row r="61113" ht="12.75" hidden="1" customHeight="1" x14ac:dyDescent="0.2"/>
    <row r="61114" ht="12.75" hidden="1" customHeight="1" x14ac:dyDescent="0.2"/>
    <row r="61115" ht="12.75" hidden="1" customHeight="1" x14ac:dyDescent="0.2"/>
    <row r="61116" ht="12.75" hidden="1" customHeight="1" x14ac:dyDescent="0.2"/>
    <row r="61117" ht="12.75" hidden="1" customHeight="1" x14ac:dyDescent="0.2"/>
    <row r="61118" ht="12.75" hidden="1" customHeight="1" x14ac:dyDescent="0.2"/>
    <row r="61119" ht="12.75" hidden="1" customHeight="1" x14ac:dyDescent="0.2"/>
    <row r="61120" ht="12.75" hidden="1" customHeight="1" x14ac:dyDescent="0.2"/>
    <row r="61121" ht="12.75" hidden="1" customHeight="1" x14ac:dyDescent="0.2"/>
    <row r="61122" ht="12.75" hidden="1" customHeight="1" x14ac:dyDescent="0.2"/>
    <row r="61123" ht="12.75" hidden="1" customHeight="1" x14ac:dyDescent="0.2"/>
    <row r="61124" ht="12.75" hidden="1" customHeight="1" x14ac:dyDescent="0.2"/>
    <row r="61125" ht="12.75" hidden="1" customHeight="1" x14ac:dyDescent="0.2"/>
    <row r="61126" ht="12.75" hidden="1" customHeight="1" x14ac:dyDescent="0.2"/>
    <row r="61127" ht="12.75" hidden="1" customHeight="1" x14ac:dyDescent="0.2"/>
    <row r="61128" ht="12.75" hidden="1" customHeight="1" x14ac:dyDescent="0.2"/>
    <row r="61129" ht="12.75" hidden="1" customHeight="1" x14ac:dyDescent="0.2"/>
    <row r="61130" ht="12.75" hidden="1" customHeight="1" x14ac:dyDescent="0.2"/>
    <row r="61131" ht="12.75" hidden="1" customHeight="1" x14ac:dyDescent="0.2"/>
    <row r="61132" ht="12.75" hidden="1" customHeight="1" x14ac:dyDescent="0.2"/>
    <row r="61133" ht="12.75" hidden="1" customHeight="1" x14ac:dyDescent="0.2"/>
    <row r="61134" ht="12.75" hidden="1" customHeight="1" x14ac:dyDescent="0.2"/>
    <row r="61135" ht="12.75" hidden="1" customHeight="1" x14ac:dyDescent="0.2"/>
    <row r="61136" ht="12.75" hidden="1" customHeight="1" x14ac:dyDescent="0.2"/>
    <row r="61137" ht="12.75" hidden="1" customHeight="1" x14ac:dyDescent="0.2"/>
    <row r="61138" ht="12.75" hidden="1" customHeight="1" x14ac:dyDescent="0.2"/>
    <row r="61139" ht="12.75" hidden="1" customHeight="1" x14ac:dyDescent="0.2"/>
    <row r="61140" ht="12.75" hidden="1" customHeight="1" x14ac:dyDescent="0.2"/>
    <row r="61141" ht="12.75" hidden="1" customHeight="1" x14ac:dyDescent="0.2"/>
    <row r="61142" ht="12.75" hidden="1" customHeight="1" x14ac:dyDescent="0.2"/>
    <row r="61143" ht="12.75" hidden="1" customHeight="1" x14ac:dyDescent="0.2"/>
    <row r="61144" ht="12.75" hidden="1" customHeight="1" x14ac:dyDescent="0.2"/>
    <row r="61145" ht="12.75" hidden="1" customHeight="1" x14ac:dyDescent="0.2"/>
    <row r="61146" ht="12.75" hidden="1" customHeight="1" x14ac:dyDescent="0.2"/>
    <row r="61147" ht="12.75" hidden="1" customHeight="1" x14ac:dyDescent="0.2"/>
    <row r="61148" ht="12.75" hidden="1" customHeight="1" x14ac:dyDescent="0.2"/>
    <row r="61149" ht="12.75" hidden="1" customHeight="1" x14ac:dyDescent="0.2"/>
    <row r="61150" ht="12.75" hidden="1" customHeight="1" x14ac:dyDescent="0.2"/>
    <row r="61151" ht="12.75" hidden="1" customHeight="1" x14ac:dyDescent="0.2"/>
    <row r="61152" ht="12.75" hidden="1" customHeight="1" x14ac:dyDescent="0.2"/>
    <row r="61153" ht="12.75" hidden="1" customHeight="1" x14ac:dyDescent="0.2"/>
    <row r="61154" ht="12.75" hidden="1" customHeight="1" x14ac:dyDescent="0.2"/>
    <row r="61155" ht="12.75" hidden="1" customHeight="1" x14ac:dyDescent="0.2"/>
    <row r="61156" ht="12.75" hidden="1" customHeight="1" x14ac:dyDescent="0.2"/>
    <row r="61157" ht="12.75" hidden="1" customHeight="1" x14ac:dyDescent="0.2"/>
    <row r="61158" ht="12.75" hidden="1" customHeight="1" x14ac:dyDescent="0.2"/>
    <row r="61159" ht="12.75" hidden="1" customHeight="1" x14ac:dyDescent="0.2"/>
    <row r="61160" ht="12.75" hidden="1" customHeight="1" x14ac:dyDescent="0.2"/>
    <row r="61161" ht="12.75" hidden="1" customHeight="1" x14ac:dyDescent="0.2"/>
    <row r="61162" ht="12.75" hidden="1" customHeight="1" x14ac:dyDescent="0.2"/>
    <row r="61163" ht="12.75" hidden="1" customHeight="1" x14ac:dyDescent="0.2"/>
    <row r="61164" ht="12.75" hidden="1" customHeight="1" x14ac:dyDescent="0.2"/>
    <row r="61165" ht="12.75" hidden="1" customHeight="1" x14ac:dyDescent="0.2"/>
    <row r="61166" ht="12.75" hidden="1" customHeight="1" x14ac:dyDescent="0.2"/>
    <row r="61167" ht="12.75" hidden="1" customHeight="1" x14ac:dyDescent="0.2"/>
    <row r="61168" ht="12.75" hidden="1" customHeight="1" x14ac:dyDescent="0.2"/>
    <row r="61169" ht="12.75" hidden="1" customHeight="1" x14ac:dyDescent="0.2"/>
    <row r="61170" ht="12.75" hidden="1" customHeight="1" x14ac:dyDescent="0.2"/>
    <row r="61171" ht="12.75" hidden="1" customHeight="1" x14ac:dyDescent="0.2"/>
    <row r="61172" ht="12.75" hidden="1" customHeight="1" x14ac:dyDescent="0.2"/>
    <row r="61173" ht="12.75" hidden="1" customHeight="1" x14ac:dyDescent="0.2"/>
    <row r="61174" ht="12.75" hidden="1" customHeight="1" x14ac:dyDescent="0.2"/>
    <row r="61175" ht="12.75" hidden="1" customHeight="1" x14ac:dyDescent="0.2"/>
    <row r="61176" ht="12.75" hidden="1" customHeight="1" x14ac:dyDescent="0.2"/>
    <row r="61177" ht="12.75" hidden="1" customHeight="1" x14ac:dyDescent="0.2"/>
    <row r="61178" ht="12.75" hidden="1" customHeight="1" x14ac:dyDescent="0.2"/>
    <row r="61179" ht="12.75" hidden="1" customHeight="1" x14ac:dyDescent="0.2"/>
    <row r="61180" ht="12.75" hidden="1" customHeight="1" x14ac:dyDescent="0.2"/>
    <row r="61181" ht="12.75" hidden="1" customHeight="1" x14ac:dyDescent="0.2"/>
    <row r="61182" ht="12.75" hidden="1" customHeight="1" x14ac:dyDescent="0.2"/>
    <row r="61183" ht="12.75" hidden="1" customHeight="1" x14ac:dyDescent="0.2"/>
    <row r="61184" ht="12.75" hidden="1" customHeight="1" x14ac:dyDescent="0.2"/>
    <row r="61185" ht="12.75" hidden="1" customHeight="1" x14ac:dyDescent="0.2"/>
    <row r="61186" ht="12.75" hidden="1" customHeight="1" x14ac:dyDescent="0.2"/>
    <row r="61187" ht="12.75" hidden="1" customHeight="1" x14ac:dyDescent="0.2"/>
    <row r="61188" ht="12.75" hidden="1" customHeight="1" x14ac:dyDescent="0.2"/>
    <row r="61189" ht="12.75" hidden="1" customHeight="1" x14ac:dyDescent="0.2"/>
    <row r="61190" ht="12.75" hidden="1" customHeight="1" x14ac:dyDescent="0.2"/>
    <row r="61191" ht="12.75" hidden="1" customHeight="1" x14ac:dyDescent="0.2"/>
    <row r="61192" ht="12.75" hidden="1" customHeight="1" x14ac:dyDescent="0.2"/>
    <row r="61193" ht="12.75" hidden="1" customHeight="1" x14ac:dyDescent="0.2"/>
    <row r="61194" ht="12.75" hidden="1" customHeight="1" x14ac:dyDescent="0.2"/>
    <row r="61195" ht="12.75" hidden="1" customHeight="1" x14ac:dyDescent="0.2"/>
    <row r="61196" ht="12.75" hidden="1" customHeight="1" x14ac:dyDescent="0.2"/>
    <row r="61197" ht="12.75" hidden="1" customHeight="1" x14ac:dyDescent="0.2"/>
    <row r="61198" ht="12.75" hidden="1" customHeight="1" x14ac:dyDescent="0.2"/>
    <row r="61199" ht="12.75" hidden="1" customHeight="1" x14ac:dyDescent="0.2"/>
    <row r="61200" ht="12.75" hidden="1" customHeight="1" x14ac:dyDescent="0.2"/>
    <row r="61201" ht="12.75" hidden="1" customHeight="1" x14ac:dyDescent="0.2"/>
    <row r="61202" ht="12.75" hidden="1" customHeight="1" x14ac:dyDescent="0.2"/>
    <row r="61203" ht="12.75" hidden="1" customHeight="1" x14ac:dyDescent="0.2"/>
    <row r="61204" ht="12.75" hidden="1" customHeight="1" x14ac:dyDescent="0.2"/>
    <row r="61205" ht="12.75" hidden="1" customHeight="1" x14ac:dyDescent="0.2"/>
    <row r="61206" ht="12.75" hidden="1" customHeight="1" x14ac:dyDescent="0.2"/>
    <row r="61207" ht="12.75" hidden="1" customHeight="1" x14ac:dyDescent="0.2"/>
    <row r="61208" ht="12.75" hidden="1" customHeight="1" x14ac:dyDescent="0.2"/>
    <row r="61209" ht="12.75" hidden="1" customHeight="1" x14ac:dyDescent="0.2"/>
    <row r="61210" ht="12.75" hidden="1" customHeight="1" x14ac:dyDescent="0.2"/>
    <row r="61211" ht="12.75" hidden="1" customHeight="1" x14ac:dyDescent="0.2"/>
    <row r="61212" ht="12.75" hidden="1" customHeight="1" x14ac:dyDescent="0.2"/>
    <row r="61213" ht="12.75" hidden="1" customHeight="1" x14ac:dyDescent="0.2"/>
    <row r="61214" ht="12.75" hidden="1" customHeight="1" x14ac:dyDescent="0.2"/>
    <row r="61215" ht="12.75" hidden="1" customHeight="1" x14ac:dyDescent="0.2"/>
    <row r="61216" ht="12.75" hidden="1" customHeight="1" x14ac:dyDescent="0.2"/>
    <row r="61217" ht="12.75" hidden="1" customHeight="1" x14ac:dyDescent="0.2"/>
    <row r="61218" ht="12.75" hidden="1" customHeight="1" x14ac:dyDescent="0.2"/>
    <row r="61219" ht="12.75" hidden="1" customHeight="1" x14ac:dyDescent="0.2"/>
    <row r="61220" ht="12.75" hidden="1" customHeight="1" x14ac:dyDescent="0.2"/>
    <row r="61221" ht="12.75" hidden="1" customHeight="1" x14ac:dyDescent="0.2"/>
    <row r="61222" ht="12.75" hidden="1" customHeight="1" x14ac:dyDescent="0.2"/>
    <row r="61223" ht="12.75" hidden="1" customHeight="1" x14ac:dyDescent="0.2"/>
    <row r="61224" ht="12.75" hidden="1" customHeight="1" x14ac:dyDescent="0.2"/>
    <row r="61225" ht="12.75" hidden="1" customHeight="1" x14ac:dyDescent="0.2"/>
    <row r="61226" ht="12.75" hidden="1" customHeight="1" x14ac:dyDescent="0.2"/>
    <row r="61227" ht="12.75" hidden="1" customHeight="1" x14ac:dyDescent="0.2"/>
    <row r="61228" ht="12.75" hidden="1" customHeight="1" x14ac:dyDescent="0.2"/>
    <row r="61229" ht="12.75" hidden="1" customHeight="1" x14ac:dyDescent="0.2"/>
    <row r="61230" ht="12.75" hidden="1" customHeight="1" x14ac:dyDescent="0.2"/>
    <row r="61231" ht="12.75" hidden="1" customHeight="1" x14ac:dyDescent="0.2"/>
    <row r="61232" ht="12.75" hidden="1" customHeight="1" x14ac:dyDescent="0.2"/>
    <row r="61233" ht="12.75" hidden="1" customHeight="1" x14ac:dyDescent="0.2"/>
    <row r="61234" ht="12.75" hidden="1" customHeight="1" x14ac:dyDescent="0.2"/>
    <row r="61235" ht="12.75" hidden="1" customHeight="1" x14ac:dyDescent="0.2"/>
    <row r="61236" ht="12.75" hidden="1" customHeight="1" x14ac:dyDescent="0.2"/>
    <row r="61237" ht="12.75" hidden="1" customHeight="1" x14ac:dyDescent="0.2"/>
    <row r="61238" ht="12.75" hidden="1" customHeight="1" x14ac:dyDescent="0.2"/>
    <row r="61239" ht="12.75" hidden="1" customHeight="1" x14ac:dyDescent="0.2"/>
    <row r="61240" ht="12.75" hidden="1" customHeight="1" x14ac:dyDescent="0.2"/>
    <row r="61241" ht="12.75" hidden="1" customHeight="1" x14ac:dyDescent="0.2"/>
    <row r="61242" ht="12.75" hidden="1" customHeight="1" x14ac:dyDescent="0.2"/>
    <row r="61243" ht="12.75" hidden="1" customHeight="1" x14ac:dyDescent="0.2"/>
    <row r="61244" ht="12.75" hidden="1" customHeight="1" x14ac:dyDescent="0.2"/>
    <row r="61245" ht="12.75" hidden="1" customHeight="1" x14ac:dyDescent="0.2"/>
    <row r="61246" ht="12.75" hidden="1" customHeight="1" x14ac:dyDescent="0.2"/>
    <row r="61247" ht="12.75" hidden="1" customHeight="1" x14ac:dyDescent="0.2"/>
    <row r="61248" ht="12.75" hidden="1" customHeight="1" x14ac:dyDescent="0.2"/>
    <row r="61249" ht="12.75" hidden="1" customHeight="1" x14ac:dyDescent="0.2"/>
    <row r="61250" ht="12.75" hidden="1" customHeight="1" x14ac:dyDescent="0.2"/>
    <row r="61251" ht="12.75" hidden="1" customHeight="1" x14ac:dyDescent="0.2"/>
    <row r="61252" ht="12.75" hidden="1" customHeight="1" x14ac:dyDescent="0.2"/>
    <row r="61253" ht="12.75" hidden="1" customHeight="1" x14ac:dyDescent="0.2"/>
    <row r="61254" ht="12.75" hidden="1" customHeight="1" x14ac:dyDescent="0.2"/>
    <row r="61255" ht="12.75" hidden="1" customHeight="1" x14ac:dyDescent="0.2"/>
    <row r="61256" ht="12.75" hidden="1" customHeight="1" x14ac:dyDescent="0.2"/>
    <row r="61257" ht="12.75" hidden="1" customHeight="1" x14ac:dyDescent="0.2"/>
    <row r="61258" ht="12.75" hidden="1" customHeight="1" x14ac:dyDescent="0.2"/>
    <row r="61259" ht="12.75" hidden="1" customHeight="1" x14ac:dyDescent="0.2"/>
    <row r="61260" ht="12.75" hidden="1" customHeight="1" x14ac:dyDescent="0.2"/>
    <row r="61261" ht="12.75" hidden="1" customHeight="1" x14ac:dyDescent="0.2"/>
    <row r="61262" ht="12.75" hidden="1" customHeight="1" x14ac:dyDescent="0.2"/>
    <row r="61263" ht="12.75" hidden="1" customHeight="1" x14ac:dyDescent="0.2"/>
    <row r="61264" ht="12.75" hidden="1" customHeight="1" x14ac:dyDescent="0.2"/>
    <row r="61265" ht="12.75" hidden="1" customHeight="1" x14ac:dyDescent="0.2"/>
    <row r="61266" ht="12.75" hidden="1" customHeight="1" x14ac:dyDescent="0.2"/>
    <row r="61267" ht="12.75" hidden="1" customHeight="1" x14ac:dyDescent="0.2"/>
    <row r="61268" ht="12.75" hidden="1" customHeight="1" x14ac:dyDescent="0.2"/>
    <row r="61269" ht="12.75" hidden="1" customHeight="1" x14ac:dyDescent="0.2"/>
    <row r="61270" ht="12.75" hidden="1" customHeight="1" x14ac:dyDescent="0.2"/>
    <row r="61271" ht="12.75" hidden="1" customHeight="1" x14ac:dyDescent="0.2"/>
    <row r="61272" ht="12.75" hidden="1" customHeight="1" x14ac:dyDescent="0.2"/>
    <row r="61273" ht="12.75" hidden="1" customHeight="1" x14ac:dyDescent="0.2"/>
    <row r="61274" ht="12.75" hidden="1" customHeight="1" x14ac:dyDescent="0.2"/>
    <row r="61275" ht="12.75" hidden="1" customHeight="1" x14ac:dyDescent="0.2"/>
    <row r="61276" ht="12.75" hidden="1" customHeight="1" x14ac:dyDescent="0.2"/>
    <row r="61277" ht="12.75" hidden="1" customHeight="1" x14ac:dyDescent="0.2"/>
    <row r="61278" ht="12.75" hidden="1" customHeight="1" x14ac:dyDescent="0.2"/>
    <row r="61279" ht="12.75" hidden="1" customHeight="1" x14ac:dyDescent="0.2"/>
    <row r="61280" ht="12.75" hidden="1" customHeight="1" x14ac:dyDescent="0.2"/>
    <row r="61281" ht="12.75" hidden="1" customHeight="1" x14ac:dyDescent="0.2"/>
    <row r="61282" ht="12.75" hidden="1" customHeight="1" x14ac:dyDescent="0.2"/>
    <row r="61283" ht="12.75" hidden="1" customHeight="1" x14ac:dyDescent="0.2"/>
    <row r="61284" ht="12.75" hidden="1" customHeight="1" x14ac:dyDescent="0.2"/>
    <row r="61285" ht="12.75" hidden="1" customHeight="1" x14ac:dyDescent="0.2"/>
    <row r="61286" ht="12.75" hidden="1" customHeight="1" x14ac:dyDescent="0.2"/>
    <row r="61287" ht="12.75" hidden="1" customHeight="1" x14ac:dyDescent="0.2"/>
    <row r="61288" ht="12.75" hidden="1" customHeight="1" x14ac:dyDescent="0.2"/>
    <row r="61289" ht="12.75" hidden="1" customHeight="1" x14ac:dyDescent="0.2"/>
    <row r="61290" ht="12.75" hidden="1" customHeight="1" x14ac:dyDescent="0.2"/>
    <row r="61291" ht="12.75" hidden="1" customHeight="1" x14ac:dyDescent="0.2"/>
    <row r="61292" ht="12.75" hidden="1" customHeight="1" x14ac:dyDescent="0.2"/>
    <row r="61293" ht="12.75" hidden="1" customHeight="1" x14ac:dyDescent="0.2"/>
    <row r="61294" ht="12.75" hidden="1" customHeight="1" x14ac:dyDescent="0.2"/>
    <row r="61295" ht="12.75" hidden="1" customHeight="1" x14ac:dyDescent="0.2"/>
    <row r="61296" ht="12.75" hidden="1" customHeight="1" x14ac:dyDescent="0.2"/>
    <row r="61297" ht="12.75" hidden="1" customHeight="1" x14ac:dyDescent="0.2"/>
    <row r="61298" ht="12.75" hidden="1" customHeight="1" x14ac:dyDescent="0.2"/>
    <row r="61299" ht="12.75" hidden="1" customHeight="1" x14ac:dyDescent="0.2"/>
    <row r="61300" ht="12.75" hidden="1" customHeight="1" x14ac:dyDescent="0.2"/>
    <row r="61301" ht="12.75" hidden="1" customHeight="1" x14ac:dyDescent="0.2"/>
    <row r="61302" ht="12.75" hidden="1" customHeight="1" x14ac:dyDescent="0.2"/>
    <row r="61303" ht="12.75" hidden="1" customHeight="1" x14ac:dyDescent="0.2"/>
    <row r="61304" ht="12.75" hidden="1" customHeight="1" x14ac:dyDescent="0.2"/>
    <row r="61305" ht="12.75" hidden="1" customHeight="1" x14ac:dyDescent="0.2"/>
    <row r="61306" ht="12.75" hidden="1" customHeight="1" x14ac:dyDescent="0.2"/>
    <row r="61307" ht="12.75" hidden="1" customHeight="1" x14ac:dyDescent="0.2"/>
    <row r="61308" ht="12.75" hidden="1" customHeight="1" x14ac:dyDescent="0.2"/>
    <row r="61309" ht="12.75" hidden="1" customHeight="1" x14ac:dyDescent="0.2"/>
    <row r="61310" ht="12.75" hidden="1" customHeight="1" x14ac:dyDescent="0.2"/>
    <row r="61311" ht="12.75" hidden="1" customHeight="1" x14ac:dyDescent="0.2"/>
    <row r="61312" ht="12.75" hidden="1" customHeight="1" x14ac:dyDescent="0.2"/>
    <row r="61313" ht="12.75" hidden="1" customHeight="1" x14ac:dyDescent="0.2"/>
    <row r="61314" ht="12.75" hidden="1" customHeight="1" x14ac:dyDescent="0.2"/>
    <row r="61315" ht="12.75" hidden="1" customHeight="1" x14ac:dyDescent="0.2"/>
    <row r="61316" ht="12.75" hidden="1" customHeight="1" x14ac:dyDescent="0.2"/>
    <row r="61317" ht="12.75" hidden="1" customHeight="1" x14ac:dyDescent="0.2"/>
    <row r="61318" ht="12.75" hidden="1" customHeight="1" x14ac:dyDescent="0.2"/>
    <row r="61319" ht="12.75" hidden="1" customHeight="1" x14ac:dyDescent="0.2"/>
    <row r="61320" ht="12.75" hidden="1" customHeight="1" x14ac:dyDescent="0.2"/>
    <row r="61321" ht="12.75" hidden="1" customHeight="1" x14ac:dyDescent="0.2"/>
    <row r="61322" ht="12.75" hidden="1" customHeight="1" x14ac:dyDescent="0.2"/>
    <row r="61323" ht="12.75" hidden="1" customHeight="1" x14ac:dyDescent="0.2"/>
    <row r="61324" ht="12.75" hidden="1" customHeight="1" x14ac:dyDescent="0.2"/>
    <row r="61325" ht="12.75" hidden="1" customHeight="1" x14ac:dyDescent="0.2"/>
    <row r="61326" ht="12.75" hidden="1" customHeight="1" x14ac:dyDescent="0.2"/>
    <row r="61327" ht="12.75" hidden="1" customHeight="1" x14ac:dyDescent="0.2"/>
    <row r="61328" ht="12.75" hidden="1" customHeight="1" x14ac:dyDescent="0.2"/>
    <row r="61329" ht="12.75" hidden="1" customHeight="1" x14ac:dyDescent="0.2"/>
    <row r="61330" ht="12.75" hidden="1" customHeight="1" x14ac:dyDescent="0.2"/>
    <row r="61331" ht="12.75" hidden="1" customHeight="1" x14ac:dyDescent="0.2"/>
    <row r="61332" ht="12.75" hidden="1" customHeight="1" x14ac:dyDescent="0.2"/>
    <row r="61333" ht="12.75" hidden="1" customHeight="1" x14ac:dyDescent="0.2"/>
    <row r="61334" ht="12.75" hidden="1" customHeight="1" x14ac:dyDescent="0.2"/>
    <row r="61335" ht="12.75" hidden="1" customHeight="1" x14ac:dyDescent="0.2"/>
    <row r="61336" ht="12.75" hidden="1" customHeight="1" x14ac:dyDescent="0.2"/>
    <row r="61337" ht="12.75" hidden="1" customHeight="1" x14ac:dyDescent="0.2"/>
    <row r="61338" ht="12.75" hidden="1" customHeight="1" x14ac:dyDescent="0.2"/>
    <row r="61339" ht="12.75" hidden="1" customHeight="1" x14ac:dyDescent="0.2"/>
    <row r="61340" ht="12.75" hidden="1" customHeight="1" x14ac:dyDescent="0.2"/>
    <row r="61341" ht="12.75" hidden="1" customHeight="1" x14ac:dyDescent="0.2"/>
    <row r="61342" ht="12.75" hidden="1" customHeight="1" x14ac:dyDescent="0.2"/>
    <row r="61343" ht="12.75" hidden="1" customHeight="1" x14ac:dyDescent="0.2"/>
    <row r="61344" ht="12.75" hidden="1" customHeight="1" x14ac:dyDescent="0.2"/>
    <row r="61345" ht="12.75" hidden="1" customHeight="1" x14ac:dyDescent="0.2"/>
    <row r="61346" ht="12.75" hidden="1" customHeight="1" x14ac:dyDescent="0.2"/>
    <row r="61347" ht="12.75" hidden="1" customHeight="1" x14ac:dyDescent="0.2"/>
    <row r="61348" ht="12.75" hidden="1" customHeight="1" x14ac:dyDescent="0.2"/>
    <row r="61349" ht="12.75" hidden="1" customHeight="1" x14ac:dyDescent="0.2"/>
    <row r="61350" ht="12.75" hidden="1" customHeight="1" x14ac:dyDescent="0.2"/>
    <row r="61351" ht="12.75" hidden="1" customHeight="1" x14ac:dyDescent="0.2"/>
    <row r="61352" ht="12.75" hidden="1" customHeight="1" x14ac:dyDescent="0.2"/>
    <row r="61353" ht="12.75" hidden="1" customHeight="1" x14ac:dyDescent="0.2"/>
    <row r="61354" ht="12.75" hidden="1" customHeight="1" x14ac:dyDescent="0.2"/>
    <row r="61355" ht="12.75" hidden="1" customHeight="1" x14ac:dyDescent="0.2"/>
    <row r="61356" ht="12.75" hidden="1" customHeight="1" x14ac:dyDescent="0.2"/>
    <row r="61357" ht="12.75" hidden="1" customHeight="1" x14ac:dyDescent="0.2"/>
    <row r="61358" ht="12.75" hidden="1" customHeight="1" x14ac:dyDescent="0.2"/>
    <row r="61359" ht="12.75" hidden="1" customHeight="1" x14ac:dyDescent="0.2"/>
    <row r="61360" ht="12.75" hidden="1" customHeight="1" x14ac:dyDescent="0.2"/>
    <row r="61361" ht="12.75" hidden="1" customHeight="1" x14ac:dyDescent="0.2"/>
    <row r="61362" ht="12.75" hidden="1" customHeight="1" x14ac:dyDescent="0.2"/>
    <row r="61363" ht="12.75" hidden="1" customHeight="1" x14ac:dyDescent="0.2"/>
    <row r="61364" ht="12.75" hidden="1" customHeight="1" x14ac:dyDescent="0.2"/>
    <row r="61365" ht="12.75" hidden="1" customHeight="1" x14ac:dyDescent="0.2"/>
    <row r="61366" ht="12.75" hidden="1" customHeight="1" x14ac:dyDescent="0.2"/>
    <row r="61367" ht="12.75" hidden="1" customHeight="1" x14ac:dyDescent="0.2"/>
    <row r="61368" ht="12.75" hidden="1" customHeight="1" x14ac:dyDescent="0.2"/>
    <row r="61369" ht="12.75" hidden="1" customHeight="1" x14ac:dyDescent="0.2"/>
    <row r="61370" ht="12.75" hidden="1" customHeight="1" x14ac:dyDescent="0.2"/>
    <row r="61371" ht="12.75" hidden="1" customHeight="1" x14ac:dyDescent="0.2"/>
    <row r="61372" ht="12.75" hidden="1" customHeight="1" x14ac:dyDescent="0.2"/>
    <row r="61373" ht="12.75" hidden="1" customHeight="1" x14ac:dyDescent="0.2"/>
    <row r="61374" ht="12.75" hidden="1" customHeight="1" x14ac:dyDescent="0.2"/>
    <row r="61375" ht="12.75" hidden="1" customHeight="1" x14ac:dyDescent="0.2"/>
    <row r="61376" ht="12.75" hidden="1" customHeight="1" x14ac:dyDescent="0.2"/>
    <row r="61377" ht="12.75" hidden="1" customHeight="1" x14ac:dyDescent="0.2"/>
    <row r="61378" ht="12.75" hidden="1" customHeight="1" x14ac:dyDescent="0.2"/>
    <row r="61379" ht="12.75" hidden="1" customHeight="1" x14ac:dyDescent="0.2"/>
    <row r="61380" ht="12.75" hidden="1" customHeight="1" x14ac:dyDescent="0.2"/>
    <row r="61381" ht="12.75" hidden="1" customHeight="1" x14ac:dyDescent="0.2"/>
    <row r="61382" ht="12.75" hidden="1" customHeight="1" x14ac:dyDescent="0.2"/>
    <row r="61383" ht="12.75" hidden="1" customHeight="1" x14ac:dyDescent="0.2"/>
    <row r="61384" ht="12.75" hidden="1" customHeight="1" x14ac:dyDescent="0.2"/>
    <row r="61385" ht="12.75" hidden="1" customHeight="1" x14ac:dyDescent="0.2"/>
    <row r="61386" ht="12.75" hidden="1" customHeight="1" x14ac:dyDescent="0.2"/>
    <row r="61387" ht="12.75" hidden="1" customHeight="1" x14ac:dyDescent="0.2"/>
    <row r="61388" ht="12.75" hidden="1" customHeight="1" x14ac:dyDescent="0.2"/>
    <row r="61389" ht="12.75" hidden="1" customHeight="1" x14ac:dyDescent="0.2"/>
    <row r="61390" ht="12.75" hidden="1" customHeight="1" x14ac:dyDescent="0.2"/>
    <row r="61391" ht="12.75" hidden="1" customHeight="1" x14ac:dyDescent="0.2"/>
    <row r="61392" ht="12.75" hidden="1" customHeight="1" x14ac:dyDescent="0.2"/>
    <row r="61393" ht="12.75" hidden="1" customHeight="1" x14ac:dyDescent="0.2"/>
    <row r="61394" ht="12.75" hidden="1" customHeight="1" x14ac:dyDescent="0.2"/>
    <row r="61395" ht="12.75" hidden="1" customHeight="1" x14ac:dyDescent="0.2"/>
    <row r="61396" ht="12.75" hidden="1" customHeight="1" x14ac:dyDescent="0.2"/>
    <row r="61397" ht="12.75" hidden="1" customHeight="1" x14ac:dyDescent="0.2"/>
    <row r="61398" ht="12.75" hidden="1" customHeight="1" x14ac:dyDescent="0.2"/>
    <row r="61399" ht="12.75" hidden="1" customHeight="1" x14ac:dyDescent="0.2"/>
    <row r="61400" ht="12.75" hidden="1" customHeight="1" x14ac:dyDescent="0.2"/>
    <row r="61401" ht="12.75" hidden="1" customHeight="1" x14ac:dyDescent="0.2"/>
    <row r="61402" ht="12.75" hidden="1" customHeight="1" x14ac:dyDescent="0.2"/>
    <row r="61403" ht="12.75" hidden="1" customHeight="1" x14ac:dyDescent="0.2"/>
    <row r="61404" ht="12.75" hidden="1" customHeight="1" x14ac:dyDescent="0.2"/>
    <row r="61405" ht="12.75" hidden="1" customHeight="1" x14ac:dyDescent="0.2"/>
    <row r="61406" ht="12.75" hidden="1" customHeight="1" x14ac:dyDescent="0.2"/>
    <row r="61407" ht="12.75" hidden="1" customHeight="1" x14ac:dyDescent="0.2"/>
    <row r="61408" ht="12.75" hidden="1" customHeight="1" x14ac:dyDescent="0.2"/>
    <row r="61409" ht="12.75" hidden="1" customHeight="1" x14ac:dyDescent="0.2"/>
    <row r="61410" ht="12.75" hidden="1" customHeight="1" x14ac:dyDescent="0.2"/>
    <row r="61411" ht="12.75" hidden="1" customHeight="1" x14ac:dyDescent="0.2"/>
    <row r="61412" ht="12.75" hidden="1" customHeight="1" x14ac:dyDescent="0.2"/>
    <row r="61413" ht="12.75" hidden="1" customHeight="1" x14ac:dyDescent="0.2"/>
    <row r="61414" ht="12.75" hidden="1" customHeight="1" x14ac:dyDescent="0.2"/>
    <row r="61415" ht="12.75" hidden="1" customHeight="1" x14ac:dyDescent="0.2"/>
    <row r="61416" ht="12.75" hidden="1" customHeight="1" x14ac:dyDescent="0.2"/>
    <row r="61417" ht="12.75" hidden="1" customHeight="1" x14ac:dyDescent="0.2"/>
    <row r="61418" ht="12.75" hidden="1" customHeight="1" x14ac:dyDescent="0.2"/>
    <row r="61419" ht="12.75" hidden="1" customHeight="1" x14ac:dyDescent="0.2"/>
    <row r="61420" ht="12.75" hidden="1" customHeight="1" x14ac:dyDescent="0.2"/>
    <row r="61421" ht="12.75" hidden="1" customHeight="1" x14ac:dyDescent="0.2"/>
    <row r="61422" ht="12.75" hidden="1" customHeight="1" x14ac:dyDescent="0.2"/>
    <row r="61423" ht="12.75" hidden="1" customHeight="1" x14ac:dyDescent="0.2"/>
    <row r="61424" ht="12.75" hidden="1" customHeight="1" x14ac:dyDescent="0.2"/>
    <row r="61425" ht="12.75" hidden="1" customHeight="1" x14ac:dyDescent="0.2"/>
    <row r="61426" ht="12.75" hidden="1" customHeight="1" x14ac:dyDescent="0.2"/>
    <row r="61427" ht="12.75" hidden="1" customHeight="1" x14ac:dyDescent="0.2"/>
    <row r="61428" ht="12.75" hidden="1" customHeight="1" x14ac:dyDescent="0.2"/>
    <row r="61429" ht="12.75" hidden="1" customHeight="1" x14ac:dyDescent="0.2"/>
    <row r="61430" ht="12.75" hidden="1" customHeight="1" x14ac:dyDescent="0.2"/>
    <row r="61431" ht="12.75" hidden="1" customHeight="1" x14ac:dyDescent="0.2"/>
    <row r="61432" ht="12.75" hidden="1" customHeight="1" x14ac:dyDescent="0.2"/>
    <row r="61433" ht="12.75" hidden="1" customHeight="1" x14ac:dyDescent="0.2"/>
    <row r="61434" ht="12.75" hidden="1" customHeight="1" x14ac:dyDescent="0.2"/>
    <row r="61435" ht="12.75" hidden="1" customHeight="1" x14ac:dyDescent="0.2"/>
    <row r="61436" ht="12.75" hidden="1" customHeight="1" x14ac:dyDescent="0.2"/>
    <row r="61437" ht="12.75" hidden="1" customHeight="1" x14ac:dyDescent="0.2"/>
    <row r="61438" ht="12.75" hidden="1" customHeight="1" x14ac:dyDescent="0.2"/>
    <row r="61439" ht="12.75" hidden="1" customHeight="1" x14ac:dyDescent="0.2"/>
    <row r="61440" ht="12.75" hidden="1" customHeight="1" x14ac:dyDescent="0.2"/>
    <row r="61441" ht="12.75" hidden="1" customHeight="1" x14ac:dyDescent="0.2"/>
    <row r="61442" ht="12.75" hidden="1" customHeight="1" x14ac:dyDescent="0.2"/>
    <row r="61443" ht="12.75" hidden="1" customHeight="1" x14ac:dyDescent="0.2"/>
    <row r="61444" ht="12.75" hidden="1" customHeight="1" x14ac:dyDescent="0.2"/>
    <row r="61445" ht="12.75" hidden="1" customHeight="1" x14ac:dyDescent="0.2"/>
    <row r="61446" ht="12.75" hidden="1" customHeight="1" x14ac:dyDescent="0.2"/>
    <row r="61447" ht="12.75" hidden="1" customHeight="1" x14ac:dyDescent="0.2"/>
    <row r="61448" ht="12.75" hidden="1" customHeight="1" x14ac:dyDescent="0.2"/>
    <row r="61449" ht="12.75" hidden="1" customHeight="1" x14ac:dyDescent="0.2"/>
    <row r="61450" ht="12.75" hidden="1" customHeight="1" x14ac:dyDescent="0.2"/>
    <row r="61451" ht="12.75" hidden="1" customHeight="1" x14ac:dyDescent="0.2"/>
    <row r="61452" ht="12.75" hidden="1" customHeight="1" x14ac:dyDescent="0.2"/>
    <row r="61453" ht="12.75" hidden="1" customHeight="1" x14ac:dyDescent="0.2"/>
    <row r="61454" ht="12.75" hidden="1" customHeight="1" x14ac:dyDescent="0.2"/>
    <row r="61455" ht="12.75" hidden="1" customHeight="1" x14ac:dyDescent="0.2"/>
    <row r="61456" ht="12.75" hidden="1" customHeight="1" x14ac:dyDescent="0.2"/>
    <row r="61457" ht="12.75" hidden="1" customHeight="1" x14ac:dyDescent="0.2"/>
    <row r="61458" ht="12.75" hidden="1" customHeight="1" x14ac:dyDescent="0.2"/>
    <row r="61459" ht="12.75" hidden="1" customHeight="1" x14ac:dyDescent="0.2"/>
    <row r="61460" ht="12.75" hidden="1" customHeight="1" x14ac:dyDescent="0.2"/>
    <row r="61461" ht="12.75" hidden="1" customHeight="1" x14ac:dyDescent="0.2"/>
    <row r="61462" ht="12.75" hidden="1" customHeight="1" x14ac:dyDescent="0.2"/>
    <row r="61463" ht="12.75" hidden="1" customHeight="1" x14ac:dyDescent="0.2"/>
    <row r="61464" ht="12.75" hidden="1" customHeight="1" x14ac:dyDescent="0.2"/>
    <row r="61465" ht="12.75" hidden="1" customHeight="1" x14ac:dyDescent="0.2"/>
    <row r="61466" ht="12.75" hidden="1" customHeight="1" x14ac:dyDescent="0.2"/>
    <row r="61467" ht="12.75" hidden="1" customHeight="1" x14ac:dyDescent="0.2"/>
    <row r="61468" ht="12.75" hidden="1" customHeight="1" x14ac:dyDescent="0.2"/>
    <row r="61469" ht="12.75" hidden="1" customHeight="1" x14ac:dyDescent="0.2"/>
    <row r="61470" ht="12.75" hidden="1" customHeight="1" x14ac:dyDescent="0.2"/>
    <row r="61471" ht="12.75" hidden="1" customHeight="1" x14ac:dyDescent="0.2"/>
    <row r="61472" ht="12.75" hidden="1" customHeight="1" x14ac:dyDescent="0.2"/>
    <row r="61473" ht="12.75" hidden="1" customHeight="1" x14ac:dyDescent="0.2"/>
    <row r="61474" ht="12.75" hidden="1" customHeight="1" x14ac:dyDescent="0.2"/>
    <row r="61475" ht="12.75" hidden="1" customHeight="1" x14ac:dyDescent="0.2"/>
    <row r="61476" ht="12.75" hidden="1" customHeight="1" x14ac:dyDescent="0.2"/>
    <row r="61477" ht="12.75" hidden="1" customHeight="1" x14ac:dyDescent="0.2"/>
    <row r="61478" ht="12.75" hidden="1" customHeight="1" x14ac:dyDescent="0.2"/>
    <row r="61479" ht="12.75" hidden="1" customHeight="1" x14ac:dyDescent="0.2"/>
    <row r="61480" ht="12.75" hidden="1" customHeight="1" x14ac:dyDescent="0.2"/>
    <row r="61481" ht="12.75" hidden="1" customHeight="1" x14ac:dyDescent="0.2"/>
    <row r="61482" ht="12.75" hidden="1" customHeight="1" x14ac:dyDescent="0.2"/>
    <row r="61483" ht="12.75" hidden="1" customHeight="1" x14ac:dyDescent="0.2"/>
    <row r="61484" ht="12.75" hidden="1" customHeight="1" x14ac:dyDescent="0.2"/>
    <row r="61485" ht="12.75" hidden="1" customHeight="1" x14ac:dyDescent="0.2"/>
    <row r="61486" ht="12.75" hidden="1" customHeight="1" x14ac:dyDescent="0.2"/>
    <row r="61487" ht="12.75" hidden="1" customHeight="1" x14ac:dyDescent="0.2"/>
    <row r="61488" ht="12.75" hidden="1" customHeight="1" x14ac:dyDescent="0.2"/>
    <row r="61489" ht="12.75" hidden="1" customHeight="1" x14ac:dyDescent="0.2"/>
    <row r="61490" ht="12.75" hidden="1" customHeight="1" x14ac:dyDescent="0.2"/>
    <row r="61491" ht="12.75" hidden="1" customHeight="1" x14ac:dyDescent="0.2"/>
    <row r="61492" ht="12.75" hidden="1" customHeight="1" x14ac:dyDescent="0.2"/>
    <row r="61493" ht="12.75" hidden="1" customHeight="1" x14ac:dyDescent="0.2"/>
    <row r="61494" ht="12.75" hidden="1" customHeight="1" x14ac:dyDescent="0.2"/>
    <row r="61495" ht="12.75" hidden="1" customHeight="1" x14ac:dyDescent="0.2"/>
    <row r="61496" ht="12.75" hidden="1" customHeight="1" x14ac:dyDescent="0.2"/>
    <row r="61497" ht="12.75" hidden="1" customHeight="1" x14ac:dyDescent="0.2"/>
    <row r="61498" ht="12.75" hidden="1" customHeight="1" x14ac:dyDescent="0.2"/>
    <row r="61499" ht="12.75" hidden="1" customHeight="1" x14ac:dyDescent="0.2"/>
    <row r="61500" ht="12.75" hidden="1" customHeight="1" x14ac:dyDescent="0.2"/>
    <row r="61501" ht="12.75" hidden="1" customHeight="1" x14ac:dyDescent="0.2"/>
    <row r="61502" ht="12.75" hidden="1" customHeight="1" x14ac:dyDescent="0.2"/>
    <row r="61503" ht="12.75" hidden="1" customHeight="1" x14ac:dyDescent="0.2"/>
    <row r="61504" ht="12.75" hidden="1" customHeight="1" x14ac:dyDescent="0.2"/>
    <row r="61505" ht="12.75" hidden="1" customHeight="1" x14ac:dyDescent="0.2"/>
    <row r="61506" ht="12.75" hidden="1" customHeight="1" x14ac:dyDescent="0.2"/>
    <row r="61507" ht="12.75" hidden="1" customHeight="1" x14ac:dyDescent="0.2"/>
    <row r="61508" ht="12.75" hidden="1" customHeight="1" x14ac:dyDescent="0.2"/>
    <row r="61509" ht="12.75" hidden="1" customHeight="1" x14ac:dyDescent="0.2"/>
    <row r="61510" ht="12.75" hidden="1" customHeight="1" x14ac:dyDescent="0.2"/>
    <row r="61511" ht="12.75" hidden="1" customHeight="1" x14ac:dyDescent="0.2"/>
    <row r="61512" ht="12.75" hidden="1" customHeight="1" x14ac:dyDescent="0.2"/>
    <row r="61513" ht="12.75" hidden="1" customHeight="1" x14ac:dyDescent="0.2"/>
    <row r="61514" ht="12.75" hidden="1" customHeight="1" x14ac:dyDescent="0.2"/>
    <row r="61515" ht="12.75" hidden="1" customHeight="1" x14ac:dyDescent="0.2"/>
    <row r="61516" ht="12.75" hidden="1" customHeight="1" x14ac:dyDescent="0.2"/>
    <row r="61517" ht="12.75" hidden="1" customHeight="1" x14ac:dyDescent="0.2"/>
    <row r="61518" ht="12.75" hidden="1" customHeight="1" x14ac:dyDescent="0.2"/>
    <row r="61519" ht="12.75" hidden="1" customHeight="1" x14ac:dyDescent="0.2"/>
    <row r="61520" ht="12.75" hidden="1" customHeight="1" x14ac:dyDescent="0.2"/>
    <row r="61521" ht="12.75" hidden="1" customHeight="1" x14ac:dyDescent="0.2"/>
    <row r="61522" ht="12.75" hidden="1" customHeight="1" x14ac:dyDescent="0.2"/>
    <row r="61523" ht="12.75" hidden="1" customHeight="1" x14ac:dyDescent="0.2"/>
    <row r="61524" ht="12.75" hidden="1" customHeight="1" x14ac:dyDescent="0.2"/>
    <row r="61525" ht="12.75" hidden="1" customHeight="1" x14ac:dyDescent="0.2"/>
    <row r="61526" ht="12.75" hidden="1" customHeight="1" x14ac:dyDescent="0.2"/>
    <row r="61527" ht="12.75" hidden="1" customHeight="1" x14ac:dyDescent="0.2"/>
    <row r="61528" ht="12.75" hidden="1" customHeight="1" x14ac:dyDescent="0.2"/>
    <row r="61529" ht="12.75" hidden="1" customHeight="1" x14ac:dyDescent="0.2"/>
    <row r="61530" ht="12.75" hidden="1" customHeight="1" x14ac:dyDescent="0.2"/>
    <row r="61531" ht="12.75" hidden="1" customHeight="1" x14ac:dyDescent="0.2"/>
    <row r="61532" ht="12.75" hidden="1" customHeight="1" x14ac:dyDescent="0.2"/>
    <row r="61533" ht="12.75" hidden="1" customHeight="1" x14ac:dyDescent="0.2"/>
    <row r="61534" ht="12.75" hidden="1" customHeight="1" x14ac:dyDescent="0.2"/>
    <row r="61535" ht="12.75" hidden="1" customHeight="1" x14ac:dyDescent="0.2"/>
    <row r="61536" ht="12.75" hidden="1" customHeight="1" x14ac:dyDescent="0.2"/>
    <row r="61537" ht="12.75" hidden="1" customHeight="1" x14ac:dyDescent="0.2"/>
    <row r="61538" ht="12.75" hidden="1" customHeight="1" x14ac:dyDescent="0.2"/>
    <row r="61539" ht="12.75" hidden="1" customHeight="1" x14ac:dyDescent="0.2"/>
    <row r="61540" ht="12.75" hidden="1" customHeight="1" x14ac:dyDescent="0.2"/>
    <row r="61541" ht="12.75" hidden="1" customHeight="1" x14ac:dyDescent="0.2"/>
    <row r="61542" ht="12.75" hidden="1" customHeight="1" x14ac:dyDescent="0.2"/>
    <row r="61543" ht="12.75" hidden="1" customHeight="1" x14ac:dyDescent="0.2"/>
    <row r="61544" ht="12.75" hidden="1" customHeight="1" x14ac:dyDescent="0.2"/>
    <row r="61545" ht="12.75" hidden="1" customHeight="1" x14ac:dyDescent="0.2"/>
    <row r="61546" ht="12.75" hidden="1" customHeight="1" x14ac:dyDescent="0.2"/>
    <row r="61547" ht="12.75" hidden="1" customHeight="1" x14ac:dyDescent="0.2"/>
    <row r="61548" ht="12.75" hidden="1" customHeight="1" x14ac:dyDescent="0.2"/>
    <row r="61549" ht="12.75" hidden="1" customHeight="1" x14ac:dyDescent="0.2"/>
    <row r="61550" ht="12.75" hidden="1" customHeight="1" x14ac:dyDescent="0.2"/>
    <row r="61551" ht="12.75" hidden="1" customHeight="1" x14ac:dyDescent="0.2"/>
    <row r="61552" ht="12.75" hidden="1" customHeight="1" x14ac:dyDescent="0.2"/>
    <row r="61553" ht="12.75" hidden="1" customHeight="1" x14ac:dyDescent="0.2"/>
    <row r="61554" ht="12.75" hidden="1" customHeight="1" x14ac:dyDescent="0.2"/>
    <row r="61555" ht="12.75" hidden="1" customHeight="1" x14ac:dyDescent="0.2"/>
    <row r="61556" ht="12.75" hidden="1" customHeight="1" x14ac:dyDescent="0.2"/>
    <row r="61557" ht="12.75" hidden="1" customHeight="1" x14ac:dyDescent="0.2"/>
    <row r="61558" ht="12.75" hidden="1" customHeight="1" x14ac:dyDescent="0.2"/>
    <row r="61559" ht="12.75" hidden="1" customHeight="1" x14ac:dyDescent="0.2"/>
    <row r="61560" ht="12.75" hidden="1" customHeight="1" x14ac:dyDescent="0.2"/>
    <row r="61561" ht="12.75" hidden="1" customHeight="1" x14ac:dyDescent="0.2"/>
    <row r="61562" ht="12.75" hidden="1" customHeight="1" x14ac:dyDescent="0.2"/>
    <row r="61563" ht="12.75" hidden="1" customHeight="1" x14ac:dyDescent="0.2"/>
    <row r="61564" ht="12.75" hidden="1" customHeight="1" x14ac:dyDescent="0.2"/>
    <row r="61565" ht="12.75" hidden="1" customHeight="1" x14ac:dyDescent="0.2"/>
    <row r="61566" ht="12.75" hidden="1" customHeight="1" x14ac:dyDescent="0.2"/>
    <row r="61567" ht="12.75" hidden="1" customHeight="1" x14ac:dyDescent="0.2"/>
    <row r="61568" ht="12.75" hidden="1" customHeight="1" x14ac:dyDescent="0.2"/>
    <row r="61569" ht="12.75" hidden="1" customHeight="1" x14ac:dyDescent="0.2"/>
    <row r="61570" ht="12.75" hidden="1" customHeight="1" x14ac:dyDescent="0.2"/>
    <row r="61571" ht="12.75" hidden="1" customHeight="1" x14ac:dyDescent="0.2"/>
    <row r="61572" ht="12.75" hidden="1" customHeight="1" x14ac:dyDescent="0.2"/>
    <row r="61573" ht="12.75" hidden="1" customHeight="1" x14ac:dyDescent="0.2"/>
    <row r="61574" ht="12.75" hidden="1" customHeight="1" x14ac:dyDescent="0.2"/>
    <row r="61575" ht="12.75" hidden="1" customHeight="1" x14ac:dyDescent="0.2"/>
    <row r="61576" ht="12.75" hidden="1" customHeight="1" x14ac:dyDescent="0.2"/>
    <row r="61577" ht="12.75" hidden="1" customHeight="1" x14ac:dyDescent="0.2"/>
    <row r="61578" ht="12.75" hidden="1" customHeight="1" x14ac:dyDescent="0.2"/>
    <row r="61579" ht="12.75" hidden="1" customHeight="1" x14ac:dyDescent="0.2"/>
    <row r="61580" ht="12.75" hidden="1" customHeight="1" x14ac:dyDescent="0.2"/>
    <row r="61581" ht="12.75" hidden="1" customHeight="1" x14ac:dyDescent="0.2"/>
    <row r="61582" ht="12.75" hidden="1" customHeight="1" x14ac:dyDescent="0.2"/>
    <row r="61583" ht="12.75" hidden="1" customHeight="1" x14ac:dyDescent="0.2"/>
    <row r="61584" ht="12.75" hidden="1" customHeight="1" x14ac:dyDescent="0.2"/>
    <row r="61585" ht="12.75" hidden="1" customHeight="1" x14ac:dyDescent="0.2"/>
    <row r="61586" ht="12.75" hidden="1" customHeight="1" x14ac:dyDescent="0.2"/>
    <row r="61587" ht="12.75" hidden="1" customHeight="1" x14ac:dyDescent="0.2"/>
    <row r="61588" ht="12.75" hidden="1" customHeight="1" x14ac:dyDescent="0.2"/>
    <row r="61589" ht="12.75" hidden="1" customHeight="1" x14ac:dyDescent="0.2"/>
    <row r="61590" ht="12.75" hidden="1" customHeight="1" x14ac:dyDescent="0.2"/>
    <row r="61591" ht="12.75" hidden="1" customHeight="1" x14ac:dyDescent="0.2"/>
    <row r="61592" ht="12.75" hidden="1" customHeight="1" x14ac:dyDescent="0.2"/>
    <row r="61593" ht="12.75" hidden="1" customHeight="1" x14ac:dyDescent="0.2"/>
    <row r="61594" ht="12.75" hidden="1" customHeight="1" x14ac:dyDescent="0.2"/>
    <row r="61595" ht="12.75" hidden="1" customHeight="1" x14ac:dyDescent="0.2"/>
    <row r="61596" ht="12.75" hidden="1" customHeight="1" x14ac:dyDescent="0.2"/>
    <row r="61597" ht="12.75" hidden="1" customHeight="1" x14ac:dyDescent="0.2"/>
    <row r="61598" ht="12.75" hidden="1" customHeight="1" x14ac:dyDescent="0.2"/>
    <row r="61599" ht="12.75" hidden="1" customHeight="1" x14ac:dyDescent="0.2"/>
    <row r="61600" ht="12.75" hidden="1" customHeight="1" x14ac:dyDescent="0.2"/>
    <row r="61601" ht="12.75" hidden="1" customHeight="1" x14ac:dyDescent="0.2"/>
    <row r="61602" ht="12.75" hidden="1" customHeight="1" x14ac:dyDescent="0.2"/>
    <row r="61603" ht="12.75" hidden="1" customHeight="1" x14ac:dyDescent="0.2"/>
    <row r="61604" ht="12.75" hidden="1" customHeight="1" x14ac:dyDescent="0.2"/>
    <row r="61605" ht="12.75" hidden="1" customHeight="1" x14ac:dyDescent="0.2"/>
    <row r="61606" ht="12.75" hidden="1" customHeight="1" x14ac:dyDescent="0.2"/>
    <row r="61607" ht="12.75" hidden="1" customHeight="1" x14ac:dyDescent="0.2"/>
    <row r="61608" ht="12.75" hidden="1" customHeight="1" x14ac:dyDescent="0.2"/>
    <row r="61609" ht="12.75" hidden="1" customHeight="1" x14ac:dyDescent="0.2"/>
    <row r="61610" ht="12.75" hidden="1" customHeight="1" x14ac:dyDescent="0.2"/>
    <row r="61611" ht="12.75" hidden="1" customHeight="1" x14ac:dyDescent="0.2"/>
    <row r="61612" ht="12.75" hidden="1" customHeight="1" x14ac:dyDescent="0.2"/>
    <row r="61613" ht="12.75" hidden="1" customHeight="1" x14ac:dyDescent="0.2"/>
    <row r="61614" ht="12.75" hidden="1" customHeight="1" x14ac:dyDescent="0.2"/>
    <row r="61615" ht="12.75" hidden="1" customHeight="1" x14ac:dyDescent="0.2"/>
    <row r="61616" ht="12.75" hidden="1" customHeight="1" x14ac:dyDescent="0.2"/>
    <row r="61617" ht="12.75" hidden="1" customHeight="1" x14ac:dyDescent="0.2"/>
    <row r="61618" ht="12.75" hidden="1" customHeight="1" x14ac:dyDescent="0.2"/>
    <row r="61619" ht="12.75" hidden="1" customHeight="1" x14ac:dyDescent="0.2"/>
    <row r="61620" ht="12.75" hidden="1" customHeight="1" x14ac:dyDescent="0.2"/>
    <row r="61621" ht="12.75" hidden="1" customHeight="1" x14ac:dyDescent="0.2"/>
    <row r="61622" ht="12.75" hidden="1" customHeight="1" x14ac:dyDescent="0.2"/>
    <row r="61623" ht="12.75" hidden="1" customHeight="1" x14ac:dyDescent="0.2"/>
    <row r="61624" ht="12.75" hidden="1" customHeight="1" x14ac:dyDescent="0.2"/>
    <row r="61625" ht="12.75" hidden="1" customHeight="1" x14ac:dyDescent="0.2"/>
    <row r="61626" ht="12.75" hidden="1" customHeight="1" x14ac:dyDescent="0.2"/>
    <row r="61627" ht="12.75" hidden="1" customHeight="1" x14ac:dyDescent="0.2"/>
    <row r="61628" ht="12.75" hidden="1" customHeight="1" x14ac:dyDescent="0.2"/>
    <row r="61629" ht="12.75" hidden="1" customHeight="1" x14ac:dyDescent="0.2"/>
    <row r="61630" ht="12.75" hidden="1" customHeight="1" x14ac:dyDescent="0.2"/>
    <row r="61631" ht="12.75" hidden="1" customHeight="1" x14ac:dyDescent="0.2"/>
    <row r="61632" ht="12.75" hidden="1" customHeight="1" x14ac:dyDescent="0.2"/>
    <row r="61633" ht="12.75" hidden="1" customHeight="1" x14ac:dyDescent="0.2"/>
    <row r="61634" ht="12.75" hidden="1" customHeight="1" x14ac:dyDescent="0.2"/>
    <row r="61635" ht="12.75" hidden="1" customHeight="1" x14ac:dyDescent="0.2"/>
    <row r="61636" ht="12.75" hidden="1" customHeight="1" x14ac:dyDescent="0.2"/>
    <row r="61637" ht="12.75" hidden="1" customHeight="1" x14ac:dyDescent="0.2"/>
    <row r="61638" ht="12.75" hidden="1" customHeight="1" x14ac:dyDescent="0.2"/>
    <row r="61639" ht="12.75" hidden="1" customHeight="1" x14ac:dyDescent="0.2"/>
    <row r="61640" ht="12.75" hidden="1" customHeight="1" x14ac:dyDescent="0.2"/>
    <row r="61641" ht="12.75" hidden="1" customHeight="1" x14ac:dyDescent="0.2"/>
    <row r="61642" ht="12.75" hidden="1" customHeight="1" x14ac:dyDescent="0.2"/>
    <row r="61643" ht="12.75" hidden="1" customHeight="1" x14ac:dyDescent="0.2"/>
    <row r="61644" ht="12.75" hidden="1" customHeight="1" x14ac:dyDescent="0.2"/>
    <row r="61645" ht="12.75" hidden="1" customHeight="1" x14ac:dyDescent="0.2"/>
    <row r="61646" ht="12.75" hidden="1" customHeight="1" x14ac:dyDescent="0.2"/>
    <row r="61647" ht="12.75" hidden="1" customHeight="1" x14ac:dyDescent="0.2"/>
    <row r="61648" ht="12.75" hidden="1" customHeight="1" x14ac:dyDescent="0.2"/>
    <row r="61649" ht="12.75" hidden="1" customHeight="1" x14ac:dyDescent="0.2"/>
    <row r="61650" ht="12.75" hidden="1" customHeight="1" x14ac:dyDescent="0.2"/>
    <row r="61651" ht="12.75" hidden="1" customHeight="1" x14ac:dyDescent="0.2"/>
    <row r="61652" ht="12.75" hidden="1" customHeight="1" x14ac:dyDescent="0.2"/>
    <row r="61653" ht="12.75" hidden="1" customHeight="1" x14ac:dyDescent="0.2"/>
    <row r="61654" ht="12.75" hidden="1" customHeight="1" x14ac:dyDescent="0.2"/>
    <row r="61655" ht="12.75" hidden="1" customHeight="1" x14ac:dyDescent="0.2"/>
    <row r="61656" ht="12.75" hidden="1" customHeight="1" x14ac:dyDescent="0.2"/>
    <row r="61657" ht="12.75" hidden="1" customHeight="1" x14ac:dyDescent="0.2"/>
    <row r="61658" ht="12.75" hidden="1" customHeight="1" x14ac:dyDescent="0.2"/>
    <row r="61659" ht="12.75" hidden="1" customHeight="1" x14ac:dyDescent="0.2"/>
    <row r="61660" ht="12.75" hidden="1" customHeight="1" x14ac:dyDescent="0.2"/>
    <row r="61661" ht="12.75" hidden="1" customHeight="1" x14ac:dyDescent="0.2"/>
    <row r="61662" ht="12.75" hidden="1" customHeight="1" x14ac:dyDescent="0.2"/>
    <row r="61663" ht="12.75" hidden="1" customHeight="1" x14ac:dyDescent="0.2"/>
    <row r="61664" ht="12.75" hidden="1" customHeight="1" x14ac:dyDescent="0.2"/>
    <row r="61665" ht="12.75" hidden="1" customHeight="1" x14ac:dyDescent="0.2"/>
    <row r="61666" ht="12.75" hidden="1" customHeight="1" x14ac:dyDescent="0.2"/>
    <row r="61667" ht="12.75" hidden="1" customHeight="1" x14ac:dyDescent="0.2"/>
    <row r="61668" ht="12.75" hidden="1" customHeight="1" x14ac:dyDescent="0.2"/>
    <row r="61669" ht="12.75" hidden="1" customHeight="1" x14ac:dyDescent="0.2"/>
    <row r="61670" ht="12.75" hidden="1" customHeight="1" x14ac:dyDescent="0.2"/>
    <row r="61671" ht="12.75" hidden="1" customHeight="1" x14ac:dyDescent="0.2"/>
    <row r="61672" ht="12.75" hidden="1" customHeight="1" x14ac:dyDescent="0.2"/>
    <row r="61673" ht="12.75" hidden="1" customHeight="1" x14ac:dyDescent="0.2"/>
    <row r="61674" ht="12.75" hidden="1" customHeight="1" x14ac:dyDescent="0.2"/>
    <row r="61675" ht="12.75" hidden="1" customHeight="1" x14ac:dyDescent="0.2"/>
    <row r="61676" ht="12.75" hidden="1" customHeight="1" x14ac:dyDescent="0.2"/>
    <row r="61677" ht="12.75" hidden="1" customHeight="1" x14ac:dyDescent="0.2"/>
    <row r="61678" ht="12.75" hidden="1" customHeight="1" x14ac:dyDescent="0.2"/>
    <row r="61679" ht="12.75" hidden="1" customHeight="1" x14ac:dyDescent="0.2"/>
    <row r="61680" ht="12.75" hidden="1" customHeight="1" x14ac:dyDescent="0.2"/>
    <row r="61681" ht="12.75" hidden="1" customHeight="1" x14ac:dyDescent="0.2"/>
    <row r="61682" ht="12.75" hidden="1" customHeight="1" x14ac:dyDescent="0.2"/>
    <row r="61683" ht="12.75" hidden="1" customHeight="1" x14ac:dyDescent="0.2"/>
    <row r="61684" ht="12.75" hidden="1" customHeight="1" x14ac:dyDescent="0.2"/>
    <row r="61685" ht="12.75" hidden="1" customHeight="1" x14ac:dyDescent="0.2"/>
    <row r="61686" ht="12.75" hidden="1" customHeight="1" x14ac:dyDescent="0.2"/>
    <row r="61687" ht="12.75" hidden="1" customHeight="1" x14ac:dyDescent="0.2"/>
    <row r="61688" ht="12.75" hidden="1" customHeight="1" x14ac:dyDescent="0.2"/>
    <row r="61689" ht="12.75" hidden="1" customHeight="1" x14ac:dyDescent="0.2"/>
    <row r="61690" ht="12.75" hidden="1" customHeight="1" x14ac:dyDescent="0.2"/>
    <row r="61691" ht="12.75" hidden="1" customHeight="1" x14ac:dyDescent="0.2"/>
    <row r="61692" ht="12.75" hidden="1" customHeight="1" x14ac:dyDescent="0.2"/>
    <row r="61693" ht="12.75" hidden="1" customHeight="1" x14ac:dyDescent="0.2"/>
    <row r="61694" ht="12.75" hidden="1" customHeight="1" x14ac:dyDescent="0.2"/>
    <row r="61695" ht="12.75" hidden="1" customHeight="1" x14ac:dyDescent="0.2"/>
    <row r="61696" ht="12.75" hidden="1" customHeight="1" x14ac:dyDescent="0.2"/>
    <row r="61697" ht="12.75" hidden="1" customHeight="1" x14ac:dyDescent="0.2"/>
    <row r="61698" ht="12.75" hidden="1" customHeight="1" x14ac:dyDescent="0.2"/>
    <row r="61699" ht="12.75" hidden="1" customHeight="1" x14ac:dyDescent="0.2"/>
    <row r="61700" ht="12.75" hidden="1" customHeight="1" x14ac:dyDescent="0.2"/>
    <row r="61701" ht="12.75" hidden="1" customHeight="1" x14ac:dyDescent="0.2"/>
    <row r="61702" ht="12.75" hidden="1" customHeight="1" x14ac:dyDescent="0.2"/>
    <row r="61703" ht="12.75" hidden="1" customHeight="1" x14ac:dyDescent="0.2"/>
    <row r="61704" ht="12.75" hidden="1" customHeight="1" x14ac:dyDescent="0.2"/>
    <row r="61705" ht="12.75" hidden="1" customHeight="1" x14ac:dyDescent="0.2"/>
    <row r="61706" ht="12.75" hidden="1" customHeight="1" x14ac:dyDescent="0.2"/>
    <row r="61707" ht="12.75" hidden="1" customHeight="1" x14ac:dyDescent="0.2"/>
    <row r="61708" ht="12.75" hidden="1" customHeight="1" x14ac:dyDescent="0.2"/>
    <row r="61709" ht="12.75" hidden="1" customHeight="1" x14ac:dyDescent="0.2"/>
    <row r="61710" ht="12.75" hidden="1" customHeight="1" x14ac:dyDescent="0.2"/>
    <row r="61711" ht="12.75" hidden="1" customHeight="1" x14ac:dyDescent="0.2"/>
    <row r="61712" ht="12.75" hidden="1" customHeight="1" x14ac:dyDescent="0.2"/>
    <row r="61713" ht="12.75" hidden="1" customHeight="1" x14ac:dyDescent="0.2"/>
    <row r="61714" ht="12.75" hidden="1" customHeight="1" x14ac:dyDescent="0.2"/>
    <row r="61715" ht="12.75" hidden="1" customHeight="1" x14ac:dyDescent="0.2"/>
    <row r="61716" ht="12.75" hidden="1" customHeight="1" x14ac:dyDescent="0.2"/>
    <row r="61717" ht="12.75" hidden="1" customHeight="1" x14ac:dyDescent="0.2"/>
    <row r="61718" ht="12.75" hidden="1" customHeight="1" x14ac:dyDescent="0.2"/>
    <row r="61719" ht="12.75" hidden="1" customHeight="1" x14ac:dyDescent="0.2"/>
    <row r="61720" ht="12.75" hidden="1" customHeight="1" x14ac:dyDescent="0.2"/>
    <row r="61721" ht="12.75" hidden="1" customHeight="1" x14ac:dyDescent="0.2"/>
    <row r="61722" ht="12.75" hidden="1" customHeight="1" x14ac:dyDescent="0.2"/>
    <row r="61723" ht="12.75" hidden="1" customHeight="1" x14ac:dyDescent="0.2"/>
    <row r="61724" ht="12.75" hidden="1" customHeight="1" x14ac:dyDescent="0.2"/>
    <row r="61725" ht="12.75" hidden="1" customHeight="1" x14ac:dyDescent="0.2"/>
    <row r="61726" ht="12.75" hidden="1" customHeight="1" x14ac:dyDescent="0.2"/>
    <row r="61727" ht="12.75" hidden="1" customHeight="1" x14ac:dyDescent="0.2"/>
    <row r="61728" ht="12.75" hidden="1" customHeight="1" x14ac:dyDescent="0.2"/>
    <row r="61729" ht="12.75" hidden="1" customHeight="1" x14ac:dyDescent="0.2"/>
    <row r="61730" ht="12.75" hidden="1" customHeight="1" x14ac:dyDescent="0.2"/>
    <row r="61731" ht="12.75" hidden="1" customHeight="1" x14ac:dyDescent="0.2"/>
    <row r="61732" ht="12.75" hidden="1" customHeight="1" x14ac:dyDescent="0.2"/>
    <row r="61733" ht="12.75" hidden="1" customHeight="1" x14ac:dyDescent="0.2"/>
    <row r="61734" ht="12.75" hidden="1" customHeight="1" x14ac:dyDescent="0.2"/>
    <row r="61735" ht="12.75" hidden="1" customHeight="1" x14ac:dyDescent="0.2"/>
    <row r="61736" ht="12.75" hidden="1" customHeight="1" x14ac:dyDescent="0.2"/>
    <row r="61737" ht="12.75" hidden="1" customHeight="1" x14ac:dyDescent="0.2"/>
    <row r="61738" ht="12.75" hidden="1" customHeight="1" x14ac:dyDescent="0.2"/>
    <row r="61739" ht="12.75" hidden="1" customHeight="1" x14ac:dyDescent="0.2"/>
    <row r="61740" ht="12.75" hidden="1" customHeight="1" x14ac:dyDescent="0.2"/>
    <row r="61741" ht="12.75" hidden="1" customHeight="1" x14ac:dyDescent="0.2"/>
    <row r="61742" ht="12.75" hidden="1" customHeight="1" x14ac:dyDescent="0.2"/>
    <row r="61743" ht="12.75" hidden="1" customHeight="1" x14ac:dyDescent="0.2"/>
    <row r="61744" ht="12.75" hidden="1" customHeight="1" x14ac:dyDescent="0.2"/>
    <row r="61745" ht="12.75" hidden="1" customHeight="1" x14ac:dyDescent="0.2"/>
    <row r="61746" ht="12.75" hidden="1" customHeight="1" x14ac:dyDescent="0.2"/>
    <row r="61747" ht="12.75" hidden="1" customHeight="1" x14ac:dyDescent="0.2"/>
    <row r="61748" ht="12.75" hidden="1" customHeight="1" x14ac:dyDescent="0.2"/>
    <row r="61749" ht="12.75" hidden="1" customHeight="1" x14ac:dyDescent="0.2"/>
    <row r="61750" ht="12.75" hidden="1" customHeight="1" x14ac:dyDescent="0.2"/>
    <row r="61751" ht="12.75" hidden="1" customHeight="1" x14ac:dyDescent="0.2"/>
    <row r="61752" ht="12.75" hidden="1" customHeight="1" x14ac:dyDescent="0.2"/>
    <row r="61753" ht="12.75" hidden="1" customHeight="1" x14ac:dyDescent="0.2"/>
    <row r="61754" ht="12.75" hidden="1" customHeight="1" x14ac:dyDescent="0.2"/>
    <row r="61755" ht="12.75" hidden="1" customHeight="1" x14ac:dyDescent="0.2"/>
    <row r="61756" ht="12.75" hidden="1" customHeight="1" x14ac:dyDescent="0.2"/>
    <row r="61757" ht="12.75" hidden="1" customHeight="1" x14ac:dyDescent="0.2"/>
    <row r="61758" ht="12.75" hidden="1" customHeight="1" x14ac:dyDescent="0.2"/>
    <row r="61759" ht="12.75" hidden="1" customHeight="1" x14ac:dyDescent="0.2"/>
    <row r="61760" ht="12.75" hidden="1" customHeight="1" x14ac:dyDescent="0.2"/>
    <row r="61761" ht="12.75" hidden="1" customHeight="1" x14ac:dyDescent="0.2"/>
    <row r="61762" ht="12.75" hidden="1" customHeight="1" x14ac:dyDescent="0.2"/>
    <row r="61763" ht="12.75" hidden="1" customHeight="1" x14ac:dyDescent="0.2"/>
    <row r="61764" ht="12.75" hidden="1" customHeight="1" x14ac:dyDescent="0.2"/>
    <row r="61765" ht="12.75" hidden="1" customHeight="1" x14ac:dyDescent="0.2"/>
    <row r="61766" ht="12.75" hidden="1" customHeight="1" x14ac:dyDescent="0.2"/>
    <row r="61767" ht="12.75" hidden="1" customHeight="1" x14ac:dyDescent="0.2"/>
    <row r="61768" ht="12.75" hidden="1" customHeight="1" x14ac:dyDescent="0.2"/>
    <row r="61769" ht="12.75" hidden="1" customHeight="1" x14ac:dyDescent="0.2"/>
    <row r="61770" ht="12.75" hidden="1" customHeight="1" x14ac:dyDescent="0.2"/>
    <row r="61771" ht="12.75" hidden="1" customHeight="1" x14ac:dyDescent="0.2"/>
    <row r="61772" ht="12.75" hidden="1" customHeight="1" x14ac:dyDescent="0.2"/>
    <row r="61773" ht="12.75" hidden="1" customHeight="1" x14ac:dyDescent="0.2"/>
    <row r="61774" ht="12.75" hidden="1" customHeight="1" x14ac:dyDescent="0.2"/>
    <row r="61775" ht="12.75" hidden="1" customHeight="1" x14ac:dyDescent="0.2"/>
    <row r="61776" ht="12.75" hidden="1" customHeight="1" x14ac:dyDescent="0.2"/>
    <row r="61777" ht="12.75" hidden="1" customHeight="1" x14ac:dyDescent="0.2"/>
    <row r="61778" ht="12.75" hidden="1" customHeight="1" x14ac:dyDescent="0.2"/>
    <row r="61779" ht="12.75" hidden="1" customHeight="1" x14ac:dyDescent="0.2"/>
    <row r="61780" ht="12.75" hidden="1" customHeight="1" x14ac:dyDescent="0.2"/>
    <row r="61781" ht="12.75" hidden="1" customHeight="1" x14ac:dyDescent="0.2"/>
    <row r="61782" ht="12.75" hidden="1" customHeight="1" x14ac:dyDescent="0.2"/>
    <row r="61783" ht="12.75" hidden="1" customHeight="1" x14ac:dyDescent="0.2"/>
    <row r="61784" ht="12.75" hidden="1" customHeight="1" x14ac:dyDescent="0.2"/>
    <row r="61785" ht="12.75" hidden="1" customHeight="1" x14ac:dyDescent="0.2"/>
    <row r="61786" ht="12.75" hidden="1" customHeight="1" x14ac:dyDescent="0.2"/>
    <row r="61787" ht="12.75" hidden="1" customHeight="1" x14ac:dyDescent="0.2"/>
    <row r="61788" ht="12.75" hidden="1" customHeight="1" x14ac:dyDescent="0.2"/>
    <row r="61789" ht="12.75" hidden="1" customHeight="1" x14ac:dyDescent="0.2"/>
    <row r="61790" ht="12.75" hidden="1" customHeight="1" x14ac:dyDescent="0.2"/>
    <row r="61791" ht="12.75" hidden="1" customHeight="1" x14ac:dyDescent="0.2"/>
    <row r="61792" ht="12.75" hidden="1" customHeight="1" x14ac:dyDescent="0.2"/>
    <row r="61793" ht="12.75" hidden="1" customHeight="1" x14ac:dyDescent="0.2"/>
    <row r="61794" ht="12.75" hidden="1" customHeight="1" x14ac:dyDescent="0.2"/>
    <row r="61795" ht="12.75" hidden="1" customHeight="1" x14ac:dyDescent="0.2"/>
    <row r="61796" ht="12.75" hidden="1" customHeight="1" x14ac:dyDescent="0.2"/>
    <row r="61797" ht="12.75" hidden="1" customHeight="1" x14ac:dyDescent="0.2"/>
    <row r="61798" ht="12.75" hidden="1" customHeight="1" x14ac:dyDescent="0.2"/>
    <row r="61799" ht="12.75" hidden="1" customHeight="1" x14ac:dyDescent="0.2"/>
    <row r="61800" ht="12.75" hidden="1" customHeight="1" x14ac:dyDescent="0.2"/>
    <row r="61801" ht="12.75" hidden="1" customHeight="1" x14ac:dyDescent="0.2"/>
    <row r="61802" ht="12.75" hidden="1" customHeight="1" x14ac:dyDescent="0.2"/>
    <row r="61803" ht="12.75" hidden="1" customHeight="1" x14ac:dyDescent="0.2"/>
    <row r="61804" ht="12.75" hidden="1" customHeight="1" x14ac:dyDescent="0.2"/>
    <row r="61805" ht="12.75" hidden="1" customHeight="1" x14ac:dyDescent="0.2"/>
    <row r="61806" ht="12.75" hidden="1" customHeight="1" x14ac:dyDescent="0.2"/>
    <row r="61807" ht="12.75" hidden="1" customHeight="1" x14ac:dyDescent="0.2"/>
    <row r="61808" ht="12.75" hidden="1" customHeight="1" x14ac:dyDescent="0.2"/>
    <row r="61809" ht="12.75" hidden="1" customHeight="1" x14ac:dyDescent="0.2"/>
    <row r="61810" ht="12.75" hidden="1" customHeight="1" x14ac:dyDescent="0.2"/>
    <row r="61811" ht="12.75" hidden="1" customHeight="1" x14ac:dyDescent="0.2"/>
    <row r="61812" ht="12.75" hidden="1" customHeight="1" x14ac:dyDescent="0.2"/>
    <row r="61813" ht="12.75" hidden="1" customHeight="1" x14ac:dyDescent="0.2"/>
    <row r="61814" ht="12.75" hidden="1" customHeight="1" x14ac:dyDescent="0.2"/>
    <row r="61815" ht="12.75" hidden="1" customHeight="1" x14ac:dyDescent="0.2"/>
    <row r="61816" ht="12.75" hidden="1" customHeight="1" x14ac:dyDescent="0.2"/>
    <row r="61817" ht="12.75" hidden="1" customHeight="1" x14ac:dyDescent="0.2"/>
    <row r="61818" ht="12.75" hidden="1" customHeight="1" x14ac:dyDescent="0.2"/>
    <row r="61819" ht="12.75" hidden="1" customHeight="1" x14ac:dyDescent="0.2"/>
    <row r="61820" ht="12.75" hidden="1" customHeight="1" x14ac:dyDescent="0.2"/>
    <row r="61821" ht="12.75" hidden="1" customHeight="1" x14ac:dyDescent="0.2"/>
    <row r="61822" ht="12.75" hidden="1" customHeight="1" x14ac:dyDescent="0.2"/>
    <row r="61823" ht="12.75" hidden="1" customHeight="1" x14ac:dyDescent="0.2"/>
    <row r="61824" ht="12.75" hidden="1" customHeight="1" x14ac:dyDescent="0.2"/>
    <row r="61825" ht="12.75" hidden="1" customHeight="1" x14ac:dyDescent="0.2"/>
    <row r="61826" ht="12.75" hidden="1" customHeight="1" x14ac:dyDescent="0.2"/>
    <row r="61827" ht="12.75" hidden="1" customHeight="1" x14ac:dyDescent="0.2"/>
    <row r="61828" ht="12.75" hidden="1" customHeight="1" x14ac:dyDescent="0.2"/>
    <row r="61829" ht="12.75" hidden="1" customHeight="1" x14ac:dyDescent="0.2"/>
    <row r="61830" ht="12.75" hidden="1" customHeight="1" x14ac:dyDescent="0.2"/>
    <row r="61831" ht="12.75" hidden="1" customHeight="1" x14ac:dyDescent="0.2"/>
    <row r="61832" ht="12.75" hidden="1" customHeight="1" x14ac:dyDescent="0.2"/>
    <row r="61833" ht="12.75" hidden="1" customHeight="1" x14ac:dyDescent="0.2"/>
    <row r="61834" ht="12.75" hidden="1" customHeight="1" x14ac:dyDescent="0.2"/>
    <row r="61835" ht="12.75" hidden="1" customHeight="1" x14ac:dyDescent="0.2"/>
    <row r="61836" ht="12.75" hidden="1" customHeight="1" x14ac:dyDescent="0.2"/>
    <row r="61837" ht="12.75" hidden="1" customHeight="1" x14ac:dyDescent="0.2"/>
    <row r="61838" ht="12.75" hidden="1" customHeight="1" x14ac:dyDescent="0.2"/>
    <row r="61839" ht="12.75" hidden="1" customHeight="1" x14ac:dyDescent="0.2"/>
    <row r="61840" ht="12.75" hidden="1" customHeight="1" x14ac:dyDescent="0.2"/>
    <row r="61841" ht="12.75" hidden="1" customHeight="1" x14ac:dyDescent="0.2"/>
    <row r="61842" ht="12.75" hidden="1" customHeight="1" x14ac:dyDescent="0.2"/>
    <row r="61843" ht="12.75" hidden="1" customHeight="1" x14ac:dyDescent="0.2"/>
    <row r="61844" ht="12.75" hidden="1" customHeight="1" x14ac:dyDescent="0.2"/>
    <row r="61845" ht="12.75" hidden="1" customHeight="1" x14ac:dyDescent="0.2"/>
    <row r="61846" ht="12.75" hidden="1" customHeight="1" x14ac:dyDescent="0.2"/>
    <row r="61847" ht="12.75" hidden="1" customHeight="1" x14ac:dyDescent="0.2"/>
    <row r="61848" ht="12.75" hidden="1" customHeight="1" x14ac:dyDescent="0.2"/>
    <row r="61849" ht="12.75" hidden="1" customHeight="1" x14ac:dyDescent="0.2"/>
    <row r="61850" ht="12.75" hidden="1" customHeight="1" x14ac:dyDescent="0.2"/>
    <row r="61851" ht="12.75" hidden="1" customHeight="1" x14ac:dyDescent="0.2"/>
    <row r="61852" ht="12.75" hidden="1" customHeight="1" x14ac:dyDescent="0.2"/>
    <row r="61853" ht="12.75" hidden="1" customHeight="1" x14ac:dyDescent="0.2"/>
    <row r="61854" ht="12.75" hidden="1" customHeight="1" x14ac:dyDescent="0.2"/>
    <row r="61855" ht="12.75" hidden="1" customHeight="1" x14ac:dyDescent="0.2"/>
    <row r="61856" ht="12.75" hidden="1" customHeight="1" x14ac:dyDescent="0.2"/>
    <row r="61857" ht="12.75" hidden="1" customHeight="1" x14ac:dyDescent="0.2"/>
    <row r="61858" ht="12.75" hidden="1" customHeight="1" x14ac:dyDescent="0.2"/>
    <row r="61859" ht="12.75" hidden="1" customHeight="1" x14ac:dyDescent="0.2"/>
    <row r="61860" ht="12.75" hidden="1" customHeight="1" x14ac:dyDescent="0.2"/>
    <row r="61861" ht="12.75" hidden="1" customHeight="1" x14ac:dyDescent="0.2"/>
    <row r="61862" ht="12.75" hidden="1" customHeight="1" x14ac:dyDescent="0.2"/>
    <row r="61863" ht="12.75" hidden="1" customHeight="1" x14ac:dyDescent="0.2"/>
    <row r="61864" ht="12.75" hidden="1" customHeight="1" x14ac:dyDescent="0.2"/>
    <row r="61865" ht="12.75" hidden="1" customHeight="1" x14ac:dyDescent="0.2"/>
    <row r="61866" ht="12.75" hidden="1" customHeight="1" x14ac:dyDescent="0.2"/>
    <row r="61867" ht="12.75" hidden="1" customHeight="1" x14ac:dyDescent="0.2"/>
    <row r="61868" ht="12.75" hidden="1" customHeight="1" x14ac:dyDescent="0.2"/>
    <row r="61869" ht="12.75" hidden="1" customHeight="1" x14ac:dyDescent="0.2"/>
    <row r="61870" ht="12.75" hidden="1" customHeight="1" x14ac:dyDescent="0.2"/>
    <row r="61871" ht="12.75" hidden="1" customHeight="1" x14ac:dyDescent="0.2"/>
    <row r="61872" ht="12.75" hidden="1" customHeight="1" x14ac:dyDescent="0.2"/>
    <row r="61873" ht="12.75" hidden="1" customHeight="1" x14ac:dyDescent="0.2"/>
    <row r="61874" ht="12.75" hidden="1" customHeight="1" x14ac:dyDescent="0.2"/>
    <row r="61875" ht="12.75" hidden="1" customHeight="1" x14ac:dyDescent="0.2"/>
    <row r="61876" ht="12.75" hidden="1" customHeight="1" x14ac:dyDescent="0.2"/>
    <row r="61877" ht="12.75" hidden="1" customHeight="1" x14ac:dyDescent="0.2"/>
    <row r="61878" ht="12.75" hidden="1" customHeight="1" x14ac:dyDescent="0.2"/>
    <row r="61879" ht="12.75" hidden="1" customHeight="1" x14ac:dyDescent="0.2"/>
    <row r="61880" ht="12.75" hidden="1" customHeight="1" x14ac:dyDescent="0.2"/>
    <row r="61881" ht="12.75" hidden="1" customHeight="1" x14ac:dyDescent="0.2"/>
    <row r="61882" ht="12.75" hidden="1" customHeight="1" x14ac:dyDescent="0.2"/>
    <row r="61883" ht="12.75" hidden="1" customHeight="1" x14ac:dyDescent="0.2"/>
    <row r="61884" ht="12.75" hidden="1" customHeight="1" x14ac:dyDescent="0.2"/>
    <row r="61885" ht="12.75" hidden="1" customHeight="1" x14ac:dyDescent="0.2"/>
    <row r="61886" ht="12.75" hidden="1" customHeight="1" x14ac:dyDescent="0.2"/>
    <row r="61887" ht="12.75" hidden="1" customHeight="1" x14ac:dyDescent="0.2"/>
    <row r="61888" ht="12.75" hidden="1" customHeight="1" x14ac:dyDescent="0.2"/>
    <row r="61889" ht="12.75" hidden="1" customHeight="1" x14ac:dyDescent="0.2"/>
    <row r="61890" ht="12.75" hidden="1" customHeight="1" x14ac:dyDescent="0.2"/>
    <row r="61891" ht="12.75" hidden="1" customHeight="1" x14ac:dyDescent="0.2"/>
    <row r="61892" ht="12.75" hidden="1" customHeight="1" x14ac:dyDescent="0.2"/>
    <row r="61893" ht="12.75" hidden="1" customHeight="1" x14ac:dyDescent="0.2"/>
    <row r="61894" ht="12.75" hidden="1" customHeight="1" x14ac:dyDescent="0.2"/>
    <row r="61895" ht="12.75" hidden="1" customHeight="1" x14ac:dyDescent="0.2"/>
    <row r="61896" ht="12.75" hidden="1" customHeight="1" x14ac:dyDescent="0.2"/>
    <row r="61897" ht="12.75" hidden="1" customHeight="1" x14ac:dyDescent="0.2"/>
    <row r="61898" ht="12.75" hidden="1" customHeight="1" x14ac:dyDescent="0.2"/>
    <row r="61899" ht="12.75" hidden="1" customHeight="1" x14ac:dyDescent="0.2"/>
    <row r="61900" ht="12.75" hidden="1" customHeight="1" x14ac:dyDescent="0.2"/>
    <row r="61901" ht="12.75" hidden="1" customHeight="1" x14ac:dyDescent="0.2"/>
    <row r="61902" ht="12.75" hidden="1" customHeight="1" x14ac:dyDescent="0.2"/>
    <row r="61903" ht="12.75" hidden="1" customHeight="1" x14ac:dyDescent="0.2"/>
    <row r="61904" ht="12.75" hidden="1" customHeight="1" x14ac:dyDescent="0.2"/>
    <row r="61905" ht="12.75" hidden="1" customHeight="1" x14ac:dyDescent="0.2"/>
    <row r="61906" ht="12.75" hidden="1" customHeight="1" x14ac:dyDescent="0.2"/>
    <row r="61907" ht="12.75" hidden="1" customHeight="1" x14ac:dyDescent="0.2"/>
    <row r="61908" ht="12.75" hidden="1" customHeight="1" x14ac:dyDescent="0.2"/>
    <row r="61909" ht="12.75" hidden="1" customHeight="1" x14ac:dyDescent="0.2"/>
    <row r="61910" ht="12.75" hidden="1" customHeight="1" x14ac:dyDescent="0.2"/>
    <row r="61911" ht="12.75" hidden="1" customHeight="1" x14ac:dyDescent="0.2"/>
    <row r="61912" ht="12.75" hidden="1" customHeight="1" x14ac:dyDescent="0.2"/>
    <row r="61913" ht="12.75" hidden="1" customHeight="1" x14ac:dyDescent="0.2"/>
    <row r="61914" ht="12.75" hidden="1" customHeight="1" x14ac:dyDescent="0.2"/>
    <row r="61915" ht="12.75" hidden="1" customHeight="1" x14ac:dyDescent="0.2"/>
    <row r="61916" ht="12.75" hidden="1" customHeight="1" x14ac:dyDescent="0.2"/>
    <row r="61917" ht="12.75" hidden="1" customHeight="1" x14ac:dyDescent="0.2"/>
    <row r="61918" ht="12.75" hidden="1" customHeight="1" x14ac:dyDescent="0.2"/>
    <row r="61919" ht="12.75" hidden="1" customHeight="1" x14ac:dyDescent="0.2"/>
    <row r="61920" ht="12.75" hidden="1" customHeight="1" x14ac:dyDescent="0.2"/>
    <row r="61921" ht="12.75" hidden="1" customHeight="1" x14ac:dyDescent="0.2"/>
    <row r="61922" ht="12.75" hidden="1" customHeight="1" x14ac:dyDescent="0.2"/>
    <row r="61923" ht="12.75" hidden="1" customHeight="1" x14ac:dyDescent="0.2"/>
    <row r="61924" ht="12.75" hidden="1" customHeight="1" x14ac:dyDescent="0.2"/>
    <row r="61925" ht="12.75" hidden="1" customHeight="1" x14ac:dyDescent="0.2"/>
    <row r="61926" ht="12.75" hidden="1" customHeight="1" x14ac:dyDescent="0.2"/>
    <row r="61927" ht="12.75" hidden="1" customHeight="1" x14ac:dyDescent="0.2"/>
    <row r="61928" ht="12.75" hidden="1" customHeight="1" x14ac:dyDescent="0.2"/>
    <row r="61929" ht="12.75" hidden="1" customHeight="1" x14ac:dyDescent="0.2"/>
    <row r="61930" ht="12.75" hidden="1" customHeight="1" x14ac:dyDescent="0.2"/>
    <row r="61931" ht="12.75" hidden="1" customHeight="1" x14ac:dyDescent="0.2"/>
    <row r="61932" ht="12.75" hidden="1" customHeight="1" x14ac:dyDescent="0.2"/>
    <row r="61933" ht="12.75" hidden="1" customHeight="1" x14ac:dyDescent="0.2"/>
    <row r="61934" ht="12.75" hidden="1" customHeight="1" x14ac:dyDescent="0.2"/>
    <row r="61935" ht="12.75" hidden="1" customHeight="1" x14ac:dyDescent="0.2"/>
    <row r="61936" ht="12.75" hidden="1" customHeight="1" x14ac:dyDescent="0.2"/>
    <row r="61937" ht="12.75" hidden="1" customHeight="1" x14ac:dyDescent="0.2"/>
    <row r="61938" ht="12.75" hidden="1" customHeight="1" x14ac:dyDescent="0.2"/>
    <row r="61939" ht="12.75" hidden="1" customHeight="1" x14ac:dyDescent="0.2"/>
    <row r="61940" ht="12.75" hidden="1" customHeight="1" x14ac:dyDescent="0.2"/>
    <row r="61941" ht="12.75" hidden="1" customHeight="1" x14ac:dyDescent="0.2"/>
    <row r="61942" ht="12.75" hidden="1" customHeight="1" x14ac:dyDescent="0.2"/>
    <row r="61943" ht="12.75" hidden="1" customHeight="1" x14ac:dyDescent="0.2"/>
    <row r="61944" ht="12.75" hidden="1" customHeight="1" x14ac:dyDescent="0.2"/>
    <row r="61945" ht="12.75" hidden="1" customHeight="1" x14ac:dyDescent="0.2"/>
    <row r="61946" ht="12.75" hidden="1" customHeight="1" x14ac:dyDescent="0.2"/>
    <row r="61947" ht="12.75" hidden="1" customHeight="1" x14ac:dyDescent="0.2"/>
    <row r="61948" ht="12.75" hidden="1" customHeight="1" x14ac:dyDescent="0.2"/>
    <row r="61949" ht="12.75" hidden="1" customHeight="1" x14ac:dyDescent="0.2"/>
    <row r="61950" ht="12.75" hidden="1" customHeight="1" x14ac:dyDescent="0.2"/>
    <row r="61951" ht="12.75" hidden="1" customHeight="1" x14ac:dyDescent="0.2"/>
    <row r="61952" ht="12.75" hidden="1" customHeight="1" x14ac:dyDescent="0.2"/>
    <row r="61953" ht="12.75" hidden="1" customHeight="1" x14ac:dyDescent="0.2"/>
    <row r="61954" ht="12.75" hidden="1" customHeight="1" x14ac:dyDescent="0.2"/>
    <row r="61955" ht="12.75" hidden="1" customHeight="1" x14ac:dyDescent="0.2"/>
    <row r="61956" ht="12.75" hidden="1" customHeight="1" x14ac:dyDescent="0.2"/>
    <row r="61957" ht="12.75" hidden="1" customHeight="1" x14ac:dyDescent="0.2"/>
    <row r="61958" ht="12.75" hidden="1" customHeight="1" x14ac:dyDescent="0.2"/>
    <row r="61959" ht="12.75" hidden="1" customHeight="1" x14ac:dyDescent="0.2"/>
    <row r="61960" ht="12.75" hidden="1" customHeight="1" x14ac:dyDescent="0.2"/>
    <row r="61961" ht="12.75" hidden="1" customHeight="1" x14ac:dyDescent="0.2"/>
    <row r="61962" ht="12.75" hidden="1" customHeight="1" x14ac:dyDescent="0.2"/>
    <row r="61963" ht="12.75" hidden="1" customHeight="1" x14ac:dyDescent="0.2"/>
    <row r="61964" ht="12.75" hidden="1" customHeight="1" x14ac:dyDescent="0.2"/>
    <row r="61965" ht="12.75" hidden="1" customHeight="1" x14ac:dyDescent="0.2"/>
    <row r="61966" ht="12.75" hidden="1" customHeight="1" x14ac:dyDescent="0.2"/>
    <row r="61967" ht="12.75" hidden="1" customHeight="1" x14ac:dyDescent="0.2"/>
    <row r="61968" ht="12.75" hidden="1" customHeight="1" x14ac:dyDescent="0.2"/>
    <row r="61969" ht="12.75" hidden="1" customHeight="1" x14ac:dyDescent="0.2"/>
    <row r="61970" ht="12.75" hidden="1" customHeight="1" x14ac:dyDescent="0.2"/>
    <row r="61971" ht="12.75" hidden="1" customHeight="1" x14ac:dyDescent="0.2"/>
    <row r="61972" ht="12.75" hidden="1" customHeight="1" x14ac:dyDescent="0.2"/>
    <row r="61973" ht="12.75" hidden="1" customHeight="1" x14ac:dyDescent="0.2"/>
    <row r="61974" ht="12.75" hidden="1" customHeight="1" x14ac:dyDescent="0.2"/>
    <row r="61975" ht="12.75" hidden="1" customHeight="1" x14ac:dyDescent="0.2"/>
    <row r="61976" ht="12.75" hidden="1" customHeight="1" x14ac:dyDescent="0.2"/>
    <row r="61977" ht="12.75" hidden="1" customHeight="1" x14ac:dyDescent="0.2"/>
    <row r="61978" ht="12.75" hidden="1" customHeight="1" x14ac:dyDescent="0.2"/>
    <row r="61979" ht="12.75" hidden="1" customHeight="1" x14ac:dyDescent="0.2"/>
    <row r="61980" ht="12.75" hidden="1" customHeight="1" x14ac:dyDescent="0.2"/>
    <row r="61981" ht="12.75" hidden="1" customHeight="1" x14ac:dyDescent="0.2"/>
    <row r="61982" ht="12.75" hidden="1" customHeight="1" x14ac:dyDescent="0.2"/>
    <row r="61983" ht="12.75" hidden="1" customHeight="1" x14ac:dyDescent="0.2"/>
    <row r="61984" ht="12.75" hidden="1" customHeight="1" x14ac:dyDescent="0.2"/>
    <row r="61985" ht="12.75" hidden="1" customHeight="1" x14ac:dyDescent="0.2"/>
    <row r="61986" ht="12.75" hidden="1" customHeight="1" x14ac:dyDescent="0.2"/>
    <row r="61987" ht="12.75" hidden="1" customHeight="1" x14ac:dyDescent="0.2"/>
    <row r="61988" ht="12.75" hidden="1" customHeight="1" x14ac:dyDescent="0.2"/>
    <row r="61989" ht="12.75" hidden="1" customHeight="1" x14ac:dyDescent="0.2"/>
    <row r="61990" ht="12.75" hidden="1" customHeight="1" x14ac:dyDescent="0.2"/>
    <row r="61991" ht="12.75" hidden="1" customHeight="1" x14ac:dyDescent="0.2"/>
    <row r="61992" ht="12.75" hidden="1" customHeight="1" x14ac:dyDescent="0.2"/>
    <row r="61993" ht="12.75" hidden="1" customHeight="1" x14ac:dyDescent="0.2"/>
    <row r="61994" ht="12.75" hidden="1" customHeight="1" x14ac:dyDescent="0.2"/>
    <row r="61995" ht="12.75" hidden="1" customHeight="1" x14ac:dyDescent="0.2"/>
    <row r="61996" ht="12.75" hidden="1" customHeight="1" x14ac:dyDescent="0.2"/>
    <row r="61997" ht="12.75" hidden="1" customHeight="1" x14ac:dyDescent="0.2"/>
    <row r="61998" ht="12.75" hidden="1" customHeight="1" x14ac:dyDescent="0.2"/>
    <row r="61999" ht="12.75" hidden="1" customHeight="1" x14ac:dyDescent="0.2"/>
    <row r="62000" ht="12.75" hidden="1" customHeight="1" x14ac:dyDescent="0.2"/>
    <row r="62001" ht="12.75" hidden="1" customHeight="1" x14ac:dyDescent="0.2"/>
    <row r="62002" ht="12.75" hidden="1" customHeight="1" x14ac:dyDescent="0.2"/>
    <row r="62003" ht="12.75" hidden="1" customHeight="1" x14ac:dyDescent="0.2"/>
    <row r="62004" ht="12.75" hidden="1" customHeight="1" x14ac:dyDescent="0.2"/>
    <row r="62005" ht="12.75" hidden="1" customHeight="1" x14ac:dyDescent="0.2"/>
    <row r="62006" ht="12.75" hidden="1" customHeight="1" x14ac:dyDescent="0.2"/>
    <row r="62007" ht="12.75" hidden="1" customHeight="1" x14ac:dyDescent="0.2"/>
    <row r="62008" ht="12.75" hidden="1" customHeight="1" x14ac:dyDescent="0.2"/>
    <row r="62009" ht="12.75" hidden="1" customHeight="1" x14ac:dyDescent="0.2"/>
    <row r="62010" ht="12.75" hidden="1" customHeight="1" x14ac:dyDescent="0.2"/>
    <row r="62011" ht="12.75" hidden="1" customHeight="1" x14ac:dyDescent="0.2"/>
    <row r="62012" ht="12.75" hidden="1" customHeight="1" x14ac:dyDescent="0.2"/>
    <row r="62013" ht="12.75" hidden="1" customHeight="1" x14ac:dyDescent="0.2"/>
    <row r="62014" ht="12.75" hidden="1" customHeight="1" x14ac:dyDescent="0.2"/>
    <row r="62015" ht="12.75" hidden="1" customHeight="1" x14ac:dyDescent="0.2"/>
    <row r="62016" ht="12.75" hidden="1" customHeight="1" x14ac:dyDescent="0.2"/>
    <row r="62017" ht="12.75" hidden="1" customHeight="1" x14ac:dyDescent="0.2"/>
    <row r="62018" ht="12.75" hidden="1" customHeight="1" x14ac:dyDescent="0.2"/>
    <row r="62019" ht="12.75" hidden="1" customHeight="1" x14ac:dyDescent="0.2"/>
    <row r="62020" ht="12.75" hidden="1" customHeight="1" x14ac:dyDescent="0.2"/>
    <row r="62021" ht="12.75" hidden="1" customHeight="1" x14ac:dyDescent="0.2"/>
    <row r="62022" ht="12.75" hidden="1" customHeight="1" x14ac:dyDescent="0.2"/>
    <row r="62023" ht="12.75" hidden="1" customHeight="1" x14ac:dyDescent="0.2"/>
    <row r="62024" ht="12.75" hidden="1" customHeight="1" x14ac:dyDescent="0.2"/>
    <row r="62025" ht="12.75" hidden="1" customHeight="1" x14ac:dyDescent="0.2"/>
    <row r="62026" ht="12.75" hidden="1" customHeight="1" x14ac:dyDescent="0.2"/>
    <row r="62027" ht="12.75" hidden="1" customHeight="1" x14ac:dyDescent="0.2"/>
    <row r="62028" ht="12.75" hidden="1" customHeight="1" x14ac:dyDescent="0.2"/>
    <row r="62029" ht="12.75" hidden="1" customHeight="1" x14ac:dyDescent="0.2"/>
    <row r="62030" ht="12.75" hidden="1" customHeight="1" x14ac:dyDescent="0.2"/>
    <row r="62031" ht="12.75" hidden="1" customHeight="1" x14ac:dyDescent="0.2"/>
    <row r="62032" ht="12.75" hidden="1" customHeight="1" x14ac:dyDescent="0.2"/>
    <row r="62033" ht="12.75" hidden="1" customHeight="1" x14ac:dyDescent="0.2"/>
    <row r="62034" ht="12.75" hidden="1" customHeight="1" x14ac:dyDescent="0.2"/>
    <row r="62035" ht="12.75" hidden="1" customHeight="1" x14ac:dyDescent="0.2"/>
    <row r="62036" ht="12.75" hidden="1" customHeight="1" x14ac:dyDescent="0.2"/>
    <row r="62037" ht="12.75" hidden="1" customHeight="1" x14ac:dyDescent="0.2"/>
    <row r="62038" ht="12.75" hidden="1" customHeight="1" x14ac:dyDescent="0.2"/>
    <row r="62039" ht="12.75" hidden="1" customHeight="1" x14ac:dyDescent="0.2"/>
    <row r="62040" ht="12.75" hidden="1" customHeight="1" x14ac:dyDescent="0.2"/>
    <row r="62041" ht="12.75" hidden="1" customHeight="1" x14ac:dyDescent="0.2"/>
    <row r="62042" ht="12.75" hidden="1" customHeight="1" x14ac:dyDescent="0.2"/>
    <row r="62043" ht="12.75" hidden="1" customHeight="1" x14ac:dyDescent="0.2"/>
    <row r="62044" ht="12.75" hidden="1" customHeight="1" x14ac:dyDescent="0.2"/>
    <row r="62045" ht="12.75" hidden="1" customHeight="1" x14ac:dyDescent="0.2"/>
    <row r="62046" ht="12.75" hidden="1" customHeight="1" x14ac:dyDescent="0.2"/>
    <row r="62047" ht="12.75" hidden="1" customHeight="1" x14ac:dyDescent="0.2"/>
    <row r="62048" ht="12.75" hidden="1" customHeight="1" x14ac:dyDescent="0.2"/>
    <row r="62049" ht="12.75" hidden="1" customHeight="1" x14ac:dyDescent="0.2"/>
    <row r="62050" ht="12.75" hidden="1" customHeight="1" x14ac:dyDescent="0.2"/>
    <row r="62051" ht="12.75" hidden="1" customHeight="1" x14ac:dyDescent="0.2"/>
    <row r="62052" ht="12.75" hidden="1" customHeight="1" x14ac:dyDescent="0.2"/>
    <row r="62053" ht="12.75" hidden="1" customHeight="1" x14ac:dyDescent="0.2"/>
    <row r="62054" ht="12.75" hidden="1" customHeight="1" x14ac:dyDescent="0.2"/>
    <row r="62055" ht="12.75" hidden="1" customHeight="1" x14ac:dyDescent="0.2"/>
    <row r="62056" ht="12.75" hidden="1" customHeight="1" x14ac:dyDescent="0.2"/>
    <row r="62057" ht="12.75" hidden="1" customHeight="1" x14ac:dyDescent="0.2"/>
    <row r="62058" ht="12.75" hidden="1" customHeight="1" x14ac:dyDescent="0.2"/>
    <row r="62059" ht="12.75" hidden="1" customHeight="1" x14ac:dyDescent="0.2"/>
    <row r="62060" ht="12.75" hidden="1" customHeight="1" x14ac:dyDescent="0.2"/>
    <row r="62061" ht="12.75" hidden="1" customHeight="1" x14ac:dyDescent="0.2"/>
    <row r="62062" ht="12.75" hidden="1" customHeight="1" x14ac:dyDescent="0.2"/>
    <row r="62063" ht="12.75" hidden="1" customHeight="1" x14ac:dyDescent="0.2"/>
    <row r="62064" ht="12.75" hidden="1" customHeight="1" x14ac:dyDescent="0.2"/>
    <row r="62065" ht="12.75" hidden="1" customHeight="1" x14ac:dyDescent="0.2"/>
    <row r="62066" ht="12.75" hidden="1" customHeight="1" x14ac:dyDescent="0.2"/>
    <row r="62067" ht="12.75" hidden="1" customHeight="1" x14ac:dyDescent="0.2"/>
    <row r="62068" ht="12.75" hidden="1" customHeight="1" x14ac:dyDescent="0.2"/>
    <row r="62069" ht="12.75" hidden="1" customHeight="1" x14ac:dyDescent="0.2"/>
    <row r="62070" ht="12.75" hidden="1" customHeight="1" x14ac:dyDescent="0.2"/>
    <row r="62071" ht="12.75" hidden="1" customHeight="1" x14ac:dyDescent="0.2"/>
    <row r="62072" ht="12.75" hidden="1" customHeight="1" x14ac:dyDescent="0.2"/>
    <row r="62073" ht="12.75" hidden="1" customHeight="1" x14ac:dyDescent="0.2"/>
    <row r="62074" ht="12.75" hidden="1" customHeight="1" x14ac:dyDescent="0.2"/>
    <row r="62075" ht="12.75" hidden="1" customHeight="1" x14ac:dyDescent="0.2"/>
    <row r="62076" ht="12.75" hidden="1" customHeight="1" x14ac:dyDescent="0.2"/>
    <row r="62077" ht="12.75" hidden="1" customHeight="1" x14ac:dyDescent="0.2"/>
    <row r="62078" ht="12.75" hidden="1" customHeight="1" x14ac:dyDescent="0.2"/>
    <row r="62079" ht="12.75" hidden="1" customHeight="1" x14ac:dyDescent="0.2"/>
    <row r="62080" ht="12.75" hidden="1" customHeight="1" x14ac:dyDescent="0.2"/>
    <row r="62081" ht="12.75" hidden="1" customHeight="1" x14ac:dyDescent="0.2"/>
    <row r="62082" ht="12.75" hidden="1" customHeight="1" x14ac:dyDescent="0.2"/>
    <row r="62083" ht="12.75" hidden="1" customHeight="1" x14ac:dyDescent="0.2"/>
    <row r="62084" ht="12.75" hidden="1" customHeight="1" x14ac:dyDescent="0.2"/>
    <row r="62085" ht="12.75" hidden="1" customHeight="1" x14ac:dyDescent="0.2"/>
    <row r="62086" ht="12.75" hidden="1" customHeight="1" x14ac:dyDescent="0.2"/>
    <row r="62087" ht="12.75" hidden="1" customHeight="1" x14ac:dyDescent="0.2"/>
    <row r="62088" ht="12.75" hidden="1" customHeight="1" x14ac:dyDescent="0.2"/>
    <row r="62089" ht="12.75" hidden="1" customHeight="1" x14ac:dyDescent="0.2"/>
    <row r="62090" ht="12.75" hidden="1" customHeight="1" x14ac:dyDescent="0.2"/>
    <row r="62091" ht="12.75" hidden="1" customHeight="1" x14ac:dyDescent="0.2"/>
    <row r="62092" ht="12.75" hidden="1" customHeight="1" x14ac:dyDescent="0.2"/>
    <row r="62093" ht="12.75" hidden="1" customHeight="1" x14ac:dyDescent="0.2"/>
    <row r="62094" ht="12.75" hidden="1" customHeight="1" x14ac:dyDescent="0.2"/>
    <row r="62095" ht="12.75" hidden="1" customHeight="1" x14ac:dyDescent="0.2"/>
    <row r="62096" ht="12.75" hidden="1" customHeight="1" x14ac:dyDescent="0.2"/>
    <row r="62097" ht="12.75" hidden="1" customHeight="1" x14ac:dyDescent="0.2"/>
    <row r="62098" ht="12.75" hidden="1" customHeight="1" x14ac:dyDescent="0.2"/>
    <row r="62099" ht="12.75" hidden="1" customHeight="1" x14ac:dyDescent="0.2"/>
    <row r="62100" ht="12.75" hidden="1" customHeight="1" x14ac:dyDescent="0.2"/>
    <row r="62101" ht="12.75" hidden="1" customHeight="1" x14ac:dyDescent="0.2"/>
    <row r="62102" ht="12.75" hidden="1" customHeight="1" x14ac:dyDescent="0.2"/>
    <row r="62103" ht="12.75" hidden="1" customHeight="1" x14ac:dyDescent="0.2"/>
    <row r="62104" ht="12.75" hidden="1" customHeight="1" x14ac:dyDescent="0.2"/>
    <row r="62105" ht="12.75" hidden="1" customHeight="1" x14ac:dyDescent="0.2"/>
    <row r="62106" ht="12.75" hidden="1" customHeight="1" x14ac:dyDescent="0.2"/>
    <row r="62107" ht="12.75" hidden="1" customHeight="1" x14ac:dyDescent="0.2"/>
    <row r="62108" ht="12.75" hidden="1" customHeight="1" x14ac:dyDescent="0.2"/>
    <row r="62109" ht="12.75" hidden="1" customHeight="1" x14ac:dyDescent="0.2"/>
    <row r="62110" ht="12.75" hidden="1" customHeight="1" x14ac:dyDescent="0.2"/>
    <row r="62111" ht="12.75" hidden="1" customHeight="1" x14ac:dyDescent="0.2"/>
    <row r="62112" ht="12.75" hidden="1" customHeight="1" x14ac:dyDescent="0.2"/>
    <row r="62113" ht="12.75" hidden="1" customHeight="1" x14ac:dyDescent="0.2"/>
    <row r="62114" ht="12.75" hidden="1" customHeight="1" x14ac:dyDescent="0.2"/>
    <row r="62115" ht="12.75" hidden="1" customHeight="1" x14ac:dyDescent="0.2"/>
    <row r="62116" ht="12.75" hidden="1" customHeight="1" x14ac:dyDescent="0.2"/>
    <row r="62117" ht="12.75" hidden="1" customHeight="1" x14ac:dyDescent="0.2"/>
    <row r="62118" ht="12.75" hidden="1" customHeight="1" x14ac:dyDescent="0.2"/>
    <row r="62119" ht="12.75" hidden="1" customHeight="1" x14ac:dyDescent="0.2"/>
    <row r="62120" ht="12.75" hidden="1" customHeight="1" x14ac:dyDescent="0.2"/>
    <row r="62121" ht="12.75" hidden="1" customHeight="1" x14ac:dyDescent="0.2"/>
    <row r="62122" ht="12.75" hidden="1" customHeight="1" x14ac:dyDescent="0.2"/>
    <row r="62123" ht="12.75" hidden="1" customHeight="1" x14ac:dyDescent="0.2"/>
    <row r="62124" ht="12.75" hidden="1" customHeight="1" x14ac:dyDescent="0.2"/>
    <row r="62125" ht="12.75" hidden="1" customHeight="1" x14ac:dyDescent="0.2"/>
    <row r="62126" ht="12.75" hidden="1" customHeight="1" x14ac:dyDescent="0.2"/>
    <row r="62127" ht="12.75" hidden="1" customHeight="1" x14ac:dyDescent="0.2"/>
    <row r="62128" ht="12.75" hidden="1" customHeight="1" x14ac:dyDescent="0.2"/>
    <row r="62129" ht="12.75" hidden="1" customHeight="1" x14ac:dyDescent="0.2"/>
    <row r="62130" ht="12.75" hidden="1" customHeight="1" x14ac:dyDescent="0.2"/>
    <row r="62131" ht="12.75" hidden="1" customHeight="1" x14ac:dyDescent="0.2"/>
    <row r="62132" ht="12.75" hidden="1" customHeight="1" x14ac:dyDescent="0.2"/>
    <row r="62133" ht="12.75" hidden="1" customHeight="1" x14ac:dyDescent="0.2"/>
    <row r="62134" ht="12.75" hidden="1" customHeight="1" x14ac:dyDescent="0.2"/>
    <row r="62135" ht="12.75" hidden="1" customHeight="1" x14ac:dyDescent="0.2"/>
    <row r="62136" ht="12.75" hidden="1" customHeight="1" x14ac:dyDescent="0.2"/>
    <row r="62137" ht="12.75" hidden="1" customHeight="1" x14ac:dyDescent="0.2"/>
    <row r="62138" ht="12.75" hidden="1" customHeight="1" x14ac:dyDescent="0.2"/>
    <row r="62139" ht="12.75" hidden="1" customHeight="1" x14ac:dyDescent="0.2"/>
    <row r="62140" ht="12.75" hidden="1" customHeight="1" x14ac:dyDescent="0.2"/>
    <row r="62141" ht="12.75" hidden="1" customHeight="1" x14ac:dyDescent="0.2"/>
    <row r="62142" ht="12.75" hidden="1" customHeight="1" x14ac:dyDescent="0.2"/>
    <row r="62143" ht="12.75" hidden="1" customHeight="1" x14ac:dyDescent="0.2"/>
    <row r="62144" ht="12.75" hidden="1" customHeight="1" x14ac:dyDescent="0.2"/>
    <row r="62145" ht="12.75" hidden="1" customHeight="1" x14ac:dyDescent="0.2"/>
    <row r="62146" ht="12.75" hidden="1" customHeight="1" x14ac:dyDescent="0.2"/>
    <row r="62147" ht="12.75" hidden="1" customHeight="1" x14ac:dyDescent="0.2"/>
    <row r="62148" ht="12.75" hidden="1" customHeight="1" x14ac:dyDescent="0.2"/>
    <row r="62149" ht="12.75" hidden="1" customHeight="1" x14ac:dyDescent="0.2"/>
    <row r="62150" ht="12.75" hidden="1" customHeight="1" x14ac:dyDescent="0.2"/>
    <row r="62151" ht="12.75" hidden="1" customHeight="1" x14ac:dyDescent="0.2"/>
    <row r="62152" ht="12.75" hidden="1" customHeight="1" x14ac:dyDescent="0.2"/>
    <row r="62153" ht="12.75" hidden="1" customHeight="1" x14ac:dyDescent="0.2"/>
    <row r="62154" ht="12.75" hidden="1" customHeight="1" x14ac:dyDescent="0.2"/>
    <row r="62155" ht="12.75" hidden="1" customHeight="1" x14ac:dyDescent="0.2"/>
    <row r="62156" ht="12.75" hidden="1" customHeight="1" x14ac:dyDescent="0.2"/>
    <row r="62157" ht="12.75" hidden="1" customHeight="1" x14ac:dyDescent="0.2"/>
    <row r="62158" ht="12.75" hidden="1" customHeight="1" x14ac:dyDescent="0.2"/>
    <row r="62159" ht="12.75" hidden="1" customHeight="1" x14ac:dyDescent="0.2"/>
    <row r="62160" ht="12.75" hidden="1" customHeight="1" x14ac:dyDescent="0.2"/>
    <row r="62161" ht="12.75" hidden="1" customHeight="1" x14ac:dyDescent="0.2"/>
    <row r="62162" ht="12.75" hidden="1" customHeight="1" x14ac:dyDescent="0.2"/>
    <row r="62163" ht="12.75" hidden="1" customHeight="1" x14ac:dyDescent="0.2"/>
    <row r="62164" ht="12.75" hidden="1" customHeight="1" x14ac:dyDescent="0.2"/>
    <row r="62165" ht="12.75" hidden="1" customHeight="1" x14ac:dyDescent="0.2"/>
    <row r="62166" ht="12.75" hidden="1" customHeight="1" x14ac:dyDescent="0.2"/>
    <row r="62167" ht="12.75" hidden="1" customHeight="1" x14ac:dyDescent="0.2"/>
    <row r="62168" ht="12.75" hidden="1" customHeight="1" x14ac:dyDescent="0.2"/>
    <row r="62169" ht="12.75" hidden="1" customHeight="1" x14ac:dyDescent="0.2"/>
    <row r="62170" ht="12.75" hidden="1" customHeight="1" x14ac:dyDescent="0.2"/>
    <row r="62171" ht="12.75" hidden="1" customHeight="1" x14ac:dyDescent="0.2"/>
    <row r="62172" ht="12.75" hidden="1" customHeight="1" x14ac:dyDescent="0.2"/>
    <row r="62173" ht="12.75" hidden="1" customHeight="1" x14ac:dyDescent="0.2"/>
    <row r="62174" ht="12.75" hidden="1" customHeight="1" x14ac:dyDescent="0.2"/>
    <row r="62175" ht="12.75" hidden="1" customHeight="1" x14ac:dyDescent="0.2"/>
    <row r="62176" ht="12.75" hidden="1" customHeight="1" x14ac:dyDescent="0.2"/>
    <row r="62177" ht="12.75" hidden="1" customHeight="1" x14ac:dyDescent="0.2"/>
    <row r="62178" ht="12.75" hidden="1" customHeight="1" x14ac:dyDescent="0.2"/>
    <row r="62179" ht="12.75" hidden="1" customHeight="1" x14ac:dyDescent="0.2"/>
    <row r="62180" ht="12.75" hidden="1" customHeight="1" x14ac:dyDescent="0.2"/>
    <row r="62181" ht="12.75" hidden="1" customHeight="1" x14ac:dyDescent="0.2"/>
    <row r="62182" ht="12.75" hidden="1" customHeight="1" x14ac:dyDescent="0.2"/>
    <row r="62183" ht="12.75" hidden="1" customHeight="1" x14ac:dyDescent="0.2"/>
    <row r="62184" ht="12.75" hidden="1" customHeight="1" x14ac:dyDescent="0.2"/>
    <row r="62185" ht="12.75" hidden="1" customHeight="1" x14ac:dyDescent="0.2"/>
    <row r="62186" ht="12.75" hidden="1" customHeight="1" x14ac:dyDescent="0.2"/>
    <row r="62187" ht="12.75" hidden="1" customHeight="1" x14ac:dyDescent="0.2"/>
    <row r="62188" ht="12.75" hidden="1" customHeight="1" x14ac:dyDescent="0.2"/>
    <row r="62189" ht="12.75" hidden="1" customHeight="1" x14ac:dyDescent="0.2"/>
    <row r="62190" ht="12.75" hidden="1" customHeight="1" x14ac:dyDescent="0.2"/>
    <row r="62191" ht="12.75" hidden="1" customHeight="1" x14ac:dyDescent="0.2"/>
    <row r="62192" ht="12.75" hidden="1" customHeight="1" x14ac:dyDescent="0.2"/>
    <row r="62193" ht="12.75" hidden="1" customHeight="1" x14ac:dyDescent="0.2"/>
    <row r="62194" ht="12.75" hidden="1" customHeight="1" x14ac:dyDescent="0.2"/>
    <row r="62195" ht="12.75" hidden="1" customHeight="1" x14ac:dyDescent="0.2"/>
    <row r="62196" ht="12.75" hidden="1" customHeight="1" x14ac:dyDescent="0.2"/>
    <row r="62197" ht="12.75" hidden="1" customHeight="1" x14ac:dyDescent="0.2"/>
    <row r="62198" ht="12.75" hidden="1" customHeight="1" x14ac:dyDescent="0.2"/>
    <row r="62199" ht="12.75" hidden="1" customHeight="1" x14ac:dyDescent="0.2"/>
    <row r="62200" ht="12.75" hidden="1" customHeight="1" x14ac:dyDescent="0.2"/>
    <row r="62201" ht="12.75" hidden="1" customHeight="1" x14ac:dyDescent="0.2"/>
    <row r="62202" ht="12.75" hidden="1" customHeight="1" x14ac:dyDescent="0.2"/>
    <row r="62203" ht="12.75" hidden="1" customHeight="1" x14ac:dyDescent="0.2"/>
    <row r="62204" ht="12.75" hidden="1" customHeight="1" x14ac:dyDescent="0.2"/>
    <row r="62205" ht="12.75" hidden="1" customHeight="1" x14ac:dyDescent="0.2"/>
    <row r="62206" ht="12.75" hidden="1" customHeight="1" x14ac:dyDescent="0.2"/>
    <row r="62207" ht="12.75" hidden="1" customHeight="1" x14ac:dyDescent="0.2"/>
    <row r="62208" ht="12.75" hidden="1" customHeight="1" x14ac:dyDescent="0.2"/>
    <row r="62209" ht="12.75" hidden="1" customHeight="1" x14ac:dyDescent="0.2"/>
    <row r="62210" ht="12.75" hidden="1" customHeight="1" x14ac:dyDescent="0.2"/>
    <row r="62211" ht="12.75" hidden="1" customHeight="1" x14ac:dyDescent="0.2"/>
    <row r="62212" ht="12.75" hidden="1" customHeight="1" x14ac:dyDescent="0.2"/>
    <row r="62213" ht="12.75" hidden="1" customHeight="1" x14ac:dyDescent="0.2"/>
    <row r="62214" ht="12.75" hidden="1" customHeight="1" x14ac:dyDescent="0.2"/>
    <row r="62215" ht="12.75" hidden="1" customHeight="1" x14ac:dyDescent="0.2"/>
    <row r="62216" ht="12.75" hidden="1" customHeight="1" x14ac:dyDescent="0.2"/>
    <row r="62217" ht="12.75" hidden="1" customHeight="1" x14ac:dyDescent="0.2"/>
    <row r="62218" ht="12.75" hidden="1" customHeight="1" x14ac:dyDescent="0.2"/>
    <row r="62219" ht="12.75" hidden="1" customHeight="1" x14ac:dyDescent="0.2"/>
    <row r="62220" ht="12.75" hidden="1" customHeight="1" x14ac:dyDescent="0.2"/>
    <row r="62221" ht="12.75" hidden="1" customHeight="1" x14ac:dyDescent="0.2"/>
    <row r="62222" ht="12.75" hidden="1" customHeight="1" x14ac:dyDescent="0.2"/>
    <row r="62223" ht="12.75" hidden="1" customHeight="1" x14ac:dyDescent="0.2"/>
    <row r="62224" ht="12.75" hidden="1" customHeight="1" x14ac:dyDescent="0.2"/>
    <row r="62225" ht="12.75" hidden="1" customHeight="1" x14ac:dyDescent="0.2"/>
    <row r="62226" ht="12.75" hidden="1" customHeight="1" x14ac:dyDescent="0.2"/>
    <row r="62227" ht="12.75" hidden="1" customHeight="1" x14ac:dyDescent="0.2"/>
    <row r="62228" ht="12.75" hidden="1" customHeight="1" x14ac:dyDescent="0.2"/>
    <row r="62229" ht="12.75" hidden="1" customHeight="1" x14ac:dyDescent="0.2"/>
    <row r="62230" ht="12.75" hidden="1" customHeight="1" x14ac:dyDescent="0.2"/>
    <row r="62231" ht="12.75" hidden="1" customHeight="1" x14ac:dyDescent="0.2"/>
    <row r="62232" ht="12.75" hidden="1" customHeight="1" x14ac:dyDescent="0.2"/>
    <row r="62233" ht="12.75" hidden="1" customHeight="1" x14ac:dyDescent="0.2"/>
    <row r="62234" ht="12.75" hidden="1" customHeight="1" x14ac:dyDescent="0.2"/>
    <row r="62235" ht="12.75" hidden="1" customHeight="1" x14ac:dyDescent="0.2"/>
    <row r="62236" ht="12.75" hidden="1" customHeight="1" x14ac:dyDescent="0.2"/>
    <row r="62237" ht="12.75" hidden="1" customHeight="1" x14ac:dyDescent="0.2"/>
    <row r="62238" ht="12.75" hidden="1" customHeight="1" x14ac:dyDescent="0.2"/>
    <row r="62239" ht="12.75" hidden="1" customHeight="1" x14ac:dyDescent="0.2"/>
    <row r="62240" ht="12.75" hidden="1" customHeight="1" x14ac:dyDescent="0.2"/>
    <row r="62241" ht="12.75" hidden="1" customHeight="1" x14ac:dyDescent="0.2"/>
    <row r="62242" ht="12.75" hidden="1" customHeight="1" x14ac:dyDescent="0.2"/>
    <row r="62243" ht="12.75" hidden="1" customHeight="1" x14ac:dyDescent="0.2"/>
    <row r="62244" ht="12.75" hidden="1" customHeight="1" x14ac:dyDescent="0.2"/>
    <row r="62245" ht="12.75" hidden="1" customHeight="1" x14ac:dyDescent="0.2"/>
    <row r="62246" ht="12.75" hidden="1" customHeight="1" x14ac:dyDescent="0.2"/>
    <row r="62247" ht="12.75" hidden="1" customHeight="1" x14ac:dyDescent="0.2"/>
    <row r="62248" ht="12.75" hidden="1" customHeight="1" x14ac:dyDescent="0.2"/>
    <row r="62249" ht="12.75" hidden="1" customHeight="1" x14ac:dyDescent="0.2"/>
    <row r="62250" ht="12.75" hidden="1" customHeight="1" x14ac:dyDescent="0.2"/>
    <row r="62251" ht="12.75" hidden="1" customHeight="1" x14ac:dyDescent="0.2"/>
    <row r="62252" ht="12.75" hidden="1" customHeight="1" x14ac:dyDescent="0.2"/>
    <row r="62253" ht="12.75" hidden="1" customHeight="1" x14ac:dyDescent="0.2"/>
    <row r="62254" ht="12.75" hidden="1" customHeight="1" x14ac:dyDescent="0.2"/>
    <row r="62255" ht="12.75" hidden="1" customHeight="1" x14ac:dyDescent="0.2"/>
    <row r="62256" ht="12.75" hidden="1" customHeight="1" x14ac:dyDescent="0.2"/>
    <row r="62257" ht="12.75" hidden="1" customHeight="1" x14ac:dyDescent="0.2"/>
    <row r="62258" ht="12.75" hidden="1" customHeight="1" x14ac:dyDescent="0.2"/>
    <row r="62259" ht="12.75" hidden="1" customHeight="1" x14ac:dyDescent="0.2"/>
    <row r="62260" ht="12.75" hidden="1" customHeight="1" x14ac:dyDescent="0.2"/>
    <row r="62261" ht="12.75" hidden="1" customHeight="1" x14ac:dyDescent="0.2"/>
    <row r="62262" ht="12.75" hidden="1" customHeight="1" x14ac:dyDescent="0.2"/>
    <row r="62263" ht="12.75" hidden="1" customHeight="1" x14ac:dyDescent="0.2"/>
    <row r="62264" ht="12.75" hidden="1" customHeight="1" x14ac:dyDescent="0.2"/>
    <row r="62265" ht="12.75" hidden="1" customHeight="1" x14ac:dyDescent="0.2"/>
    <row r="62266" ht="12.75" hidden="1" customHeight="1" x14ac:dyDescent="0.2"/>
    <row r="62267" ht="12.75" hidden="1" customHeight="1" x14ac:dyDescent="0.2"/>
    <row r="62268" ht="12.75" hidden="1" customHeight="1" x14ac:dyDescent="0.2"/>
    <row r="62269" ht="12.75" hidden="1" customHeight="1" x14ac:dyDescent="0.2"/>
    <row r="62270" ht="12.75" hidden="1" customHeight="1" x14ac:dyDescent="0.2"/>
    <row r="62271" ht="12.75" hidden="1" customHeight="1" x14ac:dyDescent="0.2"/>
    <row r="62272" ht="12.75" hidden="1" customHeight="1" x14ac:dyDescent="0.2"/>
    <row r="62273" ht="12.75" hidden="1" customHeight="1" x14ac:dyDescent="0.2"/>
    <row r="62274" ht="12.75" hidden="1" customHeight="1" x14ac:dyDescent="0.2"/>
    <row r="62275" ht="12.75" hidden="1" customHeight="1" x14ac:dyDescent="0.2"/>
    <row r="62276" ht="12.75" hidden="1" customHeight="1" x14ac:dyDescent="0.2"/>
    <row r="62277" ht="12.75" hidden="1" customHeight="1" x14ac:dyDescent="0.2"/>
    <row r="62278" ht="12.75" hidden="1" customHeight="1" x14ac:dyDescent="0.2"/>
    <row r="62279" ht="12.75" hidden="1" customHeight="1" x14ac:dyDescent="0.2"/>
    <row r="62280" ht="12.75" hidden="1" customHeight="1" x14ac:dyDescent="0.2"/>
    <row r="62281" ht="12.75" hidden="1" customHeight="1" x14ac:dyDescent="0.2"/>
    <row r="62282" ht="12.75" hidden="1" customHeight="1" x14ac:dyDescent="0.2"/>
    <row r="62283" ht="12.75" hidden="1" customHeight="1" x14ac:dyDescent="0.2"/>
    <row r="62284" ht="12.75" hidden="1" customHeight="1" x14ac:dyDescent="0.2"/>
    <row r="62285" ht="12.75" hidden="1" customHeight="1" x14ac:dyDescent="0.2"/>
    <row r="62286" ht="12.75" hidden="1" customHeight="1" x14ac:dyDescent="0.2"/>
    <row r="62287" ht="12.75" hidden="1" customHeight="1" x14ac:dyDescent="0.2"/>
    <row r="62288" ht="12.75" hidden="1" customHeight="1" x14ac:dyDescent="0.2"/>
    <row r="62289" ht="12.75" hidden="1" customHeight="1" x14ac:dyDescent="0.2"/>
    <row r="62290" ht="12.75" hidden="1" customHeight="1" x14ac:dyDescent="0.2"/>
    <row r="62291" ht="12.75" hidden="1" customHeight="1" x14ac:dyDescent="0.2"/>
    <row r="62292" ht="12.75" hidden="1" customHeight="1" x14ac:dyDescent="0.2"/>
    <row r="62293" ht="12.75" hidden="1" customHeight="1" x14ac:dyDescent="0.2"/>
    <row r="62294" ht="12.75" hidden="1" customHeight="1" x14ac:dyDescent="0.2"/>
    <row r="62295" ht="12.75" hidden="1" customHeight="1" x14ac:dyDescent="0.2"/>
    <row r="62296" ht="12.75" hidden="1" customHeight="1" x14ac:dyDescent="0.2"/>
    <row r="62297" ht="12.75" hidden="1" customHeight="1" x14ac:dyDescent="0.2"/>
    <row r="62298" ht="12.75" hidden="1" customHeight="1" x14ac:dyDescent="0.2"/>
    <row r="62299" ht="12.75" hidden="1" customHeight="1" x14ac:dyDescent="0.2"/>
    <row r="62300" ht="12.75" hidden="1" customHeight="1" x14ac:dyDescent="0.2"/>
    <row r="62301" ht="12.75" hidden="1" customHeight="1" x14ac:dyDescent="0.2"/>
    <row r="62302" ht="12.75" hidden="1" customHeight="1" x14ac:dyDescent="0.2"/>
    <row r="62303" ht="12.75" hidden="1" customHeight="1" x14ac:dyDescent="0.2"/>
    <row r="62304" ht="12.75" hidden="1" customHeight="1" x14ac:dyDescent="0.2"/>
    <row r="62305" ht="12.75" hidden="1" customHeight="1" x14ac:dyDescent="0.2"/>
    <row r="62306" ht="12.75" hidden="1" customHeight="1" x14ac:dyDescent="0.2"/>
    <row r="62307" ht="12.75" hidden="1" customHeight="1" x14ac:dyDescent="0.2"/>
    <row r="62308" ht="12.75" hidden="1" customHeight="1" x14ac:dyDescent="0.2"/>
    <row r="62309" ht="12.75" hidden="1" customHeight="1" x14ac:dyDescent="0.2"/>
    <row r="62310" ht="12.75" hidden="1" customHeight="1" x14ac:dyDescent="0.2"/>
    <row r="62311" ht="12.75" hidden="1" customHeight="1" x14ac:dyDescent="0.2"/>
    <row r="62312" ht="12.75" hidden="1" customHeight="1" x14ac:dyDescent="0.2"/>
    <row r="62313" ht="12.75" hidden="1" customHeight="1" x14ac:dyDescent="0.2"/>
    <row r="62314" ht="12.75" hidden="1" customHeight="1" x14ac:dyDescent="0.2"/>
    <row r="62315" ht="12.75" hidden="1" customHeight="1" x14ac:dyDescent="0.2"/>
    <row r="62316" ht="12.75" hidden="1" customHeight="1" x14ac:dyDescent="0.2"/>
    <row r="62317" ht="12.75" hidden="1" customHeight="1" x14ac:dyDescent="0.2"/>
    <row r="62318" ht="12.75" hidden="1" customHeight="1" x14ac:dyDescent="0.2"/>
    <row r="62319" ht="12.75" hidden="1" customHeight="1" x14ac:dyDescent="0.2"/>
    <row r="62320" ht="12.75" hidden="1" customHeight="1" x14ac:dyDescent="0.2"/>
    <row r="62321" ht="12.75" hidden="1" customHeight="1" x14ac:dyDescent="0.2"/>
    <row r="62322" ht="12.75" hidden="1" customHeight="1" x14ac:dyDescent="0.2"/>
    <row r="62323" ht="12.75" hidden="1" customHeight="1" x14ac:dyDescent="0.2"/>
    <row r="62324" ht="12.75" hidden="1" customHeight="1" x14ac:dyDescent="0.2"/>
    <row r="62325" ht="12.75" hidden="1" customHeight="1" x14ac:dyDescent="0.2"/>
    <row r="62326" ht="12.75" hidden="1" customHeight="1" x14ac:dyDescent="0.2"/>
    <row r="62327" ht="12.75" hidden="1" customHeight="1" x14ac:dyDescent="0.2"/>
    <row r="62328" ht="12.75" hidden="1" customHeight="1" x14ac:dyDescent="0.2"/>
    <row r="62329" ht="12.75" hidden="1" customHeight="1" x14ac:dyDescent="0.2"/>
    <row r="62330" ht="12.75" hidden="1" customHeight="1" x14ac:dyDescent="0.2"/>
    <row r="62331" ht="12.75" hidden="1" customHeight="1" x14ac:dyDescent="0.2"/>
    <row r="62332" ht="12.75" hidden="1" customHeight="1" x14ac:dyDescent="0.2"/>
    <row r="62333" ht="12.75" hidden="1" customHeight="1" x14ac:dyDescent="0.2"/>
    <row r="62334" ht="12.75" hidden="1" customHeight="1" x14ac:dyDescent="0.2"/>
    <row r="62335" ht="12.75" hidden="1" customHeight="1" x14ac:dyDescent="0.2"/>
    <row r="62336" ht="12.75" hidden="1" customHeight="1" x14ac:dyDescent="0.2"/>
    <row r="62337" ht="12.75" hidden="1" customHeight="1" x14ac:dyDescent="0.2"/>
    <row r="62338" ht="12.75" hidden="1" customHeight="1" x14ac:dyDescent="0.2"/>
    <row r="62339" ht="12.75" hidden="1" customHeight="1" x14ac:dyDescent="0.2"/>
    <row r="62340" ht="12.75" hidden="1" customHeight="1" x14ac:dyDescent="0.2"/>
    <row r="62341" ht="12.75" hidden="1" customHeight="1" x14ac:dyDescent="0.2"/>
    <row r="62342" ht="12.75" hidden="1" customHeight="1" x14ac:dyDescent="0.2"/>
    <row r="62343" ht="12.75" hidden="1" customHeight="1" x14ac:dyDescent="0.2"/>
    <row r="62344" ht="12.75" hidden="1" customHeight="1" x14ac:dyDescent="0.2"/>
    <row r="62345" ht="12.75" hidden="1" customHeight="1" x14ac:dyDescent="0.2"/>
    <row r="62346" ht="12.75" hidden="1" customHeight="1" x14ac:dyDescent="0.2"/>
    <row r="62347" ht="12.75" hidden="1" customHeight="1" x14ac:dyDescent="0.2"/>
    <row r="62348" ht="12.75" hidden="1" customHeight="1" x14ac:dyDescent="0.2"/>
    <row r="62349" ht="12.75" hidden="1" customHeight="1" x14ac:dyDescent="0.2"/>
    <row r="62350" ht="12.75" hidden="1" customHeight="1" x14ac:dyDescent="0.2"/>
    <row r="62351" ht="12.75" hidden="1" customHeight="1" x14ac:dyDescent="0.2"/>
    <row r="62352" ht="12.75" hidden="1" customHeight="1" x14ac:dyDescent="0.2"/>
    <row r="62353" ht="12.75" hidden="1" customHeight="1" x14ac:dyDescent="0.2"/>
    <row r="62354" ht="12.75" hidden="1" customHeight="1" x14ac:dyDescent="0.2"/>
    <row r="62355" ht="12.75" hidden="1" customHeight="1" x14ac:dyDescent="0.2"/>
    <row r="62356" ht="12.75" hidden="1" customHeight="1" x14ac:dyDescent="0.2"/>
    <row r="62357" ht="12.75" hidden="1" customHeight="1" x14ac:dyDescent="0.2"/>
    <row r="62358" ht="12.75" hidden="1" customHeight="1" x14ac:dyDescent="0.2"/>
    <row r="62359" ht="12.75" hidden="1" customHeight="1" x14ac:dyDescent="0.2"/>
    <row r="62360" ht="12.75" hidden="1" customHeight="1" x14ac:dyDescent="0.2"/>
    <row r="62361" ht="12.75" hidden="1" customHeight="1" x14ac:dyDescent="0.2"/>
    <row r="62362" ht="12.75" hidden="1" customHeight="1" x14ac:dyDescent="0.2"/>
    <row r="62363" ht="12.75" hidden="1" customHeight="1" x14ac:dyDescent="0.2"/>
    <row r="62364" ht="12.75" hidden="1" customHeight="1" x14ac:dyDescent="0.2"/>
    <row r="62365" ht="12.75" hidden="1" customHeight="1" x14ac:dyDescent="0.2"/>
    <row r="62366" ht="12.75" hidden="1" customHeight="1" x14ac:dyDescent="0.2"/>
    <row r="62367" ht="12.75" hidden="1" customHeight="1" x14ac:dyDescent="0.2"/>
    <row r="62368" ht="12.75" hidden="1" customHeight="1" x14ac:dyDescent="0.2"/>
    <row r="62369" ht="12.75" hidden="1" customHeight="1" x14ac:dyDescent="0.2"/>
    <row r="62370" ht="12.75" hidden="1" customHeight="1" x14ac:dyDescent="0.2"/>
    <row r="62371" ht="12.75" hidden="1" customHeight="1" x14ac:dyDescent="0.2"/>
    <row r="62372" ht="12.75" hidden="1" customHeight="1" x14ac:dyDescent="0.2"/>
    <row r="62373" ht="12.75" hidden="1" customHeight="1" x14ac:dyDescent="0.2"/>
    <row r="62374" ht="12.75" hidden="1" customHeight="1" x14ac:dyDescent="0.2"/>
    <row r="62375" ht="12.75" hidden="1" customHeight="1" x14ac:dyDescent="0.2"/>
    <row r="62376" ht="12.75" hidden="1" customHeight="1" x14ac:dyDescent="0.2"/>
    <row r="62377" ht="12.75" hidden="1" customHeight="1" x14ac:dyDescent="0.2"/>
    <row r="62378" ht="12.75" hidden="1" customHeight="1" x14ac:dyDescent="0.2"/>
    <row r="62379" ht="12.75" hidden="1" customHeight="1" x14ac:dyDescent="0.2"/>
    <row r="62380" ht="12.75" hidden="1" customHeight="1" x14ac:dyDescent="0.2"/>
    <row r="62381" ht="12.75" hidden="1" customHeight="1" x14ac:dyDescent="0.2"/>
    <row r="62382" ht="12.75" hidden="1" customHeight="1" x14ac:dyDescent="0.2"/>
    <row r="62383" ht="12.75" hidden="1" customHeight="1" x14ac:dyDescent="0.2"/>
    <row r="62384" ht="12.75" hidden="1" customHeight="1" x14ac:dyDescent="0.2"/>
    <row r="62385" ht="12.75" hidden="1" customHeight="1" x14ac:dyDescent="0.2"/>
    <row r="62386" ht="12.75" hidden="1" customHeight="1" x14ac:dyDescent="0.2"/>
    <row r="62387" ht="12.75" hidden="1" customHeight="1" x14ac:dyDescent="0.2"/>
    <row r="62388" ht="12.75" hidden="1" customHeight="1" x14ac:dyDescent="0.2"/>
    <row r="62389" ht="12.75" hidden="1" customHeight="1" x14ac:dyDescent="0.2"/>
    <row r="62390" ht="12.75" hidden="1" customHeight="1" x14ac:dyDescent="0.2"/>
    <row r="62391" ht="12.75" hidden="1" customHeight="1" x14ac:dyDescent="0.2"/>
    <row r="62392" ht="12.75" hidden="1" customHeight="1" x14ac:dyDescent="0.2"/>
    <row r="62393" ht="12.75" hidden="1" customHeight="1" x14ac:dyDescent="0.2"/>
    <row r="62394" ht="12.75" hidden="1" customHeight="1" x14ac:dyDescent="0.2"/>
    <row r="62395" ht="12.75" hidden="1" customHeight="1" x14ac:dyDescent="0.2"/>
    <row r="62396" ht="12.75" hidden="1" customHeight="1" x14ac:dyDescent="0.2"/>
    <row r="62397" ht="12.75" hidden="1" customHeight="1" x14ac:dyDescent="0.2"/>
    <row r="62398" ht="12.75" hidden="1" customHeight="1" x14ac:dyDescent="0.2"/>
    <row r="62399" ht="12.75" hidden="1" customHeight="1" x14ac:dyDescent="0.2"/>
    <row r="62400" ht="12.75" hidden="1" customHeight="1" x14ac:dyDescent="0.2"/>
    <row r="62401" ht="12.75" hidden="1" customHeight="1" x14ac:dyDescent="0.2"/>
    <row r="62402" ht="12.75" hidden="1" customHeight="1" x14ac:dyDescent="0.2"/>
    <row r="62403" ht="12.75" hidden="1" customHeight="1" x14ac:dyDescent="0.2"/>
    <row r="62404" ht="12.75" hidden="1" customHeight="1" x14ac:dyDescent="0.2"/>
    <row r="62405" ht="12.75" hidden="1" customHeight="1" x14ac:dyDescent="0.2"/>
    <row r="62406" ht="12.75" hidden="1" customHeight="1" x14ac:dyDescent="0.2"/>
    <row r="62407" ht="12.75" hidden="1" customHeight="1" x14ac:dyDescent="0.2"/>
    <row r="62408" ht="12.75" hidden="1" customHeight="1" x14ac:dyDescent="0.2"/>
    <row r="62409" ht="12.75" hidden="1" customHeight="1" x14ac:dyDescent="0.2"/>
    <row r="62410" ht="12.75" hidden="1" customHeight="1" x14ac:dyDescent="0.2"/>
    <row r="62411" ht="12.75" hidden="1" customHeight="1" x14ac:dyDescent="0.2"/>
    <row r="62412" ht="12.75" hidden="1" customHeight="1" x14ac:dyDescent="0.2"/>
    <row r="62413" ht="12.75" hidden="1" customHeight="1" x14ac:dyDescent="0.2"/>
    <row r="62414" ht="12.75" hidden="1" customHeight="1" x14ac:dyDescent="0.2"/>
    <row r="62415" ht="12.75" hidden="1" customHeight="1" x14ac:dyDescent="0.2"/>
    <row r="62416" ht="12.75" hidden="1" customHeight="1" x14ac:dyDescent="0.2"/>
    <row r="62417" ht="12.75" hidden="1" customHeight="1" x14ac:dyDescent="0.2"/>
    <row r="62418" ht="12.75" hidden="1" customHeight="1" x14ac:dyDescent="0.2"/>
    <row r="62419" ht="12.75" hidden="1" customHeight="1" x14ac:dyDescent="0.2"/>
    <row r="62420" ht="12.75" hidden="1" customHeight="1" x14ac:dyDescent="0.2"/>
    <row r="62421" ht="12.75" hidden="1" customHeight="1" x14ac:dyDescent="0.2"/>
    <row r="62422" ht="12.75" hidden="1" customHeight="1" x14ac:dyDescent="0.2"/>
    <row r="62423" ht="12.75" hidden="1" customHeight="1" x14ac:dyDescent="0.2"/>
    <row r="62424" ht="12.75" hidden="1" customHeight="1" x14ac:dyDescent="0.2"/>
    <row r="62425" ht="12.75" hidden="1" customHeight="1" x14ac:dyDescent="0.2"/>
    <row r="62426" ht="12.75" hidden="1" customHeight="1" x14ac:dyDescent="0.2"/>
    <row r="62427" ht="12.75" hidden="1" customHeight="1" x14ac:dyDescent="0.2"/>
    <row r="62428" ht="12.75" hidden="1" customHeight="1" x14ac:dyDescent="0.2"/>
    <row r="62429" ht="12.75" hidden="1" customHeight="1" x14ac:dyDescent="0.2"/>
    <row r="62430" ht="12.75" hidden="1" customHeight="1" x14ac:dyDescent="0.2"/>
    <row r="62431" ht="12.75" hidden="1" customHeight="1" x14ac:dyDescent="0.2"/>
    <row r="62432" ht="12.75" hidden="1" customHeight="1" x14ac:dyDescent="0.2"/>
    <row r="62433" ht="12.75" hidden="1" customHeight="1" x14ac:dyDescent="0.2"/>
    <row r="62434" ht="12.75" hidden="1" customHeight="1" x14ac:dyDescent="0.2"/>
    <row r="62435" ht="12.75" hidden="1" customHeight="1" x14ac:dyDescent="0.2"/>
    <row r="62436" ht="12.75" hidden="1" customHeight="1" x14ac:dyDescent="0.2"/>
    <row r="62437" ht="12.75" hidden="1" customHeight="1" x14ac:dyDescent="0.2"/>
    <row r="62438" ht="12.75" hidden="1" customHeight="1" x14ac:dyDescent="0.2"/>
    <row r="62439" ht="12.75" hidden="1" customHeight="1" x14ac:dyDescent="0.2"/>
    <row r="62440" ht="12.75" hidden="1" customHeight="1" x14ac:dyDescent="0.2"/>
    <row r="62441" ht="12.75" hidden="1" customHeight="1" x14ac:dyDescent="0.2"/>
    <row r="62442" ht="12.75" hidden="1" customHeight="1" x14ac:dyDescent="0.2"/>
    <row r="62443" ht="12.75" hidden="1" customHeight="1" x14ac:dyDescent="0.2"/>
    <row r="62444" ht="12.75" hidden="1" customHeight="1" x14ac:dyDescent="0.2"/>
    <row r="62445" ht="12.75" hidden="1" customHeight="1" x14ac:dyDescent="0.2"/>
    <row r="62446" ht="12.75" hidden="1" customHeight="1" x14ac:dyDescent="0.2"/>
    <row r="62447" ht="12.75" hidden="1" customHeight="1" x14ac:dyDescent="0.2"/>
    <row r="62448" ht="12.75" hidden="1" customHeight="1" x14ac:dyDescent="0.2"/>
    <row r="62449" ht="12.75" hidden="1" customHeight="1" x14ac:dyDescent="0.2"/>
    <row r="62450" ht="12.75" hidden="1" customHeight="1" x14ac:dyDescent="0.2"/>
    <row r="62451" ht="12.75" hidden="1" customHeight="1" x14ac:dyDescent="0.2"/>
    <row r="62452" ht="12.75" hidden="1" customHeight="1" x14ac:dyDescent="0.2"/>
    <row r="62453" ht="12.75" hidden="1" customHeight="1" x14ac:dyDescent="0.2"/>
    <row r="62454" ht="12.75" hidden="1" customHeight="1" x14ac:dyDescent="0.2"/>
    <row r="62455" ht="12.75" hidden="1" customHeight="1" x14ac:dyDescent="0.2"/>
    <row r="62456" ht="12.75" hidden="1" customHeight="1" x14ac:dyDescent="0.2"/>
    <row r="62457" ht="12.75" hidden="1" customHeight="1" x14ac:dyDescent="0.2"/>
    <row r="62458" ht="12.75" hidden="1" customHeight="1" x14ac:dyDescent="0.2"/>
    <row r="62459" ht="12.75" hidden="1" customHeight="1" x14ac:dyDescent="0.2"/>
    <row r="62460" ht="12.75" hidden="1" customHeight="1" x14ac:dyDescent="0.2"/>
    <row r="62461" ht="12.75" hidden="1" customHeight="1" x14ac:dyDescent="0.2"/>
    <row r="62462" ht="12.75" hidden="1" customHeight="1" x14ac:dyDescent="0.2"/>
    <row r="62463" ht="12.75" hidden="1" customHeight="1" x14ac:dyDescent="0.2"/>
    <row r="62464" ht="12.75" hidden="1" customHeight="1" x14ac:dyDescent="0.2"/>
    <row r="62465" ht="12.75" hidden="1" customHeight="1" x14ac:dyDescent="0.2"/>
    <row r="62466" ht="12.75" hidden="1" customHeight="1" x14ac:dyDescent="0.2"/>
    <row r="62467" ht="12.75" hidden="1" customHeight="1" x14ac:dyDescent="0.2"/>
    <row r="62468" ht="12.75" hidden="1" customHeight="1" x14ac:dyDescent="0.2"/>
    <row r="62469" ht="12.75" hidden="1" customHeight="1" x14ac:dyDescent="0.2"/>
    <row r="62470" ht="12.75" hidden="1" customHeight="1" x14ac:dyDescent="0.2"/>
    <row r="62471" ht="12.75" hidden="1" customHeight="1" x14ac:dyDescent="0.2"/>
    <row r="62472" ht="12.75" hidden="1" customHeight="1" x14ac:dyDescent="0.2"/>
    <row r="62473" ht="12.75" hidden="1" customHeight="1" x14ac:dyDescent="0.2"/>
    <row r="62474" ht="12.75" hidden="1" customHeight="1" x14ac:dyDescent="0.2"/>
    <row r="62475" ht="12.75" hidden="1" customHeight="1" x14ac:dyDescent="0.2"/>
    <row r="62476" ht="12.75" hidden="1" customHeight="1" x14ac:dyDescent="0.2"/>
    <row r="62477" ht="12.75" hidden="1" customHeight="1" x14ac:dyDescent="0.2"/>
    <row r="62478" ht="12.75" hidden="1" customHeight="1" x14ac:dyDescent="0.2"/>
    <row r="62479" ht="12.75" hidden="1" customHeight="1" x14ac:dyDescent="0.2"/>
    <row r="62480" ht="12.75" hidden="1" customHeight="1" x14ac:dyDescent="0.2"/>
    <row r="62481" ht="12.75" hidden="1" customHeight="1" x14ac:dyDescent="0.2"/>
    <row r="62482" ht="12.75" hidden="1" customHeight="1" x14ac:dyDescent="0.2"/>
    <row r="62483" ht="12.75" hidden="1" customHeight="1" x14ac:dyDescent="0.2"/>
    <row r="62484" ht="12.75" hidden="1" customHeight="1" x14ac:dyDescent="0.2"/>
    <row r="62485" ht="12.75" hidden="1" customHeight="1" x14ac:dyDescent="0.2"/>
    <row r="62486" ht="12.75" hidden="1" customHeight="1" x14ac:dyDescent="0.2"/>
    <row r="62487" ht="12.75" hidden="1" customHeight="1" x14ac:dyDescent="0.2"/>
    <row r="62488" ht="12.75" hidden="1" customHeight="1" x14ac:dyDescent="0.2"/>
    <row r="62489" ht="12.75" hidden="1" customHeight="1" x14ac:dyDescent="0.2"/>
    <row r="62490" ht="12.75" hidden="1" customHeight="1" x14ac:dyDescent="0.2"/>
    <row r="62491" ht="12.75" hidden="1" customHeight="1" x14ac:dyDescent="0.2"/>
    <row r="62492" ht="12.75" hidden="1" customHeight="1" x14ac:dyDescent="0.2"/>
    <row r="62493" ht="12.75" hidden="1" customHeight="1" x14ac:dyDescent="0.2"/>
    <row r="62494" ht="12.75" hidden="1" customHeight="1" x14ac:dyDescent="0.2"/>
    <row r="62495" ht="12.75" hidden="1" customHeight="1" x14ac:dyDescent="0.2"/>
    <row r="62496" ht="12.75" hidden="1" customHeight="1" x14ac:dyDescent="0.2"/>
    <row r="62497" ht="12.75" hidden="1" customHeight="1" x14ac:dyDescent="0.2"/>
    <row r="62498" ht="12.75" hidden="1" customHeight="1" x14ac:dyDescent="0.2"/>
    <row r="62499" ht="12.75" hidden="1" customHeight="1" x14ac:dyDescent="0.2"/>
    <row r="62500" ht="12.75" hidden="1" customHeight="1" x14ac:dyDescent="0.2"/>
    <row r="62501" ht="12.75" hidden="1" customHeight="1" x14ac:dyDescent="0.2"/>
    <row r="62502" ht="12.75" hidden="1" customHeight="1" x14ac:dyDescent="0.2"/>
    <row r="62503" ht="12.75" hidden="1" customHeight="1" x14ac:dyDescent="0.2"/>
    <row r="62504" ht="12.75" hidden="1" customHeight="1" x14ac:dyDescent="0.2"/>
    <row r="62505" ht="12.75" hidden="1" customHeight="1" x14ac:dyDescent="0.2"/>
    <row r="62506" ht="12.75" hidden="1" customHeight="1" x14ac:dyDescent="0.2"/>
    <row r="62507" ht="12.75" hidden="1" customHeight="1" x14ac:dyDescent="0.2"/>
    <row r="62508" ht="12.75" hidden="1" customHeight="1" x14ac:dyDescent="0.2"/>
    <row r="62509" ht="12.75" hidden="1" customHeight="1" x14ac:dyDescent="0.2"/>
    <row r="62510" ht="12.75" hidden="1" customHeight="1" x14ac:dyDescent="0.2"/>
    <row r="62511" ht="12.75" hidden="1" customHeight="1" x14ac:dyDescent="0.2"/>
    <row r="62512" ht="12.75" hidden="1" customHeight="1" x14ac:dyDescent="0.2"/>
    <row r="62513" ht="12.75" hidden="1" customHeight="1" x14ac:dyDescent="0.2"/>
    <row r="62514" ht="12.75" hidden="1" customHeight="1" x14ac:dyDescent="0.2"/>
    <row r="62515" ht="12.75" hidden="1" customHeight="1" x14ac:dyDescent="0.2"/>
    <row r="62516" ht="12.75" hidden="1" customHeight="1" x14ac:dyDescent="0.2"/>
    <row r="62517" ht="12.75" hidden="1" customHeight="1" x14ac:dyDescent="0.2"/>
    <row r="62518" ht="12.75" hidden="1" customHeight="1" x14ac:dyDescent="0.2"/>
    <row r="62519" ht="12.75" hidden="1" customHeight="1" x14ac:dyDescent="0.2"/>
    <row r="62520" ht="12.75" hidden="1" customHeight="1" x14ac:dyDescent="0.2"/>
    <row r="62521" ht="12.75" hidden="1" customHeight="1" x14ac:dyDescent="0.2"/>
    <row r="62522" ht="12.75" hidden="1" customHeight="1" x14ac:dyDescent="0.2"/>
    <row r="62523" ht="12.75" hidden="1" customHeight="1" x14ac:dyDescent="0.2"/>
    <row r="62524" ht="12.75" hidden="1" customHeight="1" x14ac:dyDescent="0.2"/>
    <row r="62525" ht="12.75" hidden="1" customHeight="1" x14ac:dyDescent="0.2"/>
    <row r="62526" ht="12.75" hidden="1" customHeight="1" x14ac:dyDescent="0.2"/>
    <row r="62527" ht="12.75" hidden="1" customHeight="1" x14ac:dyDescent="0.2"/>
    <row r="62528" ht="12.75" hidden="1" customHeight="1" x14ac:dyDescent="0.2"/>
    <row r="62529" ht="12.75" hidden="1" customHeight="1" x14ac:dyDescent="0.2"/>
    <row r="62530" ht="12.75" hidden="1" customHeight="1" x14ac:dyDescent="0.2"/>
    <row r="62531" ht="12.75" hidden="1" customHeight="1" x14ac:dyDescent="0.2"/>
    <row r="62532" ht="12.75" hidden="1" customHeight="1" x14ac:dyDescent="0.2"/>
    <row r="62533" ht="12.75" hidden="1" customHeight="1" x14ac:dyDescent="0.2"/>
    <row r="62534" ht="12.75" hidden="1" customHeight="1" x14ac:dyDescent="0.2"/>
    <row r="62535" ht="12.75" hidden="1" customHeight="1" x14ac:dyDescent="0.2"/>
    <row r="62536" ht="12.75" hidden="1" customHeight="1" x14ac:dyDescent="0.2"/>
    <row r="62537" ht="12.75" hidden="1" customHeight="1" x14ac:dyDescent="0.2"/>
    <row r="62538" ht="12.75" hidden="1" customHeight="1" x14ac:dyDescent="0.2"/>
    <row r="62539" ht="12.75" hidden="1" customHeight="1" x14ac:dyDescent="0.2"/>
    <row r="62540" ht="12.75" hidden="1" customHeight="1" x14ac:dyDescent="0.2"/>
    <row r="62541" ht="12.75" hidden="1" customHeight="1" x14ac:dyDescent="0.2"/>
    <row r="62542" ht="12.75" hidden="1" customHeight="1" x14ac:dyDescent="0.2"/>
    <row r="62543" ht="12.75" hidden="1" customHeight="1" x14ac:dyDescent="0.2"/>
    <row r="62544" ht="12.75" hidden="1" customHeight="1" x14ac:dyDescent="0.2"/>
    <row r="62545" ht="12.75" hidden="1" customHeight="1" x14ac:dyDescent="0.2"/>
    <row r="62546" ht="12.75" hidden="1" customHeight="1" x14ac:dyDescent="0.2"/>
    <row r="62547" ht="12.75" hidden="1" customHeight="1" x14ac:dyDescent="0.2"/>
    <row r="62548" ht="12.75" hidden="1" customHeight="1" x14ac:dyDescent="0.2"/>
    <row r="62549" ht="12.75" hidden="1" customHeight="1" x14ac:dyDescent="0.2"/>
    <row r="62550" ht="12.75" hidden="1" customHeight="1" x14ac:dyDescent="0.2"/>
    <row r="62551" ht="12.75" hidden="1" customHeight="1" x14ac:dyDescent="0.2"/>
    <row r="62552" ht="12.75" hidden="1" customHeight="1" x14ac:dyDescent="0.2"/>
    <row r="62553" ht="12.75" hidden="1" customHeight="1" x14ac:dyDescent="0.2"/>
    <row r="62554" ht="12.75" hidden="1" customHeight="1" x14ac:dyDescent="0.2"/>
    <row r="62555" ht="12.75" hidden="1" customHeight="1" x14ac:dyDescent="0.2"/>
    <row r="62556" ht="12.75" hidden="1" customHeight="1" x14ac:dyDescent="0.2"/>
    <row r="62557" ht="12.75" hidden="1" customHeight="1" x14ac:dyDescent="0.2"/>
    <row r="62558" ht="12.75" hidden="1" customHeight="1" x14ac:dyDescent="0.2"/>
    <row r="62559" ht="12.75" hidden="1" customHeight="1" x14ac:dyDescent="0.2"/>
    <row r="62560" ht="12.75" hidden="1" customHeight="1" x14ac:dyDescent="0.2"/>
    <row r="62561" ht="12.75" hidden="1" customHeight="1" x14ac:dyDescent="0.2"/>
    <row r="62562" ht="12.75" hidden="1" customHeight="1" x14ac:dyDescent="0.2"/>
    <row r="62563" ht="12.75" hidden="1" customHeight="1" x14ac:dyDescent="0.2"/>
    <row r="62564" ht="12.75" hidden="1" customHeight="1" x14ac:dyDescent="0.2"/>
    <row r="62565" ht="12.75" hidden="1" customHeight="1" x14ac:dyDescent="0.2"/>
    <row r="62566" ht="12.75" hidden="1" customHeight="1" x14ac:dyDescent="0.2"/>
    <row r="62567" ht="12.75" hidden="1" customHeight="1" x14ac:dyDescent="0.2"/>
    <row r="62568" ht="12.75" hidden="1" customHeight="1" x14ac:dyDescent="0.2"/>
    <row r="62569" ht="12.75" hidden="1" customHeight="1" x14ac:dyDescent="0.2"/>
    <row r="62570" ht="12.75" hidden="1" customHeight="1" x14ac:dyDescent="0.2"/>
    <row r="62571" ht="12.75" hidden="1" customHeight="1" x14ac:dyDescent="0.2"/>
    <row r="62572" ht="12.75" hidden="1" customHeight="1" x14ac:dyDescent="0.2"/>
    <row r="62573" ht="12.75" hidden="1" customHeight="1" x14ac:dyDescent="0.2"/>
    <row r="62574" ht="12.75" hidden="1" customHeight="1" x14ac:dyDescent="0.2"/>
    <row r="62575" ht="12.75" hidden="1" customHeight="1" x14ac:dyDescent="0.2"/>
    <row r="62576" ht="12.75" hidden="1" customHeight="1" x14ac:dyDescent="0.2"/>
    <row r="62577" ht="12.75" hidden="1" customHeight="1" x14ac:dyDescent="0.2"/>
    <row r="62578" ht="12.75" hidden="1" customHeight="1" x14ac:dyDescent="0.2"/>
    <row r="62579" ht="12.75" hidden="1" customHeight="1" x14ac:dyDescent="0.2"/>
    <row r="62580" ht="12.75" hidden="1" customHeight="1" x14ac:dyDescent="0.2"/>
    <row r="62581" ht="12.75" hidden="1" customHeight="1" x14ac:dyDescent="0.2"/>
    <row r="62582" ht="12.75" hidden="1" customHeight="1" x14ac:dyDescent="0.2"/>
    <row r="62583" ht="12.75" hidden="1" customHeight="1" x14ac:dyDescent="0.2"/>
    <row r="62584" ht="12.75" hidden="1" customHeight="1" x14ac:dyDescent="0.2"/>
    <row r="62585" ht="12.75" hidden="1" customHeight="1" x14ac:dyDescent="0.2"/>
    <row r="62586" ht="12.75" hidden="1" customHeight="1" x14ac:dyDescent="0.2"/>
    <row r="62587" ht="12.75" hidden="1" customHeight="1" x14ac:dyDescent="0.2"/>
    <row r="62588" ht="12.75" hidden="1" customHeight="1" x14ac:dyDescent="0.2"/>
    <row r="62589" ht="12.75" hidden="1" customHeight="1" x14ac:dyDescent="0.2"/>
    <row r="62590" ht="12.75" hidden="1" customHeight="1" x14ac:dyDescent="0.2"/>
    <row r="62591" ht="12.75" hidden="1" customHeight="1" x14ac:dyDescent="0.2"/>
    <row r="62592" ht="12.75" hidden="1" customHeight="1" x14ac:dyDescent="0.2"/>
    <row r="62593" ht="12.75" hidden="1" customHeight="1" x14ac:dyDescent="0.2"/>
    <row r="62594" ht="12.75" hidden="1" customHeight="1" x14ac:dyDescent="0.2"/>
    <row r="62595" ht="12.75" hidden="1" customHeight="1" x14ac:dyDescent="0.2"/>
    <row r="62596" ht="12.75" hidden="1" customHeight="1" x14ac:dyDescent="0.2"/>
    <row r="62597" ht="12.75" hidden="1" customHeight="1" x14ac:dyDescent="0.2"/>
    <row r="62598" ht="12.75" hidden="1" customHeight="1" x14ac:dyDescent="0.2"/>
    <row r="62599" ht="12.75" hidden="1" customHeight="1" x14ac:dyDescent="0.2"/>
    <row r="62600" ht="12.75" hidden="1" customHeight="1" x14ac:dyDescent="0.2"/>
    <row r="62601" ht="12.75" hidden="1" customHeight="1" x14ac:dyDescent="0.2"/>
    <row r="62602" ht="12.75" hidden="1" customHeight="1" x14ac:dyDescent="0.2"/>
    <row r="62603" ht="12.75" hidden="1" customHeight="1" x14ac:dyDescent="0.2"/>
    <row r="62604" ht="12.75" hidden="1" customHeight="1" x14ac:dyDescent="0.2"/>
    <row r="62605" ht="12.75" hidden="1" customHeight="1" x14ac:dyDescent="0.2"/>
    <row r="62606" ht="12.75" hidden="1" customHeight="1" x14ac:dyDescent="0.2"/>
    <row r="62607" ht="12.75" hidden="1" customHeight="1" x14ac:dyDescent="0.2"/>
    <row r="62608" ht="12.75" hidden="1" customHeight="1" x14ac:dyDescent="0.2"/>
    <row r="62609" ht="12.75" hidden="1" customHeight="1" x14ac:dyDescent="0.2"/>
    <row r="62610" ht="12.75" hidden="1" customHeight="1" x14ac:dyDescent="0.2"/>
    <row r="62611" ht="12.75" hidden="1" customHeight="1" x14ac:dyDescent="0.2"/>
    <row r="62612" ht="12.75" hidden="1" customHeight="1" x14ac:dyDescent="0.2"/>
    <row r="62613" ht="12.75" hidden="1" customHeight="1" x14ac:dyDescent="0.2"/>
    <row r="62614" ht="12.75" hidden="1" customHeight="1" x14ac:dyDescent="0.2"/>
    <row r="62615" ht="12.75" hidden="1" customHeight="1" x14ac:dyDescent="0.2"/>
    <row r="62616" ht="12.75" hidden="1" customHeight="1" x14ac:dyDescent="0.2"/>
    <row r="62617" ht="12.75" hidden="1" customHeight="1" x14ac:dyDescent="0.2"/>
    <row r="62618" ht="12.75" hidden="1" customHeight="1" x14ac:dyDescent="0.2"/>
    <row r="62619" ht="12.75" hidden="1" customHeight="1" x14ac:dyDescent="0.2"/>
    <row r="62620" ht="12.75" hidden="1" customHeight="1" x14ac:dyDescent="0.2"/>
    <row r="62621" ht="12.75" hidden="1" customHeight="1" x14ac:dyDescent="0.2"/>
    <row r="62622" ht="12.75" hidden="1" customHeight="1" x14ac:dyDescent="0.2"/>
    <row r="62623" ht="12.75" hidden="1" customHeight="1" x14ac:dyDescent="0.2"/>
    <row r="62624" ht="12.75" hidden="1" customHeight="1" x14ac:dyDescent="0.2"/>
    <row r="62625" ht="12.75" hidden="1" customHeight="1" x14ac:dyDescent="0.2"/>
    <row r="62626" ht="12.75" hidden="1" customHeight="1" x14ac:dyDescent="0.2"/>
    <row r="62627" ht="12.75" hidden="1" customHeight="1" x14ac:dyDescent="0.2"/>
    <row r="62628" ht="12.75" hidden="1" customHeight="1" x14ac:dyDescent="0.2"/>
    <row r="62629" ht="12.75" hidden="1" customHeight="1" x14ac:dyDescent="0.2"/>
    <row r="62630" ht="12.75" hidden="1" customHeight="1" x14ac:dyDescent="0.2"/>
    <row r="62631" ht="12.75" hidden="1" customHeight="1" x14ac:dyDescent="0.2"/>
    <row r="62632" ht="12.75" hidden="1" customHeight="1" x14ac:dyDescent="0.2"/>
    <row r="62633" ht="12.75" hidden="1" customHeight="1" x14ac:dyDescent="0.2"/>
    <row r="62634" ht="12.75" hidden="1" customHeight="1" x14ac:dyDescent="0.2"/>
    <row r="62635" ht="12.75" hidden="1" customHeight="1" x14ac:dyDescent="0.2"/>
    <row r="62636" ht="12.75" hidden="1" customHeight="1" x14ac:dyDescent="0.2"/>
    <row r="62637" ht="12.75" hidden="1" customHeight="1" x14ac:dyDescent="0.2"/>
    <row r="62638" ht="12.75" hidden="1" customHeight="1" x14ac:dyDescent="0.2"/>
    <row r="62639" ht="12.75" hidden="1" customHeight="1" x14ac:dyDescent="0.2"/>
    <row r="62640" ht="12.75" hidden="1" customHeight="1" x14ac:dyDescent="0.2"/>
    <row r="62641" ht="12.75" hidden="1" customHeight="1" x14ac:dyDescent="0.2"/>
    <row r="62642" ht="12.75" hidden="1" customHeight="1" x14ac:dyDescent="0.2"/>
    <row r="62643" ht="12.75" hidden="1" customHeight="1" x14ac:dyDescent="0.2"/>
    <row r="62644" ht="12.75" hidden="1" customHeight="1" x14ac:dyDescent="0.2"/>
    <row r="62645" ht="12.75" hidden="1" customHeight="1" x14ac:dyDescent="0.2"/>
    <row r="62646" ht="12.75" hidden="1" customHeight="1" x14ac:dyDescent="0.2"/>
    <row r="62647" ht="12.75" hidden="1" customHeight="1" x14ac:dyDescent="0.2"/>
    <row r="62648" ht="12.75" hidden="1" customHeight="1" x14ac:dyDescent="0.2"/>
    <row r="62649" ht="12.75" hidden="1" customHeight="1" x14ac:dyDescent="0.2"/>
    <row r="62650" ht="12.75" hidden="1" customHeight="1" x14ac:dyDescent="0.2"/>
    <row r="62651" ht="12.75" hidden="1" customHeight="1" x14ac:dyDescent="0.2"/>
    <row r="62652" ht="12.75" hidden="1" customHeight="1" x14ac:dyDescent="0.2"/>
    <row r="62653" ht="12.75" hidden="1" customHeight="1" x14ac:dyDescent="0.2"/>
    <row r="62654" ht="12.75" hidden="1" customHeight="1" x14ac:dyDescent="0.2"/>
    <row r="62655" ht="12.75" hidden="1" customHeight="1" x14ac:dyDescent="0.2"/>
    <row r="62656" ht="12.75" hidden="1" customHeight="1" x14ac:dyDescent="0.2"/>
    <row r="62657" ht="12.75" hidden="1" customHeight="1" x14ac:dyDescent="0.2"/>
    <row r="62658" ht="12.75" hidden="1" customHeight="1" x14ac:dyDescent="0.2"/>
    <row r="62659" ht="12.75" hidden="1" customHeight="1" x14ac:dyDescent="0.2"/>
    <row r="62660" ht="12.75" hidden="1" customHeight="1" x14ac:dyDescent="0.2"/>
    <row r="62661" ht="12.75" hidden="1" customHeight="1" x14ac:dyDescent="0.2"/>
    <row r="62662" ht="12.75" hidden="1" customHeight="1" x14ac:dyDescent="0.2"/>
    <row r="62663" ht="12.75" hidden="1" customHeight="1" x14ac:dyDescent="0.2"/>
    <row r="62664" ht="12.75" hidden="1" customHeight="1" x14ac:dyDescent="0.2"/>
    <row r="62665" ht="12.75" hidden="1" customHeight="1" x14ac:dyDescent="0.2"/>
    <row r="62666" ht="12.75" hidden="1" customHeight="1" x14ac:dyDescent="0.2"/>
    <row r="62667" ht="12.75" hidden="1" customHeight="1" x14ac:dyDescent="0.2"/>
    <row r="62668" ht="12.75" hidden="1" customHeight="1" x14ac:dyDescent="0.2"/>
    <row r="62669" ht="12.75" hidden="1" customHeight="1" x14ac:dyDescent="0.2"/>
    <row r="62670" ht="12.75" hidden="1" customHeight="1" x14ac:dyDescent="0.2"/>
    <row r="62671" ht="12.75" hidden="1" customHeight="1" x14ac:dyDescent="0.2"/>
    <row r="62672" ht="12.75" hidden="1" customHeight="1" x14ac:dyDescent="0.2"/>
    <row r="62673" ht="12.75" hidden="1" customHeight="1" x14ac:dyDescent="0.2"/>
    <row r="62674" ht="12.75" hidden="1" customHeight="1" x14ac:dyDescent="0.2"/>
    <row r="62675" ht="12.75" hidden="1" customHeight="1" x14ac:dyDescent="0.2"/>
    <row r="62676" ht="12.75" hidden="1" customHeight="1" x14ac:dyDescent="0.2"/>
    <row r="62677" ht="12.75" hidden="1" customHeight="1" x14ac:dyDescent="0.2"/>
    <row r="62678" ht="12.75" hidden="1" customHeight="1" x14ac:dyDescent="0.2"/>
    <row r="62679" ht="12.75" hidden="1" customHeight="1" x14ac:dyDescent="0.2"/>
    <row r="62680" ht="12.75" hidden="1" customHeight="1" x14ac:dyDescent="0.2"/>
    <row r="62681" ht="12.75" hidden="1" customHeight="1" x14ac:dyDescent="0.2"/>
    <row r="62682" ht="12.75" hidden="1" customHeight="1" x14ac:dyDescent="0.2"/>
    <row r="62683" ht="12.75" hidden="1" customHeight="1" x14ac:dyDescent="0.2"/>
    <row r="62684" ht="12.75" hidden="1" customHeight="1" x14ac:dyDescent="0.2"/>
    <row r="62685" ht="12.75" hidden="1" customHeight="1" x14ac:dyDescent="0.2"/>
    <row r="62686" ht="12.75" hidden="1" customHeight="1" x14ac:dyDescent="0.2"/>
    <row r="62687" ht="12.75" hidden="1" customHeight="1" x14ac:dyDescent="0.2"/>
    <row r="62688" ht="12.75" hidden="1" customHeight="1" x14ac:dyDescent="0.2"/>
    <row r="62689" ht="12.75" hidden="1" customHeight="1" x14ac:dyDescent="0.2"/>
    <row r="62690" ht="12.75" hidden="1" customHeight="1" x14ac:dyDescent="0.2"/>
    <row r="62691" ht="12.75" hidden="1" customHeight="1" x14ac:dyDescent="0.2"/>
    <row r="62692" ht="12.75" hidden="1" customHeight="1" x14ac:dyDescent="0.2"/>
    <row r="62693" ht="12.75" hidden="1" customHeight="1" x14ac:dyDescent="0.2"/>
    <row r="62694" ht="12.75" hidden="1" customHeight="1" x14ac:dyDescent="0.2"/>
    <row r="62695" ht="12.75" hidden="1" customHeight="1" x14ac:dyDescent="0.2"/>
    <row r="62696" ht="12.75" hidden="1" customHeight="1" x14ac:dyDescent="0.2"/>
    <row r="62697" ht="12.75" hidden="1" customHeight="1" x14ac:dyDescent="0.2"/>
    <row r="62698" ht="12.75" hidden="1" customHeight="1" x14ac:dyDescent="0.2"/>
    <row r="62699" ht="12.75" hidden="1" customHeight="1" x14ac:dyDescent="0.2"/>
    <row r="62700" ht="12.75" hidden="1" customHeight="1" x14ac:dyDescent="0.2"/>
    <row r="62701" ht="12.75" hidden="1" customHeight="1" x14ac:dyDescent="0.2"/>
    <row r="62702" ht="12.75" hidden="1" customHeight="1" x14ac:dyDescent="0.2"/>
    <row r="62703" ht="12.75" hidden="1" customHeight="1" x14ac:dyDescent="0.2"/>
    <row r="62704" ht="12.75" hidden="1" customHeight="1" x14ac:dyDescent="0.2"/>
    <row r="62705" ht="12.75" hidden="1" customHeight="1" x14ac:dyDescent="0.2"/>
    <row r="62706" ht="12.75" hidden="1" customHeight="1" x14ac:dyDescent="0.2"/>
    <row r="62707" ht="12.75" hidden="1" customHeight="1" x14ac:dyDescent="0.2"/>
    <row r="62708" ht="12.75" hidden="1" customHeight="1" x14ac:dyDescent="0.2"/>
    <row r="62709" ht="12.75" hidden="1" customHeight="1" x14ac:dyDescent="0.2"/>
    <row r="62710" ht="12.75" hidden="1" customHeight="1" x14ac:dyDescent="0.2"/>
    <row r="62711" ht="12.75" hidden="1" customHeight="1" x14ac:dyDescent="0.2"/>
    <row r="62712" ht="12.75" hidden="1" customHeight="1" x14ac:dyDescent="0.2"/>
    <row r="62713" ht="12.75" hidden="1" customHeight="1" x14ac:dyDescent="0.2"/>
    <row r="62714" ht="12.75" hidden="1" customHeight="1" x14ac:dyDescent="0.2"/>
    <row r="62715" ht="12.75" hidden="1" customHeight="1" x14ac:dyDescent="0.2"/>
    <row r="62716" ht="12.75" hidden="1" customHeight="1" x14ac:dyDescent="0.2"/>
    <row r="62717" ht="12.75" hidden="1" customHeight="1" x14ac:dyDescent="0.2"/>
    <row r="62718" ht="12.75" hidden="1" customHeight="1" x14ac:dyDescent="0.2"/>
    <row r="62719" ht="12.75" hidden="1" customHeight="1" x14ac:dyDescent="0.2"/>
    <row r="62720" ht="12.75" hidden="1" customHeight="1" x14ac:dyDescent="0.2"/>
    <row r="62721" ht="12.75" hidden="1" customHeight="1" x14ac:dyDescent="0.2"/>
    <row r="62722" ht="12.75" hidden="1" customHeight="1" x14ac:dyDescent="0.2"/>
    <row r="62723" ht="12.75" hidden="1" customHeight="1" x14ac:dyDescent="0.2"/>
    <row r="62724" ht="12.75" hidden="1" customHeight="1" x14ac:dyDescent="0.2"/>
    <row r="62725" ht="12.75" hidden="1" customHeight="1" x14ac:dyDescent="0.2"/>
    <row r="62726" ht="12.75" hidden="1" customHeight="1" x14ac:dyDescent="0.2"/>
    <row r="62727" ht="12.75" hidden="1" customHeight="1" x14ac:dyDescent="0.2"/>
    <row r="62728" ht="12.75" hidden="1" customHeight="1" x14ac:dyDescent="0.2"/>
    <row r="62729" ht="12.75" hidden="1" customHeight="1" x14ac:dyDescent="0.2"/>
    <row r="62730" ht="12.75" hidden="1" customHeight="1" x14ac:dyDescent="0.2"/>
    <row r="62731" ht="12.75" hidden="1" customHeight="1" x14ac:dyDescent="0.2"/>
    <row r="62732" ht="12.75" hidden="1" customHeight="1" x14ac:dyDescent="0.2"/>
    <row r="62733" ht="12.75" hidden="1" customHeight="1" x14ac:dyDescent="0.2"/>
    <row r="62734" ht="12.75" hidden="1" customHeight="1" x14ac:dyDescent="0.2"/>
    <row r="62735" ht="12.75" hidden="1" customHeight="1" x14ac:dyDescent="0.2"/>
    <row r="62736" ht="12.75" hidden="1" customHeight="1" x14ac:dyDescent="0.2"/>
    <row r="62737" ht="12.75" hidden="1" customHeight="1" x14ac:dyDescent="0.2"/>
    <row r="62738" ht="12.75" hidden="1" customHeight="1" x14ac:dyDescent="0.2"/>
    <row r="62739" ht="12.75" hidden="1" customHeight="1" x14ac:dyDescent="0.2"/>
    <row r="62740" ht="12.75" hidden="1" customHeight="1" x14ac:dyDescent="0.2"/>
    <row r="62741" ht="12.75" hidden="1" customHeight="1" x14ac:dyDescent="0.2"/>
    <row r="62742" ht="12.75" hidden="1" customHeight="1" x14ac:dyDescent="0.2"/>
    <row r="62743" ht="12.75" hidden="1" customHeight="1" x14ac:dyDescent="0.2"/>
    <row r="62744" ht="12.75" hidden="1" customHeight="1" x14ac:dyDescent="0.2"/>
    <row r="62745" ht="12.75" hidden="1" customHeight="1" x14ac:dyDescent="0.2"/>
    <row r="62746" ht="12.75" hidden="1" customHeight="1" x14ac:dyDescent="0.2"/>
    <row r="62747" ht="12.75" hidden="1" customHeight="1" x14ac:dyDescent="0.2"/>
    <row r="62748" ht="12.75" hidden="1" customHeight="1" x14ac:dyDescent="0.2"/>
    <row r="62749" ht="12.75" hidden="1" customHeight="1" x14ac:dyDescent="0.2"/>
    <row r="62750" ht="12.75" hidden="1" customHeight="1" x14ac:dyDescent="0.2"/>
    <row r="62751" ht="12.75" hidden="1" customHeight="1" x14ac:dyDescent="0.2"/>
    <row r="62752" ht="12.75" hidden="1" customHeight="1" x14ac:dyDescent="0.2"/>
    <row r="62753" ht="12.75" hidden="1" customHeight="1" x14ac:dyDescent="0.2"/>
    <row r="62754" ht="12.75" hidden="1" customHeight="1" x14ac:dyDescent="0.2"/>
    <row r="62755" ht="12.75" hidden="1" customHeight="1" x14ac:dyDescent="0.2"/>
    <row r="62756" ht="12.75" hidden="1" customHeight="1" x14ac:dyDescent="0.2"/>
    <row r="62757" ht="12.75" hidden="1" customHeight="1" x14ac:dyDescent="0.2"/>
    <row r="62758" ht="12.75" hidden="1" customHeight="1" x14ac:dyDescent="0.2"/>
    <row r="62759" ht="12.75" hidden="1" customHeight="1" x14ac:dyDescent="0.2"/>
    <row r="62760" ht="12.75" hidden="1" customHeight="1" x14ac:dyDescent="0.2"/>
    <row r="62761" ht="12.75" hidden="1" customHeight="1" x14ac:dyDescent="0.2"/>
    <row r="62762" ht="12.75" hidden="1" customHeight="1" x14ac:dyDescent="0.2"/>
    <row r="62763" ht="12.75" hidden="1" customHeight="1" x14ac:dyDescent="0.2"/>
    <row r="62764" ht="12.75" hidden="1" customHeight="1" x14ac:dyDescent="0.2"/>
    <row r="62765" ht="12.75" hidden="1" customHeight="1" x14ac:dyDescent="0.2"/>
    <row r="62766" ht="12.75" hidden="1" customHeight="1" x14ac:dyDescent="0.2"/>
    <row r="62767" ht="12.75" hidden="1" customHeight="1" x14ac:dyDescent="0.2"/>
    <row r="62768" ht="12.75" hidden="1" customHeight="1" x14ac:dyDescent="0.2"/>
    <row r="62769" ht="12.75" hidden="1" customHeight="1" x14ac:dyDescent="0.2"/>
    <row r="62770" ht="12.75" hidden="1" customHeight="1" x14ac:dyDescent="0.2"/>
    <row r="62771" ht="12.75" hidden="1" customHeight="1" x14ac:dyDescent="0.2"/>
    <row r="62772" ht="12.75" hidden="1" customHeight="1" x14ac:dyDescent="0.2"/>
    <row r="62773" ht="12.75" hidden="1" customHeight="1" x14ac:dyDescent="0.2"/>
    <row r="62774" ht="12.75" hidden="1" customHeight="1" x14ac:dyDescent="0.2"/>
    <row r="62775" ht="12.75" hidden="1" customHeight="1" x14ac:dyDescent="0.2"/>
    <row r="62776" ht="12.75" hidden="1" customHeight="1" x14ac:dyDescent="0.2"/>
    <row r="62777" ht="12.75" hidden="1" customHeight="1" x14ac:dyDescent="0.2"/>
    <row r="62778" ht="12.75" hidden="1" customHeight="1" x14ac:dyDescent="0.2"/>
    <row r="62779" ht="12.75" hidden="1" customHeight="1" x14ac:dyDescent="0.2"/>
    <row r="62780" ht="12.75" hidden="1" customHeight="1" x14ac:dyDescent="0.2"/>
    <row r="62781" ht="12.75" hidden="1" customHeight="1" x14ac:dyDescent="0.2"/>
    <row r="62782" ht="12.75" hidden="1" customHeight="1" x14ac:dyDescent="0.2"/>
    <row r="62783" ht="12.75" hidden="1" customHeight="1" x14ac:dyDescent="0.2"/>
    <row r="62784" ht="12.75" hidden="1" customHeight="1" x14ac:dyDescent="0.2"/>
    <row r="62785" ht="12.75" hidden="1" customHeight="1" x14ac:dyDescent="0.2"/>
    <row r="62786" ht="12.75" hidden="1" customHeight="1" x14ac:dyDescent="0.2"/>
    <row r="62787" ht="12.75" hidden="1" customHeight="1" x14ac:dyDescent="0.2"/>
    <row r="62788" ht="12.75" hidden="1" customHeight="1" x14ac:dyDescent="0.2"/>
    <row r="62789" ht="12.75" hidden="1" customHeight="1" x14ac:dyDescent="0.2"/>
    <row r="62790" ht="12.75" hidden="1" customHeight="1" x14ac:dyDescent="0.2"/>
    <row r="62791" ht="12.75" hidden="1" customHeight="1" x14ac:dyDescent="0.2"/>
    <row r="62792" ht="12.75" hidden="1" customHeight="1" x14ac:dyDescent="0.2"/>
    <row r="62793" ht="12.75" hidden="1" customHeight="1" x14ac:dyDescent="0.2"/>
    <row r="62794" ht="12.75" hidden="1" customHeight="1" x14ac:dyDescent="0.2"/>
    <row r="62795" ht="12.75" hidden="1" customHeight="1" x14ac:dyDescent="0.2"/>
    <row r="62796" ht="12.75" hidden="1" customHeight="1" x14ac:dyDescent="0.2"/>
    <row r="62797" ht="12.75" hidden="1" customHeight="1" x14ac:dyDescent="0.2"/>
    <row r="62798" ht="12.75" hidden="1" customHeight="1" x14ac:dyDescent="0.2"/>
    <row r="62799" ht="12.75" hidden="1" customHeight="1" x14ac:dyDescent="0.2"/>
    <row r="62800" ht="12.75" hidden="1" customHeight="1" x14ac:dyDescent="0.2"/>
    <row r="62801" ht="12.75" hidden="1" customHeight="1" x14ac:dyDescent="0.2"/>
    <row r="62802" ht="12.75" hidden="1" customHeight="1" x14ac:dyDescent="0.2"/>
    <row r="62803" ht="12.75" hidden="1" customHeight="1" x14ac:dyDescent="0.2"/>
    <row r="62804" ht="12.75" hidden="1" customHeight="1" x14ac:dyDescent="0.2"/>
    <row r="62805" ht="12.75" hidden="1" customHeight="1" x14ac:dyDescent="0.2"/>
    <row r="62806" ht="12.75" hidden="1" customHeight="1" x14ac:dyDescent="0.2"/>
    <row r="62807" ht="12.75" hidden="1" customHeight="1" x14ac:dyDescent="0.2"/>
    <row r="62808" ht="12.75" hidden="1" customHeight="1" x14ac:dyDescent="0.2"/>
    <row r="62809" ht="12.75" hidden="1" customHeight="1" x14ac:dyDescent="0.2"/>
    <row r="62810" ht="12.75" hidden="1" customHeight="1" x14ac:dyDescent="0.2"/>
    <row r="62811" ht="12.75" hidden="1" customHeight="1" x14ac:dyDescent="0.2"/>
    <row r="62812" ht="12.75" hidden="1" customHeight="1" x14ac:dyDescent="0.2"/>
    <row r="62813" ht="12.75" hidden="1" customHeight="1" x14ac:dyDescent="0.2"/>
    <row r="62814" ht="12.75" hidden="1" customHeight="1" x14ac:dyDescent="0.2"/>
    <row r="62815" ht="12.75" hidden="1" customHeight="1" x14ac:dyDescent="0.2"/>
    <row r="62816" ht="12.75" hidden="1" customHeight="1" x14ac:dyDescent="0.2"/>
    <row r="62817" ht="12.75" hidden="1" customHeight="1" x14ac:dyDescent="0.2"/>
    <row r="62818" ht="12.75" hidden="1" customHeight="1" x14ac:dyDescent="0.2"/>
    <row r="62819" ht="12.75" hidden="1" customHeight="1" x14ac:dyDescent="0.2"/>
    <row r="62820" ht="12.75" hidden="1" customHeight="1" x14ac:dyDescent="0.2"/>
    <row r="62821" ht="12.75" hidden="1" customHeight="1" x14ac:dyDescent="0.2"/>
    <row r="62822" ht="12.75" hidden="1" customHeight="1" x14ac:dyDescent="0.2"/>
    <row r="62823" ht="12.75" hidden="1" customHeight="1" x14ac:dyDescent="0.2"/>
    <row r="62824" ht="12.75" hidden="1" customHeight="1" x14ac:dyDescent="0.2"/>
    <row r="62825" ht="12.75" hidden="1" customHeight="1" x14ac:dyDescent="0.2"/>
    <row r="62826" ht="12.75" hidden="1" customHeight="1" x14ac:dyDescent="0.2"/>
    <row r="62827" ht="12.75" hidden="1" customHeight="1" x14ac:dyDescent="0.2"/>
    <row r="62828" ht="12.75" hidden="1" customHeight="1" x14ac:dyDescent="0.2"/>
    <row r="62829" ht="12.75" hidden="1" customHeight="1" x14ac:dyDescent="0.2"/>
    <row r="62830" ht="12.75" hidden="1" customHeight="1" x14ac:dyDescent="0.2"/>
    <row r="62831" ht="12.75" hidden="1" customHeight="1" x14ac:dyDescent="0.2"/>
    <row r="62832" ht="12.75" hidden="1" customHeight="1" x14ac:dyDescent="0.2"/>
    <row r="62833" ht="12.75" hidden="1" customHeight="1" x14ac:dyDescent="0.2"/>
    <row r="62834" ht="12.75" hidden="1" customHeight="1" x14ac:dyDescent="0.2"/>
    <row r="62835" ht="12.75" hidden="1" customHeight="1" x14ac:dyDescent="0.2"/>
    <row r="62836" ht="12.75" hidden="1" customHeight="1" x14ac:dyDescent="0.2"/>
    <row r="62837" ht="12.75" hidden="1" customHeight="1" x14ac:dyDescent="0.2"/>
    <row r="62838" ht="12.75" hidden="1" customHeight="1" x14ac:dyDescent="0.2"/>
    <row r="62839" ht="12.75" hidden="1" customHeight="1" x14ac:dyDescent="0.2"/>
    <row r="62840" ht="12.75" hidden="1" customHeight="1" x14ac:dyDescent="0.2"/>
    <row r="62841" ht="12.75" hidden="1" customHeight="1" x14ac:dyDescent="0.2"/>
    <row r="62842" ht="12.75" hidden="1" customHeight="1" x14ac:dyDescent="0.2"/>
    <row r="62843" ht="12.75" hidden="1" customHeight="1" x14ac:dyDescent="0.2"/>
    <row r="62844" ht="12.75" hidden="1" customHeight="1" x14ac:dyDescent="0.2"/>
    <row r="62845" ht="12.75" hidden="1" customHeight="1" x14ac:dyDescent="0.2"/>
    <row r="62846" ht="12.75" hidden="1" customHeight="1" x14ac:dyDescent="0.2"/>
    <row r="62847" ht="12.75" hidden="1" customHeight="1" x14ac:dyDescent="0.2"/>
    <row r="62848" ht="12.75" hidden="1" customHeight="1" x14ac:dyDescent="0.2"/>
    <row r="62849" ht="12.75" hidden="1" customHeight="1" x14ac:dyDescent="0.2"/>
    <row r="62850" ht="12.75" hidden="1" customHeight="1" x14ac:dyDescent="0.2"/>
    <row r="62851" ht="12.75" hidden="1" customHeight="1" x14ac:dyDescent="0.2"/>
    <row r="62852" ht="12.75" hidden="1" customHeight="1" x14ac:dyDescent="0.2"/>
    <row r="62853" ht="12.75" hidden="1" customHeight="1" x14ac:dyDescent="0.2"/>
    <row r="62854" ht="12.75" hidden="1" customHeight="1" x14ac:dyDescent="0.2"/>
    <row r="62855" ht="12.75" hidden="1" customHeight="1" x14ac:dyDescent="0.2"/>
    <row r="62856" ht="12.75" hidden="1" customHeight="1" x14ac:dyDescent="0.2"/>
    <row r="62857" ht="12.75" hidden="1" customHeight="1" x14ac:dyDescent="0.2"/>
    <row r="62858" ht="12.75" hidden="1" customHeight="1" x14ac:dyDescent="0.2"/>
    <row r="62859" ht="12.75" hidden="1" customHeight="1" x14ac:dyDescent="0.2"/>
    <row r="62860" ht="12.75" hidden="1" customHeight="1" x14ac:dyDescent="0.2"/>
    <row r="62861" ht="12.75" hidden="1" customHeight="1" x14ac:dyDescent="0.2"/>
    <row r="62862" ht="12.75" hidden="1" customHeight="1" x14ac:dyDescent="0.2"/>
    <row r="62863" ht="12.75" hidden="1" customHeight="1" x14ac:dyDescent="0.2"/>
    <row r="62864" ht="12.75" hidden="1" customHeight="1" x14ac:dyDescent="0.2"/>
    <row r="62865" ht="12.75" hidden="1" customHeight="1" x14ac:dyDescent="0.2"/>
    <row r="62866" ht="12.75" hidden="1" customHeight="1" x14ac:dyDescent="0.2"/>
    <row r="62867" ht="12.75" hidden="1" customHeight="1" x14ac:dyDescent="0.2"/>
    <row r="62868" ht="12.75" hidden="1" customHeight="1" x14ac:dyDescent="0.2"/>
    <row r="62869" ht="12.75" hidden="1" customHeight="1" x14ac:dyDescent="0.2"/>
    <row r="62870" ht="12.75" hidden="1" customHeight="1" x14ac:dyDescent="0.2"/>
    <row r="62871" ht="12.75" hidden="1" customHeight="1" x14ac:dyDescent="0.2"/>
    <row r="62872" ht="12.75" hidden="1" customHeight="1" x14ac:dyDescent="0.2"/>
    <row r="62873" ht="12.75" hidden="1" customHeight="1" x14ac:dyDescent="0.2"/>
    <row r="62874" ht="12.75" hidden="1" customHeight="1" x14ac:dyDescent="0.2"/>
    <row r="62875" ht="12.75" hidden="1" customHeight="1" x14ac:dyDescent="0.2"/>
    <row r="62876" ht="12.75" hidden="1" customHeight="1" x14ac:dyDescent="0.2"/>
    <row r="62877" ht="12.75" hidden="1" customHeight="1" x14ac:dyDescent="0.2"/>
    <row r="62878" ht="12.75" hidden="1" customHeight="1" x14ac:dyDescent="0.2"/>
    <row r="62879" ht="12.75" hidden="1" customHeight="1" x14ac:dyDescent="0.2"/>
    <row r="62880" ht="12.75" hidden="1" customHeight="1" x14ac:dyDescent="0.2"/>
    <row r="62881" ht="12.75" hidden="1" customHeight="1" x14ac:dyDescent="0.2"/>
    <row r="62882" ht="12.75" hidden="1" customHeight="1" x14ac:dyDescent="0.2"/>
    <row r="62883" ht="12.75" hidden="1" customHeight="1" x14ac:dyDescent="0.2"/>
    <row r="62884" ht="12.75" hidden="1" customHeight="1" x14ac:dyDescent="0.2"/>
    <row r="62885" ht="12.75" hidden="1" customHeight="1" x14ac:dyDescent="0.2"/>
    <row r="62886" ht="12.75" hidden="1" customHeight="1" x14ac:dyDescent="0.2"/>
    <row r="62887" ht="12.75" hidden="1" customHeight="1" x14ac:dyDescent="0.2"/>
    <row r="62888" ht="12.75" hidden="1" customHeight="1" x14ac:dyDescent="0.2"/>
    <row r="62889" ht="12.75" hidden="1" customHeight="1" x14ac:dyDescent="0.2"/>
    <row r="62890" ht="12.75" hidden="1" customHeight="1" x14ac:dyDescent="0.2"/>
    <row r="62891" ht="12.75" hidden="1" customHeight="1" x14ac:dyDescent="0.2"/>
    <row r="62892" ht="12.75" hidden="1" customHeight="1" x14ac:dyDescent="0.2"/>
    <row r="62893" ht="12.75" hidden="1" customHeight="1" x14ac:dyDescent="0.2"/>
    <row r="62894" ht="12.75" hidden="1" customHeight="1" x14ac:dyDescent="0.2"/>
    <row r="62895" ht="12.75" hidden="1" customHeight="1" x14ac:dyDescent="0.2"/>
    <row r="62896" ht="12.75" hidden="1" customHeight="1" x14ac:dyDescent="0.2"/>
    <row r="62897" ht="12.75" hidden="1" customHeight="1" x14ac:dyDescent="0.2"/>
    <row r="62898" ht="12.75" hidden="1" customHeight="1" x14ac:dyDescent="0.2"/>
    <row r="62899" ht="12.75" hidden="1" customHeight="1" x14ac:dyDescent="0.2"/>
    <row r="62900" ht="12.75" hidden="1" customHeight="1" x14ac:dyDescent="0.2"/>
    <row r="62901" ht="12.75" hidden="1" customHeight="1" x14ac:dyDescent="0.2"/>
    <row r="62902" ht="12.75" hidden="1" customHeight="1" x14ac:dyDescent="0.2"/>
    <row r="62903" ht="12.75" hidden="1" customHeight="1" x14ac:dyDescent="0.2"/>
    <row r="62904" ht="12.75" hidden="1" customHeight="1" x14ac:dyDescent="0.2"/>
    <row r="62905" ht="12.75" hidden="1" customHeight="1" x14ac:dyDescent="0.2"/>
    <row r="62906" ht="12.75" hidden="1" customHeight="1" x14ac:dyDescent="0.2"/>
    <row r="62907" ht="12.75" hidden="1" customHeight="1" x14ac:dyDescent="0.2"/>
    <row r="62908" ht="12.75" hidden="1" customHeight="1" x14ac:dyDescent="0.2"/>
    <row r="62909" ht="12.75" hidden="1" customHeight="1" x14ac:dyDescent="0.2"/>
    <row r="62910" ht="12.75" hidden="1" customHeight="1" x14ac:dyDescent="0.2"/>
    <row r="62911" ht="12.75" hidden="1" customHeight="1" x14ac:dyDescent="0.2"/>
    <row r="62912" ht="12.75" hidden="1" customHeight="1" x14ac:dyDescent="0.2"/>
    <row r="62913" ht="12.75" hidden="1" customHeight="1" x14ac:dyDescent="0.2"/>
    <row r="62914" ht="12.75" hidden="1" customHeight="1" x14ac:dyDescent="0.2"/>
    <row r="62915" ht="12.75" hidden="1" customHeight="1" x14ac:dyDescent="0.2"/>
    <row r="62916" ht="12.75" hidden="1" customHeight="1" x14ac:dyDescent="0.2"/>
    <row r="62917" ht="12.75" hidden="1" customHeight="1" x14ac:dyDescent="0.2"/>
    <row r="62918" ht="12.75" hidden="1" customHeight="1" x14ac:dyDescent="0.2"/>
    <row r="62919" ht="12.75" hidden="1" customHeight="1" x14ac:dyDescent="0.2"/>
    <row r="62920" ht="12.75" hidden="1" customHeight="1" x14ac:dyDescent="0.2"/>
    <row r="62921" ht="12.75" hidden="1" customHeight="1" x14ac:dyDescent="0.2"/>
    <row r="62922" ht="12.75" hidden="1" customHeight="1" x14ac:dyDescent="0.2"/>
    <row r="62923" ht="12.75" hidden="1" customHeight="1" x14ac:dyDescent="0.2"/>
    <row r="62924" ht="12.75" hidden="1" customHeight="1" x14ac:dyDescent="0.2"/>
    <row r="62925" ht="12.75" hidden="1" customHeight="1" x14ac:dyDescent="0.2"/>
    <row r="62926" ht="12.75" hidden="1" customHeight="1" x14ac:dyDescent="0.2"/>
    <row r="62927" ht="12.75" hidden="1" customHeight="1" x14ac:dyDescent="0.2"/>
    <row r="62928" ht="12.75" hidden="1" customHeight="1" x14ac:dyDescent="0.2"/>
    <row r="62929" ht="12.75" hidden="1" customHeight="1" x14ac:dyDescent="0.2"/>
    <row r="62930" ht="12.75" hidden="1" customHeight="1" x14ac:dyDescent="0.2"/>
    <row r="62931" ht="12.75" hidden="1" customHeight="1" x14ac:dyDescent="0.2"/>
    <row r="62932" ht="12.75" hidden="1" customHeight="1" x14ac:dyDescent="0.2"/>
    <row r="62933" ht="12.75" hidden="1" customHeight="1" x14ac:dyDescent="0.2"/>
    <row r="62934" ht="12.75" hidden="1" customHeight="1" x14ac:dyDescent="0.2"/>
    <row r="62935" ht="12.75" hidden="1" customHeight="1" x14ac:dyDescent="0.2"/>
    <row r="62936" ht="12.75" hidden="1" customHeight="1" x14ac:dyDescent="0.2"/>
    <row r="62937" ht="12.75" hidden="1" customHeight="1" x14ac:dyDescent="0.2"/>
    <row r="62938" ht="12.75" hidden="1" customHeight="1" x14ac:dyDescent="0.2"/>
    <row r="62939" ht="12.75" hidden="1" customHeight="1" x14ac:dyDescent="0.2"/>
    <row r="62940" ht="12.75" hidden="1" customHeight="1" x14ac:dyDescent="0.2"/>
    <row r="62941" ht="12.75" hidden="1" customHeight="1" x14ac:dyDescent="0.2"/>
    <row r="62942" ht="12.75" hidden="1" customHeight="1" x14ac:dyDescent="0.2"/>
    <row r="62943" ht="12.75" hidden="1" customHeight="1" x14ac:dyDescent="0.2"/>
    <row r="62944" ht="12.75" hidden="1" customHeight="1" x14ac:dyDescent="0.2"/>
    <row r="62945" ht="12.75" hidden="1" customHeight="1" x14ac:dyDescent="0.2"/>
    <row r="62946" ht="12.75" hidden="1" customHeight="1" x14ac:dyDescent="0.2"/>
    <row r="62947" ht="12.75" hidden="1" customHeight="1" x14ac:dyDescent="0.2"/>
    <row r="62948" ht="12.75" hidden="1" customHeight="1" x14ac:dyDescent="0.2"/>
    <row r="62949" ht="12.75" hidden="1" customHeight="1" x14ac:dyDescent="0.2"/>
    <row r="62950" ht="12.75" hidden="1" customHeight="1" x14ac:dyDescent="0.2"/>
    <row r="62951" ht="12.75" hidden="1" customHeight="1" x14ac:dyDescent="0.2"/>
    <row r="62952" ht="12.75" hidden="1" customHeight="1" x14ac:dyDescent="0.2"/>
    <row r="62953" ht="12.75" hidden="1" customHeight="1" x14ac:dyDescent="0.2"/>
    <row r="62954" ht="12.75" hidden="1" customHeight="1" x14ac:dyDescent="0.2"/>
    <row r="62955" ht="12.75" hidden="1" customHeight="1" x14ac:dyDescent="0.2"/>
    <row r="62956" ht="12.75" hidden="1" customHeight="1" x14ac:dyDescent="0.2"/>
    <row r="62957" ht="12.75" hidden="1" customHeight="1" x14ac:dyDescent="0.2"/>
    <row r="62958" ht="12.75" hidden="1" customHeight="1" x14ac:dyDescent="0.2"/>
    <row r="62959" ht="12.75" hidden="1" customHeight="1" x14ac:dyDescent="0.2"/>
    <row r="62960" ht="12.75" hidden="1" customHeight="1" x14ac:dyDescent="0.2"/>
    <row r="62961" ht="12.75" hidden="1" customHeight="1" x14ac:dyDescent="0.2"/>
    <row r="62962" ht="12.75" hidden="1" customHeight="1" x14ac:dyDescent="0.2"/>
    <row r="62963" ht="12.75" hidden="1" customHeight="1" x14ac:dyDescent="0.2"/>
    <row r="62964" ht="12.75" hidden="1" customHeight="1" x14ac:dyDescent="0.2"/>
    <row r="62965" ht="12.75" hidden="1" customHeight="1" x14ac:dyDescent="0.2"/>
    <row r="62966" ht="12.75" hidden="1" customHeight="1" x14ac:dyDescent="0.2"/>
    <row r="62967" ht="12.75" hidden="1" customHeight="1" x14ac:dyDescent="0.2"/>
    <row r="62968" ht="12.75" hidden="1" customHeight="1" x14ac:dyDescent="0.2"/>
    <row r="62969" ht="12.75" hidden="1" customHeight="1" x14ac:dyDescent="0.2"/>
    <row r="62970" ht="12.75" hidden="1" customHeight="1" x14ac:dyDescent="0.2"/>
    <row r="62971" ht="12.75" hidden="1" customHeight="1" x14ac:dyDescent="0.2"/>
    <row r="62972" ht="12.75" hidden="1" customHeight="1" x14ac:dyDescent="0.2"/>
    <row r="62973" ht="12.75" hidden="1" customHeight="1" x14ac:dyDescent="0.2"/>
    <row r="62974" ht="12.75" hidden="1" customHeight="1" x14ac:dyDescent="0.2"/>
    <row r="62975" ht="12.75" hidden="1" customHeight="1" x14ac:dyDescent="0.2"/>
    <row r="62976" ht="12.75" hidden="1" customHeight="1" x14ac:dyDescent="0.2"/>
    <row r="62977" ht="12.75" hidden="1" customHeight="1" x14ac:dyDescent="0.2"/>
    <row r="62978" ht="12.75" hidden="1" customHeight="1" x14ac:dyDescent="0.2"/>
    <row r="62979" ht="12.75" hidden="1" customHeight="1" x14ac:dyDescent="0.2"/>
    <row r="62980" ht="12.75" hidden="1" customHeight="1" x14ac:dyDescent="0.2"/>
    <row r="62981" ht="12.75" hidden="1" customHeight="1" x14ac:dyDescent="0.2"/>
    <row r="62982" ht="12.75" hidden="1" customHeight="1" x14ac:dyDescent="0.2"/>
    <row r="62983" ht="12.75" hidden="1" customHeight="1" x14ac:dyDescent="0.2"/>
    <row r="62984" ht="12.75" hidden="1" customHeight="1" x14ac:dyDescent="0.2"/>
    <row r="62985" ht="12.75" hidden="1" customHeight="1" x14ac:dyDescent="0.2"/>
    <row r="62986" ht="12.75" hidden="1" customHeight="1" x14ac:dyDescent="0.2"/>
    <row r="62987" ht="12.75" hidden="1" customHeight="1" x14ac:dyDescent="0.2"/>
    <row r="62988" ht="12.75" hidden="1" customHeight="1" x14ac:dyDescent="0.2"/>
    <row r="62989" ht="12.75" hidden="1" customHeight="1" x14ac:dyDescent="0.2"/>
    <row r="62990" ht="12.75" hidden="1" customHeight="1" x14ac:dyDescent="0.2"/>
    <row r="62991" ht="12.75" hidden="1" customHeight="1" x14ac:dyDescent="0.2"/>
    <row r="62992" ht="12.75" hidden="1" customHeight="1" x14ac:dyDescent="0.2"/>
    <row r="62993" ht="12.75" hidden="1" customHeight="1" x14ac:dyDescent="0.2"/>
    <row r="62994" ht="12.75" hidden="1" customHeight="1" x14ac:dyDescent="0.2"/>
    <row r="62995" ht="12.75" hidden="1" customHeight="1" x14ac:dyDescent="0.2"/>
    <row r="62996" ht="12.75" hidden="1" customHeight="1" x14ac:dyDescent="0.2"/>
    <row r="62997" ht="12.75" hidden="1" customHeight="1" x14ac:dyDescent="0.2"/>
    <row r="62998" ht="12.75" hidden="1" customHeight="1" x14ac:dyDescent="0.2"/>
    <row r="62999" ht="12.75" hidden="1" customHeight="1" x14ac:dyDescent="0.2"/>
    <row r="63000" ht="12.75" hidden="1" customHeight="1" x14ac:dyDescent="0.2"/>
    <row r="63001" ht="12.75" hidden="1" customHeight="1" x14ac:dyDescent="0.2"/>
    <row r="63002" ht="12.75" hidden="1" customHeight="1" x14ac:dyDescent="0.2"/>
    <row r="63003" ht="12.75" hidden="1" customHeight="1" x14ac:dyDescent="0.2"/>
    <row r="63004" ht="12.75" hidden="1" customHeight="1" x14ac:dyDescent="0.2"/>
    <row r="63005" ht="12.75" hidden="1" customHeight="1" x14ac:dyDescent="0.2"/>
    <row r="63006" ht="12.75" hidden="1" customHeight="1" x14ac:dyDescent="0.2"/>
    <row r="63007" ht="12.75" hidden="1" customHeight="1" x14ac:dyDescent="0.2"/>
    <row r="63008" ht="12.75" hidden="1" customHeight="1" x14ac:dyDescent="0.2"/>
    <row r="63009" ht="12.75" hidden="1" customHeight="1" x14ac:dyDescent="0.2"/>
    <row r="63010" ht="12.75" hidden="1" customHeight="1" x14ac:dyDescent="0.2"/>
    <row r="63011" ht="12.75" hidden="1" customHeight="1" x14ac:dyDescent="0.2"/>
    <row r="63012" ht="12.75" hidden="1" customHeight="1" x14ac:dyDescent="0.2"/>
    <row r="63013" ht="12.75" hidden="1" customHeight="1" x14ac:dyDescent="0.2"/>
    <row r="63014" ht="12.75" hidden="1" customHeight="1" x14ac:dyDescent="0.2"/>
    <row r="63015" ht="12.75" hidden="1" customHeight="1" x14ac:dyDescent="0.2"/>
    <row r="63016" ht="12.75" hidden="1" customHeight="1" x14ac:dyDescent="0.2"/>
    <row r="63017" ht="12.75" hidden="1" customHeight="1" x14ac:dyDescent="0.2"/>
    <row r="63018" ht="12.75" hidden="1" customHeight="1" x14ac:dyDescent="0.2"/>
    <row r="63019" ht="12.75" hidden="1" customHeight="1" x14ac:dyDescent="0.2"/>
    <row r="63020" ht="12.75" hidden="1" customHeight="1" x14ac:dyDescent="0.2"/>
    <row r="63021" ht="12.75" hidden="1" customHeight="1" x14ac:dyDescent="0.2"/>
    <row r="63022" ht="12.75" hidden="1" customHeight="1" x14ac:dyDescent="0.2"/>
    <row r="63023" ht="12.75" hidden="1" customHeight="1" x14ac:dyDescent="0.2"/>
    <row r="63024" ht="12.75" hidden="1" customHeight="1" x14ac:dyDescent="0.2"/>
    <row r="63025" ht="12.75" hidden="1" customHeight="1" x14ac:dyDescent="0.2"/>
    <row r="63026" ht="12.75" hidden="1" customHeight="1" x14ac:dyDescent="0.2"/>
    <row r="63027" ht="12.75" hidden="1" customHeight="1" x14ac:dyDescent="0.2"/>
    <row r="63028" ht="12.75" hidden="1" customHeight="1" x14ac:dyDescent="0.2"/>
    <row r="63029" ht="12.75" hidden="1" customHeight="1" x14ac:dyDescent="0.2"/>
    <row r="63030" ht="12.75" hidden="1" customHeight="1" x14ac:dyDescent="0.2"/>
    <row r="63031" ht="12.75" hidden="1" customHeight="1" x14ac:dyDescent="0.2"/>
    <row r="63032" ht="12.75" hidden="1" customHeight="1" x14ac:dyDescent="0.2"/>
    <row r="63033" ht="12.75" hidden="1" customHeight="1" x14ac:dyDescent="0.2"/>
    <row r="63034" ht="12.75" hidden="1" customHeight="1" x14ac:dyDescent="0.2"/>
    <row r="63035" ht="12.75" hidden="1" customHeight="1" x14ac:dyDescent="0.2"/>
    <row r="63036" ht="12.75" hidden="1" customHeight="1" x14ac:dyDescent="0.2"/>
    <row r="63037" ht="12.75" hidden="1" customHeight="1" x14ac:dyDescent="0.2"/>
    <row r="63038" ht="12.75" hidden="1" customHeight="1" x14ac:dyDescent="0.2"/>
    <row r="63039" ht="12.75" hidden="1" customHeight="1" x14ac:dyDescent="0.2"/>
    <row r="63040" ht="12.75" hidden="1" customHeight="1" x14ac:dyDescent="0.2"/>
    <row r="63041" ht="12.75" hidden="1" customHeight="1" x14ac:dyDescent="0.2"/>
    <row r="63042" ht="12.75" hidden="1" customHeight="1" x14ac:dyDescent="0.2"/>
    <row r="63043" ht="12.75" hidden="1" customHeight="1" x14ac:dyDescent="0.2"/>
    <row r="63044" ht="12.75" hidden="1" customHeight="1" x14ac:dyDescent="0.2"/>
    <row r="63045" ht="12.75" hidden="1" customHeight="1" x14ac:dyDescent="0.2"/>
    <row r="63046" ht="12.75" hidden="1" customHeight="1" x14ac:dyDescent="0.2"/>
    <row r="63047" ht="12.75" hidden="1" customHeight="1" x14ac:dyDescent="0.2"/>
    <row r="63048" ht="12.75" hidden="1" customHeight="1" x14ac:dyDescent="0.2"/>
    <row r="63049" ht="12.75" hidden="1" customHeight="1" x14ac:dyDescent="0.2"/>
    <row r="63050" ht="12.75" hidden="1" customHeight="1" x14ac:dyDescent="0.2"/>
    <row r="63051" ht="12.75" hidden="1" customHeight="1" x14ac:dyDescent="0.2"/>
    <row r="63052" ht="12.75" hidden="1" customHeight="1" x14ac:dyDescent="0.2"/>
    <row r="63053" ht="12.75" hidden="1" customHeight="1" x14ac:dyDescent="0.2"/>
    <row r="63054" ht="12.75" hidden="1" customHeight="1" x14ac:dyDescent="0.2"/>
    <row r="63055" ht="12.75" hidden="1" customHeight="1" x14ac:dyDescent="0.2"/>
    <row r="63056" ht="12.75" hidden="1" customHeight="1" x14ac:dyDescent="0.2"/>
    <row r="63057" ht="12.75" hidden="1" customHeight="1" x14ac:dyDescent="0.2"/>
    <row r="63058" ht="12.75" hidden="1" customHeight="1" x14ac:dyDescent="0.2"/>
    <row r="63059" ht="12.75" hidden="1" customHeight="1" x14ac:dyDescent="0.2"/>
    <row r="63060" ht="12.75" hidden="1" customHeight="1" x14ac:dyDescent="0.2"/>
    <row r="63061" ht="12.75" hidden="1" customHeight="1" x14ac:dyDescent="0.2"/>
    <row r="63062" ht="12.75" hidden="1" customHeight="1" x14ac:dyDescent="0.2"/>
    <row r="63063" ht="12.75" hidden="1" customHeight="1" x14ac:dyDescent="0.2"/>
    <row r="63064" ht="12.75" hidden="1" customHeight="1" x14ac:dyDescent="0.2"/>
    <row r="63065" ht="12.75" hidden="1" customHeight="1" x14ac:dyDescent="0.2"/>
    <row r="63066" ht="12.75" hidden="1" customHeight="1" x14ac:dyDescent="0.2"/>
    <row r="63067" ht="12.75" hidden="1" customHeight="1" x14ac:dyDescent="0.2"/>
    <row r="63068" ht="12.75" hidden="1" customHeight="1" x14ac:dyDescent="0.2"/>
    <row r="63069" ht="12.75" hidden="1" customHeight="1" x14ac:dyDescent="0.2"/>
    <row r="63070" ht="12.75" hidden="1" customHeight="1" x14ac:dyDescent="0.2"/>
    <row r="63071" ht="12.75" hidden="1" customHeight="1" x14ac:dyDescent="0.2"/>
    <row r="63072" ht="12.75" hidden="1" customHeight="1" x14ac:dyDescent="0.2"/>
    <row r="63073" ht="12.75" hidden="1" customHeight="1" x14ac:dyDescent="0.2"/>
    <row r="63074" ht="12.75" hidden="1" customHeight="1" x14ac:dyDescent="0.2"/>
    <row r="63075" ht="12.75" hidden="1" customHeight="1" x14ac:dyDescent="0.2"/>
    <row r="63076" ht="12.75" hidden="1" customHeight="1" x14ac:dyDescent="0.2"/>
    <row r="63077" ht="12.75" hidden="1" customHeight="1" x14ac:dyDescent="0.2"/>
    <row r="63078" ht="12.75" hidden="1" customHeight="1" x14ac:dyDescent="0.2"/>
    <row r="63079" ht="12.75" hidden="1" customHeight="1" x14ac:dyDescent="0.2"/>
    <row r="63080" ht="12.75" hidden="1" customHeight="1" x14ac:dyDescent="0.2"/>
    <row r="63081" ht="12.75" hidden="1" customHeight="1" x14ac:dyDescent="0.2"/>
    <row r="63082" ht="12.75" hidden="1" customHeight="1" x14ac:dyDescent="0.2"/>
    <row r="63083" ht="12.75" hidden="1" customHeight="1" x14ac:dyDescent="0.2"/>
    <row r="63084" ht="12.75" hidden="1" customHeight="1" x14ac:dyDescent="0.2"/>
    <row r="63085" ht="12.75" hidden="1" customHeight="1" x14ac:dyDescent="0.2"/>
    <row r="63086" ht="12.75" hidden="1" customHeight="1" x14ac:dyDescent="0.2"/>
    <row r="63087" ht="12.75" hidden="1" customHeight="1" x14ac:dyDescent="0.2"/>
    <row r="63088" ht="12.75" hidden="1" customHeight="1" x14ac:dyDescent="0.2"/>
    <row r="63089" ht="12.75" hidden="1" customHeight="1" x14ac:dyDescent="0.2"/>
    <row r="63090" ht="12.75" hidden="1" customHeight="1" x14ac:dyDescent="0.2"/>
    <row r="63091" ht="12.75" hidden="1" customHeight="1" x14ac:dyDescent="0.2"/>
    <row r="63092" ht="12.75" hidden="1" customHeight="1" x14ac:dyDescent="0.2"/>
    <row r="63093" ht="12.75" hidden="1" customHeight="1" x14ac:dyDescent="0.2"/>
    <row r="63094" ht="12.75" hidden="1" customHeight="1" x14ac:dyDescent="0.2"/>
    <row r="63095" ht="12.75" hidden="1" customHeight="1" x14ac:dyDescent="0.2"/>
    <row r="63096" ht="12.75" hidden="1" customHeight="1" x14ac:dyDescent="0.2"/>
    <row r="63097" ht="12.75" hidden="1" customHeight="1" x14ac:dyDescent="0.2"/>
    <row r="63098" ht="12.75" hidden="1" customHeight="1" x14ac:dyDescent="0.2"/>
    <row r="63099" ht="12.75" hidden="1" customHeight="1" x14ac:dyDescent="0.2"/>
    <row r="63100" ht="12.75" hidden="1" customHeight="1" x14ac:dyDescent="0.2"/>
    <row r="63101" ht="12.75" hidden="1" customHeight="1" x14ac:dyDescent="0.2"/>
    <row r="63102" ht="12.75" hidden="1" customHeight="1" x14ac:dyDescent="0.2"/>
    <row r="63103" ht="12.75" hidden="1" customHeight="1" x14ac:dyDescent="0.2"/>
    <row r="63104" ht="12.75" hidden="1" customHeight="1" x14ac:dyDescent="0.2"/>
    <row r="63105" ht="12.75" hidden="1" customHeight="1" x14ac:dyDescent="0.2"/>
    <row r="63106" ht="12.75" hidden="1" customHeight="1" x14ac:dyDescent="0.2"/>
    <row r="63107" ht="12.75" hidden="1" customHeight="1" x14ac:dyDescent="0.2"/>
    <row r="63108" ht="12.75" hidden="1" customHeight="1" x14ac:dyDescent="0.2"/>
    <row r="63109" ht="12.75" hidden="1" customHeight="1" x14ac:dyDescent="0.2"/>
    <row r="63110" ht="12.75" hidden="1" customHeight="1" x14ac:dyDescent="0.2"/>
    <row r="63111" ht="12.75" hidden="1" customHeight="1" x14ac:dyDescent="0.2"/>
    <row r="63112" ht="12.75" hidden="1" customHeight="1" x14ac:dyDescent="0.2"/>
    <row r="63113" ht="12.75" hidden="1" customHeight="1" x14ac:dyDescent="0.2"/>
    <row r="63114" ht="12.75" hidden="1" customHeight="1" x14ac:dyDescent="0.2"/>
    <row r="63115" ht="12.75" hidden="1" customHeight="1" x14ac:dyDescent="0.2"/>
    <row r="63116" ht="12.75" hidden="1" customHeight="1" x14ac:dyDescent="0.2"/>
    <row r="63117" ht="12.75" hidden="1" customHeight="1" x14ac:dyDescent="0.2"/>
    <row r="63118" ht="12.75" hidden="1" customHeight="1" x14ac:dyDescent="0.2"/>
    <row r="63119" ht="12.75" hidden="1" customHeight="1" x14ac:dyDescent="0.2"/>
    <row r="63120" ht="12.75" hidden="1" customHeight="1" x14ac:dyDescent="0.2"/>
    <row r="63121" ht="12.75" hidden="1" customHeight="1" x14ac:dyDescent="0.2"/>
    <row r="63122" ht="12.75" hidden="1" customHeight="1" x14ac:dyDescent="0.2"/>
    <row r="63123" ht="12.75" hidden="1" customHeight="1" x14ac:dyDescent="0.2"/>
    <row r="63124" ht="12.75" hidden="1" customHeight="1" x14ac:dyDescent="0.2"/>
    <row r="63125" ht="12.75" hidden="1" customHeight="1" x14ac:dyDescent="0.2"/>
    <row r="63126" ht="12.75" hidden="1" customHeight="1" x14ac:dyDescent="0.2"/>
    <row r="63127" ht="12.75" hidden="1" customHeight="1" x14ac:dyDescent="0.2"/>
    <row r="63128" ht="12.75" hidden="1" customHeight="1" x14ac:dyDescent="0.2"/>
    <row r="63129" ht="12.75" hidden="1" customHeight="1" x14ac:dyDescent="0.2"/>
    <row r="63130" ht="12.75" hidden="1" customHeight="1" x14ac:dyDescent="0.2"/>
    <row r="63131" ht="12.75" hidden="1" customHeight="1" x14ac:dyDescent="0.2"/>
    <row r="63132" ht="12.75" hidden="1" customHeight="1" x14ac:dyDescent="0.2"/>
    <row r="63133" ht="12.75" hidden="1" customHeight="1" x14ac:dyDescent="0.2"/>
    <row r="63134" ht="12.75" hidden="1" customHeight="1" x14ac:dyDescent="0.2"/>
    <row r="63135" ht="12.75" hidden="1" customHeight="1" x14ac:dyDescent="0.2"/>
    <row r="63136" ht="12.75" hidden="1" customHeight="1" x14ac:dyDescent="0.2"/>
    <row r="63137" ht="12.75" hidden="1" customHeight="1" x14ac:dyDescent="0.2"/>
    <row r="63138" ht="12.75" hidden="1" customHeight="1" x14ac:dyDescent="0.2"/>
    <row r="63139" ht="12.75" hidden="1" customHeight="1" x14ac:dyDescent="0.2"/>
    <row r="63140" ht="12.75" hidden="1" customHeight="1" x14ac:dyDescent="0.2"/>
    <row r="63141" ht="12.75" hidden="1" customHeight="1" x14ac:dyDescent="0.2"/>
    <row r="63142" ht="12.75" hidden="1" customHeight="1" x14ac:dyDescent="0.2"/>
    <row r="63143" ht="12.75" hidden="1" customHeight="1" x14ac:dyDescent="0.2"/>
    <row r="63144" ht="12.75" hidden="1" customHeight="1" x14ac:dyDescent="0.2"/>
    <row r="63145" ht="12.75" hidden="1" customHeight="1" x14ac:dyDescent="0.2"/>
    <row r="63146" ht="12.75" hidden="1" customHeight="1" x14ac:dyDescent="0.2"/>
    <row r="63147" ht="12.75" hidden="1" customHeight="1" x14ac:dyDescent="0.2"/>
    <row r="63148" ht="12.75" hidden="1" customHeight="1" x14ac:dyDescent="0.2"/>
    <row r="63149" ht="12.75" hidden="1" customHeight="1" x14ac:dyDescent="0.2"/>
    <row r="63150" ht="12.75" hidden="1" customHeight="1" x14ac:dyDescent="0.2"/>
    <row r="63151" ht="12.75" hidden="1" customHeight="1" x14ac:dyDescent="0.2"/>
    <row r="63152" ht="12.75" hidden="1" customHeight="1" x14ac:dyDescent="0.2"/>
    <row r="63153" ht="12.75" hidden="1" customHeight="1" x14ac:dyDescent="0.2"/>
    <row r="63154" ht="12.75" hidden="1" customHeight="1" x14ac:dyDescent="0.2"/>
    <row r="63155" ht="12.75" hidden="1" customHeight="1" x14ac:dyDescent="0.2"/>
    <row r="63156" ht="12.75" hidden="1" customHeight="1" x14ac:dyDescent="0.2"/>
    <row r="63157" ht="12.75" hidden="1" customHeight="1" x14ac:dyDescent="0.2"/>
    <row r="63158" ht="12.75" hidden="1" customHeight="1" x14ac:dyDescent="0.2"/>
    <row r="63159" ht="12.75" hidden="1" customHeight="1" x14ac:dyDescent="0.2"/>
    <row r="63160" ht="12.75" hidden="1" customHeight="1" x14ac:dyDescent="0.2"/>
    <row r="63161" ht="12.75" hidden="1" customHeight="1" x14ac:dyDescent="0.2"/>
    <row r="63162" ht="12.75" hidden="1" customHeight="1" x14ac:dyDescent="0.2"/>
    <row r="63163" ht="12.75" hidden="1" customHeight="1" x14ac:dyDescent="0.2"/>
    <row r="63164" ht="12.75" hidden="1" customHeight="1" x14ac:dyDescent="0.2"/>
    <row r="63165" ht="12.75" hidden="1" customHeight="1" x14ac:dyDescent="0.2"/>
    <row r="63166" ht="12.75" hidden="1" customHeight="1" x14ac:dyDescent="0.2"/>
    <row r="63167" ht="12.75" hidden="1" customHeight="1" x14ac:dyDescent="0.2"/>
    <row r="63168" ht="12.75" hidden="1" customHeight="1" x14ac:dyDescent="0.2"/>
    <row r="63169" ht="12.75" hidden="1" customHeight="1" x14ac:dyDescent="0.2"/>
    <row r="63170" ht="12.75" hidden="1" customHeight="1" x14ac:dyDescent="0.2"/>
    <row r="63171" ht="12.75" hidden="1" customHeight="1" x14ac:dyDescent="0.2"/>
    <row r="63172" ht="12.75" hidden="1" customHeight="1" x14ac:dyDescent="0.2"/>
    <row r="63173" ht="12.75" hidden="1" customHeight="1" x14ac:dyDescent="0.2"/>
    <row r="63174" ht="12.75" hidden="1" customHeight="1" x14ac:dyDescent="0.2"/>
    <row r="63175" ht="12.75" hidden="1" customHeight="1" x14ac:dyDescent="0.2"/>
    <row r="63176" ht="12.75" hidden="1" customHeight="1" x14ac:dyDescent="0.2"/>
    <row r="63177" ht="12.75" hidden="1" customHeight="1" x14ac:dyDescent="0.2"/>
    <row r="63178" ht="12.75" hidden="1" customHeight="1" x14ac:dyDescent="0.2"/>
    <row r="63179" ht="12.75" hidden="1" customHeight="1" x14ac:dyDescent="0.2"/>
    <row r="63180" ht="12.75" hidden="1" customHeight="1" x14ac:dyDescent="0.2"/>
    <row r="63181" ht="12.75" hidden="1" customHeight="1" x14ac:dyDescent="0.2"/>
    <row r="63182" ht="12.75" hidden="1" customHeight="1" x14ac:dyDescent="0.2"/>
    <row r="63183" ht="12.75" hidden="1" customHeight="1" x14ac:dyDescent="0.2"/>
    <row r="63184" ht="12.75" hidden="1" customHeight="1" x14ac:dyDescent="0.2"/>
    <row r="63185" ht="12.75" hidden="1" customHeight="1" x14ac:dyDescent="0.2"/>
    <row r="63186" ht="12.75" hidden="1" customHeight="1" x14ac:dyDescent="0.2"/>
    <row r="63187" ht="12.75" hidden="1" customHeight="1" x14ac:dyDescent="0.2"/>
    <row r="63188" ht="12.75" hidden="1" customHeight="1" x14ac:dyDescent="0.2"/>
    <row r="63189" ht="12.75" hidden="1" customHeight="1" x14ac:dyDescent="0.2"/>
    <row r="63190" ht="12.75" hidden="1" customHeight="1" x14ac:dyDescent="0.2"/>
    <row r="63191" ht="12.75" hidden="1" customHeight="1" x14ac:dyDescent="0.2"/>
    <row r="63192" ht="12.75" hidden="1" customHeight="1" x14ac:dyDescent="0.2"/>
    <row r="63193" ht="12.75" hidden="1" customHeight="1" x14ac:dyDescent="0.2"/>
    <row r="63194" ht="12.75" hidden="1" customHeight="1" x14ac:dyDescent="0.2"/>
    <row r="63195" ht="12.75" hidden="1" customHeight="1" x14ac:dyDescent="0.2"/>
    <row r="63196" ht="12.75" hidden="1" customHeight="1" x14ac:dyDescent="0.2"/>
    <row r="63197" ht="12.75" hidden="1" customHeight="1" x14ac:dyDescent="0.2"/>
    <row r="63198" ht="12.75" hidden="1" customHeight="1" x14ac:dyDescent="0.2"/>
    <row r="63199" ht="12.75" hidden="1" customHeight="1" x14ac:dyDescent="0.2"/>
    <row r="63200" ht="12.75" hidden="1" customHeight="1" x14ac:dyDescent="0.2"/>
    <row r="63201" ht="12.75" hidden="1" customHeight="1" x14ac:dyDescent="0.2"/>
    <row r="63202" ht="12.75" hidden="1" customHeight="1" x14ac:dyDescent="0.2"/>
    <row r="63203" ht="12.75" hidden="1" customHeight="1" x14ac:dyDescent="0.2"/>
    <row r="63204" ht="12.75" hidden="1" customHeight="1" x14ac:dyDescent="0.2"/>
    <row r="63205" ht="12.75" hidden="1" customHeight="1" x14ac:dyDescent="0.2"/>
    <row r="63206" ht="12.75" hidden="1" customHeight="1" x14ac:dyDescent="0.2"/>
    <row r="63207" ht="12.75" hidden="1" customHeight="1" x14ac:dyDescent="0.2"/>
    <row r="63208" ht="12.75" hidden="1" customHeight="1" x14ac:dyDescent="0.2"/>
    <row r="63209" ht="12.75" hidden="1" customHeight="1" x14ac:dyDescent="0.2"/>
    <row r="63210" ht="12.75" hidden="1" customHeight="1" x14ac:dyDescent="0.2"/>
    <row r="63211" ht="12.75" hidden="1" customHeight="1" x14ac:dyDescent="0.2"/>
    <row r="63212" ht="12.75" hidden="1" customHeight="1" x14ac:dyDescent="0.2"/>
    <row r="63213" ht="12.75" hidden="1" customHeight="1" x14ac:dyDescent="0.2"/>
    <row r="63214" ht="12.75" hidden="1" customHeight="1" x14ac:dyDescent="0.2"/>
    <row r="63215" ht="12.75" hidden="1" customHeight="1" x14ac:dyDescent="0.2"/>
    <row r="63216" ht="12.75" hidden="1" customHeight="1" x14ac:dyDescent="0.2"/>
    <row r="63217" ht="12.75" hidden="1" customHeight="1" x14ac:dyDescent="0.2"/>
    <row r="63218" ht="12.75" hidden="1" customHeight="1" x14ac:dyDescent="0.2"/>
    <row r="63219" ht="12.75" hidden="1" customHeight="1" x14ac:dyDescent="0.2"/>
    <row r="63220" ht="12.75" hidden="1" customHeight="1" x14ac:dyDescent="0.2"/>
    <row r="63221" ht="12.75" hidden="1" customHeight="1" x14ac:dyDescent="0.2"/>
    <row r="63222" ht="12.75" hidden="1" customHeight="1" x14ac:dyDescent="0.2"/>
    <row r="63223" ht="12.75" hidden="1" customHeight="1" x14ac:dyDescent="0.2"/>
    <row r="63224" ht="12.75" hidden="1" customHeight="1" x14ac:dyDescent="0.2"/>
    <row r="63225" ht="12.75" hidden="1" customHeight="1" x14ac:dyDescent="0.2"/>
    <row r="63226" ht="12.75" hidden="1" customHeight="1" x14ac:dyDescent="0.2"/>
    <row r="63227" ht="12.75" hidden="1" customHeight="1" x14ac:dyDescent="0.2"/>
    <row r="63228" ht="12.75" hidden="1" customHeight="1" x14ac:dyDescent="0.2"/>
    <row r="63229" ht="12.75" hidden="1" customHeight="1" x14ac:dyDescent="0.2"/>
    <row r="63230" ht="12.75" hidden="1" customHeight="1" x14ac:dyDescent="0.2"/>
    <row r="63231" ht="12.75" hidden="1" customHeight="1" x14ac:dyDescent="0.2"/>
    <row r="63232" ht="12.75" hidden="1" customHeight="1" x14ac:dyDescent="0.2"/>
    <row r="63233" ht="12.75" hidden="1" customHeight="1" x14ac:dyDescent="0.2"/>
    <row r="63234" ht="12.75" hidden="1" customHeight="1" x14ac:dyDescent="0.2"/>
    <row r="63235" ht="12.75" hidden="1" customHeight="1" x14ac:dyDescent="0.2"/>
    <row r="63236" ht="12.75" hidden="1" customHeight="1" x14ac:dyDescent="0.2"/>
    <row r="63237" ht="12.75" hidden="1" customHeight="1" x14ac:dyDescent="0.2"/>
    <row r="63238" ht="12.75" hidden="1" customHeight="1" x14ac:dyDescent="0.2"/>
    <row r="63239" ht="12.75" hidden="1" customHeight="1" x14ac:dyDescent="0.2"/>
    <row r="63240" ht="12.75" hidden="1" customHeight="1" x14ac:dyDescent="0.2"/>
    <row r="63241" ht="12.75" hidden="1" customHeight="1" x14ac:dyDescent="0.2"/>
    <row r="63242" ht="12.75" hidden="1" customHeight="1" x14ac:dyDescent="0.2"/>
    <row r="63243" ht="12.75" hidden="1" customHeight="1" x14ac:dyDescent="0.2"/>
    <row r="63244" ht="12.75" hidden="1" customHeight="1" x14ac:dyDescent="0.2"/>
    <row r="63245" ht="12.75" hidden="1" customHeight="1" x14ac:dyDescent="0.2"/>
    <row r="63246" ht="12.75" hidden="1" customHeight="1" x14ac:dyDescent="0.2"/>
    <row r="63247" ht="12.75" hidden="1" customHeight="1" x14ac:dyDescent="0.2"/>
    <row r="63248" ht="12.75" hidden="1" customHeight="1" x14ac:dyDescent="0.2"/>
    <row r="63249" ht="12.75" hidden="1" customHeight="1" x14ac:dyDescent="0.2"/>
    <row r="63250" ht="12.75" hidden="1" customHeight="1" x14ac:dyDescent="0.2"/>
    <row r="63251" ht="12.75" hidden="1" customHeight="1" x14ac:dyDescent="0.2"/>
    <row r="63252" ht="12.75" hidden="1" customHeight="1" x14ac:dyDescent="0.2"/>
    <row r="63253" ht="12.75" hidden="1" customHeight="1" x14ac:dyDescent="0.2"/>
    <row r="63254" ht="12.75" hidden="1" customHeight="1" x14ac:dyDescent="0.2"/>
    <row r="63255" ht="12.75" hidden="1" customHeight="1" x14ac:dyDescent="0.2"/>
    <row r="63256" ht="12.75" hidden="1" customHeight="1" x14ac:dyDescent="0.2"/>
    <row r="63257" ht="12.75" hidden="1" customHeight="1" x14ac:dyDescent="0.2"/>
    <row r="63258" ht="12.75" hidden="1" customHeight="1" x14ac:dyDescent="0.2"/>
    <row r="63259" ht="12.75" hidden="1" customHeight="1" x14ac:dyDescent="0.2"/>
    <row r="63260" ht="12.75" hidden="1" customHeight="1" x14ac:dyDescent="0.2"/>
    <row r="63261" ht="12.75" hidden="1" customHeight="1" x14ac:dyDescent="0.2"/>
    <row r="63262" ht="12.75" hidden="1" customHeight="1" x14ac:dyDescent="0.2"/>
    <row r="63263" ht="12.75" hidden="1" customHeight="1" x14ac:dyDescent="0.2"/>
    <row r="63264" ht="12.75" hidden="1" customHeight="1" x14ac:dyDescent="0.2"/>
    <row r="63265" ht="12.75" hidden="1" customHeight="1" x14ac:dyDescent="0.2"/>
    <row r="63266" ht="12.75" hidden="1" customHeight="1" x14ac:dyDescent="0.2"/>
    <row r="63267" ht="12.75" hidden="1" customHeight="1" x14ac:dyDescent="0.2"/>
    <row r="63268" ht="12.75" hidden="1" customHeight="1" x14ac:dyDescent="0.2"/>
    <row r="63269" ht="12.75" hidden="1" customHeight="1" x14ac:dyDescent="0.2"/>
    <row r="63270" ht="12.75" hidden="1" customHeight="1" x14ac:dyDescent="0.2"/>
    <row r="63271" ht="12.75" hidden="1" customHeight="1" x14ac:dyDescent="0.2"/>
    <row r="63272" ht="12.75" hidden="1" customHeight="1" x14ac:dyDescent="0.2"/>
    <row r="63273" ht="12.75" hidden="1" customHeight="1" x14ac:dyDescent="0.2"/>
    <row r="63274" ht="12.75" hidden="1" customHeight="1" x14ac:dyDescent="0.2"/>
    <row r="63275" ht="12.75" hidden="1" customHeight="1" x14ac:dyDescent="0.2"/>
    <row r="63276" ht="12.75" hidden="1" customHeight="1" x14ac:dyDescent="0.2"/>
    <row r="63277" ht="12.75" hidden="1" customHeight="1" x14ac:dyDescent="0.2"/>
    <row r="63278" ht="12.75" hidden="1" customHeight="1" x14ac:dyDescent="0.2"/>
    <row r="63279" ht="12.75" hidden="1" customHeight="1" x14ac:dyDescent="0.2"/>
    <row r="63280" ht="12.75" hidden="1" customHeight="1" x14ac:dyDescent="0.2"/>
    <row r="63281" ht="12.75" hidden="1" customHeight="1" x14ac:dyDescent="0.2"/>
    <row r="63282" ht="12.75" hidden="1" customHeight="1" x14ac:dyDescent="0.2"/>
    <row r="63283" ht="12.75" hidden="1" customHeight="1" x14ac:dyDescent="0.2"/>
    <row r="63284" ht="12.75" hidden="1" customHeight="1" x14ac:dyDescent="0.2"/>
    <row r="63285" ht="12.75" hidden="1" customHeight="1" x14ac:dyDescent="0.2"/>
    <row r="63286" ht="12.75" hidden="1" customHeight="1" x14ac:dyDescent="0.2"/>
    <row r="63287" ht="12.75" hidden="1" customHeight="1" x14ac:dyDescent="0.2"/>
    <row r="63288" ht="12.75" hidden="1" customHeight="1" x14ac:dyDescent="0.2"/>
    <row r="63289" ht="12.75" hidden="1" customHeight="1" x14ac:dyDescent="0.2"/>
    <row r="63290" ht="12.75" hidden="1" customHeight="1" x14ac:dyDescent="0.2"/>
    <row r="63291" ht="12.75" hidden="1" customHeight="1" x14ac:dyDescent="0.2"/>
    <row r="63292" ht="12.75" hidden="1" customHeight="1" x14ac:dyDescent="0.2"/>
    <row r="63293" ht="12.75" hidden="1" customHeight="1" x14ac:dyDescent="0.2"/>
    <row r="63294" ht="12.75" hidden="1" customHeight="1" x14ac:dyDescent="0.2"/>
    <row r="63295" ht="12.75" hidden="1" customHeight="1" x14ac:dyDescent="0.2"/>
    <row r="63296" ht="12.75" hidden="1" customHeight="1" x14ac:dyDescent="0.2"/>
    <row r="63297" ht="12.75" hidden="1" customHeight="1" x14ac:dyDescent="0.2"/>
    <row r="63298" ht="12.75" hidden="1" customHeight="1" x14ac:dyDescent="0.2"/>
    <row r="63299" ht="12.75" hidden="1" customHeight="1" x14ac:dyDescent="0.2"/>
    <row r="63300" ht="12.75" hidden="1" customHeight="1" x14ac:dyDescent="0.2"/>
    <row r="63301" ht="12.75" hidden="1" customHeight="1" x14ac:dyDescent="0.2"/>
    <row r="63302" ht="12.75" hidden="1" customHeight="1" x14ac:dyDescent="0.2"/>
    <row r="63303" ht="12.75" hidden="1" customHeight="1" x14ac:dyDescent="0.2"/>
    <row r="63304" ht="12.75" hidden="1" customHeight="1" x14ac:dyDescent="0.2"/>
    <row r="63305" ht="12.75" hidden="1" customHeight="1" x14ac:dyDescent="0.2"/>
    <row r="63306" ht="12.75" hidden="1" customHeight="1" x14ac:dyDescent="0.2"/>
    <row r="63307" ht="12.75" hidden="1" customHeight="1" x14ac:dyDescent="0.2"/>
    <row r="63308" ht="12.75" hidden="1" customHeight="1" x14ac:dyDescent="0.2"/>
    <row r="63309" ht="12.75" hidden="1" customHeight="1" x14ac:dyDescent="0.2"/>
    <row r="63310" ht="12.75" hidden="1" customHeight="1" x14ac:dyDescent="0.2"/>
    <row r="63311" ht="12.75" hidden="1" customHeight="1" x14ac:dyDescent="0.2"/>
    <row r="63312" ht="12.75" hidden="1" customHeight="1" x14ac:dyDescent="0.2"/>
    <row r="63313" ht="12.75" hidden="1" customHeight="1" x14ac:dyDescent="0.2"/>
    <row r="63314" ht="12.75" hidden="1" customHeight="1" x14ac:dyDescent="0.2"/>
    <row r="63315" ht="12.75" hidden="1" customHeight="1" x14ac:dyDescent="0.2"/>
    <row r="63316" ht="12.75" hidden="1" customHeight="1" x14ac:dyDescent="0.2"/>
    <row r="63317" ht="12.75" hidden="1" customHeight="1" x14ac:dyDescent="0.2"/>
    <row r="63318" ht="12.75" hidden="1" customHeight="1" x14ac:dyDescent="0.2"/>
    <row r="63319" ht="12.75" hidden="1" customHeight="1" x14ac:dyDescent="0.2"/>
    <row r="63320" ht="12.75" hidden="1" customHeight="1" x14ac:dyDescent="0.2"/>
    <row r="63321" ht="12.75" hidden="1" customHeight="1" x14ac:dyDescent="0.2"/>
    <row r="63322" ht="12.75" hidden="1" customHeight="1" x14ac:dyDescent="0.2"/>
    <row r="63323" ht="12.75" hidden="1" customHeight="1" x14ac:dyDescent="0.2"/>
    <row r="63324" ht="12.75" hidden="1" customHeight="1" x14ac:dyDescent="0.2"/>
    <row r="63325" ht="12.75" hidden="1" customHeight="1" x14ac:dyDescent="0.2"/>
    <row r="63326" ht="12.75" hidden="1" customHeight="1" x14ac:dyDescent="0.2"/>
    <row r="63327" ht="12.75" hidden="1" customHeight="1" x14ac:dyDescent="0.2"/>
    <row r="63328" ht="12.75" hidden="1" customHeight="1" x14ac:dyDescent="0.2"/>
    <row r="63329" ht="12.75" hidden="1" customHeight="1" x14ac:dyDescent="0.2"/>
    <row r="63330" ht="12.75" hidden="1" customHeight="1" x14ac:dyDescent="0.2"/>
    <row r="63331" ht="12.75" hidden="1" customHeight="1" x14ac:dyDescent="0.2"/>
    <row r="63332" ht="12.75" hidden="1" customHeight="1" x14ac:dyDescent="0.2"/>
    <row r="63333" ht="12.75" hidden="1" customHeight="1" x14ac:dyDescent="0.2"/>
    <row r="63334" ht="12.75" hidden="1" customHeight="1" x14ac:dyDescent="0.2"/>
    <row r="63335" ht="12.75" hidden="1" customHeight="1" x14ac:dyDescent="0.2"/>
    <row r="63336" ht="12.75" hidden="1" customHeight="1" x14ac:dyDescent="0.2"/>
    <row r="63337" ht="12.75" hidden="1" customHeight="1" x14ac:dyDescent="0.2"/>
    <row r="63338" ht="12.75" hidden="1" customHeight="1" x14ac:dyDescent="0.2"/>
    <row r="63339" ht="12.75" hidden="1" customHeight="1" x14ac:dyDescent="0.2"/>
    <row r="63340" ht="12.75" hidden="1" customHeight="1" x14ac:dyDescent="0.2"/>
    <row r="63341" ht="12.75" hidden="1" customHeight="1" x14ac:dyDescent="0.2"/>
    <row r="63342" ht="12.75" hidden="1" customHeight="1" x14ac:dyDescent="0.2"/>
    <row r="63343" ht="12.75" hidden="1" customHeight="1" x14ac:dyDescent="0.2"/>
    <row r="63344" ht="12.75" hidden="1" customHeight="1" x14ac:dyDescent="0.2"/>
    <row r="63345" ht="12.75" hidden="1" customHeight="1" x14ac:dyDescent="0.2"/>
    <row r="63346" ht="12.75" hidden="1" customHeight="1" x14ac:dyDescent="0.2"/>
    <row r="63347" ht="12.75" hidden="1" customHeight="1" x14ac:dyDescent="0.2"/>
    <row r="63348" ht="12.75" hidden="1" customHeight="1" x14ac:dyDescent="0.2"/>
    <row r="63349" ht="12.75" hidden="1" customHeight="1" x14ac:dyDescent="0.2"/>
    <row r="63350" ht="12.75" hidden="1" customHeight="1" x14ac:dyDescent="0.2"/>
    <row r="63351" ht="12.75" hidden="1" customHeight="1" x14ac:dyDescent="0.2"/>
    <row r="63352" ht="12.75" hidden="1" customHeight="1" x14ac:dyDescent="0.2"/>
    <row r="63353" ht="12.75" hidden="1" customHeight="1" x14ac:dyDescent="0.2"/>
    <row r="63354" ht="12.75" hidden="1" customHeight="1" x14ac:dyDescent="0.2"/>
    <row r="63355" ht="12.75" hidden="1" customHeight="1" x14ac:dyDescent="0.2"/>
    <row r="63356" ht="12.75" hidden="1" customHeight="1" x14ac:dyDescent="0.2"/>
    <row r="63357" ht="12.75" hidden="1" customHeight="1" x14ac:dyDescent="0.2"/>
    <row r="63358" ht="12.75" hidden="1" customHeight="1" x14ac:dyDescent="0.2"/>
    <row r="63359" ht="12.75" hidden="1" customHeight="1" x14ac:dyDescent="0.2"/>
    <row r="63360" ht="12.75" hidden="1" customHeight="1" x14ac:dyDescent="0.2"/>
    <row r="63361" ht="12.75" hidden="1" customHeight="1" x14ac:dyDescent="0.2"/>
    <row r="63362" ht="12.75" hidden="1" customHeight="1" x14ac:dyDescent="0.2"/>
    <row r="63363" ht="12.75" hidden="1" customHeight="1" x14ac:dyDescent="0.2"/>
    <row r="63364" ht="12.75" hidden="1" customHeight="1" x14ac:dyDescent="0.2"/>
    <row r="63365" ht="12.75" hidden="1" customHeight="1" x14ac:dyDescent="0.2"/>
    <row r="63366" ht="12.75" hidden="1" customHeight="1" x14ac:dyDescent="0.2"/>
    <row r="63367" ht="12.75" hidden="1" customHeight="1" x14ac:dyDescent="0.2"/>
    <row r="63368" ht="12.75" hidden="1" customHeight="1" x14ac:dyDescent="0.2"/>
    <row r="63369" ht="12.75" hidden="1" customHeight="1" x14ac:dyDescent="0.2"/>
    <row r="63370" ht="12.75" hidden="1" customHeight="1" x14ac:dyDescent="0.2"/>
    <row r="63371" ht="12.75" hidden="1" customHeight="1" x14ac:dyDescent="0.2"/>
    <row r="63372" ht="12.75" hidden="1" customHeight="1" x14ac:dyDescent="0.2"/>
    <row r="63373" ht="12.75" hidden="1" customHeight="1" x14ac:dyDescent="0.2"/>
    <row r="63374" ht="12.75" hidden="1" customHeight="1" x14ac:dyDescent="0.2"/>
    <row r="63375" ht="12.75" hidden="1" customHeight="1" x14ac:dyDescent="0.2"/>
    <row r="63376" ht="12.75" hidden="1" customHeight="1" x14ac:dyDescent="0.2"/>
    <row r="63377" ht="12.75" hidden="1" customHeight="1" x14ac:dyDescent="0.2"/>
    <row r="63378" ht="12.75" hidden="1" customHeight="1" x14ac:dyDescent="0.2"/>
    <row r="63379" ht="12.75" hidden="1" customHeight="1" x14ac:dyDescent="0.2"/>
    <row r="63380" ht="12.75" hidden="1" customHeight="1" x14ac:dyDescent="0.2"/>
    <row r="63381" ht="12.75" hidden="1" customHeight="1" x14ac:dyDescent="0.2"/>
    <row r="63382" ht="12.75" hidden="1" customHeight="1" x14ac:dyDescent="0.2"/>
    <row r="63383" ht="12.75" hidden="1" customHeight="1" x14ac:dyDescent="0.2"/>
    <row r="63384" ht="12.75" hidden="1" customHeight="1" x14ac:dyDescent="0.2"/>
    <row r="63385" ht="12.75" hidden="1" customHeight="1" x14ac:dyDescent="0.2"/>
    <row r="63386" ht="12.75" hidden="1" customHeight="1" x14ac:dyDescent="0.2"/>
    <row r="63387" ht="12.75" hidden="1" customHeight="1" x14ac:dyDescent="0.2"/>
    <row r="63388" ht="12.75" hidden="1" customHeight="1" x14ac:dyDescent="0.2"/>
    <row r="63389" ht="12.75" hidden="1" customHeight="1" x14ac:dyDescent="0.2"/>
    <row r="63390" ht="12.75" hidden="1" customHeight="1" x14ac:dyDescent="0.2"/>
    <row r="63391" ht="12.75" hidden="1" customHeight="1" x14ac:dyDescent="0.2"/>
    <row r="63392" ht="12.75" hidden="1" customHeight="1" x14ac:dyDescent="0.2"/>
    <row r="63393" ht="12.75" hidden="1" customHeight="1" x14ac:dyDescent="0.2"/>
    <row r="63394" ht="12.75" hidden="1" customHeight="1" x14ac:dyDescent="0.2"/>
    <row r="63395" ht="12.75" hidden="1" customHeight="1" x14ac:dyDescent="0.2"/>
    <row r="63396" ht="12.75" hidden="1" customHeight="1" x14ac:dyDescent="0.2"/>
    <row r="63397" ht="12.75" hidden="1" customHeight="1" x14ac:dyDescent="0.2"/>
    <row r="63398" ht="12.75" hidden="1" customHeight="1" x14ac:dyDescent="0.2"/>
    <row r="63399" ht="12.75" hidden="1" customHeight="1" x14ac:dyDescent="0.2"/>
    <row r="63400" ht="12.75" hidden="1" customHeight="1" x14ac:dyDescent="0.2"/>
    <row r="63401" ht="12.75" hidden="1" customHeight="1" x14ac:dyDescent="0.2"/>
    <row r="63402" ht="12.75" hidden="1" customHeight="1" x14ac:dyDescent="0.2"/>
    <row r="63403" ht="12.75" hidden="1" customHeight="1" x14ac:dyDescent="0.2"/>
    <row r="63404" ht="12.75" hidden="1" customHeight="1" x14ac:dyDescent="0.2"/>
    <row r="63405" ht="12.75" hidden="1" customHeight="1" x14ac:dyDescent="0.2"/>
    <row r="63406" ht="12.75" hidden="1" customHeight="1" x14ac:dyDescent="0.2"/>
    <row r="63407" ht="12.75" hidden="1" customHeight="1" x14ac:dyDescent="0.2"/>
    <row r="63408" ht="12.75" hidden="1" customHeight="1" x14ac:dyDescent="0.2"/>
    <row r="63409" ht="12.75" hidden="1" customHeight="1" x14ac:dyDescent="0.2"/>
    <row r="63410" ht="12.75" hidden="1" customHeight="1" x14ac:dyDescent="0.2"/>
    <row r="63411" ht="12.75" hidden="1" customHeight="1" x14ac:dyDescent="0.2"/>
    <row r="63412" ht="12.75" hidden="1" customHeight="1" x14ac:dyDescent="0.2"/>
    <row r="63413" ht="12.75" hidden="1" customHeight="1" x14ac:dyDescent="0.2"/>
    <row r="63414" ht="12.75" hidden="1" customHeight="1" x14ac:dyDescent="0.2"/>
    <row r="63415" ht="12.75" hidden="1" customHeight="1" x14ac:dyDescent="0.2"/>
    <row r="63416" ht="12.75" hidden="1" customHeight="1" x14ac:dyDescent="0.2"/>
    <row r="63417" ht="12.75" hidden="1" customHeight="1" x14ac:dyDescent="0.2"/>
    <row r="63418" ht="12.75" hidden="1" customHeight="1" x14ac:dyDescent="0.2"/>
    <row r="63419" ht="12.75" hidden="1" customHeight="1" x14ac:dyDescent="0.2"/>
    <row r="63420" ht="12.75" hidden="1" customHeight="1" x14ac:dyDescent="0.2"/>
    <row r="63421" ht="12.75" hidden="1" customHeight="1" x14ac:dyDescent="0.2"/>
    <row r="63422" ht="12.75" hidden="1" customHeight="1" x14ac:dyDescent="0.2"/>
    <row r="63423" ht="12.75" hidden="1" customHeight="1" x14ac:dyDescent="0.2"/>
    <row r="63424" ht="12.75" hidden="1" customHeight="1" x14ac:dyDescent="0.2"/>
    <row r="63425" ht="12.75" hidden="1" customHeight="1" x14ac:dyDescent="0.2"/>
    <row r="63426" ht="12.75" hidden="1" customHeight="1" x14ac:dyDescent="0.2"/>
    <row r="63427" ht="12.75" hidden="1" customHeight="1" x14ac:dyDescent="0.2"/>
    <row r="63428" ht="12.75" hidden="1" customHeight="1" x14ac:dyDescent="0.2"/>
    <row r="63429" ht="12.75" hidden="1" customHeight="1" x14ac:dyDescent="0.2"/>
    <row r="63430" ht="12.75" hidden="1" customHeight="1" x14ac:dyDescent="0.2"/>
    <row r="63431" ht="12.75" hidden="1" customHeight="1" x14ac:dyDescent="0.2"/>
    <row r="63432" ht="12.75" hidden="1" customHeight="1" x14ac:dyDescent="0.2"/>
    <row r="63433" ht="12.75" hidden="1" customHeight="1" x14ac:dyDescent="0.2"/>
    <row r="63434" ht="12.75" hidden="1" customHeight="1" x14ac:dyDescent="0.2"/>
    <row r="63435" ht="12.75" hidden="1" customHeight="1" x14ac:dyDescent="0.2"/>
    <row r="63436" ht="12.75" hidden="1" customHeight="1" x14ac:dyDescent="0.2"/>
    <row r="63437" ht="12.75" hidden="1" customHeight="1" x14ac:dyDescent="0.2"/>
    <row r="63438" ht="12.75" hidden="1" customHeight="1" x14ac:dyDescent="0.2"/>
    <row r="63439" ht="12.75" hidden="1" customHeight="1" x14ac:dyDescent="0.2"/>
    <row r="63440" ht="12.75" hidden="1" customHeight="1" x14ac:dyDescent="0.2"/>
    <row r="63441" ht="12.75" hidden="1" customHeight="1" x14ac:dyDescent="0.2"/>
    <row r="63442" ht="12.75" hidden="1" customHeight="1" x14ac:dyDescent="0.2"/>
    <row r="63443" ht="12.75" hidden="1" customHeight="1" x14ac:dyDescent="0.2"/>
    <row r="63444" ht="12.75" hidden="1" customHeight="1" x14ac:dyDescent="0.2"/>
    <row r="63445" ht="12.75" hidden="1" customHeight="1" x14ac:dyDescent="0.2"/>
    <row r="63446" ht="12.75" hidden="1" customHeight="1" x14ac:dyDescent="0.2"/>
    <row r="63447" ht="12.75" hidden="1" customHeight="1" x14ac:dyDescent="0.2"/>
    <row r="63448" ht="12.75" hidden="1" customHeight="1" x14ac:dyDescent="0.2"/>
    <row r="63449" ht="12.75" hidden="1" customHeight="1" x14ac:dyDescent="0.2"/>
    <row r="63450" ht="12.75" hidden="1" customHeight="1" x14ac:dyDescent="0.2"/>
    <row r="63451" ht="12.75" hidden="1" customHeight="1" x14ac:dyDescent="0.2"/>
    <row r="63452" ht="12.75" hidden="1" customHeight="1" x14ac:dyDescent="0.2"/>
    <row r="63453" ht="12.75" hidden="1" customHeight="1" x14ac:dyDescent="0.2"/>
    <row r="63454" ht="12.75" hidden="1" customHeight="1" x14ac:dyDescent="0.2"/>
    <row r="63455" ht="12.75" hidden="1" customHeight="1" x14ac:dyDescent="0.2"/>
    <row r="63456" ht="12.75" hidden="1" customHeight="1" x14ac:dyDescent="0.2"/>
    <row r="63457" ht="12.75" hidden="1" customHeight="1" x14ac:dyDescent="0.2"/>
    <row r="63458" ht="12.75" hidden="1" customHeight="1" x14ac:dyDescent="0.2"/>
    <row r="63459" ht="12.75" hidden="1" customHeight="1" x14ac:dyDescent="0.2"/>
    <row r="63460" ht="12.75" hidden="1" customHeight="1" x14ac:dyDescent="0.2"/>
    <row r="63461" ht="12.75" hidden="1" customHeight="1" x14ac:dyDescent="0.2"/>
    <row r="63462" ht="12.75" hidden="1" customHeight="1" x14ac:dyDescent="0.2"/>
    <row r="63463" ht="12.75" hidden="1" customHeight="1" x14ac:dyDescent="0.2"/>
    <row r="63464" ht="12.75" hidden="1" customHeight="1" x14ac:dyDescent="0.2"/>
    <row r="63465" ht="12.75" hidden="1" customHeight="1" x14ac:dyDescent="0.2"/>
    <row r="63466" ht="12.75" hidden="1" customHeight="1" x14ac:dyDescent="0.2"/>
    <row r="63467" ht="12.75" hidden="1" customHeight="1" x14ac:dyDescent="0.2"/>
    <row r="63468" ht="12.75" hidden="1" customHeight="1" x14ac:dyDescent="0.2"/>
    <row r="63469" ht="12.75" hidden="1" customHeight="1" x14ac:dyDescent="0.2"/>
    <row r="63470" ht="12.75" hidden="1" customHeight="1" x14ac:dyDescent="0.2"/>
    <row r="63471" ht="12.75" hidden="1" customHeight="1" x14ac:dyDescent="0.2"/>
    <row r="63472" ht="12.75" hidden="1" customHeight="1" x14ac:dyDescent="0.2"/>
    <row r="63473" ht="12.75" hidden="1" customHeight="1" x14ac:dyDescent="0.2"/>
    <row r="63474" ht="12.75" hidden="1" customHeight="1" x14ac:dyDescent="0.2"/>
    <row r="63475" ht="12.75" hidden="1" customHeight="1" x14ac:dyDescent="0.2"/>
    <row r="63476" ht="12.75" hidden="1" customHeight="1" x14ac:dyDescent="0.2"/>
    <row r="63477" ht="12.75" hidden="1" customHeight="1" x14ac:dyDescent="0.2"/>
    <row r="63478" ht="12.75" hidden="1" customHeight="1" x14ac:dyDescent="0.2"/>
    <row r="63479" ht="12.75" hidden="1" customHeight="1" x14ac:dyDescent="0.2"/>
    <row r="63480" ht="12.75" hidden="1" customHeight="1" x14ac:dyDescent="0.2"/>
    <row r="63481" ht="12.75" hidden="1" customHeight="1" x14ac:dyDescent="0.2"/>
    <row r="63482" ht="12.75" hidden="1" customHeight="1" x14ac:dyDescent="0.2"/>
    <row r="63483" ht="12.75" hidden="1" customHeight="1" x14ac:dyDescent="0.2"/>
    <row r="63484" ht="12.75" hidden="1" customHeight="1" x14ac:dyDescent="0.2"/>
    <row r="63485" ht="12.75" hidden="1" customHeight="1" x14ac:dyDescent="0.2"/>
    <row r="63486" ht="12.75" hidden="1" customHeight="1" x14ac:dyDescent="0.2"/>
    <row r="63487" ht="12.75" hidden="1" customHeight="1" x14ac:dyDescent="0.2"/>
    <row r="63488" ht="12.75" hidden="1" customHeight="1" x14ac:dyDescent="0.2"/>
    <row r="63489" ht="12.75" hidden="1" customHeight="1" x14ac:dyDescent="0.2"/>
    <row r="63490" ht="12.75" hidden="1" customHeight="1" x14ac:dyDescent="0.2"/>
    <row r="63491" ht="12.75" hidden="1" customHeight="1" x14ac:dyDescent="0.2"/>
    <row r="63492" ht="12.75" hidden="1" customHeight="1" x14ac:dyDescent="0.2"/>
    <row r="63493" ht="12.75" hidden="1" customHeight="1" x14ac:dyDescent="0.2"/>
    <row r="63494" ht="12.75" hidden="1" customHeight="1" x14ac:dyDescent="0.2"/>
    <row r="63495" ht="12.75" hidden="1" customHeight="1" x14ac:dyDescent="0.2"/>
    <row r="63496" ht="12.75" hidden="1" customHeight="1" x14ac:dyDescent="0.2"/>
    <row r="63497" ht="12.75" hidden="1" customHeight="1" x14ac:dyDescent="0.2"/>
    <row r="63498" ht="12.75" hidden="1" customHeight="1" x14ac:dyDescent="0.2"/>
    <row r="63499" ht="12.75" hidden="1" customHeight="1" x14ac:dyDescent="0.2"/>
    <row r="63500" ht="12.75" hidden="1" customHeight="1" x14ac:dyDescent="0.2"/>
    <row r="63501" ht="12.75" hidden="1" customHeight="1" x14ac:dyDescent="0.2"/>
    <row r="63502" ht="12.75" hidden="1" customHeight="1" x14ac:dyDescent="0.2"/>
    <row r="63503" ht="12.75" hidden="1" customHeight="1" x14ac:dyDescent="0.2"/>
    <row r="63504" ht="12.75" hidden="1" customHeight="1" x14ac:dyDescent="0.2"/>
    <row r="63505" ht="12.75" hidden="1" customHeight="1" x14ac:dyDescent="0.2"/>
    <row r="63506" ht="12.75" hidden="1" customHeight="1" x14ac:dyDescent="0.2"/>
    <row r="63507" ht="12.75" hidden="1" customHeight="1" x14ac:dyDescent="0.2"/>
    <row r="63508" ht="12.75" hidden="1" customHeight="1" x14ac:dyDescent="0.2"/>
    <row r="63509" ht="12.75" hidden="1" customHeight="1" x14ac:dyDescent="0.2"/>
    <row r="63510" ht="12.75" hidden="1" customHeight="1" x14ac:dyDescent="0.2"/>
    <row r="63511" ht="12.75" hidden="1" customHeight="1" x14ac:dyDescent="0.2"/>
    <row r="63512" ht="12.75" hidden="1" customHeight="1" x14ac:dyDescent="0.2"/>
    <row r="63513" ht="12.75" hidden="1" customHeight="1" x14ac:dyDescent="0.2"/>
    <row r="63514" ht="12.75" hidden="1" customHeight="1" x14ac:dyDescent="0.2"/>
    <row r="63515" ht="12.75" hidden="1" customHeight="1" x14ac:dyDescent="0.2"/>
    <row r="63516" ht="12.75" hidden="1" customHeight="1" x14ac:dyDescent="0.2"/>
    <row r="63517" ht="12.75" hidden="1" customHeight="1" x14ac:dyDescent="0.2"/>
    <row r="63518" ht="12.75" hidden="1" customHeight="1" x14ac:dyDescent="0.2"/>
    <row r="63519" ht="12.75" hidden="1" customHeight="1" x14ac:dyDescent="0.2"/>
    <row r="63520" ht="12.75" hidden="1" customHeight="1" x14ac:dyDescent="0.2"/>
    <row r="63521" ht="12.75" hidden="1" customHeight="1" x14ac:dyDescent="0.2"/>
    <row r="63522" ht="12.75" hidden="1" customHeight="1" x14ac:dyDescent="0.2"/>
    <row r="63523" ht="12.75" hidden="1" customHeight="1" x14ac:dyDescent="0.2"/>
    <row r="63524" ht="12.75" hidden="1" customHeight="1" x14ac:dyDescent="0.2"/>
    <row r="63525" ht="12.75" hidden="1" customHeight="1" x14ac:dyDescent="0.2"/>
    <row r="63526" ht="12.75" hidden="1" customHeight="1" x14ac:dyDescent="0.2"/>
    <row r="63527" ht="12.75" hidden="1" customHeight="1" x14ac:dyDescent="0.2"/>
    <row r="63528" ht="12.75" hidden="1" customHeight="1" x14ac:dyDescent="0.2"/>
    <row r="63529" ht="12.75" hidden="1" customHeight="1" x14ac:dyDescent="0.2"/>
    <row r="63530" ht="12.75" hidden="1" customHeight="1" x14ac:dyDescent="0.2"/>
    <row r="63531" ht="12.75" hidden="1" customHeight="1" x14ac:dyDescent="0.2"/>
    <row r="63532" ht="12.75" hidden="1" customHeight="1" x14ac:dyDescent="0.2"/>
    <row r="63533" ht="12.75" hidden="1" customHeight="1" x14ac:dyDescent="0.2"/>
    <row r="63534" ht="12.75" hidden="1" customHeight="1" x14ac:dyDescent="0.2"/>
    <row r="63535" ht="12.75" hidden="1" customHeight="1" x14ac:dyDescent="0.2"/>
    <row r="63536" ht="12.75" hidden="1" customHeight="1" x14ac:dyDescent="0.2"/>
    <row r="63537" ht="12.75" hidden="1" customHeight="1" x14ac:dyDescent="0.2"/>
    <row r="63538" ht="12.75" hidden="1" customHeight="1" x14ac:dyDescent="0.2"/>
    <row r="63539" ht="12.75" hidden="1" customHeight="1" x14ac:dyDescent="0.2"/>
    <row r="63540" ht="12.75" hidden="1" customHeight="1" x14ac:dyDescent="0.2"/>
    <row r="63541" ht="12.75" hidden="1" customHeight="1" x14ac:dyDescent="0.2"/>
    <row r="63542" ht="12.75" hidden="1" customHeight="1" x14ac:dyDescent="0.2"/>
    <row r="63543" ht="12.75" hidden="1" customHeight="1" x14ac:dyDescent="0.2"/>
    <row r="63544" ht="12.75" hidden="1" customHeight="1" x14ac:dyDescent="0.2"/>
    <row r="63545" ht="12.75" hidden="1" customHeight="1" x14ac:dyDescent="0.2"/>
    <row r="63546" ht="12.75" hidden="1" customHeight="1" x14ac:dyDescent="0.2"/>
    <row r="63547" ht="12.75" hidden="1" customHeight="1" x14ac:dyDescent="0.2"/>
    <row r="63548" ht="12.75" hidden="1" customHeight="1" x14ac:dyDescent="0.2"/>
    <row r="63549" ht="12.75" hidden="1" customHeight="1" x14ac:dyDescent="0.2"/>
    <row r="63550" ht="12.75" hidden="1" customHeight="1" x14ac:dyDescent="0.2"/>
    <row r="63551" ht="12.75" hidden="1" customHeight="1" x14ac:dyDescent="0.2"/>
    <row r="63552" ht="12.75" hidden="1" customHeight="1" x14ac:dyDescent="0.2"/>
    <row r="63553" ht="12.75" hidden="1" customHeight="1" x14ac:dyDescent="0.2"/>
    <row r="63554" ht="12.75" hidden="1" customHeight="1" x14ac:dyDescent="0.2"/>
    <row r="63555" ht="12.75" hidden="1" customHeight="1" x14ac:dyDescent="0.2"/>
    <row r="63556" ht="12.75" hidden="1" customHeight="1" x14ac:dyDescent="0.2"/>
    <row r="63557" ht="12.75" hidden="1" customHeight="1" x14ac:dyDescent="0.2"/>
    <row r="63558" ht="12.75" hidden="1" customHeight="1" x14ac:dyDescent="0.2"/>
    <row r="63559" ht="12.75" hidden="1" customHeight="1" x14ac:dyDescent="0.2"/>
    <row r="63560" ht="12.75" hidden="1" customHeight="1" x14ac:dyDescent="0.2"/>
    <row r="63561" ht="12.75" hidden="1" customHeight="1" x14ac:dyDescent="0.2"/>
    <row r="63562" ht="12.75" hidden="1" customHeight="1" x14ac:dyDescent="0.2"/>
    <row r="63563" ht="12.75" hidden="1" customHeight="1" x14ac:dyDescent="0.2"/>
    <row r="63564" ht="12.75" hidden="1" customHeight="1" x14ac:dyDescent="0.2"/>
    <row r="63565" ht="12.75" hidden="1" customHeight="1" x14ac:dyDescent="0.2"/>
    <row r="63566" ht="12.75" hidden="1" customHeight="1" x14ac:dyDescent="0.2"/>
    <row r="63567" ht="12.75" hidden="1" customHeight="1" x14ac:dyDescent="0.2"/>
    <row r="63568" ht="12.75" hidden="1" customHeight="1" x14ac:dyDescent="0.2"/>
    <row r="63569" ht="12.75" hidden="1" customHeight="1" x14ac:dyDescent="0.2"/>
    <row r="63570" ht="12.75" hidden="1" customHeight="1" x14ac:dyDescent="0.2"/>
    <row r="63571" ht="12.75" hidden="1" customHeight="1" x14ac:dyDescent="0.2"/>
    <row r="63572" ht="12.75" hidden="1" customHeight="1" x14ac:dyDescent="0.2"/>
    <row r="63573" ht="12.75" hidden="1" customHeight="1" x14ac:dyDescent="0.2"/>
    <row r="63574" ht="12.75" hidden="1" customHeight="1" x14ac:dyDescent="0.2"/>
    <row r="63575" ht="12.75" hidden="1" customHeight="1" x14ac:dyDescent="0.2"/>
    <row r="63576" ht="12.75" hidden="1" customHeight="1" x14ac:dyDescent="0.2"/>
    <row r="63577" ht="12.75" hidden="1" customHeight="1" x14ac:dyDescent="0.2"/>
    <row r="63578" ht="12.75" hidden="1" customHeight="1" x14ac:dyDescent="0.2"/>
    <row r="63579" ht="12.75" hidden="1" customHeight="1" x14ac:dyDescent="0.2"/>
    <row r="63580" ht="12.75" hidden="1" customHeight="1" x14ac:dyDescent="0.2"/>
    <row r="63581" ht="12.75" hidden="1" customHeight="1" x14ac:dyDescent="0.2"/>
    <row r="63582" ht="12.75" hidden="1" customHeight="1" x14ac:dyDescent="0.2"/>
    <row r="63583" ht="12.75" hidden="1" customHeight="1" x14ac:dyDescent="0.2"/>
    <row r="63584" ht="12.75" hidden="1" customHeight="1" x14ac:dyDescent="0.2"/>
    <row r="63585" ht="12.75" hidden="1" customHeight="1" x14ac:dyDescent="0.2"/>
    <row r="63586" ht="12.75" hidden="1" customHeight="1" x14ac:dyDescent="0.2"/>
    <row r="63587" ht="12.75" hidden="1" customHeight="1" x14ac:dyDescent="0.2"/>
    <row r="63588" ht="12.75" hidden="1" customHeight="1" x14ac:dyDescent="0.2"/>
    <row r="63589" ht="12.75" hidden="1" customHeight="1" x14ac:dyDescent="0.2"/>
    <row r="63590" ht="12.75" hidden="1" customHeight="1" x14ac:dyDescent="0.2"/>
    <row r="63591" ht="12.75" hidden="1" customHeight="1" x14ac:dyDescent="0.2"/>
    <row r="63592" ht="12.75" hidden="1" customHeight="1" x14ac:dyDescent="0.2"/>
    <row r="63593" ht="12.75" hidden="1" customHeight="1" x14ac:dyDescent="0.2"/>
    <row r="63594" ht="12.75" hidden="1" customHeight="1" x14ac:dyDescent="0.2"/>
    <row r="63595" ht="12.75" hidden="1" customHeight="1" x14ac:dyDescent="0.2"/>
    <row r="63596" ht="12.75" hidden="1" customHeight="1" x14ac:dyDescent="0.2"/>
    <row r="63597" ht="12.75" hidden="1" customHeight="1" x14ac:dyDescent="0.2"/>
    <row r="63598" ht="12.75" hidden="1" customHeight="1" x14ac:dyDescent="0.2"/>
    <row r="63599" ht="12.75" hidden="1" customHeight="1" x14ac:dyDescent="0.2"/>
    <row r="63600" ht="12.75" hidden="1" customHeight="1" x14ac:dyDescent="0.2"/>
    <row r="63601" ht="12.75" hidden="1" customHeight="1" x14ac:dyDescent="0.2"/>
    <row r="63602" ht="12.75" hidden="1" customHeight="1" x14ac:dyDescent="0.2"/>
    <row r="63603" ht="12.75" hidden="1" customHeight="1" x14ac:dyDescent="0.2"/>
    <row r="63604" ht="12.75" hidden="1" customHeight="1" x14ac:dyDescent="0.2"/>
    <row r="63605" ht="12.75" hidden="1" customHeight="1" x14ac:dyDescent="0.2"/>
    <row r="63606" ht="12.75" hidden="1" customHeight="1" x14ac:dyDescent="0.2"/>
    <row r="63607" ht="12.75" hidden="1" customHeight="1" x14ac:dyDescent="0.2"/>
    <row r="63608" ht="12.75" hidden="1" customHeight="1" x14ac:dyDescent="0.2"/>
    <row r="63609" ht="12.75" hidden="1" customHeight="1" x14ac:dyDescent="0.2"/>
    <row r="63610" ht="12.75" hidden="1" customHeight="1" x14ac:dyDescent="0.2"/>
    <row r="63611" ht="12.75" hidden="1" customHeight="1" x14ac:dyDescent="0.2"/>
    <row r="63612" ht="12.75" hidden="1" customHeight="1" x14ac:dyDescent="0.2"/>
    <row r="63613" ht="12.75" hidden="1" customHeight="1" x14ac:dyDescent="0.2"/>
    <row r="63614" ht="12.75" hidden="1" customHeight="1" x14ac:dyDescent="0.2"/>
    <row r="63615" ht="12.75" hidden="1" customHeight="1" x14ac:dyDescent="0.2"/>
    <row r="63616" ht="12.75" hidden="1" customHeight="1" x14ac:dyDescent="0.2"/>
    <row r="63617" ht="12.75" hidden="1" customHeight="1" x14ac:dyDescent="0.2"/>
    <row r="63618" ht="12.75" hidden="1" customHeight="1" x14ac:dyDescent="0.2"/>
    <row r="63619" ht="12.75" hidden="1" customHeight="1" x14ac:dyDescent="0.2"/>
    <row r="63620" ht="12.75" hidden="1" customHeight="1" x14ac:dyDescent="0.2"/>
    <row r="63621" ht="12.75" hidden="1" customHeight="1" x14ac:dyDescent="0.2"/>
    <row r="63622" ht="12.75" hidden="1" customHeight="1" x14ac:dyDescent="0.2"/>
    <row r="63623" ht="12.75" hidden="1" customHeight="1" x14ac:dyDescent="0.2"/>
    <row r="63624" ht="12.75" hidden="1" customHeight="1" x14ac:dyDescent="0.2"/>
    <row r="63625" ht="12.75" hidden="1" customHeight="1" x14ac:dyDescent="0.2"/>
    <row r="63626" ht="12.75" hidden="1" customHeight="1" x14ac:dyDescent="0.2"/>
    <row r="63627" ht="12.75" hidden="1" customHeight="1" x14ac:dyDescent="0.2"/>
    <row r="63628" ht="12.75" hidden="1" customHeight="1" x14ac:dyDescent="0.2"/>
    <row r="63629" ht="12.75" hidden="1" customHeight="1" x14ac:dyDescent="0.2"/>
    <row r="63630" ht="12.75" hidden="1" customHeight="1" x14ac:dyDescent="0.2"/>
    <row r="63631" ht="12.75" hidden="1" customHeight="1" x14ac:dyDescent="0.2"/>
    <row r="63632" ht="12.75" hidden="1" customHeight="1" x14ac:dyDescent="0.2"/>
    <row r="63633" ht="12.75" hidden="1" customHeight="1" x14ac:dyDescent="0.2"/>
    <row r="63634" ht="12.75" hidden="1" customHeight="1" x14ac:dyDescent="0.2"/>
    <row r="63635" ht="12.75" hidden="1" customHeight="1" x14ac:dyDescent="0.2"/>
    <row r="63636" ht="12.75" hidden="1" customHeight="1" x14ac:dyDescent="0.2"/>
    <row r="63637" ht="12.75" hidden="1" customHeight="1" x14ac:dyDescent="0.2"/>
    <row r="63638" ht="12.75" hidden="1" customHeight="1" x14ac:dyDescent="0.2"/>
    <row r="63639" ht="12.75" hidden="1" customHeight="1" x14ac:dyDescent="0.2"/>
    <row r="63640" ht="12.75" hidden="1" customHeight="1" x14ac:dyDescent="0.2"/>
    <row r="63641" ht="12.75" hidden="1" customHeight="1" x14ac:dyDescent="0.2"/>
    <row r="63642" ht="12.75" hidden="1" customHeight="1" x14ac:dyDescent="0.2"/>
    <row r="63643" ht="12.75" hidden="1" customHeight="1" x14ac:dyDescent="0.2"/>
    <row r="63644" ht="12.75" hidden="1" customHeight="1" x14ac:dyDescent="0.2"/>
    <row r="63645" ht="12.75" hidden="1" customHeight="1" x14ac:dyDescent="0.2"/>
    <row r="63646" ht="12.75" hidden="1" customHeight="1" x14ac:dyDescent="0.2"/>
    <row r="63647" ht="12.75" hidden="1" customHeight="1" x14ac:dyDescent="0.2"/>
    <row r="63648" ht="12.75" hidden="1" customHeight="1" x14ac:dyDescent="0.2"/>
    <row r="63649" ht="12.75" hidden="1" customHeight="1" x14ac:dyDescent="0.2"/>
    <row r="63650" ht="12.75" hidden="1" customHeight="1" x14ac:dyDescent="0.2"/>
    <row r="63651" ht="12.75" hidden="1" customHeight="1" x14ac:dyDescent="0.2"/>
    <row r="63652" ht="12.75" hidden="1" customHeight="1" x14ac:dyDescent="0.2"/>
    <row r="63653" ht="12.75" hidden="1" customHeight="1" x14ac:dyDescent="0.2"/>
    <row r="63654" ht="12.75" hidden="1" customHeight="1" x14ac:dyDescent="0.2"/>
    <row r="63655" ht="12.75" hidden="1" customHeight="1" x14ac:dyDescent="0.2"/>
    <row r="63656" ht="12.75" hidden="1" customHeight="1" x14ac:dyDescent="0.2"/>
    <row r="63657" ht="12.75" hidden="1" customHeight="1" x14ac:dyDescent="0.2"/>
    <row r="63658" ht="12.75" hidden="1" customHeight="1" x14ac:dyDescent="0.2"/>
    <row r="63659" ht="12.75" hidden="1" customHeight="1" x14ac:dyDescent="0.2"/>
    <row r="63660" ht="12.75" hidden="1" customHeight="1" x14ac:dyDescent="0.2"/>
    <row r="63661" ht="12.75" hidden="1" customHeight="1" x14ac:dyDescent="0.2"/>
    <row r="63662" ht="12.75" hidden="1" customHeight="1" x14ac:dyDescent="0.2"/>
    <row r="63663" ht="12.75" hidden="1" customHeight="1" x14ac:dyDescent="0.2"/>
    <row r="63664" ht="12.75" hidden="1" customHeight="1" x14ac:dyDescent="0.2"/>
    <row r="63665" ht="12.75" hidden="1" customHeight="1" x14ac:dyDescent="0.2"/>
    <row r="63666" ht="12.75" hidden="1" customHeight="1" x14ac:dyDescent="0.2"/>
    <row r="63667" ht="12.75" hidden="1" customHeight="1" x14ac:dyDescent="0.2"/>
    <row r="63668" ht="12.75" hidden="1" customHeight="1" x14ac:dyDescent="0.2"/>
    <row r="63669" ht="12.75" hidden="1" customHeight="1" x14ac:dyDescent="0.2"/>
    <row r="63670" ht="12.75" hidden="1" customHeight="1" x14ac:dyDescent="0.2"/>
    <row r="63671" ht="12.75" hidden="1" customHeight="1" x14ac:dyDescent="0.2"/>
    <row r="63672" ht="12.75" hidden="1" customHeight="1" x14ac:dyDescent="0.2"/>
    <row r="63673" ht="12.75" hidden="1" customHeight="1" x14ac:dyDescent="0.2"/>
    <row r="63674" ht="12.75" hidden="1" customHeight="1" x14ac:dyDescent="0.2"/>
    <row r="63675" ht="12.75" hidden="1" customHeight="1" x14ac:dyDescent="0.2"/>
    <row r="63676" ht="12.75" hidden="1" customHeight="1" x14ac:dyDescent="0.2"/>
    <row r="63677" ht="12.75" hidden="1" customHeight="1" x14ac:dyDescent="0.2"/>
    <row r="63678" ht="12.75" hidden="1" customHeight="1" x14ac:dyDescent="0.2"/>
    <row r="63679" ht="12.75" hidden="1" customHeight="1" x14ac:dyDescent="0.2"/>
    <row r="63680" ht="12.75" hidden="1" customHeight="1" x14ac:dyDescent="0.2"/>
    <row r="63681" ht="12.75" hidden="1" customHeight="1" x14ac:dyDescent="0.2"/>
    <row r="63682" ht="12.75" hidden="1" customHeight="1" x14ac:dyDescent="0.2"/>
    <row r="63683" ht="12.75" hidden="1" customHeight="1" x14ac:dyDescent="0.2"/>
    <row r="63684" ht="12.75" hidden="1" customHeight="1" x14ac:dyDescent="0.2"/>
    <row r="63685" ht="12.75" hidden="1" customHeight="1" x14ac:dyDescent="0.2"/>
    <row r="63686" ht="12.75" hidden="1" customHeight="1" x14ac:dyDescent="0.2"/>
    <row r="63687" ht="12.75" hidden="1" customHeight="1" x14ac:dyDescent="0.2"/>
    <row r="63688" ht="12.75" hidden="1" customHeight="1" x14ac:dyDescent="0.2"/>
    <row r="63689" ht="12.75" hidden="1" customHeight="1" x14ac:dyDescent="0.2"/>
    <row r="63690" ht="12.75" hidden="1" customHeight="1" x14ac:dyDescent="0.2"/>
    <row r="63691" ht="12.75" hidden="1" customHeight="1" x14ac:dyDescent="0.2"/>
    <row r="63692" ht="12.75" hidden="1" customHeight="1" x14ac:dyDescent="0.2"/>
    <row r="63693" ht="12.75" hidden="1" customHeight="1" x14ac:dyDescent="0.2"/>
    <row r="63694" ht="12.75" hidden="1" customHeight="1" x14ac:dyDescent="0.2"/>
    <row r="63695" ht="12.75" hidden="1" customHeight="1" x14ac:dyDescent="0.2"/>
    <row r="63696" ht="12.75" hidden="1" customHeight="1" x14ac:dyDescent="0.2"/>
    <row r="63697" ht="12.75" hidden="1" customHeight="1" x14ac:dyDescent="0.2"/>
    <row r="63698" ht="12.75" hidden="1" customHeight="1" x14ac:dyDescent="0.2"/>
    <row r="63699" ht="12.75" hidden="1" customHeight="1" x14ac:dyDescent="0.2"/>
    <row r="63700" ht="12.75" hidden="1" customHeight="1" x14ac:dyDescent="0.2"/>
    <row r="63701" ht="12.75" hidden="1" customHeight="1" x14ac:dyDescent="0.2"/>
    <row r="63702" ht="12.75" hidden="1" customHeight="1" x14ac:dyDescent="0.2"/>
    <row r="63703" ht="12.75" hidden="1" customHeight="1" x14ac:dyDescent="0.2"/>
    <row r="63704" ht="12.75" hidden="1" customHeight="1" x14ac:dyDescent="0.2"/>
    <row r="63705" ht="12.75" hidden="1" customHeight="1" x14ac:dyDescent="0.2"/>
    <row r="63706" ht="12.75" hidden="1" customHeight="1" x14ac:dyDescent="0.2"/>
    <row r="63707" ht="12.75" hidden="1" customHeight="1" x14ac:dyDescent="0.2"/>
    <row r="63708" ht="12.75" hidden="1" customHeight="1" x14ac:dyDescent="0.2"/>
    <row r="63709" ht="12.75" hidden="1" customHeight="1" x14ac:dyDescent="0.2"/>
    <row r="63710" ht="12.75" hidden="1" customHeight="1" x14ac:dyDescent="0.2"/>
    <row r="63711" ht="12.75" hidden="1" customHeight="1" x14ac:dyDescent="0.2"/>
    <row r="63712" ht="12.75" hidden="1" customHeight="1" x14ac:dyDescent="0.2"/>
    <row r="63713" ht="12.75" hidden="1" customHeight="1" x14ac:dyDescent="0.2"/>
    <row r="63714" ht="12.75" hidden="1" customHeight="1" x14ac:dyDescent="0.2"/>
    <row r="63715" ht="12.75" hidden="1" customHeight="1" x14ac:dyDescent="0.2"/>
    <row r="63716" ht="12.75" hidden="1" customHeight="1" x14ac:dyDescent="0.2"/>
    <row r="63717" ht="12.75" hidden="1" customHeight="1" x14ac:dyDescent="0.2"/>
    <row r="63718" ht="12.75" hidden="1" customHeight="1" x14ac:dyDescent="0.2"/>
    <row r="63719" ht="12.75" hidden="1" customHeight="1" x14ac:dyDescent="0.2"/>
    <row r="63720" ht="12.75" hidden="1" customHeight="1" x14ac:dyDescent="0.2"/>
    <row r="63721" ht="12.75" hidden="1" customHeight="1" x14ac:dyDescent="0.2"/>
    <row r="63722" ht="12.75" hidden="1" customHeight="1" x14ac:dyDescent="0.2"/>
    <row r="63723" ht="12.75" hidden="1" customHeight="1" x14ac:dyDescent="0.2"/>
    <row r="63724" ht="12.75" hidden="1" customHeight="1" x14ac:dyDescent="0.2"/>
    <row r="63725" ht="12.75" hidden="1" customHeight="1" x14ac:dyDescent="0.2"/>
    <row r="63726" ht="12.75" hidden="1" customHeight="1" x14ac:dyDescent="0.2"/>
    <row r="63727" ht="12.75" hidden="1" customHeight="1" x14ac:dyDescent="0.2"/>
    <row r="63728" ht="12.75" hidden="1" customHeight="1" x14ac:dyDescent="0.2"/>
    <row r="63729" ht="12.75" hidden="1" customHeight="1" x14ac:dyDescent="0.2"/>
    <row r="63730" ht="12.75" hidden="1" customHeight="1" x14ac:dyDescent="0.2"/>
    <row r="63731" ht="12.75" hidden="1" customHeight="1" x14ac:dyDescent="0.2"/>
    <row r="63732" ht="12.75" hidden="1" customHeight="1" x14ac:dyDescent="0.2"/>
    <row r="63733" ht="12.75" hidden="1" customHeight="1" x14ac:dyDescent="0.2"/>
    <row r="63734" ht="12.75" hidden="1" customHeight="1" x14ac:dyDescent="0.2"/>
    <row r="63735" ht="12.75" hidden="1" customHeight="1" x14ac:dyDescent="0.2"/>
    <row r="63736" ht="12.75" hidden="1" customHeight="1" x14ac:dyDescent="0.2"/>
    <row r="63737" ht="12.75" hidden="1" customHeight="1" x14ac:dyDescent="0.2"/>
    <row r="63738" ht="12.75" hidden="1" customHeight="1" x14ac:dyDescent="0.2"/>
    <row r="63739" ht="12.75" hidden="1" customHeight="1" x14ac:dyDescent="0.2"/>
    <row r="63740" ht="12.75" hidden="1" customHeight="1" x14ac:dyDescent="0.2"/>
    <row r="63741" ht="12.75" hidden="1" customHeight="1" x14ac:dyDescent="0.2"/>
    <row r="63742" ht="12.75" hidden="1" customHeight="1" x14ac:dyDescent="0.2"/>
    <row r="63743" ht="12.75" hidden="1" customHeight="1" x14ac:dyDescent="0.2"/>
    <row r="63744" ht="12.75" hidden="1" customHeight="1" x14ac:dyDescent="0.2"/>
    <row r="63745" ht="12.75" hidden="1" customHeight="1" x14ac:dyDescent="0.2"/>
    <row r="63746" ht="12.75" hidden="1" customHeight="1" x14ac:dyDescent="0.2"/>
    <row r="63747" ht="12.75" hidden="1" customHeight="1" x14ac:dyDescent="0.2"/>
    <row r="63748" ht="12.75" hidden="1" customHeight="1" x14ac:dyDescent="0.2"/>
    <row r="63749" ht="12.75" hidden="1" customHeight="1" x14ac:dyDescent="0.2"/>
    <row r="63750" ht="12.75" hidden="1" customHeight="1" x14ac:dyDescent="0.2"/>
    <row r="63751" ht="12.75" hidden="1" customHeight="1" x14ac:dyDescent="0.2"/>
    <row r="63752" ht="12.75" hidden="1" customHeight="1" x14ac:dyDescent="0.2"/>
    <row r="63753" ht="12.75" hidden="1" customHeight="1" x14ac:dyDescent="0.2"/>
    <row r="63754" ht="12.75" hidden="1" customHeight="1" x14ac:dyDescent="0.2"/>
    <row r="63755" ht="12.75" hidden="1" customHeight="1" x14ac:dyDescent="0.2"/>
    <row r="63756" ht="12.75" hidden="1" customHeight="1" x14ac:dyDescent="0.2"/>
    <row r="63757" ht="12.75" hidden="1" customHeight="1" x14ac:dyDescent="0.2"/>
    <row r="63758" ht="12.75" hidden="1" customHeight="1" x14ac:dyDescent="0.2"/>
    <row r="63759" ht="12.75" hidden="1" customHeight="1" x14ac:dyDescent="0.2"/>
    <row r="63760" ht="12.75" hidden="1" customHeight="1" x14ac:dyDescent="0.2"/>
    <row r="63761" ht="12.75" hidden="1" customHeight="1" x14ac:dyDescent="0.2"/>
    <row r="63762" ht="12.75" hidden="1" customHeight="1" x14ac:dyDescent="0.2"/>
    <row r="63763" ht="12.75" hidden="1" customHeight="1" x14ac:dyDescent="0.2"/>
    <row r="63764" ht="12.75" hidden="1" customHeight="1" x14ac:dyDescent="0.2"/>
    <row r="63765" ht="12.75" hidden="1" customHeight="1" x14ac:dyDescent="0.2"/>
    <row r="63766" ht="12.75" hidden="1" customHeight="1" x14ac:dyDescent="0.2"/>
    <row r="63767" ht="12.75" hidden="1" customHeight="1" x14ac:dyDescent="0.2"/>
    <row r="63768" ht="12.75" hidden="1" customHeight="1" x14ac:dyDescent="0.2"/>
    <row r="63769" ht="12.75" hidden="1" customHeight="1" x14ac:dyDescent="0.2"/>
    <row r="63770" ht="12.75" hidden="1" customHeight="1" x14ac:dyDescent="0.2"/>
    <row r="63771" ht="12.75" hidden="1" customHeight="1" x14ac:dyDescent="0.2"/>
    <row r="63772" ht="12.75" hidden="1" customHeight="1" x14ac:dyDescent="0.2"/>
    <row r="63773" ht="12.75" hidden="1" customHeight="1" x14ac:dyDescent="0.2"/>
    <row r="63774" ht="12.75" hidden="1" customHeight="1" x14ac:dyDescent="0.2"/>
    <row r="63775" ht="12.75" hidden="1" customHeight="1" x14ac:dyDescent="0.2"/>
    <row r="63776" ht="12.75" hidden="1" customHeight="1" x14ac:dyDescent="0.2"/>
    <row r="63777" ht="12.75" hidden="1" customHeight="1" x14ac:dyDescent="0.2"/>
    <row r="63778" ht="12.75" hidden="1" customHeight="1" x14ac:dyDescent="0.2"/>
    <row r="63779" ht="12.75" hidden="1" customHeight="1" x14ac:dyDescent="0.2"/>
    <row r="63780" ht="12.75" hidden="1" customHeight="1" x14ac:dyDescent="0.2"/>
    <row r="63781" ht="12.75" hidden="1" customHeight="1" x14ac:dyDescent="0.2"/>
    <row r="63782" ht="12.75" hidden="1" customHeight="1" x14ac:dyDescent="0.2"/>
    <row r="63783" ht="12.75" hidden="1" customHeight="1" x14ac:dyDescent="0.2"/>
    <row r="63784" ht="12.75" hidden="1" customHeight="1" x14ac:dyDescent="0.2"/>
    <row r="63785" ht="12.75" hidden="1" customHeight="1" x14ac:dyDescent="0.2"/>
    <row r="63786" ht="12.75" hidden="1" customHeight="1" x14ac:dyDescent="0.2"/>
    <row r="63787" ht="12.75" hidden="1" customHeight="1" x14ac:dyDescent="0.2"/>
    <row r="63788" ht="12.75" hidden="1" customHeight="1" x14ac:dyDescent="0.2"/>
    <row r="63789" ht="12.75" hidden="1" customHeight="1" x14ac:dyDescent="0.2"/>
    <row r="63790" ht="12.75" hidden="1" customHeight="1" x14ac:dyDescent="0.2"/>
    <row r="63791" ht="12.75" hidden="1" customHeight="1" x14ac:dyDescent="0.2"/>
    <row r="63792" ht="12.75" hidden="1" customHeight="1" x14ac:dyDescent="0.2"/>
    <row r="63793" ht="12.75" hidden="1" customHeight="1" x14ac:dyDescent="0.2"/>
    <row r="63794" ht="12.75" hidden="1" customHeight="1" x14ac:dyDescent="0.2"/>
    <row r="63795" ht="12.75" hidden="1" customHeight="1" x14ac:dyDescent="0.2"/>
    <row r="63796" ht="12.75" hidden="1" customHeight="1" x14ac:dyDescent="0.2"/>
    <row r="63797" ht="12.75" hidden="1" customHeight="1" x14ac:dyDescent="0.2"/>
    <row r="63798" ht="12.75" hidden="1" customHeight="1" x14ac:dyDescent="0.2"/>
    <row r="63799" ht="12.75" hidden="1" customHeight="1" x14ac:dyDescent="0.2"/>
    <row r="63800" ht="12.75" hidden="1" customHeight="1" x14ac:dyDescent="0.2"/>
    <row r="63801" ht="12.75" hidden="1" customHeight="1" x14ac:dyDescent="0.2"/>
    <row r="63802" ht="12.75" hidden="1" customHeight="1" x14ac:dyDescent="0.2"/>
    <row r="63803" ht="12.75" hidden="1" customHeight="1" x14ac:dyDescent="0.2"/>
    <row r="63804" ht="12.75" hidden="1" customHeight="1" x14ac:dyDescent="0.2"/>
    <row r="63805" ht="12.75" hidden="1" customHeight="1" x14ac:dyDescent="0.2"/>
    <row r="63806" ht="12.75" hidden="1" customHeight="1" x14ac:dyDescent="0.2"/>
    <row r="63807" ht="12.75" hidden="1" customHeight="1" x14ac:dyDescent="0.2"/>
    <row r="63808" ht="12.75" hidden="1" customHeight="1" x14ac:dyDescent="0.2"/>
    <row r="63809" ht="12.75" hidden="1" customHeight="1" x14ac:dyDescent="0.2"/>
    <row r="63810" ht="12.75" hidden="1" customHeight="1" x14ac:dyDescent="0.2"/>
    <row r="63811" ht="12.75" hidden="1" customHeight="1" x14ac:dyDescent="0.2"/>
    <row r="63812" ht="12.75" hidden="1" customHeight="1" x14ac:dyDescent="0.2"/>
    <row r="63813" ht="12.75" hidden="1" customHeight="1" x14ac:dyDescent="0.2"/>
    <row r="63814" ht="12.75" hidden="1" customHeight="1" x14ac:dyDescent="0.2"/>
    <row r="63815" ht="12.75" hidden="1" customHeight="1" x14ac:dyDescent="0.2"/>
    <row r="63816" ht="12.75" hidden="1" customHeight="1" x14ac:dyDescent="0.2"/>
    <row r="63817" ht="12.75" hidden="1" customHeight="1" x14ac:dyDescent="0.2"/>
    <row r="63818" ht="12.75" hidden="1" customHeight="1" x14ac:dyDescent="0.2"/>
    <row r="63819" ht="12.75" hidden="1" customHeight="1" x14ac:dyDescent="0.2"/>
    <row r="63820" ht="12.75" hidden="1" customHeight="1" x14ac:dyDescent="0.2"/>
    <row r="63821" ht="12.75" hidden="1" customHeight="1" x14ac:dyDescent="0.2"/>
    <row r="63822" ht="12.75" hidden="1" customHeight="1" x14ac:dyDescent="0.2"/>
    <row r="63823" ht="12.75" hidden="1" customHeight="1" x14ac:dyDescent="0.2"/>
    <row r="63824" ht="12.75" hidden="1" customHeight="1" x14ac:dyDescent="0.2"/>
    <row r="63825" ht="12.75" hidden="1" customHeight="1" x14ac:dyDescent="0.2"/>
    <row r="63826" ht="12.75" hidden="1" customHeight="1" x14ac:dyDescent="0.2"/>
    <row r="63827" ht="12.75" hidden="1" customHeight="1" x14ac:dyDescent="0.2"/>
    <row r="63828" ht="12.75" hidden="1" customHeight="1" x14ac:dyDescent="0.2"/>
    <row r="63829" ht="12.75" hidden="1" customHeight="1" x14ac:dyDescent="0.2"/>
    <row r="63830" ht="12.75" hidden="1" customHeight="1" x14ac:dyDescent="0.2"/>
    <row r="63831" ht="12.75" hidden="1" customHeight="1" x14ac:dyDescent="0.2"/>
    <row r="63832" ht="12.75" hidden="1" customHeight="1" x14ac:dyDescent="0.2"/>
    <row r="63833" ht="12.75" hidden="1" customHeight="1" x14ac:dyDescent="0.2"/>
    <row r="63834" ht="12.75" hidden="1" customHeight="1" x14ac:dyDescent="0.2"/>
    <row r="63835" ht="12.75" hidden="1" customHeight="1" x14ac:dyDescent="0.2"/>
    <row r="63836" ht="12.75" hidden="1" customHeight="1" x14ac:dyDescent="0.2"/>
    <row r="63837" ht="12.75" hidden="1" customHeight="1" x14ac:dyDescent="0.2"/>
    <row r="63838" ht="12.75" hidden="1" customHeight="1" x14ac:dyDescent="0.2"/>
    <row r="63839" ht="12.75" hidden="1" customHeight="1" x14ac:dyDescent="0.2"/>
    <row r="63840" ht="12.75" hidden="1" customHeight="1" x14ac:dyDescent="0.2"/>
    <row r="63841" ht="12.75" hidden="1" customHeight="1" x14ac:dyDescent="0.2"/>
    <row r="63842" ht="12.75" hidden="1" customHeight="1" x14ac:dyDescent="0.2"/>
    <row r="63843" ht="12.75" hidden="1" customHeight="1" x14ac:dyDescent="0.2"/>
    <row r="63844" ht="12.75" hidden="1" customHeight="1" x14ac:dyDescent="0.2"/>
    <row r="63845" ht="12.75" hidden="1" customHeight="1" x14ac:dyDescent="0.2"/>
    <row r="63846" ht="12.75" hidden="1" customHeight="1" x14ac:dyDescent="0.2"/>
    <row r="63847" ht="12.75" hidden="1" customHeight="1" x14ac:dyDescent="0.2"/>
    <row r="63848" ht="12.75" hidden="1" customHeight="1" x14ac:dyDescent="0.2"/>
    <row r="63849" ht="12.75" hidden="1" customHeight="1" x14ac:dyDescent="0.2"/>
    <row r="63850" ht="12.75" hidden="1" customHeight="1" x14ac:dyDescent="0.2"/>
    <row r="63851" ht="12.75" hidden="1" customHeight="1" x14ac:dyDescent="0.2"/>
    <row r="63852" ht="12.75" hidden="1" customHeight="1" x14ac:dyDescent="0.2"/>
    <row r="63853" ht="12.75" hidden="1" customHeight="1" x14ac:dyDescent="0.2"/>
    <row r="63854" ht="12.75" hidden="1" customHeight="1" x14ac:dyDescent="0.2"/>
    <row r="63855" ht="12.75" hidden="1" customHeight="1" x14ac:dyDescent="0.2"/>
    <row r="63856" ht="12.75" hidden="1" customHeight="1" x14ac:dyDescent="0.2"/>
    <row r="63857" ht="12.75" hidden="1" customHeight="1" x14ac:dyDescent="0.2"/>
    <row r="63858" ht="12.75" hidden="1" customHeight="1" x14ac:dyDescent="0.2"/>
    <row r="63859" ht="12.75" hidden="1" customHeight="1" x14ac:dyDescent="0.2"/>
    <row r="63860" ht="12.75" hidden="1" customHeight="1" x14ac:dyDescent="0.2"/>
    <row r="63861" ht="12.75" hidden="1" customHeight="1" x14ac:dyDescent="0.2"/>
    <row r="63862" ht="12.75" hidden="1" customHeight="1" x14ac:dyDescent="0.2"/>
    <row r="63863" ht="12.75" hidden="1" customHeight="1" x14ac:dyDescent="0.2"/>
    <row r="63864" ht="12.75" hidden="1" customHeight="1" x14ac:dyDescent="0.2"/>
    <row r="63865" ht="12.75" hidden="1" customHeight="1" x14ac:dyDescent="0.2"/>
    <row r="63866" ht="12.75" hidden="1" customHeight="1" x14ac:dyDescent="0.2"/>
    <row r="63867" ht="12.75" hidden="1" customHeight="1" x14ac:dyDescent="0.2"/>
    <row r="63868" ht="12.75" hidden="1" customHeight="1" x14ac:dyDescent="0.2"/>
    <row r="63869" ht="12.75" hidden="1" customHeight="1" x14ac:dyDescent="0.2"/>
    <row r="63870" ht="12.75" hidden="1" customHeight="1" x14ac:dyDescent="0.2"/>
    <row r="63871" ht="12.75" hidden="1" customHeight="1" x14ac:dyDescent="0.2"/>
    <row r="63872" ht="12.75" hidden="1" customHeight="1" x14ac:dyDescent="0.2"/>
    <row r="63873" ht="12.75" hidden="1" customHeight="1" x14ac:dyDescent="0.2"/>
    <row r="63874" ht="12.75" hidden="1" customHeight="1" x14ac:dyDescent="0.2"/>
    <row r="63875" ht="12.75" hidden="1" customHeight="1" x14ac:dyDescent="0.2"/>
    <row r="63876" ht="12.75" hidden="1" customHeight="1" x14ac:dyDescent="0.2"/>
    <row r="63877" ht="12.75" hidden="1" customHeight="1" x14ac:dyDescent="0.2"/>
    <row r="63878" ht="12.75" hidden="1" customHeight="1" x14ac:dyDescent="0.2"/>
    <row r="63879" ht="12.75" hidden="1" customHeight="1" x14ac:dyDescent="0.2"/>
    <row r="63880" ht="12.75" hidden="1" customHeight="1" x14ac:dyDescent="0.2"/>
    <row r="63881" ht="12.75" hidden="1" customHeight="1" x14ac:dyDescent="0.2"/>
    <row r="63882" ht="12.75" hidden="1" customHeight="1" x14ac:dyDescent="0.2"/>
    <row r="63883" ht="12.75" hidden="1" customHeight="1" x14ac:dyDescent="0.2"/>
    <row r="63884" ht="12.75" hidden="1" customHeight="1" x14ac:dyDescent="0.2"/>
    <row r="63885" ht="12.75" hidden="1" customHeight="1" x14ac:dyDescent="0.2"/>
    <row r="63886" ht="12.75" hidden="1" customHeight="1" x14ac:dyDescent="0.2"/>
    <row r="63887" ht="12.75" hidden="1" customHeight="1" x14ac:dyDescent="0.2"/>
    <row r="63888" ht="12.75" hidden="1" customHeight="1" x14ac:dyDescent="0.2"/>
    <row r="63889" ht="12.75" hidden="1" customHeight="1" x14ac:dyDescent="0.2"/>
    <row r="63890" ht="12.75" hidden="1" customHeight="1" x14ac:dyDescent="0.2"/>
    <row r="63891" ht="12.75" hidden="1" customHeight="1" x14ac:dyDescent="0.2"/>
    <row r="63892" ht="12.75" hidden="1" customHeight="1" x14ac:dyDescent="0.2"/>
    <row r="63893" ht="12.75" hidden="1" customHeight="1" x14ac:dyDescent="0.2"/>
    <row r="63894" ht="12.75" hidden="1" customHeight="1" x14ac:dyDescent="0.2"/>
    <row r="63895" ht="12.75" hidden="1" customHeight="1" x14ac:dyDescent="0.2"/>
    <row r="63896" ht="12.75" hidden="1" customHeight="1" x14ac:dyDescent="0.2"/>
    <row r="63897" ht="12.75" hidden="1" customHeight="1" x14ac:dyDescent="0.2"/>
    <row r="63898" ht="12.75" hidden="1" customHeight="1" x14ac:dyDescent="0.2"/>
    <row r="63899" ht="12.75" hidden="1" customHeight="1" x14ac:dyDescent="0.2"/>
    <row r="63900" ht="12.75" hidden="1" customHeight="1" x14ac:dyDescent="0.2"/>
    <row r="63901" ht="12.75" hidden="1" customHeight="1" x14ac:dyDescent="0.2"/>
    <row r="63902" ht="12.75" hidden="1" customHeight="1" x14ac:dyDescent="0.2"/>
    <row r="63903" ht="12.75" hidden="1" customHeight="1" x14ac:dyDescent="0.2"/>
    <row r="63904" ht="12.75" hidden="1" customHeight="1" x14ac:dyDescent="0.2"/>
    <row r="63905" ht="12.75" hidden="1" customHeight="1" x14ac:dyDescent="0.2"/>
    <row r="63906" ht="12.75" hidden="1" customHeight="1" x14ac:dyDescent="0.2"/>
    <row r="63907" ht="12.75" hidden="1" customHeight="1" x14ac:dyDescent="0.2"/>
    <row r="63908" ht="12.75" hidden="1" customHeight="1" x14ac:dyDescent="0.2"/>
    <row r="63909" ht="12.75" hidden="1" customHeight="1" x14ac:dyDescent="0.2"/>
    <row r="63910" ht="12.75" hidden="1" customHeight="1" x14ac:dyDescent="0.2"/>
    <row r="63911" ht="12.75" hidden="1" customHeight="1" x14ac:dyDescent="0.2"/>
    <row r="63912" ht="12.75" hidden="1" customHeight="1" x14ac:dyDescent="0.2"/>
    <row r="63913" ht="12.75" hidden="1" customHeight="1" x14ac:dyDescent="0.2"/>
    <row r="63914" ht="12.75" hidden="1" customHeight="1" x14ac:dyDescent="0.2"/>
    <row r="63915" ht="12.75" hidden="1" customHeight="1" x14ac:dyDescent="0.2"/>
    <row r="63916" ht="12.75" hidden="1" customHeight="1" x14ac:dyDescent="0.2"/>
    <row r="63917" ht="12.75" hidden="1" customHeight="1" x14ac:dyDescent="0.2"/>
    <row r="63918" ht="12.75" hidden="1" customHeight="1" x14ac:dyDescent="0.2"/>
    <row r="63919" ht="12.75" hidden="1" customHeight="1" x14ac:dyDescent="0.2"/>
    <row r="63920" ht="12.75" hidden="1" customHeight="1" x14ac:dyDescent="0.2"/>
    <row r="63921" ht="12.75" hidden="1" customHeight="1" x14ac:dyDescent="0.2"/>
    <row r="63922" ht="12.75" hidden="1" customHeight="1" x14ac:dyDescent="0.2"/>
    <row r="63923" ht="12.75" hidden="1" customHeight="1" x14ac:dyDescent="0.2"/>
    <row r="63924" ht="12.75" hidden="1" customHeight="1" x14ac:dyDescent="0.2"/>
    <row r="63925" ht="12.75" hidden="1" customHeight="1" x14ac:dyDescent="0.2"/>
    <row r="63926" ht="12.75" hidden="1" customHeight="1" x14ac:dyDescent="0.2"/>
    <row r="63927" ht="12.75" hidden="1" customHeight="1" x14ac:dyDescent="0.2"/>
    <row r="63928" ht="12.75" hidden="1" customHeight="1" x14ac:dyDescent="0.2"/>
    <row r="63929" ht="12.75" hidden="1" customHeight="1" x14ac:dyDescent="0.2"/>
    <row r="63930" ht="12.75" hidden="1" customHeight="1" x14ac:dyDescent="0.2"/>
    <row r="63931" ht="12.75" hidden="1" customHeight="1" x14ac:dyDescent="0.2"/>
    <row r="63932" ht="12.75" hidden="1" customHeight="1" x14ac:dyDescent="0.2"/>
    <row r="63933" ht="12.75" hidden="1" customHeight="1" x14ac:dyDescent="0.2"/>
    <row r="63934" ht="12.75" hidden="1" customHeight="1" x14ac:dyDescent="0.2"/>
    <row r="63935" ht="12.75" hidden="1" customHeight="1" x14ac:dyDescent="0.2"/>
    <row r="63936" ht="12.75" hidden="1" customHeight="1" x14ac:dyDescent="0.2"/>
    <row r="63937" ht="12.75" hidden="1" customHeight="1" x14ac:dyDescent="0.2"/>
    <row r="63938" ht="12.75" hidden="1" customHeight="1" x14ac:dyDescent="0.2"/>
    <row r="63939" ht="12.75" hidden="1" customHeight="1" x14ac:dyDescent="0.2"/>
    <row r="63940" ht="12.75" hidden="1" customHeight="1" x14ac:dyDescent="0.2"/>
    <row r="63941" ht="12.75" hidden="1" customHeight="1" x14ac:dyDescent="0.2"/>
    <row r="63942" ht="12.75" hidden="1" customHeight="1" x14ac:dyDescent="0.2"/>
    <row r="63943" ht="12.75" hidden="1" customHeight="1" x14ac:dyDescent="0.2"/>
    <row r="63944" ht="12.75" hidden="1" customHeight="1" x14ac:dyDescent="0.2"/>
    <row r="63945" ht="12.75" hidden="1" customHeight="1" x14ac:dyDescent="0.2"/>
    <row r="63946" ht="12.75" hidden="1" customHeight="1" x14ac:dyDescent="0.2"/>
    <row r="63947" ht="12.75" hidden="1" customHeight="1" x14ac:dyDescent="0.2"/>
    <row r="63948" ht="12.75" hidden="1" customHeight="1" x14ac:dyDescent="0.2"/>
    <row r="63949" ht="12.75" hidden="1" customHeight="1" x14ac:dyDescent="0.2"/>
    <row r="63950" ht="12.75" hidden="1" customHeight="1" x14ac:dyDescent="0.2"/>
    <row r="63951" ht="12.75" hidden="1" customHeight="1" x14ac:dyDescent="0.2"/>
    <row r="63952" ht="12.75" hidden="1" customHeight="1" x14ac:dyDescent="0.2"/>
    <row r="63953" ht="12.75" hidden="1" customHeight="1" x14ac:dyDescent="0.2"/>
    <row r="63954" ht="12.75" hidden="1" customHeight="1" x14ac:dyDescent="0.2"/>
    <row r="63955" ht="12.75" hidden="1" customHeight="1" x14ac:dyDescent="0.2"/>
    <row r="63956" ht="12.75" hidden="1" customHeight="1" x14ac:dyDescent="0.2"/>
    <row r="63957" ht="12.75" hidden="1" customHeight="1" x14ac:dyDescent="0.2"/>
    <row r="63958" ht="12.75" hidden="1" customHeight="1" x14ac:dyDescent="0.2"/>
    <row r="63959" ht="12.75" hidden="1" customHeight="1" x14ac:dyDescent="0.2"/>
    <row r="63960" ht="12.75" hidden="1" customHeight="1" x14ac:dyDescent="0.2"/>
    <row r="63961" ht="12.75" hidden="1" customHeight="1" x14ac:dyDescent="0.2"/>
    <row r="63962" ht="12.75" hidden="1" customHeight="1" x14ac:dyDescent="0.2"/>
    <row r="63963" ht="12.75" hidden="1" customHeight="1" x14ac:dyDescent="0.2"/>
    <row r="63964" ht="12.75" hidden="1" customHeight="1" x14ac:dyDescent="0.2"/>
    <row r="63965" ht="12.75" hidden="1" customHeight="1" x14ac:dyDescent="0.2"/>
    <row r="63966" ht="12.75" hidden="1" customHeight="1" x14ac:dyDescent="0.2"/>
    <row r="63967" ht="12.75" hidden="1" customHeight="1" x14ac:dyDescent="0.2"/>
    <row r="63968" ht="12.75" hidden="1" customHeight="1" x14ac:dyDescent="0.2"/>
    <row r="63969" ht="12.75" hidden="1" customHeight="1" x14ac:dyDescent="0.2"/>
    <row r="63970" ht="12.75" hidden="1" customHeight="1" x14ac:dyDescent="0.2"/>
    <row r="63971" ht="12.75" hidden="1" customHeight="1" x14ac:dyDescent="0.2"/>
    <row r="63972" ht="12.75" hidden="1" customHeight="1" x14ac:dyDescent="0.2"/>
    <row r="63973" ht="12.75" hidden="1" customHeight="1" x14ac:dyDescent="0.2"/>
    <row r="63974" ht="12.75" hidden="1" customHeight="1" x14ac:dyDescent="0.2"/>
    <row r="63975" ht="12.75" hidden="1" customHeight="1" x14ac:dyDescent="0.2"/>
    <row r="63976" ht="12.75" hidden="1" customHeight="1" x14ac:dyDescent="0.2"/>
    <row r="63977" ht="12.75" hidden="1" customHeight="1" x14ac:dyDescent="0.2"/>
    <row r="63978" ht="12.75" hidden="1" customHeight="1" x14ac:dyDescent="0.2"/>
    <row r="63979" ht="12.75" hidden="1" customHeight="1" x14ac:dyDescent="0.2"/>
    <row r="63980" ht="12.75" hidden="1" customHeight="1" x14ac:dyDescent="0.2"/>
    <row r="63981" ht="12.75" hidden="1" customHeight="1" x14ac:dyDescent="0.2"/>
    <row r="63982" ht="12.75" hidden="1" customHeight="1" x14ac:dyDescent="0.2"/>
    <row r="63983" ht="12.75" hidden="1" customHeight="1" x14ac:dyDescent="0.2"/>
    <row r="63984" ht="12.75" hidden="1" customHeight="1" x14ac:dyDescent="0.2"/>
    <row r="63985" ht="12.75" hidden="1" customHeight="1" x14ac:dyDescent="0.2"/>
    <row r="63986" ht="12.75" hidden="1" customHeight="1" x14ac:dyDescent="0.2"/>
    <row r="63987" ht="12.75" hidden="1" customHeight="1" x14ac:dyDescent="0.2"/>
    <row r="63988" ht="12.75" hidden="1" customHeight="1" x14ac:dyDescent="0.2"/>
    <row r="63989" ht="12.75" hidden="1" customHeight="1" x14ac:dyDescent="0.2"/>
    <row r="63990" ht="12.75" hidden="1" customHeight="1" x14ac:dyDescent="0.2"/>
    <row r="63991" ht="12.75" hidden="1" customHeight="1" x14ac:dyDescent="0.2"/>
    <row r="63992" ht="12.75" hidden="1" customHeight="1" x14ac:dyDescent="0.2"/>
    <row r="63993" ht="12.75" hidden="1" customHeight="1" x14ac:dyDescent="0.2"/>
    <row r="63994" ht="12.75" hidden="1" customHeight="1" x14ac:dyDescent="0.2"/>
    <row r="63995" ht="12.75" hidden="1" customHeight="1" x14ac:dyDescent="0.2"/>
    <row r="63996" ht="12.75" hidden="1" customHeight="1" x14ac:dyDescent="0.2"/>
    <row r="63997" ht="12.75" hidden="1" customHeight="1" x14ac:dyDescent="0.2"/>
    <row r="63998" ht="12.75" hidden="1" customHeight="1" x14ac:dyDescent="0.2"/>
    <row r="63999" ht="12.75" hidden="1" customHeight="1" x14ac:dyDescent="0.2"/>
    <row r="64000" ht="12.75" hidden="1" customHeight="1" x14ac:dyDescent="0.2"/>
    <row r="64001" ht="12.75" hidden="1" customHeight="1" x14ac:dyDescent="0.2"/>
    <row r="64002" ht="12.75" hidden="1" customHeight="1" x14ac:dyDescent="0.2"/>
    <row r="64003" ht="12.75" hidden="1" customHeight="1" x14ac:dyDescent="0.2"/>
    <row r="64004" ht="12.75" hidden="1" customHeight="1" x14ac:dyDescent="0.2"/>
    <row r="64005" ht="12.75" hidden="1" customHeight="1" x14ac:dyDescent="0.2"/>
    <row r="64006" ht="12.75" hidden="1" customHeight="1" x14ac:dyDescent="0.2"/>
    <row r="64007" ht="12.75" hidden="1" customHeight="1" x14ac:dyDescent="0.2"/>
    <row r="64008" ht="12.75" hidden="1" customHeight="1" x14ac:dyDescent="0.2"/>
    <row r="64009" ht="12.75" hidden="1" customHeight="1" x14ac:dyDescent="0.2"/>
    <row r="64010" ht="12.75" hidden="1" customHeight="1" x14ac:dyDescent="0.2"/>
    <row r="64011" ht="12.75" hidden="1" customHeight="1" x14ac:dyDescent="0.2"/>
    <row r="64012" ht="12.75" hidden="1" customHeight="1" x14ac:dyDescent="0.2"/>
    <row r="64013" ht="12.75" hidden="1" customHeight="1" x14ac:dyDescent="0.2"/>
    <row r="64014" ht="12.75" hidden="1" customHeight="1" x14ac:dyDescent="0.2"/>
    <row r="64015" ht="12.75" hidden="1" customHeight="1" x14ac:dyDescent="0.2"/>
    <row r="64016" ht="12.75" hidden="1" customHeight="1" x14ac:dyDescent="0.2"/>
    <row r="64017" ht="12.75" hidden="1" customHeight="1" x14ac:dyDescent="0.2"/>
    <row r="64018" ht="12.75" hidden="1" customHeight="1" x14ac:dyDescent="0.2"/>
    <row r="64019" ht="12.75" hidden="1" customHeight="1" x14ac:dyDescent="0.2"/>
    <row r="64020" ht="12.75" hidden="1" customHeight="1" x14ac:dyDescent="0.2"/>
    <row r="64021" ht="12.75" hidden="1" customHeight="1" x14ac:dyDescent="0.2"/>
    <row r="64022" ht="12.75" hidden="1" customHeight="1" x14ac:dyDescent="0.2"/>
    <row r="64023" ht="12.75" hidden="1" customHeight="1" x14ac:dyDescent="0.2"/>
    <row r="64024" ht="12.75" hidden="1" customHeight="1" x14ac:dyDescent="0.2"/>
    <row r="64025" ht="12.75" hidden="1" customHeight="1" x14ac:dyDescent="0.2"/>
    <row r="64026" ht="12.75" hidden="1" customHeight="1" x14ac:dyDescent="0.2"/>
    <row r="64027" ht="12.75" hidden="1" customHeight="1" x14ac:dyDescent="0.2"/>
    <row r="64028" ht="12.75" hidden="1" customHeight="1" x14ac:dyDescent="0.2"/>
    <row r="64029" ht="12.75" hidden="1" customHeight="1" x14ac:dyDescent="0.2"/>
    <row r="64030" ht="12.75" hidden="1" customHeight="1" x14ac:dyDescent="0.2"/>
    <row r="64031" ht="12.75" hidden="1" customHeight="1" x14ac:dyDescent="0.2"/>
    <row r="64032" ht="12.75" hidden="1" customHeight="1" x14ac:dyDescent="0.2"/>
    <row r="64033" ht="12.75" hidden="1" customHeight="1" x14ac:dyDescent="0.2"/>
    <row r="64034" ht="12.75" hidden="1" customHeight="1" x14ac:dyDescent="0.2"/>
    <row r="64035" ht="12.75" hidden="1" customHeight="1" x14ac:dyDescent="0.2"/>
    <row r="64036" ht="12.75" hidden="1" customHeight="1" x14ac:dyDescent="0.2"/>
    <row r="64037" ht="12.75" hidden="1" customHeight="1" x14ac:dyDescent="0.2"/>
    <row r="64038" ht="12.75" hidden="1" customHeight="1" x14ac:dyDescent="0.2"/>
    <row r="64039" ht="12.75" hidden="1" customHeight="1" x14ac:dyDescent="0.2"/>
    <row r="64040" ht="12.75" hidden="1" customHeight="1" x14ac:dyDescent="0.2"/>
    <row r="64041" ht="12.75" hidden="1" customHeight="1" x14ac:dyDescent="0.2"/>
    <row r="64042" ht="12.75" hidden="1" customHeight="1" x14ac:dyDescent="0.2"/>
    <row r="64043" ht="12.75" hidden="1" customHeight="1" x14ac:dyDescent="0.2"/>
    <row r="64044" ht="12.75" hidden="1" customHeight="1" x14ac:dyDescent="0.2"/>
    <row r="64045" ht="12.75" hidden="1" customHeight="1" x14ac:dyDescent="0.2"/>
    <row r="64046" ht="12.75" hidden="1" customHeight="1" x14ac:dyDescent="0.2"/>
    <row r="64047" ht="12.75" hidden="1" customHeight="1" x14ac:dyDescent="0.2"/>
    <row r="64048" ht="12.75" hidden="1" customHeight="1" x14ac:dyDescent="0.2"/>
    <row r="64049" ht="12.75" hidden="1" customHeight="1" x14ac:dyDescent="0.2"/>
    <row r="64050" ht="12.75" hidden="1" customHeight="1" x14ac:dyDescent="0.2"/>
    <row r="64051" ht="12.75" hidden="1" customHeight="1" x14ac:dyDescent="0.2"/>
    <row r="64052" ht="12.75" hidden="1" customHeight="1" x14ac:dyDescent="0.2"/>
    <row r="64053" ht="12.75" hidden="1" customHeight="1" x14ac:dyDescent="0.2"/>
    <row r="64054" ht="12.75" hidden="1" customHeight="1" x14ac:dyDescent="0.2"/>
    <row r="64055" ht="12.75" hidden="1" customHeight="1" x14ac:dyDescent="0.2"/>
    <row r="64056" ht="12.75" hidden="1" customHeight="1" x14ac:dyDescent="0.2"/>
    <row r="64057" ht="12.75" hidden="1" customHeight="1" x14ac:dyDescent="0.2"/>
    <row r="64058" ht="12.75" hidden="1" customHeight="1" x14ac:dyDescent="0.2"/>
    <row r="64059" ht="12.75" hidden="1" customHeight="1" x14ac:dyDescent="0.2"/>
    <row r="64060" ht="12.75" hidden="1" customHeight="1" x14ac:dyDescent="0.2"/>
    <row r="64061" ht="12.75" hidden="1" customHeight="1" x14ac:dyDescent="0.2"/>
    <row r="64062" ht="12.75" hidden="1" customHeight="1" x14ac:dyDescent="0.2"/>
    <row r="64063" ht="12.75" hidden="1" customHeight="1" x14ac:dyDescent="0.2"/>
    <row r="64064" ht="12.75" hidden="1" customHeight="1" x14ac:dyDescent="0.2"/>
    <row r="64065" ht="12.75" hidden="1" customHeight="1" x14ac:dyDescent="0.2"/>
    <row r="64066" ht="12.75" hidden="1" customHeight="1" x14ac:dyDescent="0.2"/>
    <row r="64067" ht="12.75" hidden="1" customHeight="1" x14ac:dyDescent="0.2"/>
    <row r="64068" ht="12.75" hidden="1" customHeight="1" x14ac:dyDescent="0.2"/>
    <row r="64069" ht="12.75" hidden="1" customHeight="1" x14ac:dyDescent="0.2"/>
    <row r="64070" ht="12.75" hidden="1" customHeight="1" x14ac:dyDescent="0.2"/>
    <row r="64071" ht="12.75" hidden="1" customHeight="1" x14ac:dyDescent="0.2"/>
    <row r="64072" ht="12.75" hidden="1" customHeight="1" x14ac:dyDescent="0.2"/>
    <row r="64073" ht="12.75" hidden="1" customHeight="1" x14ac:dyDescent="0.2"/>
    <row r="64074" ht="12.75" hidden="1" customHeight="1" x14ac:dyDescent="0.2"/>
    <row r="64075" ht="12.75" hidden="1" customHeight="1" x14ac:dyDescent="0.2"/>
    <row r="64076" ht="12.75" hidden="1" customHeight="1" x14ac:dyDescent="0.2"/>
    <row r="64077" ht="12.75" hidden="1" customHeight="1" x14ac:dyDescent="0.2"/>
    <row r="64078" ht="12.75" hidden="1" customHeight="1" x14ac:dyDescent="0.2"/>
    <row r="64079" ht="12.75" hidden="1" customHeight="1" x14ac:dyDescent="0.2"/>
    <row r="64080" ht="12.75" hidden="1" customHeight="1" x14ac:dyDescent="0.2"/>
    <row r="64081" ht="12.75" hidden="1" customHeight="1" x14ac:dyDescent="0.2"/>
    <row r="64082" ht="12.75" hidden="1" customHeight="1" x14ac:dyDescent="0.2"/>
    <row r="64083" ht="12.75" hidden="1" customHeight="1" x14ac:dyDescent="0.2"/>
    <row r="64084" ht="12.75" hidden="1" customHeight="1" x14ac:dyDescent="0.2"/>
    <row r="64085" ht="12.75" hidden="1" customHeight="1" x14ac:dyDescent="0.2"/>
    <row r="64086" ht="12.75" hidden="1" customHeight="1" x14ac:dyDescent="0.2"/>
    <row r="64087" ht="12.75" hidden="1" customHeight="1" x14ac:dyDescent="0.2"/>
    <row r="64088" ht="12.75" hidden="1" customHeight="1" x14ac:dyDescent="0.2"/>
    <row r="64089" ht="12.75" hidden="1" customHeight="1" x14ac:dyDescent="0.2"/>
    <row r="64090" ht="12.75" hidden="1" customHeight="1" x14ac:dyDescent="0.2"/>
    <row r="64091" ht="12.75" hidden="1" customHeight="1" x14ac:dyDescent="0.2"/>
    <row r="64092" ht="12.75" hidden="1" customHeight="1" x14ac:dyDescent="0.2"/>
    <row r="64093" ht="12.75" hidden="1" customHeight="1" x14ac:dyDescent="0.2"/>
    <row r="64094" ht="12.75" hidden="1" customHeight="1" x14ac:dyDescent="0.2"/>
    <row r="64095" ht="12.75" hidden="1" customHeight="1" x14ac:dyDescent="0.2"/>
    <row r="64096" ht="12.75" hidden="1" customHeight="1" x14ac:dyDescent="0.2"/>
    <row r="64097" ht="12.75" hidden="1" customHeight="1" x14ac:dyDescent="0.2"/>
    <row r="64098" ht="12.75" hidden="1" customHeight="1" x14ac:dyDescent="0.2"/>
    <row r="64099" ht="12.75" hidden="1" customHeight="1" x14ac:dyDescent="0.2"/>
    <row r="64100" ht="12.75" hidden="1" customHeight="1" x14ac:dyDescent="0.2"/>
    <row r="64101" ht="12.75" hidden="1" customHeight="1" x14ac:dyDescent="0.2"/>
    <row r="64102" ht="12.75" hidden="1" customHeight="1" x14ac:dyDescent="0.2"/>
    <row r="64103" ht="12.75" hidden="1" customHeight="1" x14ac:dyDescent="0.2"/>
    <row r="64104" ht="12.75" hidden="1" customHeight="1" x14ac:dyDescent="0.2"/>
    <row r="64105" ht="12.75" hidden="1" customHeight="1" x14ac:dyDescent="0.2"/>
    <row r="64106" ht="12.75" hidden="1" customHeight="1" x14ac:dyDescent="0.2"/>
    <row r="64107" ht="12.75" hidden="1" customHeight="1" x14ac:dyDescent="0.2"/>
    <row r="64108" ht="12.75" hidden="1" customHeight="1" x14ac:dyDescent="0.2"/>
    <row r="64109" ht="12.75" hidden="1" customHeight="1" x14ac:dyDescent="0.2"/>
    <row r="64110" ht="12.75" hidden="1" customHeight="1" x14ac:dyDescent="0.2"/>
    <row r="64111" ht="12.75" hidden="1" customHeight="1" x14ac:dyDescent="0.2"/>
    <row r="64112" ht="12.75" hidden="1" customHeight="1" x14ac:dyDescent="0.2"/>
    <row r="64113" ht="12.75" hidden="1" customHeight="1" x14ac:dyDescent="0.2"/>
    <row r="64114" ht="12.75" hidden="1" customHeight="1" x14ac:dyDescent="0.2"/>
    <row r="64115" ht="12.75" hidden="1" customHeight="1" x14ac:dyDescent="0.2"/>
    <row r="64116" ht="12.75" hidden="1" customHeight="1" x14ac:dyDescent="0.2"/>
    <row r="64117" ht="12.75" hidden="1" customHeight="1" x14ac:dyDescent="0.2"/>
    <row r="64118" ht="12.75" hidden="1" customHeight="1" x14ac:dyDescent="0.2"/>
    <row r="64119" ht="12.75" hidden="1" customHeight="1" x14ac:dyDescent="0.2"/>
    <row r="64120" ht="12.75" hidden="1" customHeight="1" x14ac:dyDescent="0.2"/>
    <row r="64121" ht="12.75" hidden="1" customHeight="1" x14ac:dyDescent="0.2"/>
    <row r="64122" ht="12.75" hidden="1" customHeight="1" x14ac:dyDescent="0.2"/>
    <row r="64123" ht="12.75" hidden="1" customHeight="1" x14ac:dyDescent="0.2"/>
    <row r="64124" ht="12.75" hidden="1" customHeight="1" x14ac:dyDescent="0.2"/>
    <row r="64125" ht="12.75" hidden="1" customHeight="1" x14ac:dyDescent="0.2"/>
    <row r="64126" ht="12.75" hidden="1" customHeight="1" x14ac:dyDescent="0.2"/>
    <row r="64127" ht="12.75" hidden="1" customHeight="1" x14ac:dyDescent="0.2"/>
    <row r="64128" ht="12.75" hidden="1" customHeight="1" x14ac:dyDescent="0.2"/>
    <row r="64129" ht="12.75" hidden="1" customHeight="1" x14ac:dyDescent="0.2"/>
    <row r="64130" ht="12.75" hidden="1" customHeight="1" x14ac:dyDescent="0.2"/>
    <row r="64131" ht="12.75" hidden="1" customHeight="1" x14ac:dyDescent="0.2"/>
    <row r="64132" ht="12.75" hidden="1" customHeight="1" x14ac:dyDescent="0.2"/>
    <row r="64133" ht="12.75" hidden="1" customHeight="1" x14ac:dyDescent="0.2"/>
    <row r="64134" ht="12.75" hidden="1" customHeight="1" x14ac:dyDescent="0.2"/>
    <row r="64135" ht="12.75" hidden="1" customHeight="1" x14ac:dyDescent="0.2"/>
    <row r="64136" ht="12.75" hidden="1" customHeight="1" x14ac:dyDescent="0.2"/>
    <row r="64137" ht="12.75" hidden="1" customHeight="1" x14ac:dyDescent="0.2"/>
    <row r="64138" ht="12.75" hidden="1" customHeight="1" x14ac:dyDescent="0.2"/>
    <row r="64139" ht="12.75" hidden="1" customHeight="1" x14ac:dyDescent="0.2"/>
    <row r="64140" ht="12.75" hidden="1" customHeight="1" x14ac:dyDescent="0.2"/>
    <row r="64141" ht="12.75" hidden="1" customHeight="1" x14ac:dyDescent="0.2"/>
    <row r="64142" ht="12.75" hidden="1" customHeight="1" x14ac:dyDescent="0.2"/>
    <row r="64143" ht="12.75" hidden="1" customHeight="1" x14ac:dyDescent="0.2"/>
    <row r="64144" ht="12.75" hidden="1" customHeight="1" x14ac:dyDescent="0.2"/>
    <row r="64145" ht="12.75" hidden="1" customHeight="1" x14ac:dyDescent="0.2"/>
    <row r="64146" ht="12.75" hidden="1" customHeight="1" x14ac:dyDescent="0.2"/>
    <row r="64147" ht="12.75" hidden="1" customHeight="1" x14ac:dyDescent="0.2"/>
    <row r="64148" ht="12.75" hidden="1" customHeight="1" x14ac:dyDescent="0.2"/>
    <row r="64149" ht="12.75" hidden="1" customHeight="1" x14ac:dyDescent="0.2"/>
    <row r="64150" ht="12.75" hidden="1" customHeight="1" x14ac:dyDescent="0.2"/>
    <row r="64151" ht="12.75" hidden="1" customHeight="1" x14ac:dyDescent="0.2"/>
    <row r="64152" ht="12.75" hidden="1" customHeight="1" x14ac:dyDescent="0.2"/>
    <row r="64153" ht="12.75" hidden="1" customHeight="1" x14ac:dyDescent="0.2"/>
    <row r="64154" ht="12.75" hidden="1" customHeight="1" x14ac:dyDescent="0.2"/>
    <row r="64155" ht="12.75" hidden="1" customHeight="1" x14ac:dyDescent="0.2"/>
    <row r="64156" ht="12.75" hidden="1" customHeight="1" x14ac:dyDescent="0.2"/>
    <row r="64157" ht="12.75" hidden="1" customHeight="1" x14ac:dyDescent="0.2"/>
    <row r="64158" ht="12.75" hidden="1" customHeight="1" x14ac:dyDescent="0.2"/>
    <row r="64159" ht="12.75" hidden="1" customHeight="1" x14ac:dyDescent="0.2"/>
    <row r="64160" ht="12.75" hidden="1" customHeight="1" x14ac:dyDescent="0.2"/>
    <row r="64161" ht="12.75" hidden="1" customHeight="1" x14ac:dyDescent="0.2"/>
    <row r="64162" ht="12.75" hidden="1" customHeight="1" x14ac:dyDescent="0.2"/>
    <row r="64163" ht="12.75" hidden="1" customHeight="1" x14ac:dyDescent="0.2"/>
    <row r="64164" ht="12.75" hidden="1" customHeight="1" x14ac:dyDescent="0.2"/>
    <row r="64165" ht="12.75" hidden="1" customHeight="1" x14ac:dyDescent="0.2"/>
    <row r="64166" ht="12.75" hidden="1" customHeight="1" x14ac:dyDescent="0.2"/>
    <row r="64167" ht="12.75" hidden="1" customHeight="1" x14ac:dyDescent="0.2"/>
    <row r="64168" ht="12.75" hidden="1" customHeight="1" x14ac:dyDescent="0.2"/>
    <row r="64169" ht="12.75" hidden="1" customHeight="1" x14ac:dyDescent="0.2"/>
    <row r="64170" ht="12.75" hidden="1" customHeight="1" x14ac:dyDescent="0.2"/>
    <row r="64171" ht="12.75" hidden="1" customHeight="1" x14ac:dyDescent="0.2"/>
    <row r="64172" ht="12.75" hidden="1" customHeight="1" x14ac:dyDescent="0.2"/>
    <row r="64173" ht="12.75" hidden="1" customHeight="1" x14ac:dyDescent="0.2"/>
    <row r="64174" ht="12.75" hidden="1" customHeight="1" x14ac:dyDescent="0.2"/>
    <row r="64175" ht="12.75" hidden="1" customHeight="1" x14ac:dyDescent="0.2"/>
    <row r="64176" ht="12.75" hidden="1" customHeight="1" x14ac:dyDescent="0.2"/>
    <row r="64177" ht="12.75" hidden="1" customHeight="1" x14ac:dyDescent="0.2"/>
    <row r="64178" ht="12.75" hidden="1" customHeight="1" x14ac:dyDescent="0.2"/>
    <row r="64179" ht="12.75" hidden="1" customHeight="1" x14ac:dyDescent="0.2"/>
    <row r="64180" ht="12.75" hidden="1" customHeight="1" x14ac:dyDescent="0.2"/>
    <row r="64181" ht="12.75" hidden="1" customHeight="1" x14ac:dyDescent="0.2"/>
    <row r="64182" ht="12.75" hidden="1" customHeight="1" x14ac:dyDescent="0.2"/>
    <row r="64183" ht="12.75" hidden="1" customHeight="1" x14ac:dyDescent="0.2"/>
    <row r="64184" ht="12.75" hidden="1" customHeight="1" x14ac:dyDescent="0.2"/>
    <row r="64185" ht="12.75" hidden="1" customHeight="1" x14ac:dyDescent="0.2"/>
    <row r="64186" ht="12.75" hidden="1" customHeight="1" x14ac:dyDescent="0.2"/>
    <row r="64187" ht="12.75" hidden="1" customHeight="1" x14ac:dyDescent="0.2"/>
    <row r="64188" ht="12.75" hidden="1" customHeight="1" x14ac:dyDescent="0.2"/>
    <row r="64189" ht="12.75" hidden="1" customHeight="1" x14ac:dyDescent="0.2"/>
    <row r="64190" ht="12.75" hidden="1" customHeight="1" x14ac:dyDescent="0.2"/>
    <row r="64191" ht="12.75" hidden="1" customHeight="1" x14ac:dyDescent="0.2"/>
    <row r="64192" ht="12.75" hidden="1" customHeight="1" x14ac:dyDescent="0.2"/>
    <row r="64193" ht="12.75" hidden="1" customHeight="1" x14ac:dyDescent="0.2"/>
    <row r="64194" ht="12.75" hidden="1" customHeight="1" x14ac:dyDescent="0.2"/>
    <row r="64195" ht="12.75" hidden="1" customHeight="1" x14ac:dyDescent="0.2"/>
    <row r="64196" ht="12.75" hidden="1" customHeight="1" x14ac:dyDescent="0.2"/>
    <row r="64197" ht="12.75" hidden="1" customHeight="1" x14ac:dyDescent="0.2"/>
    <row r="64198" ht="12.75" hidden="1" customHeight="1" x14ac:dyDescent="0.2"/>
    <row r="64199" ht="12.75" hidden="1" customHeight="1" x14ac:dyDescent="0.2"/>
    <row r="64200" ht="12.75" hidden="1" customHeight="1" x14ac:dyDescent="0.2"/>
    <row r="64201" ht="12.75" hidden="1" customHeight="1" x14ac:dyDescent="0.2"/>
    <row r="64202" ht="12.75" hidden="1" customHeight="1" x14ac:dyDescent="0.2"/>
    <row r="64203" ht="12.75" hidden="1" customHeight="1" x14ac:dyDescent="0.2"/>
    <row r="64204" ht="12.75" hidden="1" customHeight="1" x14ac:dyDescent="0.2"/>
    <row r="64205" ht="12.75" hidden="1" customHeight="1" x14ac:dyDescent="0.2"/>
    <row r="64206" ht="12.75" hidden="1" customHeight="1" x14ac:dyDescent="0.2"/>
    <row r="64207" ht="12.75" hidden="1" customHeight="1" x14ac:dyDescent="0.2"/>
    <row r="64208" ht="12.75" hidden="1" customHeight="1" x14ac:dyDescent="0.2"/>
    <row r="64209" ht="12.75" hidden="1" customHeight="1" x14ac:dyDescent="0.2"/>
    <row r="64210" ht="12.75" hidden="1" customHeight="1" x14ac:dyDescent="0.2"/>
    <row r="64211" ht="12.75" hidden="1" customHeight="1" x14ac:dyDescent="0.2"/>
    <row r="64212" ht="12.75" hidden="1" customHeight="1" x14ac:dyDescent="0.2"/>
    <row r="64213" ht="12.75" hidden="1" customHeight="1" x14ac:dyDescent="0.2"/>
    <row r="64214" ht="12.75" hidden="1" customHeight="1" x14ac:dyDescent="0.2"/>
    <row r="64215" ht="12.75" hidden="1" customHeight="1" x14ac:dyDescent="0.2"/>
    <row r="64216" ht="12.75" hidden="1" customHeight="1" x14ac:dyDescent="0.2"/>
    <row r="64217" ht="12.75" hidden="1" customHeight="1" x14ac:dyDescent="0.2"/>
    <row r="64218" ht="12.75" hidden="1" customHeight="1" x14ac:dyDescent="0.2"/>
    <row r="64219" ht="12.75" hidden="1" customHeight="1" x14ac:dyDescent="0.2"/>
    <row r="64220" ht="12.75" hidden="1" customHeight="1" x14ac:dyDescent="0.2"/>
    <row r="64221" ht="12.75" hidden="1" customHeight="1" x14ac:dyDescent="0.2"/>
    <row r="64222" ht="12.75" hidden="1" customHeight="1" x14ac:dyDescent="0.2"/>
    <row r="64223" ht="12.75" hidden="1" customHeight="1" x14ac:dyDescent="0.2"/>
    <row r="64224" ht="12.75" hidden="1" customHeight="1" x14ac:dyDescent="0.2"/>
    <row r="64225" ht="12.75" hidden="1" customHeight="1" x14ac:dyDescent="0.2"/>
    <row r="64226" ht="12.75" hidden="1" customHeight="1" x14ac:dyDescent="0.2"/>
    <row r="64227" ht="12.75" hidden="1" customHeight="1" x14ac:dyDescent="0.2"/>
    <row r="64228" ht="12.75" hidden="1" customHeight="1" x14ac:dyDescent="0.2"/>
    <row r="64229" ht="12.75" hidden="1" customHeight="1" x14ac:dyDescent="0.2"/>
    <row r="64230" ht="12.75" hidden="1" customHeight="1" x14ac:dyDescent="0.2"/>
    <row r="64231" ht="12.75" hidden="1" customHeight="1" x14ac:dyDescent="0.2"/>
    <row r="64232" ht="12.75" hidden="1" customHeight="1" x14ac:dyDescent="0.2"/>
    <row r="64233" ht="12.75" hidden="1" customHeight="1" x14ac:dyDescent="0.2"/>
    <row r="64234" ht="12.75" hidden="1" customHeight="1" x14ac:dyDescent="0.2"/>
    <row r="64235" ht="12.75" hidden="1" customHeight="1" x14ac:dyDescent="0.2"/>
    <row r="64236" ht="12.75" hidden="1" customHeight="1" x14ac:dyDescent="0.2"/>
    <row r="64237" ht="12.75" hidden="1" customHeight="1" x14ac:dyDescent="0.2"/>
    <row r="64238" ht="12.75" hidden="1" customHeight="1" x14ac:dyDescent="0.2"/>
    <row r="64239" ht="12.75" hidden="1" customHeight="1" x14ac:dyDescent="0.2"/>
    <row r="64240" ht="12.75" hidden="1" customHeight="1" x14ac:dyDescent="0.2"/>
    <row r="64241" ht="12.75" hidden="1" customHeight="1" x14ac:dyDescent="0.2"/>
    <row r="64242" ht="12.75" hidden="1" customHeight="1" x14ac:dyDescent="0.2"/>
    <row r="64243" ht="12.75" hidden="1" customHeight="1" x14ac:dyDescent="0.2"/>
    <row r="64244" ht="12.75" hidden="1" customHeight="1" x14ac:dyDescent="0.2"/>
    <row r="64245" ht="12.75" hidden="1" customHeight="1" x14ac:dyDescent="0.2"/>
    <row r="64246" ht="12.75" hidden="1" customHeight="1" x14ac:dyDescent="0.2"/>
    <row r="64247" ht="12.75" hidden="1" customHeight="1" x14ac:dyDescent="0.2"/>
    <row r="64248" ht="12.75" hidden="1" customHeight="1" x14ac:dyDescent="0.2"/>
    <row r="64249" ht="12.75" hidden="1" customHeight="1" x14ac:dyDescent="0.2"/>
    <row r="64250" ht="12.75" hidden="1" customHeight="1" x14ac:dyDescent="0.2"/>
    <row r="64251" ht="12.75" hidden="1" customHeight="1" x14ac:dyDescent="0.2"/>
    <row r="64252" ht="12.75" hidden="1" customHeight="1" x14ac:dyDescent="0.2"/>
    <row r="64253" ht="12.75" hidden="1" customHeight="1" x14ac:dyDescent="0.2"/>
    <row r="64254" ht="12.75" hidden="1" customHeight="1" x14ac:dyDescent="0.2"/>
    <row r="64255" ht="12.75" hidden="1" customHeight="1" x14ac:dyDescent="0.2"/>
    <row r="64256" ht="12.75" hidden="1" customHeight="1" x14ac:dyDescent="0.2"/>
    <row r="64257" ht="12.75" hidden="1" customHeight="1" x14ac:dyDescent="0.2"/>
    <row r="64258" ht="12.75" hidden="1" customHeight="1" x14ac:dyDescent="0.2"/>
    <row r="64259" ht="12.75" hidden="1" customHeight="1" x14ac:dyDescent="0.2"/>
    <row r="64260" ht="12.75" hidden="1" customHeight="1" x14ac:dyDescent="0.2"/>
    <row r="64261" ht="12.75" hidden="1" customHeight="1" x14ac:dyDescent="0.2"/>
    <row r="64262" ht="12.75" hidden="1" customHeight="1" x14ac:dyDescent="0.2"/>
    <row r="64263" ht="12.75" hidden="1" customHeight="1" x14ac:dyDescent="0.2"/>
    <row r="64264" ht="12.75" hidden="1" customHeight="1" x14ac:dyDescent="0.2"/>
    <row r="64265" ht="12.75" hidden="1" customHeight="1" x14ac:dyDescent="0.2"/>
    <row r="64266" ht="12.75" hidden="1" customHeight="1" x14ac:dyDescent="0.2"/>
    <row r="64267" ht="12.75" hidden="1" customHeight="1" x14ac:dyDescent="0.2"/>
    <row r="64268" ht="12.75" hidden="1" customHeight="1" x14ac:dyDescent="0.2"/>
    <row r="64269" ht="12.75" hidden="1" customHeight="1" x14ac:dyDescent="0.2"/>
    <row r="64270" ht="12.75" hidden="1" customHeight="1" x14ac:dyDescent="0.2"/>
    <row r="64271" ht="12.75" hidden="1" customHeight="1" x14ac:dyDescent="0.2"/>
    <row r="64272" ht="12.75" hidden="1" customHeight="1" x14ac:dyDescent="0.2"/>
    <row r="64273" ht="12.75" hidden="1" customHeight="1" x14ac:dyDescent="0.2"/>
    <row r="64274" ht="12.75" hidden="1" customHeight="1" x14ac:dyDescent="0.2"/>
    <row r="64275" ht="12.75" hidden="1" customHeight="1" x14ac:dyDescent="0.2"/>
    <row r="64276" ht="12.75" hidden="1" customHeight="1" x14ac:dyDescent="0.2"/>
    <row r="64277" ht="12.75" hidden="1" customHeight="1" x14ac:dyDescent="0.2"/>
    <row r="64278" ht="12.75" hidden="1" customHeight="1" x14ac:dyDescent="0.2"/>
    <row r="64279" ht="12.75" hidden="1" customHeight="1" x14ac:dyDescent="0.2"/>
    <row r="64280" ht="12.75" hidden="1" customHeight="1" x14ac:dyDescent="0.2"/>
    <row r="64281" ht="12.75" hidden="1" customHeight="1" x14ac:dyDescent="0.2"/>
    <row r="64282" ht="12.75" hidden="1" customHeight="1" x14ac:dyDescent="0.2"/>
    <row r="64283" ht="12.75" hidden="1" customHeight="1" x14ac:dyDescent="0.2"/>
    <row r="64284" ht="12.75" hidden="1" customHeight="1" x14ac:dyDescent="0.2"/>
    <row r="64285" ht="12.75" hidden="1" customHeight="1" x14ac:dyDescent="0.2"/>
    <row r="64286" ht="12.75" hidden="1" customHeight="1" x14ac:dyDescent="0.2"/>
    <row r="64287" ht="12.75" hidden="1" customHeight="1" x14ac:dyDescent="0.2"/>
    <row r="64288" ht="12.75" hidden="1" customHeight="1" x14ac:dyDescent="0.2"/>
    <row r="64289" ht="12.75" hidden="1" customHeight="1" x14ac:dyDescent="0.2"/>
    <row r="64290" ht="12.75" hidden="1" customHeight="1" x14ac:dyDescent="0.2"/>
    <row r="64291" ht="12.75" hidden="1" customHeight="1" x14ac:dyDescent="0.2"/>
    <row r="64292" ht="12.75" hidden="1" customHeight="1" x14ac:dyDescent="0.2"/>
    <row r="64293" ht="12.75" hidden="1" customHeight="1" x14ac:dyDescent="0.2"/>
    <row r="64294" ht="12.75" hidden="1" customHeight="1" x14ac:dyDescent="0.2"/>
    <row r="64295" ht="12.75" hidden="1" customHeight="1" x14ac:dyDescent="0.2"/>
    <row r="64296" ht="12.75" hidden="1" customHeight="1" x14ac:dyDescent="0.2"/>
    <row r="64297" ht="12.75" hidden="1" customHeight="1" x14ac:dyDescent="0.2"/>
    <row r="64298" ht="12.75" hidden="1" customHeight="1" x14ac:dyDescent="0.2"/>
    <row r="64299" ht="12.75" hidden="1" customHeight="1" x14ac:dyDescent="0.2"/>
    <row r="64300" ht="12.75" hidden="1" customHeight="1" x14ac:dyDescent="0.2"/>
    <row r="64301" ht="12.75" hidden="1" customHeight="1" x14ac:dyDescent="0.2"/>
    <row r="64302" ht="12.75" hidden="1" customHeight="1" x14ac:dyDescent="0.2"/>
    <row r="64303" ht="12.75" hidden="1" customHeight="1" x14ac:dyDescent="0.2"/>
    <row r="64304" ht="12.75" hidden="1" customHeight="1" x14ac:dyDescent="0.2"/>
    <row r="64305" ht="12.75" hidden="1" customHeight="1" x14ac:dyDescent="0.2"/>
    <row r="64306" ht="12.75" hidden="1" customHeight="1" x14ac:dyDescent="0.2"/>
    <row r="64307" ht="12.75" hidden="1" customHeight="1" x14ac:dyDescent="0.2"/>
    <row r="64308" ht="12.75" hidden="1" customHeight="1" x14ac:dyDescent="0.2"/>
    <row r="64309" ht="12.75" hidden="1" customHeight="1" x14ac:dyDescent="0.2"/>
    <row r="64310" ht="12.75" hidden="1" customHeight="1" x14ac:dyDescent="0.2"/>
    <row r="64311" ht="12.75" hidden="1" customHeight="1" x14ac:dyDescent="0.2"/>
    <row r="64312" ht="12.75" hidden="1" customHeight="1" x14ac:dyDescent="0.2"/>
    <row r="64313" ht="12.75" hidden="1" customHeight="1" x14ac:dyDescent="0.2"/>
    <row r="64314" ht="12.75" hidden="1" customHeight="1" x14ac:dyDescent="0.2"/>
    <row r="64315" ht="12.75" hidden="1" customHeight="1" x14ac:dyDescent="0.2"/>
    <row r="64316" ht="12.75" hidden="1" customHeight="1" x14ac:dyDescent="0.2"/>
    <row r="64317" ht="12.75" hidden="1" customHeight="1" x14ac:dyDescent="0.2"/>
    <row r="64318" ht="12.75" hidden="1" customHeight="1" x14ac:dyDescent="0.2"/>
    <row r="64319" ht="12.75" hidden="1" customHeight="1" x14ac:dyDescent="0.2"/>
    <row r="64320" ht="12.75" hidden="1" customHeight="1" x14ac:dyDescent="0.2"/>
    <row r="64321" ht="12.75" hidden="1" customHeight="1" x14ac:dyDescent="0.2"/>
    <row r="64322" ht="12.75" hidden="1" customHeight="1" x14ac:dyDescent="0.2"/>
    <row r="64323" ht="12.75" hidden="1" customHeight="1" x14ac:dyDescent="0.2"/>
    <row r="64324" ht="12.75" hidden="1" customHeight="1" x14ac:dyDescent="0.2"/>
    <row r="64325" ht="12.75" hidden="1" customHeight="1" x14ac:dyDescent="0.2"/>
    <row r="64326" ht="12.75" hidden="1" customHeight="1" x14ac:dyDescent="0.2"/>
    <row r="64327" ht="12.75" hidden="1" customHeight="1" x14ac:dyDescent="0.2"/>
    <row r="64328" ht="12.75" hidden="1" customHeight="1" x14ac:dyDescent="0.2"/>
    <row r="64329" ht="12.75" hidden="1" customHeight="1" x14ac:dyDescent="0.2"/>
    <row r="64330" ht="12.75" hidden="1" customHeight="1" x14ac:dyDescent="0.2"/>
    <row r="64331" ht="12.75" hidden="1" customHeight="1" x14ac:dyDescent="0.2"/>
    <row r="64332" ht="12.75" hidden="1" customHeight="1" x14ac:dyDescent="0.2"/>
    <row r="64333" ht="12.75" hidden="1" customHeight="1" x14ac:dyDescent="0.2"/>
    <row r="64334" ht="12.75" hidden="1" customHeight="1" x14ac:dyDescent="0.2"/>
    <row r="64335" ht="12.75" hidden="1" customHeight="1" x14ac:dyDescent="0.2"/>
    <row r="64336" ht="12.75" hidden="1" customHeight="1" x14ac:dyDescent="0.2"/>
    <row r="64337" ht="12.75" hidden="1" customHeight="1" x14ac:dyDescent="0.2"/>
    <row r="64338" ht="12.75" hidden="1" customHeight="1" x14ac:dyDescent="0.2"/>
    <row r="64339" ht="12.75" hidden="1" customHeight="1" x14ac:dyDescent="0.2"/>
    <row r="64340" ht="12.75" hidden="1" customHeight="1" x14ac:dyDescent="0.2"/>
    <row r="64341" ht="12.75" hidden="1" customHeight="1" x14ac:dyDescent="0.2"/>
    <row r="64342" ht="12.75" hidden="1" customHeight="1" x14ac:dyDescent="0.2"/>
    <row r="64343" ht="12.75" hidden="1" customHeight="1" x14ac:dyDescent="0.2"/>
    <row r="64344" ht="12.75" hidden="1" customHeight="1" x14ac:dyDescent="0.2"/>
    <row r="64345" ht="12.75" hidden="1" customHeight="1" x14ac:dyDescent="0.2"/>
    <row r="64346" ht="12.75" hidden="1" customHeight="1" x14ac:dyDescent="0.2"/>
    <row r="64347" ht="12.75" hidden="1" customHeight="1" x14ac:dyDescent="0.2"/>
    <row r="64348" ht="12.75" hidden="1" customHeight="1" x14ac:dyDescent="0.2"/>
    <row r="64349" ht="12.75" hidden="1" customHeight="1" x14ac:dyDescent="0.2"/>
    <row r="64350" ht="12.75" hidden="1" customHeight="1" x14ac:dyDescent="0.2"/>
    <row r="64351" ht="12.75" hidden="1" customHeight="1" x14ac:dyDescent="0.2"/>
    <row r="64352" ht="12.75" hidden="1" customHeight="1" x14ac:dyDescent="0.2"/>
    <row r="64353" ht="12.75" hidden="1" customHeight="1" x14ac:dyDescent="0.2"/>
    <row r="64354" ht="12.75" hidden="1" customHeight="1" x14ac:dyDescent="0.2"/>
    <row r="64355" ht="12.75" hidden="1" customHeight="1" x14ac:dyDescent="0.2"/>
    <row r="64356" ht="12.75" hidden="1" customHeight="1" x14ac:dyDescent="0.2"/>
    <row r="64357" ht="12.75" hidden="1" customHeight="1" x14ac:dyDescent="0.2"/>
    <row r="64358" ht="12.75" hidden="1" customHeight="1" x14ac:dyDescent="0.2"/>
    <row r="64359" ht="12.75" hidden="1" customHeight="1" x14ac:dyDescent="0.2"/>
    <row r="64360" ht="12.75" hidden="1" customHeight="1" x14ac:dyDescent="0.2"/>
    <row r="64361" ht="12.75" hidden="1" customHeight="1" x14ac:dyDescent="0.2"/>
    <row r="64362" ht="12.75" hidden="1" customHeight="1" x14ac:dyDescent="0.2"/>
    <row r="64363" ht="12.75" hidden="1" customHeight="1" x14ac:dyDescent="0.2"/>
    <row r="64364" ht="12.75" hidden="1" customHeight="1" x14ac:dyDescent="0.2"/>
    <row r="64365" ht="12.75" hidden="1" customHeight="1" x14ac:dyDescent="0.2"/>
    <row r="64366" ht="12.75" hidden="1" customHeight="1" x14ac:dyDescent="0.2"/>
    <row r="64367" ht="12.75" hidden="1" customHeight="1" x14ac:dyDescent="0.2"/>
    <row r="64368" ht="12.75" hidden="1" customHeight="1" x14ac:dyDescent="0.2"/>
    <row r="64369" ht="12.75" hidden="1" customHeight="1" x14ac:dyDescent="0.2"/>
    <row r="64370" ht="12.75" hidden="1" customHeight="1" x14ac:dyDescent="0.2"/>
    <row r="64371" ht="12.75" hidden="1" customHeight="1" x14ac:dyDescent="0.2"/>
    <row r="64372" ht="12.75" hidden="1" customHeight="1" x14ac:dyDescent="0.2"/>
    <row r="64373" ht="12.75" hidden="1" customHeight="1" x14ac:dyDescent="0.2"/>
    <row r="64374" ht="12.75" hidden="1" customHeight="1" x14ac:dyDescent="0.2"/>
    <row r="64375" ht="12.75" hidden="1" customHeight="1" x14ac:dyDescent="0.2"/>
    <row r="64376" ht="12.75" hidden="1" customHeight="1" x14ac:dyDescent="0.2"/>
    <row r="64377" ht="12.75" hidden="1" customHeight="1" x14ac:dyDescent="0.2"/>
    <row r="64378" ht="12.75" hidden="1" customHeight="1" x14ac:dyDescent="0.2"/>
    <row r="64379" ht="12.75" hidden="1" customHeight="1" x14ac:dyDescent="0.2"/>
    <row r="64380" ht="12.75" hidden="1" customHeight="1" x14ac:dyDescent="0.2"/>
    <row r="64381" ht="12.75" hidden="1" customHeight="1" x14ac:dyDescent="0.2"/>
    <row r="64382" ht="12.75" hidden="1" customHeight="1" x14ac:dyDescent="0.2"/>
    <row r="64383" ht="12.75" hidden="1" customHeight="1" x14ac:dyDescent="0.2"/>
    <row r="64384" ht="12.75" hidden="1" customHeight="1" x14ac:dyDescent="0.2"/>
    <row r="64385" ht="12.75" hidden="1" customHeight="1" x14ac:dyDescent="0.2"/>
    <row r="64386" ht="12.75" hidden="1" customHeight="1" x14ac:dyDescent="0.2"/>
    <row r="64387" ht="12.75" hidden="1" customHeight="1" x14ac:dyDescent="0.2"/>
    <row r="64388" ht="12.75" hidden="1" customHeight="1" x14ac:dyDescent="0.2"/>
    <row r="64389" ht="12.75" hidden="1" customHeight="1" x14ac:dyDescent="0.2"/>
    <row r="64390" ht="12.75" hidden="1" customHeight="1" x14ac:dyDescent="0.2"/>
    <row r="64391" ht="12.75" hidden="1" customHeight="1" x14ac:dyDescent="0.2"/>
    <row r="64392" ht="12.75" hidden="1" customHeight="1" x14ac:dyDescent="0.2"/>
    <row r="64393" ht="12.75" hidden="1" customHeight="1" x14ac:dyDescent="0.2"/>
    <row r="64394" ht="12.75" hidden="1" customHeight="1" x14ac:dyDescent="0.2"/>
    <row r="64395" ht="12.75" hidden="1" customHeight="1" x14ac:dyDescent="0.2"/>
    <row r="64396" ht="12.75" hidden="1" customHeight="1" x14ac:dyDescent="0.2"/>
    <row r="64397" ht="12.75" hidden="1" customHeight="1" x14ac:dyDescent="0.2"/>
    <row r="64398" ht="12.75" hidden="1" customHeight="1" x14ac:dyDescent="0.2"/>
    <row r="64399" ht="12.75" hidden="1" customHeight="1" x14ac:dyDescent="0.2"/>
    <row r="64400" ht="12.75" hidden="1" customHeight="1" x14ac:dyDescent="0.2"/>
    <row r="64401" ht="12.75" hidden="1" customHeight="1" x14ac:dyDescent="0.2"/>
    <row r="64402" ht="12.75" hidden="1" customHeight="1" x14ac:dyDescent="0.2"/>
    <row r="64403" ht="12.75" hidden="1" customHeight="1" x14ac:dyDescent="0.2"/>
    <row r="64404" ht="12.75" hidden="1" customHeight="1" x14ac:dyDescent="0.2"/>
    <row r="64405" ht="12.75" hidden="1" customHeight="1" x14ac:dyDescent="0.2"/>
    <row r="64406" ht="12.75" hidden="1" customHeight="1" x14ac:dyDescent="0.2"/>
    <row r="64407" ht="12.75" hidden="1" customHeight="1" x14ac:dyDescent="0.2"/>
    <row r="64408" ht="12.75" hidden="1" customHeight="1" x14ac:dyDescent="0.2"/>
    <row r="64409" ht="12.75" hidden="1" customHeight="1" x14ac:dyDescent="0.2"/>
    <row r="64410" ht="12.75" hidden="1" customHeight="1" x14ac:dyDescent="0.2"/>
    <row r="64411" ht="12.75" hidden="1" customHeight="1" x14ac:dyDescent="0.2"/>
    <row r="64412" ht="12.75" hidden="1" customHeight="1" x14ac:dyDescent="0.2"/>
    <row r="64413" ht="12.75" hidden="1" customHeight="1" x14ac:dyDescent="0.2"/>
    <row r="64414" ht="12.75" hidden="1" customHeight="1" x14ac:dyDescent="0.2"/>
    <row r="64415" ht="12.75" hidden="1" customHeight="1" x14ac:dyDescent="0.2"/>
    <row r="64416" ht="12.75" hidden="1" customHeight="1" x14ac:dyDescent="0.2"/>
    <row r="64417" ht="12.75" hidden="1" customHeight="1" x14ac:dyDescent="0.2"/>
    <row r="64418" ht="12.75" hidden="1" customHeight="1" x14ac:dyDescent="0.2"/>
    <row r="64419" ht="12.75" hidden="1" customHeight="1" x14ac:dyDescent="0.2"/>
    <row r="64420" ht="12.75" hidden="1" customHeight="1" x14ac:dyDescent="0.2"/>
    <row r="64421" ht="12.75" hidden="1" customHeight="1" x14ac:dyDescent="0.2"/>
    <row r="64422" ht="12.75" hidden="1" customHeight="1" x14ac:dyDescent="0.2"/>
    <row r="64423" ht="12.75" hidden="1" customHeight="1" x14ac:dyDescent="0.2"/>
    <row r="64424" ht="12.75" hidden="1" customHeight="1" x14ac:dyDescent="0.2"/>
    <row r="64425" ht="12.75" hidden="1" customHeight="1" x14ac:dyDescent="0.2"/>
    <row r="64426" ht="12.75" hidden="1" customHeight="1" x14ac:dyDescent="0.2"/>
    <row r="64427" ht="12.75" hidden="1" customHeight="1" x14ac:dyDescent="0.2"/>
    <row r="64428" ht="12.75" hidden="1" customHeight="1" x14ac:dyDescent="0.2"/>
    <row r="64429" ht="12.75" hidden="1" customHeight="1" x14ac:dyDescent="0.2"/>
    <row r="64430" ht="12.75" hidden="1" customHeight="1" x14ac:dyDescent="0.2"/>
    <row r="64431" ht="12.75" hidden="1" customHeight="1" x14ac:dyDescent="0.2"/>
    <row r="64432" ht="12.75" hidden="1" customHeight="1" x14ac:dyDescent="0.2"/>
    <row r="64433" ht="12.75" hidden="1" customHeight="1" x14ac:dyDescent="0.2"/>
    <row r="64434" ht="12.75" hidden="1" customHeight="1" x14ac:dyDescent="0.2"/>
    <row r="64435" ht="12.75" hidden="1" customHeight="1" x14ac:dyDescent="0.2"/>
    <row r="64436" ht="12.75" hidden="1" customHeight="1" x14ac:dyDescent="0.2"/>
    <row r="64437" ht="12.75" hidden="1" customHeight="1" x14ac:dyDescent="0.2"/>
    <row r="64438" ht="12.75" hidden="1" customHeight="1" x14ac:dyDescent="0.2"/>
    <row r="64439" ht="12.75" hidden="1" customHeight="1" x14ac:dyDescent="0.2"/>
    <row r="64440" ht="12.75" hidden="1" customHeight="1" x14ac:dyDescent="0.2"/>
    <row r="64441" ht="12.75" hidden="1" customHeight="1" x14ac:dyDescent="0.2"/>
    <row r="64442" ht="12.75" hidden="1" customHeight="1" x14ac:dyDescent="0.2"/>
    <row r="64443" ht="12.75" hidden="1" customHeight="1" x14ac:dyDescent="0.2"/>
    <row r="64444" ht="12.75" hidden="1" customHeight="1" x14ac:dyDescent="0.2"/>
    <row r="64445" ht="12.75" hidden="1" customHeight="1" x14ac:dyDescent="0.2"/>
    <row r="64446" ht="12.75" hidden="1" customHeight="1" x14ac:dyDescent="0.2"/>
    <row r="64447" ht="12.75" hidden="1" customHeight="1" x14ac:dyDescent="0.2"/>
    <row r="64448" ht="12.75" hidden="1" customHeight="1" x14ac:dyDescent="0.2"/>
    <row r="64449" ht="12.75" hidden="1" customHeight="1" x14ac:dyDescent="0.2"/>
    <row r="64450" ht="12.75" hidden="1" customHeight="1" x14ac:dyDescent="0.2"/>
    <row r="64451" ht="12.75" hidden="1" customHeight="1" x14ac:dyDescent="0.2"/>
    <row r="64452" ht="12.75" hidden="1" customHeight="1" x14ac:dyDescent="0.2"/>
    <row r="64453" ht="12.75" hidden="1" customHeight="1" x14ac:dyDescent="0.2"/>
    <row r="64454" ht="12.75" hidden="1" customHeight="1" x14ac:dyDescent="0.2"/>
    <row r="64455" ht="12.75" hidden="1" customHeight="1" x14ac:dyDescent="0.2"/>
    <row r="64456" ht="12.75" hidden="1" customHeight="1" x14ac:dyDescent="0.2"/>
    <row r="64457" ht="12.75" hidden="1" customHeight="1" x14ac:dyDescent="0.2"/>
    <row r="64458" ht="12.75" hidden="1" customHeight="1" x14ac:dyDescent="0.2"/>
    <row r="64459" ht="12.75" hidden="1" customHeight="1" x14ac:dyDescent="0.2"/>
    <row r="64460" ht="12.75" hidden="1" customHeight="1" x14ac:dyDescent="0.2"/>
    <row r="64461" ht="12.75" hidden="1" customHeight="1" x14ac:dyDescent="0.2"/>
    <row r="64462" ht="12.75" hidden="1" customHeight="1" x14ac:dyDescent="0.2"/>
    <row r="64463" ht="12.75" hidden="1" customHeight="1" x14ac:dyDescent="0.2"/>
    <row r="64464" ht="12.75" hidden="1" customHeight="1" x14ac:dyDescent="0.2"/>
    <row r="64465" ht="12.75" hidden="1" customHeight="1" x14ac:dyDescent="0.2"/>
    <row r="64466" ht="12.75" hidden="1" customHeight="1" x14ac:dyDescent="0.2"/>
    <row r="64467" ht="12.75" hidden="1" customHeight="1" x14ac:dyDescent="0.2"/>
    <row r="64468" ht="12.75" hidden="1" customHeight="1" x14ac:dyDescent="0.2"/>
    <row r="64469" ht="12.75" hidden="1" customHeight="1" x14ac:dyDescent="0.2"/>
    <row r="64470" ht="12.75" hidden="1" customHeight="1" x14ac:dyDescent="0.2"/>
    <row r="64471" ht="12.75" hidden="1" customHeight="1" x14ac:dyDescent="0.2"/>
    <row r="64472" ht="12.75" hidden="1" customHeight="1" x14ac:dyDescent="0.2"/>
    <row r="64473" ht="12.75" hidden="1" customHeight="1" x14ac:dyDescent="0.2"/>
    <row r="64474" ht="12.75" hidden="1" customHeight="1" x14ac:dyDescent="0.2"/>
    <row r="64475" ht="12.75" hidden="1" customHeight="1" x14ac:dyDescent="0.2"/>
    <row r="64476" ht="12.75" hidden="1" customHeight="1" x14ac:dyDescent="0.2"/>
    <row r="64477" ht="12.75" hidden="1" customHeight="1" x14ac:dyDescent="0.2"/>
    <row r="64478" ht="12.75" hidden="1" customHeight="1" x14ac:dyDescent="0.2"/>
    <row r="64479" ht="12.75" hidden="1" customHeight="1" x14ac:dyDescent="0.2"/>
    <row r="64480" ht="12.75" hidden="1" customHeight="1" x14ac:dyDescent="0.2"/>
    <row r="64481" ht="12.75" hidden="1" customHeight="1" x14ac:dyDescent="0.2"/>
    <row r="64482" ht="12.75" hidden="1" customHeight="1" x14ac:dyDescent="0.2"/>
    <row r="64483" ht="12.75" hidden="1" customHeight="1" x14ac:dyDescent="0.2"/>
    <row r="64484" ht="12.75" hidden="1" customHeight="1" x14ac:dyDescent="0.2"/>
    <row r="64485" ht="12.75" hidden="1" customHeight="1" x14ac:dyDescent="0.2"/>
    <row r="64486" ht="12.75" hidden="1" customHeight="1" x14ac:dyDescent="0.2"/>
    <row r="64487" ht="12.75" hidden="1" customHeight="1" x14ac:dyDescent="0.2"/>
    <row r="64488" ht="12.75" hidden="1" customHeight="1" x14ac:dyDescent="0.2"/>
    <row r="64489" ht="12.75" hidden="1" customHeight="1" x14ac:dyDescent="0.2"/>
    <row r="64490" ht="12.75" hidden="1" customHeight="1" x14ac:dyDescent="0.2"/>
    <row r="64491" ht="12.75" hidden="1" customHeight="1" x14ac:dyDescent="0.2"/>
    <row r="64492" ht="12.75" hidden="1" customHeight="1" x14ac:dyDescent="0.2"/>
    <row r="64493" ht="12.75" hidden="1" customHeight="1" x14ac:dyDescent="0.2"/>
    <row r="64494" ht="12.75" hidden="1" customHeight="1" x14ac:dyDescent="0.2"/>
    <row r="64495" ht="12.75" hidden="1" customHeight="1" x14ac:dyDescent="0.2"/>
    <row r="64496" ht="12.75" hidden="1" customHeight="1" x14ac:dyDescent="0.2"/>
    <row r="64497" ht="12.75" hidden="1" customHeight="1" x14ac:dyDescent="0.2"/>
    <row r="64498" ht="12.75" hidden="1" customHeight="1" x14ac:dyDescent="0.2"/>
    <row r="64499" ht="12.75" hidden="1" customHeight="1" x14ac:dyDescent="0.2"/>
    <row r="64500" ht="12.75" hidden="1" customHeight="1" x14ac:dyDescent="0.2"/>
    <row r="64501" ht="12.75" hidden="1" customHeight="1" x14ac:dyDescent="0.2"/>
    <row r="64502" ht="12.75" hidden="1" customHeight="1" x14ac:dyDescent="0.2"/>
    <row r="64503" ht="12.75" hidden="1" customHeight="1" x14ac:dyDescent="0.2"/>
    <row r="64504" ht="12.75" hidden="1" customHeight="1" x14ac:dyDescent="0.2"/>
    <row r="64505" ht="12.75" hidden="1" customHeight="1" x14ac:dyDescent="0.2"/>
    <row r="64506" ht="12.75" hidden="1" customHeight="1" x14ac:dyDescent="0.2"/>
    <row r="64507" ht="12.75" hidden="1" customHeight="1" x14ac:dyDescent="0.2"/>
    <row r="64508" ht="12.75" hidden="1" customHeight="1" x14ac:dyDescent="0.2"/>
    <row r="64509" ht="12.75" hidden="1" customHeight="1" x14ac:dyDescent="0.2"/>
    <row r="64510" ht="12.75" hidden="1" customHeight="1" x14ac:dyDescent="0.2"/>
    <row r="64511" ht="12.75" hidden="1" customHeight="1" x14ac:dyDescent="0.2"/>
    <row r="64512" ht="12.75" hidden="1" customHeight="1" x14ac:dyDescent="0.2"/>
    <row r="64513" ht="12.75" hidden="1" customHeight="1" x14ac:dyDescent="0.2"/>
    <row r="64514" ht="12.75" hidden="1" customHeight="1" x14ac:dyDescent="0.2"/>
    <row r="64515" ht="12.75" hidden="1" customHeight="1" x14ac:dyDescent="0.2"/>
    <row r="64516" ht="12.75" hidden="1" customHeight="1" x14ac:dyDescent="0.2"/>
    <row r="64517" ht="12.75" hidden="1" customHeight="1" x14ac:dyDescent="0.2"/>
    <row r="64518" ht="12.75" hidden="1" customHeight="1" x14ac:dyDescent="0.2"/>
    <row r="64519" ht="12.75" hidden="1" customHeight="1" x14ac:dyDescent="0.2"/>
    <row r="64520" ht="12.75" hidden="1" customHeight="1" x14ac:dyDescent="0.2"/>
    <row r="64521" ht="12.75" hidden="1" customHeight="1" x14ac:dyDescent="0.2"/>
    <row r="64522" ht="12.75" hidden="1" customHeight="1" x14ac:dyDescent="0.2"/>
    <row r="64523" ht="12.75" hidden="1" customHeight="1" x14ac:dyDescent="0.2"/>
    <row r="64524" ht="12.75" hidden="1" customHeight="1" x14ac:dyDescent="0.2"/>
    <row r="64525" ht="12.75" hidden="1" customHeight="1" x14ac:dyDescent="0.2"/>
    <row r="64526" ht="12.75" hidden="1" customHeight="1" x14ac:dyDescent="0.2"/>
    <row r="64527" ht="12.75" hidden="1" customHeight="1" x14ac:dyDescent="0.2"/>
    <row r="64528" ht="12.75" hidden="1" customHeight="1" x14ac:dyDescent="0.2"/>
    <row r="64529" ht="12.75" hidden="1" customHeight="1" x14ac:dyDescent="0.2"/>
    <row r="64530" ht="12.75" hidden="1" customHeight="1" x14ac:dyDescent="0.2"/>
    <row r="64531" ht="12.75" hidden="1" customHeight="1" x14ac:dyDescent="0.2"/>
    <row r="64532" ht="12.75" hidden="1" customHeight="1" x14ac:dyDescent="0.2"/>
    <row r="64533" ht="12.75" hidden="1" customHeight="1" x14ac:dyDescent="0.2"/>
    <row r="64534" ht="12.75" hidden="1" customHeight="1" x14ac:dyDescent="0.2"/>
    <row r="64535" ht="12.75" hidden="1" customHeight="1" x14ac:dyDescent="0.2"/>
    <row r="64536" ht="12.75" hidden="1" customHeight="1" x14ac:dyDescent="0.2"/>
    <row r="64537" ht="12.75" hidden="1" customHeight="1" x14ac:dyDescent="0.2"/>
    <row r="64538" ht="12.75" hidden="1" customHeight="1" x14ac:dyDescent="0.2"/>
    <row r="64539" ht="12.75" hidden="1" customHeight="1" x14ac:dyDescent="0.2"/>
    <row r="64540" ht="12.75" hidden="1" customHeight="1" x14ac:dyDescent="0.2"/>
    <row r="64541" ht="12.75" hidden="1" customHeight="1" x14ac:dyDescent="0.2"/>
    <row r="64542" ht="12.75" hidden="1" customHeight="1" x14ac:dyDescent="0.2"/>
    <row r="64543" ht="12.75" hidden="1" customHeight="1" x14ac:dyDescent="0.2"/>
    <row r="64544" ht="12.75" hidden="1" customHeight="1" x14ac:dyDescent="0.2"/>
    <row r="64545" ht="12.75" hidden="1" customHeight="1" x14ac:dyDescent="0.2"/>
    <row r="64546" ht="12.75" hidden="1" customHeight="1" x14ac:dyDescent="0.2"/>
    <row r="64547" ht="12.75" hidden="1" customHeight="1" x14ac:dyDescent="0.2"/>
    <row r="64548" ht="12.75" hidden="1" customHeight="1" x14ac:dyDescent="0.2"/>
    <row r="64549" ht="12.75" hidden="1" customHeight="1" x14ac:dyDescent="0.2"/>
    <row r="64550" ht="12.75" hidden="1" customHeight="1" x14ac:dyDescent="0.2"/>
    <row r="64551" ht="12.75" hidden="1" customHeight="1" x14ac:dyDescent="0.2"/>
    <row r="64552" ht="12.75" hidden="1" customHeight="1" x14ac:dyDescent="0.2"/>
    <row r="64553" ht="12.75" hidden="1" customHeight="1" x14ac:dyDescent="0.2"/>
    <row r="64554" ht="12.75" hidden="1" customHeight="1" x14ac:dyDescent="0.2"/>
    <row r="64555" ht="12.75" hidden="1" customHeight="1" x14ac:dyDescent="0.2"/>
    <row r="64556" ht="12.75" hidden="1" customHeight="1" x14ac:dyDescent="0.2"/>
    <row r="64557" ht="12.75" hidden="1" customHeight="1" x14ac:dyDescent="0.2"/>
    <row r="64558" ht="12.75" hidden="1" customHeight="1" x14ac:dyDescent="0.2"/>
    <row r="64559" ht="12.75" hidden="1" customHeight="1" x14ac:dyDescent="0.2"/>
    <row r="64560" ht="12.75" hidden="1" customHeight="1" x14ac:dyDescent="0.2"/>
    <row r="64561" ht="12.75" hidden="1" customHeight="1" x14ac:dyDescent="0.2"/>
    <row r="64562" ht="12.75" hidden="1" customHeight="1" x14ac:dyDescent="0.2"/>
    <row r="64563" ht="12.75" hidden="1" customHeight="1" x14ac:dyDescent="0.2"/>
    <row r="64564" ht="12.75" hidden="1" customHeight="1" x14ac:dyDescent="0.2"/>
    <row r="64565" ht="12.75" hidden="1" customHeight="1" x14ac:dyDescent="0.2"/>
    <row r="64566" ht="12.75" hidden="1" customHeight="1" x14ac:dyDescent="0.2"/>
    <row r="64567" ht="12.75" hidden="1" customHeight="1" x14ac:dyDescent="0.2"/>
    <row r="64568" ht="12.75" hidden="1" customHeight="1" x14ac:dyDescent="0.2"/>
    <row r="64569" ht="12.75" hidden="1" customHeight="1" x14ac:dyDescent="0.2"/>
    <row r="64570" ht="12.75" hidden="1" customHeight="1" x14ac:dyDescent="0.2"/>
    <row r="64571" ht="12.75" hidden="1" customHeight="1" x14ac:dyDescent="0.2"/>
    <row r="64572" ht="12.75" hidden="1" customHeight="1" x14ac:dyDescent="0.2"/>
    <row r="64573" ht="12.75" hidden="1" customHeight="1" x14ac:dyDescent="0.2"/>
    <row r="64574" ht="12.75" hidden="1" customHeight="1" x14ac:dyDescent="0.2"/>
    <row r="64575" ht="12.75" hidden="1" customHeight="1" x14ac:dyDescent="0.2"/>
    <row r="64576" ht="12.75" hidden="1" customHeight="1" x14ac:dyDescent="0.2"/>
    <row r="64577" ht="12.75" hidden="1" customHeight="1" x14ac:dyDescent="0.2"/>
    <row r="64578" ht="12.75" hidden="1" customHeight="1" x14ac:dyDescent="0.2"/>
    <row r="64579" ht="12.75" hidden="1" customHeight="1" x14ac:dyDescent="0.2"/>
    <row r="64580" ht="12.75" hidden="1" customHeight="1" x14ac:dyDescent="0.2"/>
    <row r="64581" ht="12.75" hidden="1" customHeight="1" x14ac:dyDescent="0.2"/>
    <row r="64582" ht="12.75" hidden="1" customHeight="1" x14ac:dyDescent="0.2"/>
    <row r="64583" ht="12.75" hidden="1" customHeight="1" x14ac:dyDescent="0.2"/>
    <row r="64584" ht="12.75" hidden="1" customHeight="1" x14ac:dyDescent="0.2"/>
    <row r="64585" ht="12.75" hidden="1" customHeight="1" x14ac:dyDescent="0.2"/>
    <row r="64586" ht="12.75" hidden="1" customHeight="1" x14ac:dyDescent="0.2"/>
    <row r="64587" ht="12.75" hidden="1" customHeight="1" x14ac:dyDescent="0.2"/>
    <row r="64588" ht="12.75" hidden="1" customHeight="1" x14ac:dyDescent="0.2"/>
    <row r="64589" ht="12.75" hidden="1" customHeight="1" x14ac:dyDescent="0.2"/>
    <row r="64590" ht="12.75" hidden="1" customHeight="1" x14ac:dyDescent="0.2"/>
    <row r="64591" ht="12.75" hidden="1" customHeight="1" x14ac:dyDescent="0.2"/>
    <row r="64592" ht="12.75" hidden="1" customHeight="1" x14ac:dyDescent="0.2"/>
    <row r="64593" ht="12.75" hidden="1" customHeight="1" x14ac:dyDescent="0.2"/>
    <row r="64594" ht="12.75" hidden="1" customHeight="1" x14ac:dyDescent="0.2"/>
    <row r="64595" ht="12.75" hidden="1" customHeight="1" x14ac:dyDescent="0.2"/>
    <row r="64596" ht="12.75" hidden="1" customHeight="1" x14ac:dyDescent="0.2"/>
    <row r="64597" ht="12.75" hidden="1" customHeight="1" x14ac:dyDescent="0.2"/>
    <row r="64598" ht="12.75" hidden="1" customHeight="1" x14ac:dyDescent="0.2"/>
    <row r="64599" ht="12.75" hidden="1" customHeight="1" x14ac:dyDescent="0.2"/>
    <row r="64600" ht="12.75" hidden="1" customHeight="1" x14ac:dyDescent="0.2"/>
    <row r="64601" ht="12.75" hidden="1" customHeight="1" x14ac:dyDescent="0.2"/>
    <row r="64602" ht="12.75" hidden="1" customHeight="1" x14ac:dyDescent="0.2"/>
    <row r="64603" ht="12.75" hidden="1" customHeight="1" x14ac:dyDescent="0.2"/>
    <row r="64604" ht="12.75" hidden="1" customHeight="1" x14ac:dyDescent="0.2"/>
    <row r="64605" ht="12.75" hidden="1" customHeight="1" x14ac:dyDescent="0.2"/>
    <row r="64606" ht="12.75" hidden="1" customHeight="1" x14ac:dyDescent="0.2"/>
    <row r="64607" ht="12.75" hidden="1" customHeight="1" x14ac:dyDescent="0.2"/>
    <row r="64608" ht="12.75" hidden="1" customHeight="1" x14ac:dyDescent="0.2"/>
    <row r="64609" ht="12.75" hidden="1" customHeight="1" x14ac:dyDescent="0.2"/>
    <row r="64610" ht="12.75" hidden="1" customHeight="1" x14ac:dyDescent="0.2"/>
    <row r="64611" ht="12.75" hidden="1" customHeight="1" x14ac:dyDescent="0.2"/>
    <row r="64612" ht="12.75" hidden="1" customHeight="1" x14ac:dyDescent="0.2"/>
    <row r="64613" ht="12.75" hidden="1" customHeight="1" x14ac:dyDescent="0.2"/>
    <row r="64614" ht="12.75" hidden="1" customHeight="1" x14ac:dyDescent="0.2"/>
    <row r="64615" ht="12.75" hidden="1" customHeight="1" x14ac:dyDescent="0.2"/>
    <row r="64616" ht="12.75" hidden="1" customHeight="1" x14ac:dyDescent="0.2"/>
    <row r="64617" ht="12.75" hidden="1" customHeight="1" x14ac:dyDescent="0.2"/>
    <row r="64618" ht="12.75" hidden="1" customHeight="1" x14ac:dyDescent="0.2"/>
    <row r="64619" ht="12.75" hidden="1" customHeight="1" x14ac:dyDescent="0.2"/>
    <row r="64620" ht="12.75" hidden="1" customHeight="1" x14ac:dyDescent="0.2"/>
    <row r="64621" ht="12.75" hidden="1" customHeight="1" x14ac:dyDescent="0.2"/>
    <row r="64622" ht="12.75" hidden="1" customHeight="1" x14ac:dyDescent="0.2"/>
    <row r="64623" ht="12.75" hidden="1" customHeight="1" x14ac:dyDescent="0.2"/>
    <row r="64624" ht="12.75" hidden="1" customHeight="1" x14ac:dyDescent="0.2"/>
    <row r="64625" ht="12.75" hidden="1" customHeight="1" x14ac:dyDescent="0.2"/>
    <row r="64626" ht="12.75" hidden="1" customHeight="1" x14ac:dyDescent="0.2"/>
    <row r="64627" ht="12.75" hidden="1" customHeight="1" x14ac:dyDescent="0.2"/>
    <row r="64628" ht="12.75" hidden="1" customHeight="1" x14ac:dyDescent="0.2"/>
    <row r="64629" ht="12.75" hidden="1" customHeight="1" x14ac:dyDescent="0.2"/>
    <row r="64630" ht="12.75" hidden="1" customHeight="1" x14ac:dyDescent="0.2"/>
    <row r="64631" ht="12.75" hidden="1" customHeight="1" x14ac:dyDescent="0.2"/>
    <row r="64632" ht="12.75" hidden="1" customHeight="1" x14ac:dyDescent="0.2"/>
    <row r="64633" ht="12.75" hidden="1" customHeight="1" x14ac:dyDescent="0.2"/>
    <row r="64634" ht="12.75" hidden="1" customHeight="1" x14ac:dyDescent="0.2"/>
    <row r="64635" ht="12.75" hidden="1" customHeight="1" x14ac:dyDescent="0.2"/>
    <row r="64636" ht="12.75" hidden="1" customHeight="1" x14ac:dyDescent="0.2"/>
    <row r="64637" ht="12.75" hidden="1" customHeight="1" x14ac:dyDescent="0.2"/>
    <row r="64638" ht="12.75" hidden="1" customHeight="1" x14ac:dyDescent="0.2"/>
    <row r="64639" ht="12.75" hidden="1" customHeight="1" x14ac:dyDescent="0.2"/>
    <row r="64640" ht="12.75" hidden="1" customHeight="1" x14ac:dyDescent="0.2"/>
    <row r="64641" ht="12.75" hidden="1" customHeight="1" x14ac:dyDescent="0.2"/>
    <row r="64642" ht="12.75" hidden="1" customHeight="1" x14ac:dyDescent="0.2"/>
    <row r="64643" ht="12.75" hidden="1" customHeight="1" x14ac:dyDescent="0.2"/>
    <row r="64644" ht="12.75" hidden="1" customHeight="1" x14ac:dyDescent="0.2"/>
    <row r="64645" ht="12.75" hidden="1" customHeight="1" x14ac:dyDescent="0.2"/>
    <row r="64646" ht="12.75" hidden="1" customHeight="1" x14ac:dyDescent="0.2"/>
    <row r="64647" ht="12.75" hidden="1" customHeight="1" x14ac:dyDescent="0.2"/>
    <row r="64648" ht="12.75" hidden="1" customHeight="1" x14ac:dyDescent="0.2"/>
    <row r="64649" ht="12.75" hidden="1" customHeight="1" x14ac:dyDescent="0.2"/>
    <row r="64650" ht="12.75" hidden="1" customHeight="1" x14ac:dyDescent="0.2"/>
    <row r="64651" ht="12.75" hidden="1" customHeight="1" x14ac:dyDescent="0.2"/>
    <row r="64652" ht="12.75" hidden="1" customHeight="1" x14ac:dyDescent="0.2"/>
    <row r="64653" ht="12.75" hidden="1" customHeight="1" x14ac:dyDescent="0.2"/>
    <row r="64654" ht="12.75" hidden="1" customHeight="1" x14ac:dyDescent="0.2"/>
    <row r="64655" ht="12.75" hidden="1" customHeight="1" x14ac:dyDescent="0.2"/>
    <row r="64656" ht="12.75" hidden="1" customHeight="1" x14ac:dyDescent="0.2"/>
    <row r="64657" ht="12.75" hidden="1" customHeight="1" x14ac:dyDescent="0.2"/>
    <row r="64658" ht="12.75" hidden="1" customHeight="1" x14ac:dyDescent="0.2"/>
    <row r="64659" ht="12.75" hidden="1" customHeight="1" x14ac:dyDescent="0.2"/>
    <row r="64660" ht="12.75" hidden="1" customHeight="1" x14ac:dyDescent="0.2"/>
    <row r="64661" ht="12.75" hidden="1" customHeight="1" x14ac:dyDescent="0.2"/>
    <row r="64662" ht="12.75" hidden="1" customHeight="1" x14ac:dyDescent="0.2"/>
    <row r="64663" ht="12.75" hidden="1" customHeight="1" x14ac:dyDescent="0.2"/>
    <row r="64664" ht="12.75" hidden="1" customHeight="1" x14ac:dyDescent="0.2"/>
    <row r="64665" ht="12.75" hidden="1" customHeight="1" x14ac:dyDescent="0.2"/>
    <row r="64666" ht="12.75" hidden="1" customHeight="1" x14ac:dyDescent="0.2"/>
    <row r="64667" ht="12.75" hidden="1" customHeight="1" x14ac:dyDescent="0.2"/>
    <row r="64668" ht="12.75" hidden="1" customHeight="1" x14ac:dyDescent="0.2"/>
    <row r="64669" ht="12.75" hidden="1" customHeight="1" x14ac:dyDescent="0.2"/>
    <row r="64670" ht="12.75" hidden="1" customHeight="1" x14ac:dyDescent="0.2"/>
    <row r="64671" ht="12.75" hidden="1" customHeight="1" x14ac:dyDescent="0.2"/>
    <row r="64672" ht="12.75" hidden="1" customHeight="1" x14ac:dyDescent="0.2"/>
    <row r="64673" ht="12.75" hidden="1" customHeight="1" x14ac:dyDescent="0.2"/>
    <row r="64674" ht="12.75" hidden="1" customHeight="1" x14ac:dyDescent="0.2"/>
    <row r="64675" ht="12.75" hidden="1" customHeight="1" x14ac:dyDescent="0.2"/>
    <row r="64676" ht="12.75" hidden="1" customHeight="1" x14ac:dyDescent="0.2"/>
    <row r="64677" ht="12.75" hidden="1" customHeight="1" x14ac:dyDescent="0.2"/>
    <row r="64678" ht="12.75" hidden="1" customHeight="1" x14ac:dyDescent="0.2"/>
    <row r="64679" ht="12.75" hidden="1" customHeight="1" x14ac:dyDescent="0.2"/>
    <row r="64680" ht="12.75" hidden="1" customHeight="1" x14ac:dyDescent="0.2"/>
    <row r="64681" ht="12.75" hidden="1" customHeight="1" x14ac:dyDescent="0.2"/>
    <row r="64682" ht="12.75" hidden="1" customHeight="1" x14ac:dyDescent="0.2"/>
    <row r="64683" ht="12.75" hidden="1" customHeight="1" x14ac:dyDescent="0.2"/>
    <row r="64684" ht="12.75" hidden="1" customHeight="1" x14ac:dyDescent="0.2"/>
    <row r="64685" ht="12.75" hidden="1" customHeight="1" x14ac:dyDescent="0.2"/>
    <row r="64686" ht="12.75" hidden="1" customHeight="1" x14ac:dyDescent="0.2"/>
    <row r="64687" ht="12.75" hidden="1" customHeight="1" x14ac:dyDescent="0.2"/>
    <row r="64688" ht="12.75" hidden="1" customHeight="1" x14ac:dyDescent="0.2"/>
    <row r="64689" ht="12.75" hidden="1" customHeight="1" x14ac:dyDescent="0.2"/>
    <row r="64690" ht="12.75" hidden="1" customHeight="1" x14ac:dyDescent="0.2"/>
    <row r="64691" ht="12.75" hidden="1" customHeight="1" x14ac:dyDescent="0.2"/>
    <row r="64692" ht="12.75" hidden="1" customHeight="1" x14ac:dyDescent="0.2"/>
    <row r="64693" ht="12.75" hidden="1" customHeight="1" x14ac:dyDescent="0.2"/>
    <row r="64694" ht="12.75" hidden="1" customHeight="1" x14ac:dyDescent="0.2"/>
    <row r="64695" ht="12.75" hidden="1" customHeight="1" x14ac:dyDescent="0.2"/>
    <row r="64696" ht="12.75" hidden="1" customHeight="1" x14ac:dyDescent="0.2"/>
    <row r="64697" ht="12.75" hidden="1" customHeight="1" x14ac:dyDescent="0.2"/>
    <row r="64698" ht="12.75" hidden="1" customHeight="1" x14ac:dyDescent="0.2"/>
    <row r="64699" ht="12.75" hidden="1" customHeight="1" x14ac:dyDescent="0.2"/>
    <row r="64700" ht="12.75" hidden="1" customHeight="1" x14ac:dyDescent="0.2"/>
    <row r="64701" ht="12.75" hidden="1" customHeight="1" x14ac:dyDescent="0.2"/>
    <row r="64702" ht="12.75" hidden="1" customHeight="1" x14ac:dyDescent="0.2"/>
    <row r="64703" ht="12.75" hidden="1" customHeight="1" x14ac:dyDescent="0.2"/>
    <row r="64704" ht="12.75" hidden="1" customHeight="1" x14ac:dyDescent="0.2"/>
    <row r="64705" ht="12.75" hidden="1" customHeight="1" x14ac:dyDescent="0.2"/>
    <row r="64706" ht="12.75" hidden="1" customHeight="1" x14ac:dyDescent="0.2"/>
    <row r="64707" ht="12.75" hidden="1" customHeight="1" x14ac:dyDescent="0.2"/>
    <row r="64708" ht="12.75" hidden="1" customHeight="1" x14ac:dyDescent="0.2"/>
    <row r="64709" ht="12.75" hidden="1" customHeight="1" x14ac:dyDescent="0.2"/>
    <row r="64710" ht="12.75" hidden="1" customHeight="1" x14ac:dyDescent="0.2"/>
    <row r="64711" ht="12.75" hidden="1" customHeight="1" x14ac:dyDescent="0.2"/>
    <row r="64712" ht="12.75" hidden="1" customHeight="1" x14ac:dyDescent="0.2"/>
    <row r="64713" ht="12.75" hidden="1" customHeight="1" x14ac:dyDescent="0.2"/>
    <row r="64714" ht="12.75" hidden="1" customHeight="1" x14ac:dyDescent="0.2"/>
    <row r="64715" ht="12.75" hidden="1" customHeight="1" x14ac:dyDescent="0.2"/>
    <row r="64716" ht="12.75" hidden="1" customHeight="1" x14ac:dyDescent="0.2"/>
    <row r="64717" ht="12.75" hidden="1" customHeight="1" x14ac:dyDescent="0.2"/>
    <row r="64718" ht="12.75" hidden="1" customHeight="1" x14ac:dyDescent="0.2"/>
    <row r="64719" ht="12.75" hidden="1" customHeight="1" x14ac:dyDescent="0.2"/>
    <row r="64720" ht="12.75" hidden="1" customHeight="1" x14ac:dyDescent="0.2"/>
    <row r="64721" ht="12.75" hidden="1" customHeight="1" x14ac:dyDescent="0.2"/>
    <row r="64722" ht="12.75" hidden="1" customHeight="1" x14ac:dyDescent="0.2"/>
    <row r="64723" ht="12.75" hidden="1" customHeight="1" x14ac:dyDescent="0.2"/>
    <row r="64724" ht="12.75" hidden="1" customHeight="1" x14ac:dyDescent="0.2"/>
    <row r="64725" ht="12.75" hidden="1" customHeight="1" x14ac:dyDescent="0.2"/>
    <row r="64726" ht="12.75" hidden="1" customHeight="1" x14ac:dyDescent="0.2"/>
    <row r="64727" ht="12.75" hidden="1" customHeight="1" x14ac:dyDescent="0.2"/>
    <row r="64728" ht="12.75" hidden="1" customHeight="1" x14ac:dyDescent="0.2"/>
    <row r="64729" ht="12.75" hidden="1" customHeight="1" x14ac:dyDescent="0.2"/>
    <row r="64730" ht="12.75" hidden="1" customHeight="1" x14ac:dyDescent="0.2"/>
    <row r="64731" ht="12.75" hidden="1" customHeight="1" x14ac:dyDescent="0.2"/>
    <row r="64732" ht="12.75" hidden="1" customHeight="1" x14ac:dyDescent="0.2"/>
    <row r="64733" ht="12.75" hidden="1" customHeight="1" x14ac:dyDescent="0.2"/>
    <row r="64734" ht="12.75" hidden="1" customHeight="1" x14ac:dyDescent="0.2"/>
    <row r="64735" ht="12.75" hidden="1" customHeight="1" x14ac:dyDescent="0.2"/>
    <row r="64736" ht="12.75" hidden="1" customHeight="1" x14ac:dyDescent="0.2"/>
    <row r="64737" ht="12.75" hidden="1" customHeight="1" x14ac:dyDescent="0.2"/>
    <row r="64738" ht="12.75" hidden="1" customHeight="1" x14ac:dyDescent="0.2"/>
    <row r="64739" ht="12.75" hidden="1" customHeight="1" x14ac:dyDescent="0.2"/>
    <row r="64740" ht="12.75" hidden="1" customHeight="1" x14ac:dyDescent="0.2"/>
    <row r="64741" ht="12.75" hidden="1" customHeight="1" x14ac:dyDescent="0.2"/>
    <row r="64742" ht="12.75" hidden="1" customHeight="1" x14ac:dyDescent="0.2"/>
    <row r="64743" ht="12.75" hidden="1" customHeight="1" x14ac:dyDescent="0.2"/>
    <row r="64744" ht="12.75" hidden="1" customHeight="1" x14ac:dyDescent="0.2"/>
    <row r="64745" ht="12.75" hidden="1" customHeight="1" x14ac:dyDescent="0.2"/>
    <row r="64746" ht="12.75" hidden="1" customHeight="1" x14ac:dyDescent="0.2"/>
    <row r="64747" ht="12.75" hidden="1" customHeight="1" x14ac:dyDescent="0.2"/>
    <row r="64748" ht="12.75" hidden="1" customHeight="1" x14ac:dyDescent="0.2"/>
    <row r="64749" ht="12.75" hidden="1" customHeight="1" x14ac:dyDescent="0.2"/>
    <row r="64750" ht="12.75" hidden="1" customHeight="1" x14ac:dyDescent="0.2"/>
    <row r="64751" ht="12.75" hidden="1" customHeight="1" x14ac:dyDescent="0.2"/>
    <row r="64752" ht="12.75" hidden="1" customHeight="1" x14ac:dyDescent="0.2"/>
    <row r="64753" ht="12.75" hidden="1" customHeight="1" x14ac:dyDescent="0.2"/>
    <row r="64754" ht="12.75" hidden="1" customHeight="1" x14ac:dyDescent="0.2"/>
    <row r="64755" ht="12.75" hidden="1" customHeight="1" x14ac:dyDescent="0.2"/>
    <row r="64756" ht="12.75" hidden="1" customHeight="1" x14ac:dyDescent="0.2"/>
    <row r="64757" ht="12.75" hidden="1" customHeight="1" x14ac:dyDescent="0.2"/>
    <row r="64758" ht="12.75" hidden="1" customHeight="1" x14ac:dyDescent="0.2"/>
    <row r="64759" ht="12.75" hidden="1" customHeight="1" x14ac:dyDescent="0.2"/>
    <row r="64760" ht="12.75" hidden="1" customHeight="1" x14ac:dyDescent="0.2"/>
    <row r="64761" ht="12.75" hidden="1" customHeight="1" x14ac:dyDescent="0.2"/>
    <row r="64762" ht="12.75" hidden="1" customHeight="1" x14ac:dyDescent="0.2"/>
    <row r="64763" ht="12.75" hidden="1" customHeight="1" x14ac:dyDescent="0.2"/>
    <row r="64764" ht="12.75" hidden="1" customHeight="1" x14ac:dyDescent="0.2"/>
    <row r="64765" ht="12.75" hidden="1" customHeight="1" x14ac:dyDescent="0.2"/>
    <row r="64766" ht="12.75" hidden="1" customHeight="1" x14ac:dyDescent="0.2"/>
    <row r="64767" ht="12.75" hidden="1" customHeight="1" x14ac:dyDescent="0.2"/>
    <row r="64768" ht="12.75" hidden="1" customHeight="1" x14ac:dyDescent="0.2"/>
    <row r="64769" ht="12.75" hidden="1" customHeight="1" x14ac:dyDescent="0.2"/>
    <row r="64770" ht="12.75" hidden="1" customHeight="1" x14ac:dyDescent="0.2"/>
    <row r="64771" ht="12.75" hidden="1" customHeight="1" x14ac:dyDescent="0.2"/>
    <row r="64772" ht="12.75" hidden="1" customHeight="1" x14ac:dyDescent="0.2"/>
    <row r="64773" ht="12.75" hidden="1" customHeight="1" x14ac:dyDescent="0.2"/>
    <row r="64774" ht="12.75" hidden="1" customHeight="1" x14ac:dyDescent="0.2"/>
    <row r="64775" ht="12.75" hidden="1" customHeight="1" x14ac:dyDescent="0.2"/>
    <row r="64776" ht="12.75" hidden="1" customHeight="1" x14ac:dyDescent="0.2"/>
    <row r="64777" ht="12.75" hidden="1" customHeight="1" x14ac:dyDescent="0.2"/>
    <row r="64778" ht="12.75" hidden="1" customHeight="1" x14ac:dyDescent="0.2"/>
    <row r="64779" ht="12.75" hidden="1" customHeight="1" x14ac:dyDescent="0.2"/>
    <row r="64780" ht="12.75" hidden="1" customHeight="1" x14ac:dyDescent="0.2"/>
    <row r="64781" ht="12.75" hidden="1" customHeight="1" x14ac:dyDescent="0.2"/>
    <row r="64782" ht="12.75" hidden="1" customHeight="1" x14ac:dyDescent="0.2"/>
    <row r="64783" ht="12.75" hidden="1" customHeight="1" x14ac:dyDescent="0.2"/>
    <row r="64784" ht="12.75" hidden="1" customHeight="1" x14ac:dyDescent="0.2"/>
    <row r="64785" ht="12.75" hidden="1" customHeight="1" x14ac:dyDescent="0.2"/>
    <row r="64786" ht="12.75" hidden="1" customHeight="1" x14ac:dyDescent="0.2"/>
    <row r="64787" ht="12.75" hidden="1" customHeight="1" x14ac:dyDescent="0.2"/>
    <row r="64788" ht="12.75" hidden="1" customHeight="1" x14ac:dyDescent="0.2"/>
    <row r="64789" ht="12.75" hidden="1" customHeight="1" x14ac:dyDescent="0.2"/>
    <row r="64790" ht="12.75" hidden="1" customHeight="1" x14ac:dyDescent="0.2"/>
    <row r="64791" ht="12.75" hidden="1" customHeight="1" x14ac:dyDescent="0.2"/>
    <row r="64792" ht="12.75" hidden="1" customHeight="1" x14ac:dyDescent="0.2"/>
    <row r="64793" ht="12.75" hidden="1" customHeight="1" x14ac:dyDescent="0.2"/>
    <row r="64794" ht="12.75" hidden="1" customHeight="1" x14ac:dyDescent="0.2"/>
    <row r="64795" ht="12.75" hidden="1" customHeight="1" x14ac:dyDescent="0.2"/>
    <row r="64796" ht="12.75" hidden="1" customHeight="1" x14ac:dyDescent="0.2"/>
    <row r="64797" ht="12.75" hidden="1" customHeight="1" x14ac:dyDescent="0.2"/>
    <row r="64798" ht="12.75" hidden="1" customHeight="1" x14ac:dyDescent="0.2"/>
    <row r="64799" ht="12.75" hidden="1" customHeight="1" x14ac:dyDescent="0.2"/>
    <row r="64800" ht="12.75" hidden="1" customHeight="1" x14ac:dyDescent="0.2"/>
    <row r="64801" ht="12.75" hidden="1" customHeight="1" x14ac:dyDescent="0.2"/>
    <row r="64802" ht="12.75" hidden="1" customHeight="1" x14ac:dyDescent="0.2"/>
    <row r="64803" ht="12.75" hidden="1" customHeight="1" x14ac:dyDescent="0.2"/>
    <row r="64804" ht="12.75" hidden="1" customHeight="1" x14ac:dyDescent="0.2"/>
    <row r="64805" ht="12.75" hidden="1" customHeight="1" x14ac:dyDescent="0.2"/>
    <row r="64806" ht="12.75" hidden="1" customHeight="1" x14ac:dyDescent="0.2"/>
    <row r="64807" ht="12.75" hidden="1" customHeight="1" x14ac:dyDescent="0.2"/>
    <row r="64808" ht="12.75" hidden="1" customHeight="1" x14ac:dyDescent="0.2"/>
    <row r="64809" ht="12.75" hidden="1" customHeight="1" x14ac:dyDescent="0.2"/>
    <row r="64810" ht="12.75" hidden="1" customHeight="1" x14ac:dyDescent="0.2"/>
    <row r="64811" ht="12.75" hidden="1" customHeight="1" x14ac:dyDescent="0.2"/>
    <row r="64812" ht="12.75" hidden="1" customHeight="1" x14ac:dyDescent="0.2"/>
    <row r="64813" ht="12.75" hidden="1" customHeight="1" x14ac:dyDescent="0.2"/>
    <row r="64814" ht="12.75" hidden="1" customHeight="1" x14ac:dyDescent="0.2"/>
    <row r="64815" ht="12.75" hidden="1" customHeight="1" x14ac:dyDescent="0.2"/>
    <row r="64816" ht="12.75" hidden="1" customHeight="1" x14ac:dyDescent="0.2"/>
    <row r="64817" ht="12.75" hidden="1" customHeight="1" x14ac:dyDescent="0.2"/>
    <row r="64818" ht="12.75" hidden="1" customHeight="1" x14ac:dyDescent="0.2"/>
    <row r="64819" ht="12.75" hidden="1" customHeight="1" x14ac:dyDescent="0.2"/>
    <row r="64820" ht="12.75" hidden="1" customHeight="1" x14ac:dyDescent="0.2"/>
    <row r="64821" ht="12.75" hidden="1" customHeight="1" x14ac:dyDescent="0.2"/>
    <row r="64822" ht="12.75" hidden="1" customHeight="1" x14ac:dyDescent="0.2"/>
    <row r="64823" ht="12.75" hidden="1" customHeight="1" x14ac:dyDescent="0.2"/>
    <row r="64824" ht="12.75" hidden="1" customHeight="1" x14ac:dyDescent="0.2"/>
    <row r="64825" ht="12.75" hidden="1" customHeight="1" x14ac:dyDescent="0.2"/>
    <row r="64826" ht="12.75" hidden="1" customHeight="1" x14ac:dyDescent="0.2"/>
    <row r="64827" ht="12.75" hidden="1" customHeight="1" x14ac:dyDescent="0.2"/>
    <row r="64828" ht="12.75" hidden="1" customHeight="1" x14ac:dyDescent="0.2"/>
    <row r="64829" ht="12.75" hidden="1" customHeight="1" x14ac:dyDescent="0.2"/>
    <row r="64830" ht="12.75" hidden="1" customHeight="1" x14ac:dyDescent="0.2"/>
    <row r="64831" ht="12.75" hidden="1" customHeight="1" x14ac:dyDescent="0.2"/>
    <row r="64832" ht="12.75" hidden="1" customHeight="1" x14ac:dyDescent="0.2"/>
    <row r="64833" ht="12.75" hidden="1" customHeight="1" x14ac:dyDescent="0.2"/>
    <row r="64834" ht="12.75" hidden="1" customHeight="1" x14ac:dyDescent="0.2"/>
    <row r="64835" ht="12.75" hidden="1" customHeight="1" x14ac:dyDescent="0.2"/>
    <row r="64836" ht="12.75" hidden="1" customHeight="1" x14ac:dyDescent="0.2"/>
    <row r="64837" ht="12.75" hidden="1" customHeight="1" x14ac:dyDescent="0.2"/>
    <row r="64838" ht="12.75" hidden="1" customHeight="1" x14ac:dyDescent="0.2"/>
    <row r="64839" ht="12.75" hidden="1" customHeight="1" x14ac:dyDescent="0.2"/>
    <row r="64840" ht="12.75" hidden="1" customHeight="1" x14ac:dyDescent="0.2"/>
    <row r="64841" ht="12.75" hidden="1" customHeight="1" x14ac:dyDescent="0.2"/>
    <row r="64842" ht="12.75" hidden="1" customHeight="1" x14ac:dyDescent="0.2"/>
    <row r="64843" ht="12.75" hidden="1" customHeight="1" x14ac:dyDescent="0.2"/>
    <row r="64844" ht="12.75" hidden="1" customHeight="1" x14ac:dyDescent="0.2"/>
    <row r="64845" ht="12.75" hidden="1" customHeight="1" x14ac:dyDescent="0.2"/>
    <row r="64846" ht="12.75" hidden="1" customHeight="1" x14ac:dyDescent="0.2"/>
    <row r="64847" ht="12.75" hidden="1" customHeight="1" x14ac:dyDescent="0.2"/>
    <row r="64848" ht="12.75" hidden="1" customHeight="1" x14ac:dyDescent="0.2"/>
    <row r="64849" ht="12.75" hidden="1" customHeight="1" x14ac:dyDescent="0.2"/>
    <row r="64850" ht="12.75" hidden="1" customHeight="1" x14ac:dyDescent="0.2"/>
    <row r="64851" ht="12.75" hidden="1" customHeight="1" x14ac:dyDescent="0.2"/>
    <row r="64852" ht="12.75" hidden="1" customHeight="1" x14ac:dyDescent="0.2"/>
    <row r="64853" ht="12.75" hidden="1" customHeight="1" x14ac:dyDescent="0.2"/>
    <row r="64854" ht="12.75" hidden="1" customHeight="1" x14ac:dyDescent="0.2"/>
    <row r="64855" ht="12.75" hidden="1" customHeight="1" x14ac:dyDescent="0.2"/>
    <row r="64856" ht="12.75" hidden="1" customHeight="1" x14ac:dyDescent="0.2"/>
    <row r="64857" ht="12.75" hidden="1" customHeight="1" x14ac:dyDescent="0.2"/>
    <row r="64858" ht="12.75" hidden="1" customHeight="1" x14ac:dyDescent="0.2"/>
    <row r="64859" ht="12.75" hidden="1" customHeight="1" x14ac:dyDescent="0.2"/>
    <row r="64860" ht="12.75" hidden="1" customHeight="1" x14ac:dyDescent="0.2"/>
    <row r="64861" ht="12.75" hidden="1" customHeight="1" x14ac:dyDescent="0.2"/>
    <row r="64862" ht="12.75" hidden="1" customHeight="1" x14ac:dyDescent="0.2"/>
    <row r="64863" ht="12.75" hidden="1" customHeight="1" x14ac:dyDescent="0.2"/>
    <row r="64864" ht="12.75" hidden="1" customHeight="1" x14ac:dyDescent="0.2"/>
    <row r="64865" ht="12.75" hidden="1" customHeight="1" x14ac:dyDescent="0.2"/>
    <row r="64866" ht="12.75" hidden="1" customHeight="1" x14ac:dyDescent="0.2"/>
    <row r="64867" ht="12.75" hidden="1" customHeight="1" x14ac:dyDescent="0.2"/>
    <row r="64868" ht="12.75" hidden="1" customHeight="1" x14ac:dyDescent="0.2"/>
    <row r="64869" ht="12.75" hidden="1" customHeight="1" x14ac:dyDescent="0.2"/>
    <row r="64870" ht="12.75" hidden="1" customHeight="1" x14ac:dyDescent="0.2"/>
    <row r="64871" ht="12.75" hidden="1" customHeight="1" x14ac:dyDescent="0.2"/>
    <row r="64872" ht="12.75" hidden="1" customHeight="1" x14ac:dyDescent="0.2"/>
    <row r="64873" ht="12.75" hidden="1" customHeight="1" x14ac:dyDescent="0.2"/>
    <row r="64874" ht="12.75" hidden="1" customHeight="1" x14ac:dyDescent="0.2"/>
    <row r="64875" ht="12.75" hidden="1" customHeight="1" x14ac:dyDescent="0.2"/>
    <row r="64876" ht="12.75" hidden="1" customHeight="1" x14ac:dyDescent="0.2"/>
    <row r="64877" ht="12.75" hidden="1" customHeight="1" x14ac:dyDescent="0.2"/>
    <row r="64878" ht="12.75" hidden="1" customHeight="1" x14ac:dyDescent="0.2"/>
    <row r="64879" ht="12.75" hidden="1" customHeight="1" x14ac:dyDescent="0.2"/>
    <row r="64880" ht="12.75" hidden="1" customHeight="1" x14ac:dyDescent="0.2"/>
    <row r="64881" ht="12.75" hidden="1" customHeight="1" x14ac:dyDescent="0.2"/>
    <row r="64882" ht="12.75" hidden="1" customHeight="1" x14ac:dyDescent="0.2"/>
    <row r="64883" ht="12.75" hidden="1" customHeight="1" x14ac:dyDescent="0.2"/>
    <row r="64884" ht="12.75" hidden="1" customHeight="1" x14ac:dyDescent="0.2"/>
    <row r="64885" ht="12.75" hidden="1" customHeight="1" x14ac:dyDescent="0.2"/>
    <row r="64886" ht="12.75" hidden="1" customHeight="1" x14ac:dyDescent="0.2"/>
    <row r="64887" ht="12.75" hidden="1" customHeight="1" x14ac:dyDescent="0.2"/>
    <row r="64888" ht="12.75" hidden="1" customHeight="1" x14ac:dyDescent="0.2"/>
    <row r="64889" ht="12.75" hidden="1" customHeight="1" x14ac:dyDescent="0.2"/>
    <row r="64890" ht="12.75" hidden="1" customHeight="1" x14ac:dyDescent="0.2"/>
    <row r="64891" ht="12.75" hidden="1" customHeight="1" x14ac:dyDescent="0.2"/>
    <row r="64892" ht="12.75" hidden="1" customHeight="1" x14ac:dyDescent="0.2"/>
    <row r="64893" ht="12.75" hidden="1" customHeight="1" x14ac:dyDescent="0.2"/>
    <row r="64894" ht="12.75" hidden="1" customHeight="1" x14ac:dyDescent="0.2"/>
    <row r="64895" ht="12.75" hidden="1" customHeight="1" x14ac:dyDescent="0.2"/>
    <row r="64896" ht="12.75" hidden="1" customHeight="1" x14ac:dyDescent="0.2"/>
    <row r="64897" ht="12.75" hidden="1" customHeight="1" x14ac:dyDescent="0.2"/>
    <row r="64898" ht="12.75" hidden="1" customHeight="1" x14ac:dyDescent="0.2"/>
    <row r="64899" ht="12.75" hidden="1" customHeight="1" x14ac:dyDescent="0.2"/>
    <row r="64900" ht="12.75" hidden="1" customHeight="1" x14ac:dyDescent="0.2"/>
    <row r="64901" ht="12.75" hidden="1" customHeight="1" x14ac:dyDescent="0.2"/>
    <row r="64902" ht="12.75" hidden="1" customHeight="1" x14ac:dyDescent="0.2"/>
    <row r="64903" ht="12.75" hidden="1" customHeight="1" x14ac:dyDescent="0.2"/>
    <row r="64904" ht="12.75" hidden="1" customHeight="1" x14ac:dyDescent="0.2"/>
    <row r="64905" ht="12.75" hidden="1" customHeight="1" x14ac:dyDescent="0.2"/>
    <row r="64906" ht="12.75" hidden="1" customHeight="1" x14ac:dyDescent="0.2"/>
    <row r="64907" ht="12.75" hidden="1" customHeight="1" x14ac:dyDescent="0.2"/>
    <row r="64908" ht="12.75" hidden="1" customHeight="1" x14ac:dyDescent="0.2"/>
    <row r="64909" ht="12.75" hidden="1" customHeight="1" x14ac:dyDescent="0.2"/>
    <row r="64910" ht="12.75" hidden="1" customHeight="1" x14ac:dyDescent="0.2"/>
    <row r="64911" ht="12.75" hidden="1" customHeight="1" x14ac:dyDescent="0.2"/>
    <row r="64912" ht="12.75" hidden="1" customHeight="1" x14ac:dyDescent="0.2"/>
    <row r="64913" ht="12.75" hidden="1" customHeight="1" x14ac:dyDescent="0.2"/>
    <row r="64914" ht="12.75" hidden="1" customHeight="1" x14ac:dyDescent="0.2"/>
    <row r="64915" ht="12.75" hidden="1" customHeight="1" x14ac:dyDescent="0.2"/>
    <row r="64916" ht="12.75" hidden="1" customHeight="1" x14ac:dyDescent="0.2"/>
    <row r="64917" ht="12.75" hidden="1" customHeight="1" x14ac:dyDescent="0.2"/>
    <row r="64918" ht="12.75" hidden="1" customHeight="1" x14ac:dyDescent="0.2"/>
    <row r="64919" ht="12.75" hidden="1" customHeight="1" x14ac:dyDescent="0.2"/>
    <row r="64920" ht="12.75" hidden="1" customHeight="1" x14ac:dyDescent="0.2"/>
    <row r="64921" ht="12.75" hidden="1" customHeight="1" x14ac:dyDescent="0.2"/>
    <row r="64922" ht="12.75" hidden="1" customHeight="1" x14ac:dyDescent="0.2"/>
    <row r="64923" ht="12.75" hidden="1" customHeight="1" x14ac:dyDescent="0.2"/>
    <row r="64924" ht="12.75" hidden="1" customHeight="1" x14ac:dyDescent="0.2"/>
    <row r="64925" ht="12.75" hidden="1" customHeight="1" x14ac:dyDescent="0.2"/>
    <row r="64926" ht="12.75" hidden="1" customHeight="1" x14ac:dyDescent="0.2"/>
    <row r="64927" ht="12.75" hidden="1" customHeight="1" x14ac:dyDescent="0.2"/>
    <row r="64928" ht="12.75" hidden="1" customHeight="1" x14ac:dyDescent="0.2"/>
    <row r="64929" ht="12.75" hidden="1" customHeight="1" x14ac:dyDescent="0.2"/>
    <row r="64930" ht="12.75" hidden="1" customHeight="1" x14ac:dyDescent="0.2"/>
    <row r="64931" ht="12.75" hidden="1" customHeight="1" x14ac:dyDescent="0.2"/>
    <row r="64932" ht="12.75" hidden="1" customHeight="1" x14ac:dyDescent="0.2"/>
    <row r="64933" ht="12.75" hidden="1" customHeight="1" x14ac:dyDescent="0.2"/>
    <row r="64934" ht="12.75" hidden="1" customHeight="1" x14ac:dyDescent="0.2"/>
    <row r="64935" ht="12.75" hidden="1" customHeight="1" x14ac:dyDescent="0.2"/>
    <row r="64936" ht="12.75" hidden="1" customHeight="1" x14ac:dyDescent="0.2"/>
    <row r="64937" ht="12.75" hidden="1" customHeight="1" x14ac:dyDescent="0.2"/>
    <row r="64938" ht="12.75" hidden="1" customHeight="1" x14ac:dyDescent="0.2"/>
    <row r="64939" ht="12.75" hidden="1" customHeight="1" x14ac:dyDescent="0.2"/>
    <row r="64940" ht="12.75" hidden="1" customHeight="1" x14ac:dyDescent="0.2"/>
    <row r="64941" ht="12.75" hidden="1" customHeight="1" x14ac:dyDescent="0.2"/>
    <row r="64942" ht="12.75" hidden="1" customHeight="1" x14ac:dyDescent="0.2"/>
    <row r="64943" ht="12.75" hidden="1" customHeight="1" x14ac:dyDescent="0.2"/>
    <row r="64944" ht="12.75" hidden="1" customHeight="1" x14ac:dyDescent="0.2"/>
    <row r="64945" ht="12.75" hidden="1" customHeight="1" x14ac:dyDescent="0.2"/>
    <row r="64946" ht="12.75" hidden="1" customHeight="1" x14ac:dyDescent="0.2"/>
    <row r="64947" ht="12.75" hidden="1" customHeight="1" x14ac:dyDescent="0.2"/>
    <row r="64948" ht="12.75" hidden="1" customHeight="1" x14ac:dyDescent="0.2"/>
    <row r="64949" ht="12.75" hidden="1" customHeight="1" x14ac:dyDescent="0.2"/>
    <row r="64950" ht="12.75" hidden="1" customHeight="1" x14ac:dyDescent="0.2"/>
    <row r="64951" ht="12.75" hidden="1" customHeight="1" x14ac:dyDescent="0.2"/>
    <row r="64952" ht="12.75" hidden="1" customHeight="1" x14ac:dyDescent="0.2"/>
    <row r="64953" ht="12.75" hidden="1" customHeight="1" x14ac:dyDescent="0.2"/>
    <row r="64954" ht="12.75" hidden="1" customHeight="1" x14ac:dyDescent="0.2"/>
    <row r="64955" ht="12.75" hidden="1" customHeight="1" x14ac:dyDescent="0.2"/>
    <row r="64956" ht="12.75" hidden="1" customHeight="1" x14ac:dyDescent="0.2"/>
    <row r="64957" ht="12.75" hidden="1" customHeight="1" x14ac:dyDescent="0.2"/>
    <row r="64958" ht="12.75" hidden="1" customHeight="1" x14ac:dyDescent="0.2"/>
    <row r="64959" ht="12.75" hidden="1" customHeight="1" x14ac:dyDescent="0.2"/>
    <row r="64960" ht="12.75" hidden="1" customHeight="1" x14ac:dyDescent="0.2"/>
    <row r="64961" ht="12.75" hidden="1" customHeight="1" x14ac:dyDescent="0.2"/>
    <row r="64962" ht="12.75" hidden="1" customHeight="1" x14ac:dyDescent="0.2"/>
    <row r="64963" ht="12.75" hidden="1" customHeight="1" x14ac:dyDescent="0.2"/>
    <row r="64964" ht="12.75" hidden="1" customHeight="1" x14ac:dyDescent="0.2"/>
    <row r="64965" ht="12.75" hidden="1" customHeight="1" x14ac:dyDescent="0.2"/>
    <row r="64966" ht="12.75" hidden="1" customHeight="1" x14ac:dyDescent="0.2"/>
    <row r="64967" ht="12.75" hidden="1" customHeight="1" x14ac:dyDescent="0.2"/>
    <row r="64968" ht="12.75" hidden="1" customHeight="1" x14ac:dyDescent="0.2"/>
    <row r="64969" ht="12.75" hidden="1" customHeight="1" x14ac:dyDescent="0.2"/>
    <row r="64970" ht="12.75" hidden="1" customHeight="1" x14ac:dyDescent="0.2"/>
    <row r="64971" ht="12.75" hidden="1" customHeight="1" x14ac:dyDescent="0.2"/>
    <row r="64972" ht="12.75" hidden="1" customHeight="1" x14ac:dyDescent="0.2"/>
    <row r="64973" ht="12.75" hidden="1" customHeight="1" x14ac:dyDescent="0.2"/>
    <row r="64974" ht="12.75" hidden="1" customHeight="1" x14ac:dyDescent="0.2"/>
    <row r="64975" ht="12.75" hidden="1" customHeight="1" x14ac:dyDescent="0.2"/>
    <row r="64976" ht="12.75" hidden="1" customHeight="1" x14ac:dyDescent="0.2"/>
    <row r="64977" ht="12.75" hidden="1" customHeight="1" x14ac:dyDescent="0.2"/>
    <row r="64978" ht="12.75" hidden="1" customHeight="1" x14ac:dyDescent="0.2"/>
    <row r="64979" ht="12.75" hidden="1" customHeight="1" x14ac:dyDescent="0.2"/>
    <row r="64980" ht="12.75" hidden="1" customHeight="1" x14ac:dyDescent="0.2"/>
    <row r="64981" ht="12.75" hidden="1" customHeight="1" x14ac:dyDescent="0.2"/>
    <row r="64982" ht="12.75" hidden="1" customHeight="1" x14ac:dyDescent="0.2"/>
    <row r="64983" ht="12.75" hidden="1" customHeight="1" x14ac:dyDescent="0.2"/>
    <row r="64984" ht="12.75" hidden="1" customHeight="1" x14ac:dyDescent="0.2"/>
    <row r="64985" ht="12.75" hidden="1" customHeight="1" x14ac:dyDescent="0.2"/>
    <row r="64986" ht="12.75" hidden="1" customHeight="1" x14ac:dyDescent="0.2"/>
    <row r="64987" ht="12.75" hidden="1" customHeight="1" x14ac:dyDescent="0.2"/>
    <row r="64988" ht="12.75" hidden="1" customHeight="1" x14ac:dyDescent="0.2"/>
    <row r="64989" ht="12.75" hidden="1" customHeight="1" x14ac:dyDescent="0.2"/>
    <row r="64990" ht="12.75" hidden="1" customHeight="1" x14ac:dyDescent="0.2"/>
    <row r="64991" ht="12.75" hidden="1" customHeight="1" x14ac:dyDescent="0.2"/>
    <row r="64992" ht="12.75" hidden="1" customHeight="1" x14ac:dyDescent="0.2"/>
    <row r="64993" ht="12.75" hidden="1" customHeight="1" x14ac:dyDescent="0.2"/>
    <row r="64994" ht="12.75" hidden="1" customHeight="1" x14ac:dyDescent="0.2"/>
    <row r="64995" ht="12.75" hidden="1" customHeight="1" x14ac:dyDescent="0.2"/>
    <row r="64996" ht="12.75" hidden="1" customHeight="1" x14ac:dyDescent="0.2"/>
    <row r="64997" ht="12.75" hidden="1" customHeight="1" x14ac:dyDescent="0.2"/>
    <row r="64998" ht="12.75" hidden="1" customHeight="1" x14ac:dyDescent="0.2"/>
    <row r="64999" ht="12.75" hidden="1" customHeight="1" x14ac:dyDescent="0.2"/>
    <row r="65000" ht="12.75" hidden="1" customHeight="1" x14ac:dyDescent="0.2"/>
    <row r="65001" ht="12.75" hidden="1" customHeight="1" x14ac:dyDescent="0.2"/>
    <row r="65002" ht="12.75" hidden="1" customHeight="1" x14ac:dyDescent="0.2"/>
    <row r="65003" ht="12.75" hidden="1" customHeight="1" x14ac:dyDescent="0.2"/>
    <row r="65004" ht="12.75" hidden="1" customHeight="1" x14ac:dyDescent="0.2"/>
    <row r="65005" ht="12.75" hidden="1" customHeight="1" x14ac:dyDescent="0.2"/>
    <row r="65006" ht="12.75" hidden="1" customHeight="1" x14ac:dyDescent="0.2"/>
    <row r="65007" ht="12.75" hidden="1" customHeight="1" x14ac:dyDescent="0.2"/>
    <row r="65008" ht="12.75" hidden="1" customHeight="1" x14ac:dyDescent="0.2"/>
    <row r="65009" ht="12.75" hidden="1" customHeight="1" x14ac:dyDescent="0.2"/>
    <row r="65010" ht="12.75" hidden="1" customHeight="1" x14ac:dyDescent="0.2"/>
    <row r="65011" ht="12.75" hidden="1" customHeight="1" x14ac:dyDescent="0.2"/>
    <row r="65012" ht="12.75" hidden="1" customHeight="1" x14ac:dyDescent="0.2"/>
    <row r="65013" ht="12.75" hidden="1" customHeight="1" x14ac:dyDescent="0.2"/>
    <row r="65014" ht="12.75" hidden="1" customHeight="1" x14ac:dyDescent="0.2"/>
    <row r="65015" ht="12.75" hidden="1" customHeight="1" x14ac:dyDescent="0.2"/>
    <row r="65016" ht="12.75" hidden="1" customHeight="1" x14ac:dyDescent="0.2"/>
    <row r="65017" ht="12.75" hidden="1" customHeight="1" x14ac:dyDescent="0.2"/>
    <row r="65018" ht="12.75" hidden="1" customHeight="1" x14ac:dyDescent="0.2"/>
    <row r="65019" ht="12.75" hidden="1" customHeight="1" x14ac:dyDescent="0.2"/>
    <row r="65020" ht="12.75" hidden="1" customHeight="1" x14ac:dyDescent="0.2"/>
    <row r="65021" ht="12.75" hidden="1" customHeight="1" x14ac:dyDescent="0.2"/>
    <row r="65022" ht="12.75" hidden="1" customHeight="1" x14ac:dyDescent="0.2"/>
    <row r="65023" ht="12.75" hidden="1" customHeight="1" x14ac:dyDescent="0.2"/>
    <row r="65024" ht="12.75" hidden="1" customHeight="1" x14ac:dyDescent="0.2"/>
    <row r="65025" ht="12.75" hidden="1" customHeight="1" x14ac:dyDescent="0.2"/>
    <row r="65026" ht="12.75" hidden="1" customHeight="1" x14ac:dyDescent="0.2"/>
    <row r="65027" ht="12.75" hidden="1" customHeight="1" x14ac:dyDescent="0.2"/>
    <row r="65028" ht="12.75" hidden="1" customHeight="1" x14ac:dyDescent="0.2"/>
    <row r="65029" ht="12.75" hidden="1" customHeight="1" x14ac:dyDescent="0.2"/>
    <row r="65030" ht="12.75" hidden="1" customHeight="1" x14ac:dyDescent="0.2"/>
    <row r="65031" ht="12.75" hidden="1" customHeight="1" x14ac:dyDescent="0.2"/>
    <row r="65032" ht="12.75" hidden="1" customHeight="1" x14ac:dyDescent="0.2"/>
    <row r="65033" ht="12.75" hidden="1" customHeight="1" x14ac:dyDescent="0.2"/>
    <row r="65034" ht="12.75" hidden="1" customHeight="1" x14ac:dyDescent="0.2"/>
    <row r="65035" ht="12.75" hidden="1" customHeight="1" x14ac:dyDescent="0.2"/>
    <row r="65036" ht="12.75" hidden="1" customHeight="1" x14ac:dyDescent="0.2"/>
    <row r="65037" ht="12.75" hidden="1" customHeight="1" x14ac:dyDescent="0.2"/>
    <row r="65038" ht="12.75" hidden="1" customHeight="1" x14ac:dyDescent="0.2"/>
    <row r="65039" ht="12.75" hidden="1" customHeight="1" x14ac:dyDescent="0.2"/>
    <row r="65040" ht="12.75" hidden="1" customHeight="1" x14ac:dyDescent="0.2"/>
    <row r="65041" ht="12.75" hidden="1" customHeight="1" x14ac:dyDescent="0.2"/>
    <row r="65042" ht="12.75" hidden="1" customHeight="1" x14ac:dyDescent="0.2"/>
    <row r="65043" ht="12.75" hidden="1" customHeight="1" x14ac:dyDescent="0.2"/>
    <row r="65044" ht="12.75" hidden="1" customHeight="1" x14ac:dyDescent="0.2"/>
    <row r="65045" ht="12.75" hidden="1" customHeight="1" x14ac:dyDescent="0.2"/>
    <row r="65046" ht="12.75" hidden="1" customHeight="1" x14ac:dyDescent="0.2"/>
    <row r="65047" ht="12.75" hidden="1" customHeight="1" x14ac:dyDescent="0.2"/>
    <row r="65048" ht="12.75" hidden="1" customHeight="1" x14ac:dyDescent="0.2"/>
    <row r="65049" ht="12.75" hidden="1" customHeight="1" x14ac:dyDescent="0.2"/>
    <row r="65050" ht="12.75" hidden="1" customHeight="1" x14ac:dyDescent="0.2"/>
    <row r="65051" ht="12.75" hidden="1" customHeight="1" x14ac:dyDescent="0.2"/>
    <row r="65052" ht="12.75" hidden="1" customHeight="1" x14ac:dyDescent="0.2"/>
    <row r="65053" ht="12.75" hidden="1" customHeight="1" x14ac:dyDescent="0.2"/>
    <row r="65054" ht="12.75" hidden="1" customHeight="1" x14ac:dyDescent="0.2"/>
    <row r="65055" ht="12.75" hidden="1" customHeight="1" x14ac:dyDescent="0.2"/>
    <row r="65056" ht="12.75" hidden="1" customHeight="1" x14ac:dyDescent="0.2"/>
    <row r="65057" ht="12.75" hidden="1" customHeight="1" x14ac:dyDescent="0.2"/>
    <row r="65058" ht="12.75" hidden="1" customHeight="1" x14ac:dyDescent="0.2"/>
    <row r="65059" ht="12.75" hidden="1" customHeight="1" x14ac:dyDescent="0.2"/>
    <row r="65060" ht="12.75" hidden="1" customHeight="1" x14ac:dyDescent="0.2"/>
    <row r="65061" ht="12.75" hidden="1" customHeight="1" x14ac:dyDescent="0.2"/>
    <row r="65062" ht="12.75" hidden="1" customHeight="1" x14ac:dyDescent="0.2"/>
    <row r="65063" ht="12.75" hidden="1" customHeight="1" x14ac:dyDescent="0.2"/>
    <row r="65064" ht="12.75" hidden="1" customHeight="1" x14ac:dyDescent="0.2"/>
    <row r="65065" ht="12.75" hidden="1" customHeight="1" x14ac:dyDescent="0.2"/>
    <row r="65066" ht="12.75" hidden="1" customHeight="1" x14ac:dyDescent="0.2"/>
    <row r="65067" ht="12.75" hidden="1" customHeight="1" x14ac:dyDescent="0.2"/>
    <row r="65068" ht="12.75" hidden="1" customHeight="1" x14ac:dyDescent="0.2"/>
    <row r="65069" ht="12.75" hidden="1" customHeight="1" x14ac:dyDescent="0.2"/>
    <row r="65070" ht="12.75" hidden="1" customHeight="1" x14ac:dyDescent="0.2"/>
    <row r="65071" ht="12.75" hidden="1" customHeight="1" x14ac:dyDescent="0.2"/>
    <row r="65072" ht="12.75" hidden="1" customHeight="1" x14ac:dyDescent="0.2"/>
    <row r="65073" ht="12.75" hidden="1" customHeight="1" x14ac:dyDescent="0.2"/>
    <row r="65074" ht="12.75" hidden="1" customHeight="1" x14ac:dyDescent="0.2"/>
    <row r="65075" ht="12.75" hidden="1" customHeight="1" x14ac:dyDescent="0.2"/>
    <row r="65076" ht="12.75" hidden="1" customHeight="1" x14ac:dyDescent="0.2"/>
    <row r="65077" ht="12.75" hidden="1" customHeight="1" x14ac:dyDescent="0.2"/>
    <row r="65078" ht="12.75" hidden="1" customHeight="1" x14ac:dyDescent="0.2"/>
    <row r="65079" ht="12.75" hidden="1" customHeight="1" x14ac:dyDescent="0.2"/>
    <row r="65080" ht="12.75" hidden="1" customHeight="1" x14ac:dyDescent="0.2"/>
    <row r="65081" ht="12.75" hidden="1" customHeight="1" x14ac:dyDescent="0.2"/>
    <row r="65082" ht="12.75" hidden="1" customHeight="1" x14ac:dyDescent="0.2"/>
    <row r="65083" ht="12.75" hidden="1" customHeight="1" x14ac:dyDescent="0.2"/>
    <row r="65084" ht="12.75" hidden="1" customHeight="1" x14ac:dyDescent="0.2"/>
    <row r="65085" ht="12.75" hidden="1" customHeight="1" x14ac:dyDescent="0.2"/>
    <row r="65086" ht="12.75" hidden="1" customHeight="1" x14ac:dyDescent="0.2"/>
    <row r="65087" ht="12.75" hidden="1" customHeight="1" x14ac:dyDescent="0.2"/>
    <row r="65088" ht="12.75" hidden="1" customHeight="1" x14ac:dyDescent="0.2"/>
    <row r="65089" ht="12.75" hidden="1" customHeight="1" x14ac:dyDescent="0.2"/>
    <row r="65090" ht="12.75" hidden="1" customHeight="1" x14ac:dyDescent="0.2"/>
    <row r="65091" ht="12.75" hidden="1" customHeight="1" x14ac:dyDescent="0.2"/>
    <row r="65092" ht="12.75" hidden="1" customHeight="1" x14ac:dyDescent="0.2"/>
    <row r="65093" ht="12.75" hidden="1" customHeight="1" x14ac:dyDescent="0.2"/>
    <row r="65094" ht="12.75" hidden="1" customHeight="1" x14ac:dyDescent="0.2"/>
    <row r="65095" ht="12.75" hidden="1" customHeight="1" x14ac:dyDescent="0.2"/>
    <row r="65096" ht="12.75" hidden="1" customHeight="1" x14ac:dyDescent="0.2"/>
    <row r="65097" ht="12.75" hidden="1" customHeight="1" x14ac:dyDescent="0.2"/>
    <row r="65098" ht="12.75" hidden="1" customHeight="1" x14ac:dyDescent="0.2"/>
    <row r="65099" ht="12.75" hidden="1" customHeight="1" x14ac:dyDescent="0.2"/>
    <row r="65100" ht="12.75" hidden="1" customHeight="1" x14ac:dyDescent="0.2"/>
    <row r="65101" ht="12.75" hidden="1" customHeight="1" x14ac:dyDescent="0.2"/>
    <row r="65102" ht="12.75" hidden="1" customHeight="1" x14ac:dyDescent="0.2"/>
    <row r="65103" ht="12.75" hidden="1" customHeight="1" x14ac:dyDescent="0.2"/>
    <row r="65104" ht="12.75" hidden="1" customHeight="1" x14ac:dyDescent="0.2"/>
    <row r="65105" ht="12.75" hidden="1" customHeight="1" x14ac:dyDescent="0.2"/>
    <row r="65106" ht="12.75" hidden="1" customHeight="1" x14ac:dyDescent="0.2"/>
    <row r="65107" ht="12.75" hidden="1" customHeight="1" x14ac:dyDescent="0.2"/>
    <row r="65108" ht="12.75" hidden="1" customHeight="1" x14ac:dyDescent="0.2"/>
    <row r="65109" ht="12.75" hidden="1" customHeight="1" x14ac:dyDescent="0.2"/>
    <row r="65110" ht="12.75" hidden="1" customHeight="1" x14ac:dyDescent="0.2"/>
    <row r="65111" ht="12.75" hidden="1" customHeight="1" x14ac:dyDescent="0.2"/>
    <row r="65112" ht="12.75" hidden="1" customHeight="1" x14ac:dyDescent="0.2"/>
    <row r="65113" ht="12.75" hidden="1" customHeight="1" x14ac:dyDescent="0.2"/>
    <row r="65114" ht="12.75" hidden="1" customHeight="1" x14ac:dyDescent="0.2"/>
    <row r="65115" ht="12.75" hidden="1" customHeight="1" x14ac:dyDescent="0.2"/>
    <row r="65116" ht="12.75" hidden="1" customHeight="1" x14ac:dyDescent="0.2"/>
    <row r="65117" ht="12.75" hidden="1" customHeight="1" x14ac:dyDescent="0.2"/>
    <row r="65118" ht="12.75" hidden="1" customHeight="1" x14ac:dyDescent="0.2"/>
    <row r="65119" ht="12.75" hidden="1" customHeight="1" x14ac:dyDescent="0.2"/>
    <row r="65120" ht="12.75" hidden="1" customHeight="1" x14ac:dyDescent="0.2"/>
    <row r="65121" ht="12.75" hidden="1" customHeight="1" x14ac:dyDescent="0.2"/>
    <row r="65122" ht="12.75" hidden="1" customHeight="1" x14ac:dyDescent="0.2"/>
    <row r="65123" ht="12.75" hidden="1" customHeight="1" x14ac:dyDescent="0.2"/>
    <row r="65124" ht="12.75" hidden="1" customHeight="1" x14ac:dyDescent="0.2"/>
    <row r="65125" ht="12.75" hidden="1" customHeight="1" x14ac:dyDescent="0.2"/>
    <row r="65126" ht="12.75" hidden="1" customHeight="1" x14ac:dyDescent="0.2"/>
    <row r="65127" ht="12.75" hidden="1" customHeight="1" x14ac:dyDescent="0.2"/>
    <row r="65128" ht="12.75" hidden="1" customHeight="1" x14ac:dyDescent="0.2"/>
    <row r="65129" ht="12.75" hidden="1" customHeight="1" x14ac:dyDescent="0.2"/>
    <row r="65130" ht="12.75" hidden="1" customHeight="1" x14ac:dyDescent="0.2"/>
    <row r="65131" ht="12.75" hidden="1" customHeight="1" x14ac:dyDescent="0.2"/>
    <row r="65132" ht="12.75" hidden="1" customHeight="1" x14ac:dyDescent="0.2"/>
    <row r="65133" ht="12.75" hidden="1" customHeight="1" x14ac:dyDescent="0.2"/>
    <row r="65134" ht="12.75" hidden="1" customHeight="1" x14ac:dyDescent="0.2"/>
    <row r="65135" ht="12.75" hidden="1" customHeight="1" x14ac:dyDescent="0.2"/>
    <row r="65136" ht="12.75" hidden="1" customHeight="1" x14ac:dyDescent="0.2"/>
    <row r="65137" ht="12.75" hidden="1" customHeight="1" x14ac:dyDescent="0.2"/>
    <row r="65138" ht="12.75" hidden="1" customHeight="1" x14ac:dyDescent="0.2"/>
    <row r="65139" ht="12.75" hidden="1" customHeight="1" x14ac:dyDescent="0.2"/>
    <row r="65140" ht="12.75" hidden="1" customHeight="1" x14ac:dyDescent="0.2"/>
    <row r="65141" ht="12.75" hidden="1" customHeight="1" x14ac:dyDescent="0.2"/>
    <row r="65142" ht="12.75" hidden="1" customHeight="1" x14ac:dyDescent="0.2"/>
    <row r="65143" ht="12.75" hidden="1" customHeight="1" x14ac:dyDescent="0.2"/>
    <row r="65144" ht="12.75" hidden="1" customHeight="1" x14ac:dyDescent="0.2"/>
    <row r="65145" ht="12.75" hidden="1" customHeight="1" x14ac:dyDescent="0.2"/>
    <row r="65146" ht="12.75" hidden="1" customHeight="1" x14ac:dyDescent="0.2"/>
    <row r="65147" ht="12.75" hidden="1" customHeight="1" x14ac:dyDescent="0.2"/>
    <row r="65148" ht="12.75" hidden="1" customHeight="1" x14ac:dyDescent="0.2"/>
    <row r="65149" ht="12.75" hidden="1" customHeight="1" x14ac:dyDescent="0.2"/>
    <row r="65150" ht="12.75" hidden="1" customHeight="1" x14ac:dyDescent="0.2"/>
    <row r="65151" ht="12.75" hidden="1" customHeight="1" x14ac:dyDescent="0.2"/>
    <row r="65152" ht="12.75" hidden="1" customHeight="1" x14ac:dyDescent="0.2"/>
    <row r="65153" ht="12.75" hidden="1" customHeight="1" x14ac:dyDescent="0.2"/>
    <row r="65154" ht="12.75" hidden="1" customHeight="1" x14ac:dyDescent="0.2"/>
    <row r="65155" ht="12.75" hidden="1" customHeight="1" x14ac:dyDescent="0.2"/>
    <row r="65156" ht="12.75" hidden="1" customHeight="1" x14ac:dyDescent="0.2"/>
    <row r="65157" ht="12.75" hidden="1" customHeight="1" x14ac:dyDescent="0.2"/>
    <row r="65158" ht="12.75" hidden="1" customHeight="1" x14ac:dyDescent="0.2"/>
    <row r="65159" ht="12.75" hidden="1" customHeight="1" x14ac:dyDescent="0.2"/>
    <row r="65160" ht="12.75" hidden="1" customHeight="1" x14ac:dyDescent="0.2"/>
    <row r="65161" ht="12.75" hidden="1" customHeight="1" x14ac:dyDescent="0.2"/>
    <row r="65162" ht="12.75" hidden="1" customHeight="1" x14ac:dyDescent="0.2"/>
    <row r="65163" ht="12.75" hidden="1" customHeight="1" x14ac:dyDescent="0.2"/>
    <row r="65164" ht="12.75" hidden="1" customHeight="1" x14ac:dyDescent="0.2"/>
    <row r="65165" ht="12.75" hidden="1" customHeight="1" x14ac:dyDescent="0.2"/>
    <row r="65166" ht="12.75" hidden="1" customHeight="1" x14ac:dyDescent="0.2"/>
    <row r="65167" ht="12.75" hidden="1" customHeight="1" x14ac:dyDescent="0.2"/>
    <row r="65168" ht="12.75" hidden="1" customHeight="1" x14ac:dyDescent="0.2"/>
    <row r="65169" ht="12.75" hidden="1" customHeight="1" x14ac:dyDescent="0.2"/>
    <row r="65170" ht="12.75" hidden="1" customHeight="1" x14ac:dyDescent="0.2"/>
    <row r="65171" ht="12.75" hidden="1" customHeight="1" x14ac:dyDescent="0.2"/>
    <row r="65172" ht="12.75" hidden="1" customHeight="1" x14ac:dyDescent="0.2"/>
    <row r="65173" ht="12.75" hidden="1" customHeight="1" x14ac:dyDescent="0.2"/>
    <row r="65174" ht="12.75" hidden="1" customHeight="1" x14ac:dyDescent="0.2"/>
    <row r="65175" ht="12.75" hidden="1" customHeight="1" x14ac:dyDescent="0.2"/>
    <row r="65176" ht="12.75" hidden="1" customHeight="1" x14ac:dyDescent="0.2"/>
    <row r="65177" ht="12.75" hidden="1" customHeight="1" x14ac:dyDescent="0.2"/>
    <row r="65178" ht="12.75" hidden="1" customHeight="1" x14ac:dyDescent="0.2"/>
    <row r="65179" ht="12.75" hidden="1" customHeight="1" x14ac:dyDescent="0.2"/>
    <row r="65180" ht="12.75" hidden="1" customHeight="1" x14ac:dyDescent="0.2"/>
    <row r="65181" ht="12.75" hidden="1" customHeight="1" x14ac:dyDescent="0.2"/>
    <row r="65182" ht="12.75" hidden="1" customHeight="1" x14ac:dyDescent="0.2"/>
    <row r="65183" ht="12.75" hidden="1" customHeight="1" x14ac:dyDescent="0.2"/>
    <row r="65184" ht="12.75" hidden="1" customHeight="1" x14ac:dyDescent="0.2"/>
    <row r="65185" ht="12.75" hidden="1" customHeight="1" x14ac:dyDescent="0.2"/>
    <row r="65186" ht="12.75" hidden="1" customHeight="1" x14ac:dyDescent="0.2"/>
    <row r="65187" ht="12.75" hidden="1" customHeight="1" x14ac:dyDescent="0.2"/>
    <row r="65188" ht="12.75" hidden="1" customHeight="1" x14ac:dyDescent="0.2"/>
    <row r="65189" ht="12.75" hidden="1" customHeight="1" x14ac:dyDescent="0.2"/>
    <row r="65190" ht="12.75" hidden="1" customHeight="1" x14ac:dyDescent="0.2"/>
    <row r="65191" ht="12.75" hidden="1" customHeight="1" x14ac:dyDescent="0.2"/>
    <row r="65192" ht="12.75" hidden="1" customHeight="1" x14ac:dyDescent="0.2"/>
    <row r="65193" ht="12.75" hidden="1" customHeight="1" x14ac:dyDescent="0.2"/>
    <row r="65194" ht="12.75" hidden="1" customHeight="1" x14ac:dyDescent="0.2"/>
    <row r="65195" ht="12.75" hidden="1" customHeight="1" x14ac:dyDescent="0.2"/>
    <row r="65196" ht="12.75" hidden="1" customHeight="1" x14ac:dyDescent="0.2"/>
    <row r="65197" ht="12.75" hidden="1" customHeight="1" x14ac:dyDescent="0.2"/>
    <row r="65198" ht="12.75" hidden="1" customHeight="1" x14ac:dyDescent="0.2"/>
    <row r="65199" ht="12.75" hidden="1" customHeight="1" x14ac:dyDescent="0.2"/>
    <row r="65200" ht="12.75" hidden="1" customHeight="1" x14ac:dyDescent="0.2"/>
    <row r="65201" ht="12.75" hidden="1" customHeight="1" x14ac:dyDescent="0.2"/>
    <row r="65202" ht="12.75" hidden="1" customHeight="1" x14ac:dyDescent="0.2"/>
    <row r="65203" ht="12.75" hidden="1" customHeight="1" x14ac:dyDescent="0.2"/>
    <row r="65204" ht="12.75" hidden="1" customHeight="1" x14ac:dyDescent="0.2"/>
    <row r="65205" ht="12.75" hidden="1" customHeight="1" x14ac:dyDescent="0.2"/>
    <row r="65206" ht="12.75" hidden="1" customHeight="1" x14ac:dyDescent="0.2"/>
    <row r="65207" ht="12.75" hidden="1" customHeight="1" x14ac:dyDescent="0.2"/>
    <row r="65208" ht="12.75" hidden="1" customHeight="1" x14ac:dyDescent="0.2"/>
    <row r="65209" ht="12.75" hidden="1" customHeight="1" x14ac:dyDescent="0.2"/>
    <row r="65210" ht="12.75" hidden="1" customHeight="1" x14ac:dyDescent="0.2"/>
    <row r="65211" ht="12.75" hidden="1" customHeight="1" x14ac:dyDescent="0.2"/>
    <row r="65212" ht="12.75" hidden="1" customHeight="1" x14ac:dyDescent="0.2"/>
    <row r="65213" ht="12.75" hidden="1" customHeight="1" x14ac:dyDescent="0.2"/>
    <row r="65214" ht="12.75" hidden="1" customHeight="1" x14ac:dyDescent="0.2"/>
    <row r="65215" ht="12.75" hidden="1" customHeight="1" x14ac:dyDescent="0.2"/>
    <row r="65216" ht="12.75" hidden="1" customHeight="1" x14ac:dyDescent="0.2"/>
    <row r="65217" ht="12.75" hidden="1" customHeight="1" x14ac:dyDescent="0.2"/>
    <row r="65218" ht="12.75" hidden="1" customHeight="1" x14ac:dyDescent="0.2"/>
    <row r="65219" ht="12.75" hidden="1" customHeight="1" x14ac:dyDescent="0.2"/>
    <row r="65220" ht="12.75" hidden="1" customHeight="1" x14ac:dyDescent="0.2"/>
    <row r="65221" ht="12.75" hidden="1" customHeight="1" x14ac:dyDescent="0.2"/>
    <row r="65222" ht="12.75" hidden="1" customHeight="1" x14ac:dyDescent="0.2"/>
    <row r="65223" ht="12.75" hidden="1" customHeight="1" x14ac:dyDescent="0.2"/>
    <row r="65224" ht="12.75" hidden="1" customHeight="1" x14ac:dyDescent="0.2"/>
    <row r="65225" ht="12.75" hidden="1" customHeight="1" x14ac:dyDescent="0.2"/>
    <row r="65226" ht="12.75" hidden="1" customHeight="1" x14ac:dyDescent="0.2"/>
    <row r="65227" ht="12.75" hidden="1" customHeight="1" x14ac:dyDescent="0.2"/>
    <row r="65228" ht="12.75" hidden="1" customHeight="1" x14ac:dyDescent="0.2"/>
    <row r="65229" ht="12.75" hidden="1" customHeight="1" x14ac:dyDescent="0.2"/>
    <row r="65230" ht="12.75" hidden="1" customHeight="1" x14ac:dyDescent="0.2"/>
    <row r="65231" ht="12.75" hidden="1" customHeight="1" x14ac:dyDescent="0.2"/>
    <row r="65232" ht="12.75" hidden="1" customHeight="1" x14ac:dyDescent="0.2"/>
    <row r="65233" ht="12.75" hidden="1" customHeight="1" x14ac:dyDescent="0.2"/>
    <row r="65234" ht="12.75" hidden="1" customHeight="1" x14ac:dyDescent="0.2"/>
    <row r="65235" ht="12.75" hidden="1" customHeight="1" x14ac:dyDescent="0.2"/>
    <row r="65236" ht="12.75" hidden="1" customHeight="1" x14ac:dyDescent="0.2"/>
    <row r="65237" ht="12.75" hidden="1" customHeight="1" x14ac:dyDescent="0.2"/>
    <row r="65238" ht="12.75" hidden="1" customHeight="1" x14ac:dyDescent="0.2"/>
    <row r="65239" ht="12.75" hidden="1" customHeight="1" x14ac:dyDescent="0.2"/>
    <row r="65240" ht="12.75" hidden="1" customHeight="1" x14ac:dyDescent="0.2"/>
    <row r="65241" ht="12.75" hidden="1" customHeight="1" x14ac:dyDescent="0.2"/>
    <row r="65242" ht="12.75" hidden="1" customHeight="1" x14ac:dyDescent="0.2"/>
    <row r="65243" ht="12.75" hidden="1" customHeight="1" x14ac:dyDescent="0.2"/>
    <row r="65244" ht="12.75" hidden="1" customHeight="1" x14ac:dyDescent="0.2"/>
    <row r="65245" ht="12.75" hidden="1" customHeight="1" x14ac:dyDescent="0.2"/>
    <row r="65246" ht="12.75" hidden="1" customHeight="1" x14ac:dyDescent="0.2"/>
    <row r="65247" ht="12.75" hidden="1" customHeight="1" x14ac:dyDescent="0.2"/>
    <row r="65248" ht="12.75" hidden="1" customHeight="1" x14ac:dyDescent="0.2"/>
    <row r="65249" ht="12.75" hidden="1" customHeight="1" x14ac:dyDescent="0.2"/>
    <row r="65250" ht="12.75" hidden="1" customHeight="1" x14ac:dyDescent="0.2"/>
    <row r="65251" ht="12.75" hidden="1" customHeight="1" x14ac:dyDescent="0.2"/>
    <row r="65252" ht="12.75" hidden="1" customHeight="1" x14ac:dyDescent="0.2"/>
    <row r="65253" ht="12.75" hidden="1" customHeight="1" x14ac:dyDescent="0.2"/>
    <row r="65254" ht="12.75" hidden="1" customHeight="1" x14ac:dyDescent="0.2"/>
    <row r="65255" ht="12.75" hidden="1" customHeight="1" x14ac:dyDescent="0.2"/>
    <row r="65256" ht="12.75" hidden="1" customHeight="1" x14ac:dyDescent="0.2"/>
    <row r="65257" ht="12.75" hidden="1" customHeight="1" x14ac:dyDescent="0.2"/>
    <row r="65258" ht="12.75" hidden="1" customHeight="1" x14ac:dyDescent="0.2"/>
    <row r="65259" ht="12.75" hidden="1" customHeight="1" x14ac:dyDescent="0.2"/>
    <row r="65260" ht="12.75" hidden="1" customHeight="1" x14ac:dyDescent="0.2"/>
    <row r="65261" ht="12.75" hidden="1" customHeight="1" x14ac:dyDescent="0.2"/>
    <row r="65262" ht="12.75" hidden="1" customHeight="1" x14ac:dyDescent="0.2"/>
    <row r="65263" ht="12.75" hidden="1" customHeight="1" x14ac:dyDescent="0.2"/>
    <row r="65264" ht="12.75" hidden="1" customHeight="1" x14ac:dyDescent="0.2"/>
    <row r="65265" ht="12.75" hidden="1" customHeight="1" x14ac:dyDescent="0.2"/>
    <row r="65266" ht="12.75" hidden="1" customHeight="1" x14ac:dyDescent="0.2"/>
    <row r="65267" ht="12.75" hidden="1" customHeight="1" x14ac:dyDescent="0.2"/>
    <row r="65268" ht="12.75" hidden="1" customHeight="1" x14ac:dyDescent="0.2"/>
    <row r="65269" ht="12.75" hidden="1" customHeight="1" x14ac:dyDescent="0.2"/>
    <row r="65270" ht="12.75" hidden="1" customHeight="1" x14ac:dyDescent="0.2"/>
    <row r="65271" ht="12.75" hidden="1" customHeight="1" x14ac:dyDescent="0.2"/>
    <row r="65272" ht="12.75" hidden="1" customHeight="1" x14ac:dyDescent="0.2"/>
    <row r="65273" ht="12.75" hidden="1" customHeight="1" x14ac:dyDescent="0.2"/>
    <row r="65274" ht="12.75" hidden="1" customHeight="1" x14ac:dyDescent="0.2"/>
    <row r="65275" ht="12.75" hidden="1" customHeight="1" x14ac:dyDescent="0.2"/>
    <row r="65276" ht="12.75" hidden="1" customHeight="1" x14ac:dyDescent="0.2"/>
    <row r="65277" ht="12.75" hidden="1" customHeight="1" x14ac:dyDescent="0.2"/>
    <row r="65278" ht="12.75" hidden="1" customHeight="1" x14ac:dyDescent="0.2"/>
    <row r="65279" ht="12.75" hidden="1" customHeight="1" x14ac:dyDescent="0.2"/>
    <row r="65280" ht="12.75" hidden="1" customHeight="1" x14ac:dyDescent="0.2"/>
    <row r="65281" ht="12.75" hidden="1" customHeight="1" x14ac:dyDescent="0.2"/>
    <row r="65282" ht="12.75" hidden="1" customHeight="1" x14ac:dyDescent="0.2"/>
    <row r="65283" ht="12.75" hidden="1" customHeight="1" x14ac:dyDescent="0.2"/>
    <row r="65284" ht="12.75" hidden="1" customHeight="1" x14ac:dyDescent="0.2"/>
    <row r="65285" ht="12.75" hidden="1" customHeight="1" x14ac:dyDescent="0.2"/>
    <row r="65286" ht="12.75" hidden="1" customHeight="1" x14ac:dyDescent="0.2"/>
    <row r="65287" ht="12.75" hidden="1" customHeight="1" x14ac:dyDescent="0.2"/>
    <row r="65288" ht="12.75" hidden="1" customHeight="1" x14ac:dyDescent="0.2"/>
    <row r="65289" ht="12.75" hidden="1" customHeight="1" x14ac:dyDescent="0.2"/>
    <row r="65290" ht="12.75" hidden="1" customHeight="1" x14ac:dyDescent="0.2"/>
    <row r="65291" ht="12.75" hidden="1" customHeight="1" x14ac:dyDescent="0.2"/>
    <row r="65292" ht="12.75" hidden="1" customHeight="1" x14ac:dyDescent="0.2"/>
    <row r="65293" ht="12.75" hidden="1" customHeight="1" x14ac:dyDescent="0.2"/>
    <row r="65294" ht="12.75" hidden="1" customHeight="1" x14ac:dyDescent="0.2"/>
    <row r="65295" ht="12.75" hidden="1" customHeight="1" x14ac:dyDescent="0.2"/>
    <row r="65296" ht="12.75" hidden="1" customHeight="1" x14ac:dyDescent="0.2"/>
    <row r="65297" ht="12.75" hidden="1" customHeight="1" x14ac:dyDescent="0.2"/>
    <row r="65298" ht="12.75" hidden="1" customHeight="1" x14ac:dyDescent="0.2"/>
    <row r="65299" ht="12.75" hidden="1" customHeight="1" x14ac:dyDescent="0.2"/>
    <row r="65300" ht="12.75" hidden="1" customHeight="1" x14ac:dyDescent="0.2"/>
    <row r="65301" ht="12.75" hidden="1" customHeight="1" x14ac:dyDescent="0.2"/>
    <row r="65302" ht="12.75" hidden="1" customHeight="1" x14ac:dyDescent="0.2"/>
    <row r="65303" ht="12.75" hidden="1" customHeight="1" x14ac:dyDescent="0.2"/>
    <row r="65304" ht="12.75" hidden="1" customHeight="1" x14ac:dyDescent="0.2"/>
    <row r="65305" ht="12.75" hidden="1" customHeight="1" x14ac:dyDescent="0.2"/>
    <row r="65306" ht="12.75" hidden="1" customHeight="1" x14ac:dyDescent="0.2"/>
    <row r="65307" ht="12.75" hidden="1" customHeight="1" x14ac:dyDescent="0.2"/>
    <row r="65308" ht="12.75" hidden="1" customHeight="1" x14ac:dyDescent="0.2"/>
    <row r="65309" ht="12.75" hidden="1" customHeight="1" x14ac:dyDescent="0.2"/>
    <row r="65310" ht="12.75" hidden="1" customHeight="1" x14ac:dyDescent="0.2"/>
    <row r="65311" ht="12.75" hidden="1" customHeight="1" x14ac:dyDescent="0.2"/>
    <row r="65312" ht="12.75" hidden="1" customHeight="1" x14ac:dyDescent="0.2"/>
    <row r="65313" ht="12.75" hidden="1" customHeight="1" x14ac:dyDescent="0.2"/>
    <row r="65314" ht="12.75" hidden="1" customHeight="1" x14ac:dyDescent="0.2"/>
    <row r="65315" ht="12.75" hidden="1" customHeight="1" x14ac:dyDescent="0.2"/>
    <row r="65316" ht="12.75" hidden="1" customHeight="1" x14ac:dyDescent="0.2"/>
    <row r="65317" ht="12.75" hidden="1" customHeight="1" x14ac:dyDescent="0.2"/>
    <row r="65318" ht="12.75" hidden="1" customHeight="1" x14ac:dyDescent="0.2"/>
    <row r="65319" ht="12.75" hidden="1" customHeight="1" x14ac:dyDescent="0.2"/>
    <row r="65320" ht="12.75" hidden="1" customHeight="1" x14ac:dyDescent="0.2"/>
    <row r="65321" ht="12.75" hidden="1" customHeight="1" x14ac:dyDescent="0.2"/>
    <row r="65322" ht="12.75" hidden="1" customHeight="1" x14ac:dyDescent="0.2"/>
    <row r="65323" ht="12.75" hidden="1" customHeight="1" x14ac:dyDescent="0.2"/>
    <row r="65324" ht="12.75" hidden="1" customHeight="1" x14ac:dyDescent="0.2"/>
    <row r="65325" ht="12.75" hidden="1" customHeight="1" x14ac:dyDescent="0.2"/>
    <row r="65326" ht="12.75" hidden="1" customHeight="1" x14ac:dyDescent="0.2"/>
    <row r="65327" ht="12.75" hidden="1" customHeight="1" x14ac:dyDescent="0.2"/>
    <row r="65328" ht="12.75" hidden="1" customHeight="1" x14ac:dyDescent="0.2"/>
    <row r="65329" ht="12.75" hidden="1" customHeight="1" x14ac:dyDescent="0.2"/>
    <row r="65330" ht="12.75" hidden="1" customHeight="1" x14ac:dyDescent="0.2"/>
    <row r="65331" ht="12.75" hidden="1" customHeight="1" x14ac:dyDescent="0.2"/>
    <row r="65332" ht="12.75" hidden="1" customHeight="1" x14ac:dyDescent="0.2"/>
    <row r="65333" ht="12.75" hidden="1" customHeight="1" x14ac:dyDescent="0.2"/>
    <row r="65334" ht="12.75" hidden="1" customHeight="1" x14ac:dyDescent="0.2"/>
    <row r="65335" ht="12.75" hidden="1" customHeight="1" x14ac:dyDescent="0.2"/>
    <row r="65336" ht="12.75" hidden="1" customHeight="1" x14ac:dyDescent="0.2"/>
    <row r="65337" ht="12.75" hidden="1" customHeight="1" x14ac:dyDescent="0.2"/>
    <row r="65338" ht="12.75" hidden="1" customHeight="1" x14ac:dyDescent="0.2"/>
    <row r="65339" ht="12.75" hidden="1" customHeight="1" x14ac:dyDescent="0.2"/>
    <row r="65340" ht="12.75" hidden="1" customHeight="1" x14ac:dyDescent="0.2"/>
    <row r="65341" ht="12.75" hidden="1" customHeight="1" x14ac:dyDescent="0.2"/>
    <row r="65342" ht="12.75" hidden="1" customHeight="1" x14ac:dyDescent="0.2"/>
    <row r="65343" ht="12.75" hidden="1" customHeight="1" x14ac:dyDescent="0.2"/>
    <row r="65344" ht="12.75" hidden="1" customHeight="1" x14ac:dyDescent="0.2"/>
    <row r="65345" ht="12.75" hidden="1" customHeight="1" x14ac:dyDescent="0.2"/>
    <row r="65346" ht="12.75" hidden="1" customHeight="1" x14ac:dyDescent="0.2"/>
    <row r="65347" ht="12.75" hidden="1" customHeight="1" x14ac:dyDescent="0.2"/>
    <row r="65348" ht="12.75" hidden="1" customHeight="1" x14ac:dyDescent="0.2"/>
    <row r="65349" ht="12.75" hidden="1" customHeight="1" x14ac:dyDescent="0.2"/>
    <row r="65350" ht="12.75" hidden="1" customHeight="1" x14ac:dyDescent="0.2"/>
    <row r="65351" ht="12.75" hidden="1" customHeight="1" x14ac:dyDescent="0.2"/>
    <row r="65352" ht="12.75" hidden="1" customHeight="1" x14ac:dyDescent="0.2"/>
    <row r="65353" ht="12.75" hidden="1" customHeight="1" x14ac:dyDescent="0.2"/>
    <row r="65354" ht="12.75" hidden="1" customHeight="1" x14ac:dyDescent="0.2"/>
    <row r="65355" ht="12.75" hidden="1" customHeight="1" x14ac:dyDescent="0.2"/>
    <row r="65356" ht="12.75" hidden="1" customHeight="1" x14ac:dyDescent="0.2"/>
    <row r="65357" ht="12.75" hidden="1" customHeight="1" x14ac:dyDescent="0.2"/>
    <row r="65358" ht="12.75" hidden="1" customHeight="1" x14ac:dyDescent="0.2"/>
    <row r="65359" ht="12.75" hidden="1" customHeight="1" x14ac:dyDescent="0.2"/>
    <row r="65360" ht="12.75" hidden="1" customHeight="1" x14ac:dyDescent="0.2"/>
    <row r="65361" ht="12.75" hidden="1" customHeight="1" x14ac:dyDescent="0.2"/>
    <row r="65362" ht="12.75" hidden="1" customHeight="1" x14ac:dyDescent="0.2"/>
    <row r="65363" ht="12.75" hidden="1" customHeight="1" x14ac:dyDescent="0.2"/>
    <row r="65364" ht="12.75" hidden="1" customHeight="1" x14ac:dyDescent="0.2"/>
    <row r="65365" ht="12.75" hidden="1" customHeight="1" x14ac:dyDescent="0.2"/>
    <row r="65366" ht="12.75" hidden="1" customHeight="1" x14ac:dyDescent="0.2"/>
    <row r="65367" ht="12.75" hidden="1" customHeight="1" x14ac:dyDescent="0.2"/>
    <row r="65368" ht="12.75" hidden="1" customHeight="1" x14ac:dyDescent="0.2"/>
    <row r="65369" ht="12.75" hidden="1" customHeight="1" x14ac:dyDescent="0.2"/>
    <row r="65370" ht="12.75" hidden="1" customHeight="1" x14ac:dyDescent="0.2"/>
    <row r="65371" ht="12.75" hidden="1" customHeight="1" x14ac:dyDescent="0.2"/>
    <row r="65372" ht="12.75" hidden="1" customHeight="1" x14ac:dyDescent="0.2"/>
    <row r="65373" ht="12.75" hidden="1" customHeight="1" x14ac:dyDescent="0.2"/>
    <row r="65374" ht="12.75" hidden="1" customHeight="1" x14ac:dyDescent="0.2"/>
    <row r="65375" ht="12.75" hidden="1" customHeight="1" x14ac:dyDescent="0.2"/>
    <row r="65376" ht="12.75" hidden="1" customHeight="1" x14ac:dyDescent="0.2"/>
    <row r="65377" ht="12.75" hidden="1" customHeight="1" x14ac:dyDescent="0.2"/>
    <row r="65378" ht="12.75" hidden="1" customHeight="1" x14ac:dyDescent="0.2"/>
    <row r="65379" ht="12.75" hidden="1" customHeight="1" x14ac:dyDescent="0.2"/>
    <row r="65380" ht="12.75" hidden="1" customHeight="1" x14ac:dyDescent="0.2"/>
    <row r="65381" ht="12.75" hidden="1" customHeight="1" x14ac:dyDescent="0.2"/>
    <row r="65382" ht="12.75" hidden="1" customHeight="1" x14ac:dyDescent="0.2"/>
    <row r="65383" ht="12.75" hidden="1" customHeight="1" x14ac:dyDescent="0.2"/>
    <row r="65384" ht="12.75" hidden="1" customHeight="1" x14ac:dyDescent="0.2"/>
    <row r="65385" ht="12.75" hidden="1" customHeight="1" x14ac:dyDescent="0.2"/>
    <row r="65386" ht="12.75" hidden="1" customHeight="1" x14ac:dyDescent="0.2"/>
    <row r="65387" ht="12.75" hidden="1" customHeight="1" x14ac:dyDescent="0.2"/>
    <row r="65388" ht="12.75" hidden="1" customHeight="1" x14ac:dyDescent="0.2"/>
    <row r="65389" ht="12.75" hidden="1" customHeight="1" x14ac:dyDescent="0.2"/>
    <row r="65390" ht="12.75" hidden="1" customHeight="1" x14ac:dyDescent="0.2"/>
    <row r="65391" ht="12.75" hidden="1" customHeight="1" x14ac:dyDescent="0.2"/>
    <row r="65392" ht="12.75" hidden="1" customHeight="1" x14ac:dyDescent="0.2"/>
    <row r="65393" ht="12.75" hidden="1" customHeight="1" x14ac:dyDescent="0.2"/>
    <row r="65394" ht="12.75" hidden="1" customHeight="1" x14ac:dyDescent="0.2"/>
    <row r="65395" ht="12.75" hidden="1" customHeight="1" x14ac:dyDescent="0.2"/>
    <row r="65396" ht="12.75" hidden="1" customHeight="1" x14ac:dyDescent="0.2"/>
    <row r="65397" ht="12.75" hidden="1" customHeight="1" x14ac:dyDescent="0.2"/>
    <row r="65398" ht="12.75" hidden="1" customHeight="1" x14ac:dyDescent="0.2"/>
    <row r="65399" ht="12.75" hidden="1" customHeight="1" x14ac:dyDescent="0.2"/>
    <row r="65400" ht="12.75" hidden="1" customHeight="1" x14ac:dyDescent="0.2"/>
    <row r="65401" ht="12.75" hidden="1" customHeight="1" x14ac:dyDescent="0.2"/>
    <row r="65402" ht="12.75" hidden="1" customHeight="1" x14ac:dyDescent="0.2"/>
    <row r="65403" ht="12.75" hidden="1" customHeight="1" x14ac:dyDescent="0.2"/>
    <row r="65404" ht="12.75" hidden="1" customHeight="1" x14ac:dyDescent="0.2"/>
    <row r="65405" ht="12.75" hidden="1" customHeight="1" x14ac:dyDescent="0.2"/>
    <row r="65406" ht="12.75" hidden="1" customHeight="1" x14ac:dyDescent="0.2"/>
    <row r="65407" ht="12.75" hidden="1" customHeight="1" x14ac:dyDescent="0.2"/>
    <row r="65408" ht="12.75" hidden="1" customHeight="1" x14ac:dyDescent="0.2"/>
    <row r="65409" ht="12.75" hidden="1" customHeight="1" x14ac:dyDescent="0.2"/>
    <row r="65410" ht="12.75" hidden="1" customHeight="1" x14ac:dyDescent="0.2"/>
    <row r="65411" ht="12.75" hidden="1" customHeight="1" x14ac:dyDescent="0.2"/>
    <row r="65412" ht="12.75" hidden="1" customHeight="1" x14ac:dyDescent="0.2"/>
    <row r="65413" ht="12.75" hidden="1" customHeight="1" x14ac:dyDescent="0.2"/>
    <row r="65414" ht="12.75" hidden="1" customHeight="1" x14ac:dyDescent="0.2"/>
    <row r="65415" ht="12.75" hidden="1" customHeight="1" x14ac:dyDescent="0.2"/>
    <row r="65416" ht="12.75" hidden="1" customHeight="1" x14ac:dyDescent="0.2"/>
    <row r="65417" ht="12.75" hidden="1" customHeight="1" x14ac:dyDescent="0.2"/>
    <row r="65418" ht="12.75" hidden="1" customHeight="1" x14ac:dyDescent="0.2"/>
    <row r="65419" ht="12.75" hidden="1" customHeight="1" x14ac:dyDescent="0.2"/>
    <row r="65420" ht="12.75" hidden="1" customHeight="1" x14ac:dyDescent="0.2"/>
    <row r="65421" ht="12.75" hidden="1" customHeight="1" x14ac:dyDescent="0.2"/>
    <row r="65422" ht="12.75" hidden="1" customHeight="1" x14ac:dyDescent="0.2"/>
    <row r="65423" ht="12.75" hidden="1" customHeight="1" x14ac:dyDescent="0.2"/>
    <row r="65424" ht="12.75" hidden="1" customHeight="1" x14ac:dyDescent="0.2"/>
    <row r="65425" ht="12.75" hidden="1" customHeight="1" x14ac:dyDescent="0.2"/>
    <row r="65426" ht="12.75" hidden="1" customHeight="1" x14ac:dyDescent="0.2"/>
    <row r="65427" ht="12.75" hidden="1" customHeight="1" x14ac:dyDescent="0.2"/>
    <row r="65428" ht="12.75" hidden="1" customHeight="1" x14ac:dyDescent="0.2"/>
    <row r="65429" ht="12.75" hidden="1" customHeight="1" x14ac:dyDescent="0.2"/>
    <row r="65430" ht="12.75" hidden="1" customHeight="1" x14ac:dyDescent="0.2"/>
    <row r="65431" ht="12.75" hidden="1" customHeight="1" x14ac:dyDescent="0.2"/>
    <row r="65432" ht="12.75" hidden="1" customHeight="1" x14ac:dyDescent="0.2"/>
    <row r="65433" ht="12.75" hidden="1" customHeight="1" x14ac:dyDescent="0.2"/>
    <row r="65434" ht="12.75" hidden="1" customHeight="1" x14ac:dyDescent="0.2"/>
    <row r="65435" ht="12.75" hidden="1" customHeight="1" x14ac:dyDescent="0.2"/>
    <row r="65436" ht="12.75" hidden="1" customHeight="1" x14ac:dyDescent="0.2"/>
    <row r="65437" ht="12.75" hidden="1" customHeight="1" x14ac:dyDescent="0.2"/>
    <row r="65438" ht="12.75" hidden="1" customHeight="1" x14ac:dyDescent="0.2"/>
    <row r="65439" ht="12.75" hidden="1" customHeight="1" x14ac:dyDescent="0.2"/>
    <row r="65440" ht="12.75" hidden="1" customHeight="1" x14ac:dyDescent="0.2"/>
    <row r="65441" ht="12.75" hidden="1" customHeight="1" x14ac:dyDescent="0.2"/>
    <row r="65442" ht="12.75" hidden="1" customHeight="1" x14ac:dyDescent="0.2"/>
    <row r="65443" ht="12.75" hidden="1" customHeight="1" x14ac:dyDescent="0.2"/>
    <row r="65444" ht="12.75" hidden="1" customHeight="1" x14ac:dyDescent="0.2"/>
    <row r="65445" ht="12.75" hidden="1" customHeight="1" x14ac:dyDescent="0.2"/>
    <row r="65446" ht="12.75" hidden="1" customHeight="1" x14ac:dyDescent="0.2"/>
    <row r="65447" ht="12.75" hidden="1" customHeight="1" x14ac:dyDescent="0.2"/>
    <row r="65448" ht="12.75" hidden="1" customHeight="1" x14ac:dyDescent="0.2"/>
    <row r="65449" ht="12.75" hidden="1" customHeight="1" x14ac:dyDescent="0.2"/>
    <row r="65450" ht="12.75" hidden="1" customHeight="1" x14ac:dyDescent="0.2"/>
    <row r="65451" ht="12.75" hidden="1" customHeight="1" x14ac:dyDescent="0.2"/>
    <row r="65452" ht="12.75" hidden="1" customHeight="1" x14ac:dyDescent="0.2"/>
    <row r="65453" ht="12.75" hidden="1" customHeight="1" x14ac:dyDescent="0.2"/>
    <row r="65454" ht="12.75" hidden="1" customHeight="1" x14ac:dyDescent="0.2"/>
    <row r="65455" ht="12.75" hidden="1" customHeight="1" x14ac:dyDescent="0.2"/>
    <row r="65456" ht="12.75" hidden="1" customHeight="1" x14ac:dyDescent="0.2"/>
    <row r="65457" ht="12.75" hidden="1" customHeight="1" x14ac:dyDescent="0.2"/>
    <row r="65458" ht="12.75" hidden="1" customHeight="1" x14ac:dyDescent="0.2"/>
    <row r="65459" ht="12.75" hidden="1" customHeight="1" x14ac:dyDescent="0.2"/>
    <row r="65460" ht="12.75" hidden="1" customHeight="1" x14ac:dyDescent="0.2"/>
    <row r="65461" ht="12.75" hidden="1" customHeight="1" x14ac:dyDescent="0.2"/>
    <row r="65462" ht="12.75" hidden="1" customHeight="1" x14ac:dyDescent="0.2"/>
    <row r="65463" ht="12.75" hidden="1" customHeight="1" x14ac:dyDescent="0.2"/>
    <row r="65464" ht="12.75" hidden="1" customHeight="1" x14ac:dyDescent="0.2"/>
    <row r="65465" ht="12.75" hidden="1" customHeight="1" x14ac:dyDescent="0.2"/>
    <row r="65466" ht="12.75" hidden="1" customHeight="1" x14ac:dyDescent="0.2"/>
    <row r="65467" ht="12.75" hidden="1" customHeight="1" x14ac:dyDescent="0.2"/>
    <row r="65468" ht="12.75" hidden="1" customHeight="1" x14ac:dyDescent="0.2"/>
    <row r="65469" ht="12.75" hidden="1" customHeight="1" x14ac:dyDescent="0.2"/>
    <row r="65470" ht="12.75" hidden="1" customHeight="1" x14ac:dyDescent="0.2"/>
    <row r="65471" ht="12.75" hidden="1" customHeight="1" x14ac:dyDescent="0.2"/>
    <row r="65472" ht="12.75" hidden="1" customHeight="1" x14ac:dyDescent="0.2"/>
    <row r="65473" ht="12.75" hidden="1" customHeight="1" x14ac:dyDescent="0.2"/>
    <row r="65474" ht="12.75" hidden="1" customHeight="1" x14ac:dyDescent="0.2"/>
    <row r="65475" ht="12.75" hidden="1" customHeight="1" x14ac:dyDescent="0.2"/>
    <row r="65476" ht="12.75" hidden="1" customHeight="1" x14ac:dyDescent="0.2"/>
    <row r="65477" ht="12.75" hidden="1" customHeight="1" x14ac:dyDescent="0.2"/>
    <row r="65478" ht="12.75" hidden="1" customHeight="1" x14ac:dyDescent="0.2"/>
    <row r="65479" ht="12.75" hidden="1" customHeight="1" x14ac:dyDescent="0.2"/>
    <row r="65480" ht="12.75" hidden="1" customHeight="1" x14ac:dyDescent="0.2"/>
    <row r="65481" ht="12.75" hidden="1" customHeight="1" x14ac:dyDescent="0.2"/>
    <row r="65482" ht="12.75" hidden="1" customHeight="1" x14ac:dyDescent="0.2"/>
    <row r="65483" ht="12.75" hidden="1" customHeight="1" x14ac:dyDescent="0.2"/>
    <row r="65484" ht="12.75" hidden="1" customHeight="1" x14ac:dyDescent="0.2"/>
    <row r="65485" ht="12.75" hidden="1" customHeight="1" x14ac:dyDescent="0.2"/>
    <row r="65486" ht="12.75" hidden="1" customHeight="1" x14ac:dyDescent="0.2"/>
    <row r="65487" ht="12.75" hidden="1" customHeight="1" x14ac:dyDescent="0.2"/>
    <row r="65488" ht="12.75" hidden="1" customHeight="1" x14ac:dyDescent="0.2"/>
    <row r="65489" ht="12.75" hidden="1" customHeight="1" x14ac:dyDescent="0.2"/>
    <row r="65490" ht="12.75" hidden="1" customHeight="1" x14ac:dyDescent="0.2"/>
    <row r="65491" ht="12.75" hidden="1" customHeight="1" x14ac:dyDescent="0.2"/>
    <row r="65492" ht="12.75" hidden="1" customHeight="1" x14ac:dyDescent="0.2"/>
    <row r="65493" ht="12.75" hidden="1" customHeight="1" x14ac:dyDescent="0.2"/>
    <row r="65494" ht="12.75" hidden="1" customHeight="1" x14ac:dyDescent="0.2"/>
    <row r="65495" ht="12.75" hidden="1" customHeight="1" x14ac:dyDescent="0.2"/>
    <row r="65496" ht="12.75" hidden="1" customHeight="1" x14ac:dyDescent="0.2"/>
    <row r="65497" ht="12.75" hidden="1" customHeight="1" x14ac:dyDescent="0.2"/>
    <row r="65498" ht="12.75" hidden="1" customHeight="1" x14ac:dyDescent="0.2"/>
    <row r="65499" ht="12.75" hidden="1" customHeight="1" x14ac:dyDescent="0.2"/>
    <row r="65500" ht="12.75" hidden="1" customHeight="1" x14ac:dyDescent="0.2"/>
    <row r="65501" ht="12.75" hidden="1" customHeight="1" x14ac:dyDescent="0.2"/>
    <row r="65502" ht="12.75" hidden="1" customHeight="1" x14ac:dyDescent="0.2"/>
    <row r="65503" ht="12.75" hidden="1" customHeight="1" x14ac:dyDescent="0.2"/>
    <row r="65504" ht="12.75" hidden="1" customHeight="1" x14ac:dyDescent="0.2"/>
    <row r="65505" ht="12.75" hidden="1" customHeight="1" x14ac:dyDescent="0.2"/>
    <row r="65506" ht="12.75" hidden="1" customHeight="1" x14ac:dyDescent="0.2"/>
    <row r="65507" ht="12.75" hidden="1" customHeight="1" x14ac:dyDescent="0.2"/>
    <row r="65508" ht="12.75" hidden="1" customHeight="1" x14ac:dyDescent="0.2"/>
    <row r="65509" ht="12.75" hidden="1" customHeight="1" x14ac:dyDescent="0.2"/>
    <row r="65510" ht="12.75" hidden="1" customHeight="1" x14ac:dyDescent="0.2"/>
    <row r="65511" ht="12.75" hidden="1" customHeight="1" x14ac:dyDescent="0.2"/>
    <row r="65512" ht="12.75" hidden="1" customHeight="1" x14ac:dyDescent="0.2"/>
    <row r="65513" ht="12.75" hidden="1" customHeight="1" x14ac:dyDescent="0.2"/>
    <row r="65514" ht="12.75" hidden="1" customHeight="1" x14ac:dyDescent="0.2"/>
    <row r="65515" ht="12.75" hidden="1" customHeight="1" x14ac:dyDescent="0.2"/>
    <row r="65516" ht="12.75" hidden="1" customHeight="1" x14ac:dyDescent="0.2"/>
    <row r="65517" ht="12.75" hidden="1" customHeight="1" x14ac:dyDescent="0.2"/>
    <row r="65518" ht="12.75" hidden="1" customHeight="1" x14ac:dyDescent="0.2"/>
    <row r="65519" ht="12.75" hidden="1" customHeight="1" x14ac:dyDescent="0.2"/>
    <row r="65520" ht="12.75" hidden="1" customHeight="1" x14ac:dyDescent="0.2"/>
    <row r="65521" ht="12.75" hidden="1" customHeight="1" x14ac:dyDescent="0.2"/>
    <row r="65522" ht="12.75" hidden="1" customHeight="1" x14ac:dyDescent="0.2"/>
    <row r="65523" ht="12.75" hidden="1" customHeight="1" x14ac:dyDescent="0.2"/>
    <row r="65524" ht="12.75" hidden="1" customHeight="1" x14ac:dyDescent="0.2"/>
    <row r="65525" ht="12.75" hidden="1" customHeight="1" x14ac:dyDescent="0.2"/>
    <row r="65526" ht="12.75" hidden="1" customHeight="1" x14ac:dyDescent="0.2"/>
    <row r="65527" ht="12.75" hidden="1" customHeight="1" x14ac:dyDescent="0.2"/>
    <row r="65528" ht="12.75" hidden="1" customHeight="1" x14ac:dyDescent="0.2"/>
    <row r="65529" ht="12.75" hidden="1" customHeight="1" x14ac:dyDescent="0.2"/>
    <row r="65530" ht="12.75" hidden="1" customHeight="1" x14ac:dyDescent="0.2"/>
    <row r="65531" ht="12.75" hidden="1" customHeight="1" x14ac:dyDescent="0.2"/>
    <row r="65532" ht="12.75" hidden="1" customHeight="1" x14ac:dyDescent="0.2"/>
    <row r="65533" ht="12.75" hidden="1" customHeight="1" x14ac:dyDescent="0.2"/>
    <row r="65534" ht="12.75" hidden="1" customHeight="1" x14ac:dyDescent="0.2"/>
    <row r="65535" ht="12.75" hidden="1" customHeight="1" x14ac:dyDescent="0.2"/>
    <row r="65536" ht="12.75" hidden="1" customHeight="1" x14ac:dyDescent="0.2"/>
    <row r="65537" hidden="1" x14ac:dyDescent="0.2"/>
  </sheetData>
  <sheetProtection algorithmName="SHA-512" hashValue="t3E0tDmq+owHPBiHnG5aLYY2aacGu2L2v3MTTFSfQjXZkcvdTzA3yEAcIbKeeX/T2YAmx7t/DOv1waq0PdMhJQ==" saltValue="ZGhn+tI569RNj0svv3DVAw==" spinCount="100000" sheet="1" selectLockedCells="1"/>
  <customSheetViews>
    <customSheetView guid="{3D0BF824-B70B-411D-8F8F-CCBEF08DF0BD}" showGridLines="0" hiddenRows="1" hiddenColumns="1">
      <selection activeCell="C2" sqref="C2:D3"/>
      <pageMargins left="0.511811024" right="0.511811024" top="0.78740157499999996" bottom="0.78740157499999996" header="0.31496062000000002" footer="0.31496062000000002"/>
      <pageSetup paperSize="9" orientation="portrait" r:id="rId1"/>
    </customSheetView>
  </customSheetViews>
  <mergeCells count="810">
    <mergeCell ref="C47:D47"/>
    <mergeCell ref="C43:D43"/>
    <mergeCell ref="F58:G58"/>
    <mergeCell ref="C62:D62"/>
    <mergeCell ref="C40:D40"/>
    <mergeCell ref="F53:G53"/>
    <mergeCell ref="I53:J53"/>
    <mergeCell ref="L53:M53"/>
    <mergeCell ref="L43:M43"/>
    <mergeCell ref="L42:M42"/>
    <mergeCell ref="L45:M45"/>
    <mergeCell ref="F44:G44"/>
    <mergeCell ref="I44:J44"/>
    <mergeCell ref="L44:M44"/>
    <mergeCell ref="F40:G40"/>
    <mergeCell ref="L40:M40"/>
    <mergeCell ref="C59:D59"/>
    <mergeCell ref="C58:D58"/>
    <mergeCell ref="C56:D56"/>
    <mergeCell ref="C55:D55"/>
    <mergeCell ref="C46:D46"/>
    <mergeCell ref="C45:D45"/>
    <mergeCell ref="C41:D41"/>
    <mergeCell ref="F45:G45"/>
    <mergeCell ref="C44:D44"/>
    <mergeCell ref="C42:D42"/>
    <mergeCell ref="C34:D34"/>
    <mergeCell ref="C35:D35"/>
    <mergeCell ref="C37:D37"/>
    <mergeCell ref="I37:J37"/>
    <mergeCell ref="L37:M37"/>
    <mergeCell ref="C11:D11"/>
    <mergeCell ref="C39:D39"/>
    <mergeCell ref="F39:G39"/>
    <mergeCell ref="F38:G38"/>
    <mergeCell ref="I38:J38"/>
    <mergeCell ref="L38:M38"/>
    <mergeCell ref="F43:G43"/>
    <mergeCell ref="F42:G42"/>
    <mergeCell ref="I40:J40"/>
    <mergeCell ref="F11:G11"/>
    <mergeCell ref="L10:M10"/>
    <mergeCell ref="L9:M9"/>
    <mergeCell ref="U36:V36"/>
    <mergeCell ref="L36:M36"/>
    <mergeCell ref="U35:V35"/>
    <mergeCell ref="U9:V9"/>
    <mergeCell ref="X9:Y9"/>
    <mergeCell ref="I45:J45"/>
    <mergeCell ref="X5:Y5"/>
    <mergeCell ref="X34:Y34"/>
    <mergeCell ref="I35:J35"/>
    <mergeCell ref="L35:M35"/>
    <mergeCell ref="O10:P10"/>
    <mergeCell ref="R9:S9"/>
    <mergeCell ref="O11:P11"/>
    <mergeCell ref="I11:J11"/>
    <mergeCell ref="L11:M11"/>
    <mergeCell ref="L8:M8"/>
    <mergeCell ref="O44:P44"/>
    <mergeCell ref="R44:S44"/>
    <mergeCell ref="R8:S8"/>
    <mergeCell ref="U10:V10"/>
    <mergeCell ref="O9:P9"/>
    <mergeCell ref="F10:G10"/>
    <mergeCell ref="E2:E4"/>
    <mergeCell ref="H2:H4"/>
    <mergeCell ref="I6:J6"/>
    <mergeCell ref="C2:D3"/>
    <mergeCell ref="I4:J4"/>
    <mergeCell ref="I9:J9"/>
    <mergeCell ref="F8:G8"/>
    <mergeCell ref="I8:J8"/>
    <mergeCell ref="I10:J10"/>
    <mergeCell ref="C5:D5"/>
    <mergeCell ref="C6:D6"/>
    <mergeCell ref="C9:D9"/>
    <mergeCell ref="C10:D10"/>
    <mergeCell ref="F6:G6"/>
    <mergeCell ref="AG58:AH58"/>
    <mergeCell ref="AA7:AB7"/>
    <mergeCell ref="L7:M7"/>
    <mergeCell ref="F7:G7"/>
    <mergeCell ref="C7:D7"/>
    <mergeCell ref="R7:S7"/>
    <mergeCell ref="R4:S4"/>
    <mergeCell ref="F5:G5"/>
    <mergeCell ref="O5:P5"/>
    <mergeCell ref="R5:S5"/>
    <mergeCell ref="I5:J5"/>
    <mergeCell ref="I7:J7"/>
    <mergeCell ref="F4:G4"/>
    <mergeCell ref="L4:M4"/>
    <mergeCell ref="L5:M5"/>
    <mergeCell ref="K2:K4"/>
    <mergeCell ref="U5:V5"/>
    <mergeCell ref="F2:G3"/>
    <mergeCell ref="I2:J3"/>
    <mergeCell ref="C4:D4"/>
    <mergeCell ref="L6:M6"/>
    <mergeCell ref="R37:S37"/>
    <mergeCell ref="B33:M33"/>
    <mergeCell ref="R11:S11"/>
    <mergeCell ref="B67:G67"/>
    <mergeCell ref="C49:D49"/>
    <mergeCell ref="C48:D48"/>
    <mergeCell ref="L54:M54"/>
    <mergeCell ref="AJ48:AK48"/>
    <mergeCell ref="C60:D60"/>
    <mergeCell ref="C61:D61"/>
    <mergeCell ref="AJ60:AK60"/>
    <mergeCell ref="I50:J50"/>
    <mergeCell ref="L50:M50"/>
    <mergeCell ref="L58:M58"/>
    <mergeCell ref="C54:D54"/>
    <mergeCell ref="C50:D50"/>
    <mergeCell ref="C57:D57"/>
    <mergeCell ref="C53:D53"/>
    <mergeCell ref="B52:M52"/>
    <mergeCell ref="F50:G50"/>
    <mergeCell ref="I58:J58"/>
    <mergeCell ref="F60:G60"/>
    <mergeCell ref="AD60:AE60"/>
    <mergeCell ref="AG60:AH60"/>
    <mergeCell ref="I60:J60"/>
    <mergeCell ref="L60:M60"/>
    <mergeCell ref="AD58:AE58"/>
    <mergeCell ref="C65:D65"/>
    <mergeCell ref="L65:M65"/>
    <mergeCell ref="F64:G64"/>
    <mergeCell ref="I64:J64"/>
    <mergeCell ref="L64:M64"/>
    <mergeCell ref="F65:G65"/>
    <mergeCell ref="I65:J65"/>
    <mergeCell ref="F63:G63"/>
    <mergeCell ref="I63:J63"/>
    <mergeCell ref="L63:M63"/>
    <mergeCell ref="C63:D63"/>
    <mergeCell ref="C64:D64"/>
    <mergeCell ref="C88:D88"/>
    <mergeCell ref="C75:D75"/>
    <mergeCell ref="C74:D74"/>
    <mergeCell ref="C73:D73"/>
    <mergeCell ref="C72:D72"/>
    <mergeCell ref="C70:D70"/>
    <mergeCell ref="C71:D71"/>
    <mergeCell ref="C69:D69"/>
    <mergeCell ref="C68:D68"/>
    <mergeCell ref="C86:D86"/>
    <mergeCell ref="C87:D87"/>
    <mergeCell ref="AG89:AH89"/>
    <mergeCell ref="AG90:AH90"/>
    <mergeCell ref="AG97:AH97"/>
    <mergeCell ref="AG98:AH98"/>
    <mergeCell ref="C102:D102"/>
    <mergeCell ref="C101:D101"/>
    <mergeCell ref="C98:D98"/>
    <mergeCell ref="C94:D94"/>
    <mergeCell ref="C90:D90"/>
    <mergeCell ref="C100:D100"/>
    <mergeCell ref="C97:D97"/>
    <mergeCell ref="C93:D93"/>
    <mergeCell ref="C89:D89"/>
    <mergeCell ref="C99:D99"/>
    <mergeCell ref="C96:D96"/>
    <mergeCell ref="C95:D95"/>
    <mergeCell ref="C92:D92"/>
    <mergeCell ref="C91:D91"/>
    <mergeCell ref="X94:Y94"/>
    <mergeCell ref="AA94:AB94"/>
    <mergeCell ref="AD94:AE94"/>
    <mergeCell ref="X91:Y91"/>
    <mergeCell ref="AG99:AH99"/>
    <mergeCell ref="AG100:AH100"/>
    <mergeCell ref="AG91:AH91"/>
    <mergeCell ref="AG92:AH92"/>
    <mergeCell ref="AG93:AH93"/>
    <mergeCell ref="AG94:AH94"/>
    <mergeCell ref="AG95:AH95"/>
    <mergeCell ref="AG96:AH96"/>
    <mergeCell ref="X99:Y99"/>
    <mergeCell ref="AA99:AB99"/>
    <mergeCell ref="AD99:AE99"/>
    <mergeCell ref="X95:Y95"/>
    <mergeCell ref="AA95:AB95"/>
    <mergeCell ref="AD95:AE95"/>
    <mergeCell ref="X96:Y96"/>
    <mergeCell ref="AA96:AB96"/>
    <mergeCell ref="AD96:AE96"/>
    <mergeCell ref="X98:Y98"/>
    <mergeCell ref="AA98:AB98"/>
    <mergeCell ref="AD98:AE98"/>
    <mergeCell ref="AA91:AB91"/>
    <mergeCell ref="AD91:AE91"/>
    <mergeCell ref="X93:Y93"/>
    <mergeCell ref="AA93:AB93"/>
    <mergeCell ref="AD93:AE93"/>
    <mergeCell ref="AD46:AE46"/>
    <mergeCell ref="AD48:AE48"/>
    <mergeCell ref="X57:Y57"/>
    <mergeCell ref="AA57:AB57"/>
    <mergeCell ref="X55:Y55"/>
    <mergeCell ref="X56:Y56"/>
    <mergeCell ref="AA56:AB56"/>
    <mergeCell ref="AD47:AE47"/>
    <mergeCell ref="AD57:AE57"/>
    <mergeCell ref="X46:Y46"/>
    <mergeCell ref="X47:Y47"/>
    <mergeCell ref="AA55:AB55"/>
    <mergeCell ref="AA50:AB50"/>
    <mergeCell ref="AD50:AE50"/>
    <mergeCell ref="AD55:AE55"/>
    <mergeCell ref="AA48:AB48"/>
    <mergeCell ref="AA52:AK52"/>
    <mergeCell ref="O52:Y52"/>
    <mergeCell ref="AG46:AH46"/>
    <mergeCell ref="AD56:AE56"/>
    <mergeCell ref="AG50:AH50"/>
    <mergeCell ref="AJ50:AK50"/>
    <mergeCell ref="F102:G102"/>
    <mergeCell ref="I103:J103"/>
    <mergeCell ref="L103:M103"/>
    <mergeCell ref="O100:P100"/>
    <mergeCell ref="AJ2:AK3"/>
    <mergeCell ref="AL2:AL4"/>
    <mergeCell ref="U92:V92"/>
    <mergeCell ref="U46:V46"/>
    <mergeCell ref="U34:V34"/>
    <mergeCell ref="X8:Y8"/>
    <mergeCell ref="F101:G101"/>
    <mergeCell ref="I102:J102"/>
    <mergeCell ref="L102:M102"/>
    <mergeCell ref="O99:P99"/>
    <mergeCell ref="F100:G100"/>
    <mergeCell ref="AD7:AE7"/>
    <mergeCell ref="AA8:AB8"/>
    <mergeCell ref="U55:V55"/>
    <mergeCell ref="U53:V53"/>
    <mergeCell ref="U44:V44"/>
    <mergeCell ref="U99:V99"/>
    <mergeCell ref="F99:G99"/>
    <mergeCell ref="I100:J100"/>
    <mergeCell ref="L100:M100"/>
    <mergeCell ref="I99:J99"/>
    <mergeCell ref="L99:M99"/>
    <mergeCell ref="R100:S100"/>
    <mergeCell ref="R97:S97"/>
    <mergeCell ref="U97:V97"/>
    <mergeCell ref="U100:V100"/>
    <mergeCell ref="U96:V96"/>
    <mergeCell ref="I101:J101"/>
    <mergeCell ref="L101:M101"/>
    <mergeCell ref="O98:P98"/>
    <mergeCell ref="R98:S98"/>
    <mergeCell ref="R99:S99"/>
    <mergeCell ref="O97:P97"/>
    <mergeCell ref="U98:V98"/>
    <mergeCell ref="U94:V94"/>
    <mergeCell ref="O95:P95"/>
    <mergeCell ref="F97:G97"/>
    <mergeCell ref="I98:J98"/>
    <mergeCell ref="L98:M98"/>
    <mergeCell ref="O96:P96"/>
    <mergeCell ref="R96:S96"/>
    <mergeCell ref="O94:P94"/>
    <mergeCell ref="R94:S94"/>
    <mergeCell ref="F94:G94"/>
    <mergeCell ref="I95:J95"/>
    <mergeCell ref="L95:M95"/>
    <mergeCell ref="F96:G96"/>
    <mergeCell ref="I97:J97"/>
    <mergeCell ref="L97:M97"/>
    <mergeCell ref="F95:G95"/>
    <mergeCell ref="I96:J96"/>
    <mergeCell ref="L96:M96"/>
    <mergeCell ref="R95:S95"/>
    <mergeCell ref="U95:V95"/>
    <mergeCell ref="F98:G98"/>
    <mergeCell ref="F93:G93"/>
    <mergeCell ref="I94:J94"/>
    <mergeCell ref="L94:M94"/>
    <mergeCell ref="O93:P93"/>
    <mergeCell ref="R92:S92"/>
    <mergeCell ref="F90:G90"/>
    <mergeCell ref="I91:J91"/>
    <mergeCell ref="L91:M91"/>
    <mergeCell ref="F92:G92"/>
    <mergeCell ref="I93:J93"/>
    <mergeCell ref="L93:M93"/>
    <mergeCell ref="F91:G91"/>
    <mergeCell ref="I92:J92"/>
    <mergeCell ref="L92:M92"/>
    <mergeCell ref="O103:P103"/>
    <mergeCell ref="AA64:AB64"/>
    <mergeCell ref="BI64:BJ64"/>
    <mergeCell ref="AD64:AE64"/>
    <mergeCell ref="AG64:AH64"/>
    <mergeCell ref="AJ64:AK64"/>
    <mergeCell ref="R87:S87"/>
    <mergeCell ref="U87:V87"/>
    <mergeCell ref="R88:S88"/>
    <mergeCell ref="U88:V88"/>
    <mergeCell ref="O102:P102"/>
    <mergeCell ref="R93:S93"/>
    <mergeCell ref="U93:V93"/>
    <mergeCell ref="R91:S91"/>
    <mergeCell ref="U91:V91"/>
    <mergeCell ref="O92:P92"/>
    <mergeCell ref="O91:P91"/>
    <mergeCell ref="AD65:AE65"/>
    <mergeCell ref="X87:Y87"/>
    <mergeCell ref="AA87:AB87"/>
    <mergeCell ref="AD87:AE87"/>
    <mergeCell ref="X88:Y88"/>
    <mergeCell ref="AA88:AB88"/>
    <mergeCell ref="AD88:AE88"/>
    <mergeCell ref="F89:G89"/>
    <mergeCell ref="I90:J90"/>
    <mergeCell ref="L90:M90"/>
    <mergeCell ref="R89:S89"/>
    <mergeCell ref="U89:V89"/>
    <mergeCell ref="O88:P88"/>
    <mergeCell ref="O89:P89"/>
    <mergeCell ref="U90:V90"/>
    <mergeCell ref="O90:P90"/>
    <mergeCell ref="R90:S90"/>
    <mergeCell ref="F88:G88"/>
    <mergeCell ref="I89:J89"/>
    <mergeCell ref="L89:M89"/>
    <mergeCell ref="F86:G86"/>
    <mergeCell ref="I87:J87"/>
    <mergeCell ref="L87:M87"/>
    <mergeCell ref="BN84:BO84"/>
    <mergeCell ref="F87:G87"/>
    <mergeCell ref="I88:J88"/>
    <mergeCell ref="L88:M88"/>
    <mergeCell ref="R85:S85"/>
    <mergeCell ref="U85:V85"/>
    <mergeCell ref="R86:S86"/>
    <mergeCell ref="U86:V86"/>
    <mergeCell ref="O87:P87"/>
    <mergeCell ref="X85:Y85"/>
    <mergeCell ref="AA85:AB85"/>
    <mergeCell ref="AD85:AE85"/>
    <mergeCell ref="X86:Y86"/>
    <mergeCell ref="AA86:AB86"/>
    <mergeCell ref="AD86:AE86"/>
    <mergeCell ref="AG85:AH85"/>
    <mergeCell ref="AG86:AH86"/>
    <mergeCell ref="AG87:AH87"/>
    <mergeCell ref="AG88:AH88"/>
    <mergeCell ref="BN80:BO80"/>
    <mergeCell ref="BN79:BO79"/>
    <mergeCell ref="BN81:BO81"/>
    <mergeCell ref="BN76:BO76"/>
    <mergeCell ref="BN77:BO77"/>
    <mergeCell ref="BN78:BO78"/>
    <mergeCell ref="BN72:BO72"/>
    <mergeCell ref="BN75:BO75"/>
    <mergeCell ref="O101:P101"/>
    <mergeCell ref="X92:Y92"/>
    <mergeCell ref="AA92:AB92"/>
    <mergeCell ref="AD92:AE92"/>
    <mergeCell ref="X89:Y89"/>
    <mergeCell ref="AA89:AB89"/>
    <mergeCell ref="AD89:AE89"/>
    <mergeCell ref="X90:Y90"/>
    <mergeCell ref="AA90:AB90"/>
    <mergeCell ref="AD90:AE90"/>
    <mergeCell ref="X100:Y100"/>
    <mergeCell ref="AA100:AB100"/>
    <mergeCell ref="AD100:AE100"/>
    <mergeCell ref="X97:Y97"/>
    <mergeCell ref="AA97:AB97"/>
    <mergeCell ref="AD97:AE97"/>
    <mergeCell ref="BN70:BO70"/>
    <mergeCell ref="BI48:BJ48"/>
    <mergeCell ref="R49:S49"/>
    <mergeCell ref="U49:V49"/>
    <mergeCell ref="X49:Y49"/>
    <mergeCell ref="U60:V60"/>
    <mergeCell ref="U57:V57"/>
    <mergeCell ref="X50:Y50"/>
    <mergeCell ref="X59:Y59"/>
    <mergeCell ref="U48:V48"/>
    <mergeCell ref="U59:V59"/>
    <mergeCell ref="AM64:AN64"/>
    <mergeCell ref="AJ65:AK65"/>
    <mergeCell ref="AM65:AN65"/>
    <mergeCell ref="AA49:AB49"/>
    <mergeCell ref="AD49:AE49"/>
    <mergeCell ref="AA61:AB61"/>
    <mergeCell ref="X53:Y53"/>
    <mergeCell ref="AA53:AB53"/>
    <mergeCell ref="AD53:AE53"/>
    <mergeCell ref="X58:Y58"/>
    <mergeCell ref="X54:Y54"/>
    <mergeCell ref="X60:Y60"/>
    <mergeCell ref="AA60:AB60"/>
    <mergeCell ref="BN71:BO71"/>
    <mergeCell ref="BN73:BO73"/>
    <mergeCell ref="BN74:BO74"/>
    <mergeCell ref="BN69:BO69"/>
    <mergeCell ref="X11:Y11"/>
    <mergeCell ref="AA11:AB11"/>
    <mergeCell ref="BI11:BJ11"/>
    <mergeCell ref="X48:Y48"/>
    <mergeCell ref="BN62:BO62"/>
    <mergeCell ref="X65:Y65"/>
    <mergeCell ref="BN68:BO68"/>
    <mergeCell ref="BN66:BO66"/>
    <mergeCell ref="BN67:BO67"/>
    <mergeCell ref="BN65:BO65"/>
    <mergeCell ref="BN61:BO61"/>
    <mergeCell ref="BN60:BO60"/>
    <mergeCell ref="BN59:BO59"/>
    <mergeCell ref="BN53:BO53"/>
    <mergeCell ref="BN52:BO52"/>
    <mergeCell ref="BN50:BO50"/>
    <mergeCell ref="BN45:BO45"/>
    <mergeCell ref="BN42:BO42"/>
    <mergeCell ref="BN43:BO43"/>
    <mergeCell ref="BN41:BO41"/>
    <mergeCell ref="R65:S65"/>
    <mergeCell ref="U65:V65"/>
    <mergeCell ref="BI65:BJ65"/>
    <mergeCell ref="AA65:AB65"/>
    <mergeCell ref="AG65:AH65"/>
    <mergeCell ref="O62:P62"/>
    <mergeCell ref="R62:S62"/>
    <mergeCell ref="U62:V62"/>
    <mergeCell ref="AA63:AB63"/>
    <mergeCell ref="BI63:BJ63"/>
    <mergeCell ref="AD63:AE63"/>
    <mergeCell ref="AG63:AH63"/>
    <mergeCell ref="AJ63:AK63"/>
    <mergeCell ref="O65:P65"/>
    <mergeCell ref="R64:S64"/>
    <mergeCell ref="U64:V64"/>
    <mergeCell ref="X64:Y64"/>
    <mergeCell ref="X62:Y62"/>
    <mergeCell ref="AA62:AB62"/>
    <mergeCell ref="AG62:AH62"/>
    <mergeCell ref="O64:P64"/>
    <mergeCell ref="X63:Y63"/>
    <mergeCell ref="BI62:BJ62"/>
    <mergeCell ref="R63:S63"/>
    <mergeCell ref="BI49:BJ49"/>
    <mergeCell ref="AA36:AB36"/>
    <mergeCell ref="AD36:AE36"/>
    <mergeCell ref="X37:Y37"/>
    <mergeCell ref="AA37:AB37"/>
    <mergeCell ref="AD37:AE37"/>
    <mergeCell ref="AD43:AE43"/>
    <mergeCell ref="X44:Y44"/>
    <mergeCell ref="X38:Y38"/>
    <mergeCell ref="AA38:AB38"/>
    <mergeCell ref="AD38:AE38"/>
    <mergeCell ref="AM43:AN43"/>
    <mergeCell ref="AJ44:AK44"/>
    <mergeCell ref="AM44:AN44"/>
    <mergeCell ref="AM45:AN45"/>
    <mergeCell ref="AJ46:AK46"/>
    <mergeCell ref="X45:Y45"/>
    <mergeCell ref="AA45:AB45"/>
    <mergeCell ref="AD45:AE45"/>
    <mergeCell ref="X42:Y42"/>
    <mergeCell ref="AA42:AB42"/>
    <mergeCell ref="AM46:AN46"/>
    <mergeCell ref="AA47:AB47"/>
    <mergeCell ref="AA46:AB46"/>
    <mergeCell ref="F62:G62"/>
    <mergeCell ref="I62:J62"/>
    <mergeCell ref="L62:M62"/>
    <mergeCell ref="AD62:AE62"/>
    <mergeCell ref="AM62:AN62"/>
    <mergeCell ref="O61:P61"/>
    <mergeCell ref="F61:G61"/>
    <mergeCell ref="I61:J61"/>
    <mergeCell ref="L61:M61"/>
    <mergeCell ref="AG61:AH61"/>
    <mergeCell ref="R61:S61"/>
    <mergeCell ref="U61:V61"/>
    <mergeCell ref="BN58:BO58"/>
    <mergeCell ref="BI59:BJ59"/>
    <mergeCell ref="U58:V58"/>
    <mergeCell ref="O59:P59"/>
    <mergeCell ref="U63:V63"/>
    <mergeCell ref="AD61:AE61"/>
    <mergeCell ref="BI61:BJ61"/>
    <mergeCell ref="R59:S59"/>
    <mergeCell ref="X61:Y61"/>
    <mergeCell ref="AJ61:AK61"/>
    <mergeCell ref="BI58:BJ58"/>
    <mergeCell ref="O63:P63"/>
    <mergeCell ref="AM61:AN61"/>
    <mergeCell ref="AJ62:AK62"/>
    <mergeCell ref="AM63:AN63"/>
    <mergeCell ref="R60:S60"/>
    <mergeCell ref="BI60:BJ60"/>
    <mergeCell ref="AJ59:AK59"/>
    <mergeCell ref="AM60:AN60"/>
    <mergeCell ref="O60:P60"/>
    <mergeCell ref="AA59:AB59"/>
    <mergeCell ref="AD59:AE59"/>
    <mergeCell ref="AG59:AH59"/>
    <mergeCell ref="AA58:AB58"/>
    <mergeCell ref="F56:G56"/>
    <mergeCell ref="I56:J56"/>
    <mergeCell ref="L56:M56"/>
    <mergeCell ref="R56:S56"/>
    <mergeCell ref="F59:G59"/>
    <mergeCell ref="I59:J59"/>
    <mergeCell ref="L59:M59"/>
    <mergeCell ref="O56:P56"/>
    <mergeCell ref="I57:J57"/>
    <mergeCell ref="R57:S57"/>
    <mergeCell ref="O58:P58"/>
    <mergeCell ref="R58:S58"/>
    <mergeCell ref="O57:P57"/>
    <mergeCell ref="AM59:AN59"/>
    <mergeCell ref="BN55:BO55"/>
    <mergeCell ref="O55:P55"/>
    <mergeCell ref="F57:G57"/>
    <mergeCell ref="L57:M57"/>
    <mergeCell ref="BI57:BJ57"/>
    <mergeCell ref="BN56:BO56"/>
    <mergeCell ref="F54:G54"/>
    <mergeCell ref="I54:J54"/>
    <mergeCell ref="BN54:BO54"/>
    <mergeCell ref="BI55:BJ55"/>
    <mergeCell ref="AA54:AB54"/>
    <mergeCell ref="BN57:BO57"/>
    <mergeCell ref="AG57:AH57"/>
    <mergeCell ref="AG56:AH56"/>
    <mergeCell ref="U56:V56"/>
    <mergeCell ref="L55:M55"/>
    <mergeCell ref="R55:S55"/>
    <mergeCell ref="F55:G55"/>
    <mergeCell ref="I55:J55"/>
    <mergeCell ref="AG55:AH55"/>
    <mergeCell ref="BI56:BJ56"/>
    <mergeCell ref="AJ56:AK56"/>
    <mergeCell ref="AM56:AN56"/>
    <mergeCell ref="BN51:BO51"/>
    <mergeCell ref="O54:P54"/>
    <mergeCell ref="AJ54:AK54"/>
    <mergeCell ref="AM54:AN54"/>
    <mergeCell ref="O53:P53"/>
    <mergeCell ref="R53:S53"/>
    <mergeCell ref="R54:S54"/>
    <mergeCell ref="U54:V54"/>
    <mergeCell ref="BI53:BJ53"/>
    <mergeCell ref="BI54:BJ54"/>
    <mergeCell ref="AD54:AE54"/>
    <mergeCell ref="AG53:AH53"/>
    <mergeCell ref="AG54:AH54"/>
    <mergeCell ref="BI9:BJ9"/>
    <mergeCell ref="R10:S10"/>
    <mergeCell ref="O50:P50"/>
    <mergeCell ref="R50:S50"/>
    <mergeCell ref="U50:V50"/>
    <mergeCell ref="U47:V47"/>
    <mergeCell ref="R45:S45"/>
    <mergeCell ref="U45:V45"/>
    <mergeCell ref="R46:S46"/>
    <mergeCell ref="R47:S47"/>
    <mergeCell ref="O45:P45"/>
    <mergeCell ref="BI45:BJ45"/>
    <mergeCell ref="AJ45:AK45"/>
    <mergeCell ref="O42:P42"/>
    <mergeCell ref="BI44:BJ44"/>
    <mergeCell ref="O43:P43"/>
    <mergeCell ref="BI50:BJ50"/>
    <mergeCell ref="BI10:BJ10"/>
    <mergeCell ref="U43:V43"/>
    <mergeCell ref="R41:S41"/>
    <mergeCell ref="U41:V41"/>
    <mergeCell ref="R42:S42"/>
    <mergeCell ref="U42:V42"/>
    <mergeCell ref="AM10:AN10"/>
    <mergeCell ref="BN46:BO46"/>
    <mergeCell ref="O46:P46"/>
    <mergeCell ref="I47:J47"/>
    <mergeCell ref="L47:M47"/>
    <mergeCell ref="BN47:BO47"/>
    <mergeCell ref="O49:P49"/>
    <mergeCell ref="R48:S48"/>
    <mergeCell ref="F47:G47"/>
    <mergeCell ref="O47:P47"/>
    <mergeCell ref="F46:G46"/>
    <mergeCell ref="I46:J46"/>
    <mergeCell ref="BI47:BJ47"/>
    <mergeCell ref="BI46:BJ46"/>
    <mergeCell ref="F48:G48"/>
    <mergeCell ref="I48:J48"/>
    <mergeCell ref="L48:M48"/>
    <mergeCell ref="L46:M46"/>
    <mergeCell ref="O48:P48"/>
    <mergeCell ref="AJ49:AK49"/>
    <mergeCell ref="AM49:AN49"/>
    <mergeCell ref="AG49:AH49"/>
    <mergeCell ref="AJ47:AK47"/>
    <mergeCell ref="AM47:AN47"/>
    <mergeCell ref="AG48:AH48"/>
    <mergeCell ref="BN44:BO44"/>
    <mergeCell ref="I43:J43"/>
    <mergeCell ref="BI42:BJ42"/>
    <mergeCell ref="BI43:BJ43"/>
    <mergeCell ref="I41:J41"/>
    <mergeCell ref="L41:M41"/>
    <mergeCell ref="AJ42:AK42"/>
    <mergeCell ref="X43:Y43"/>
    <mergeCell ref="AA43:AB43"/>
    <mergeCell ref="I42:J42"/>
    <mergeCell ref="AM42:AN42"/>
    <mergeCell ref="AJ43:AK43"/>
    <mergeCell ref="AG44:AH44"/>
    <mergeCell ref="X41:Y41"/>
    <mergeCell ref="AA44:AB44"/>
    <mergeCell ref="AD44:AE44"/>
    <mergeCell ref="AD42:AE42"/>
    <mergeCell ref="BI40:BJ40"/>
    <mergeCell ref="BI41:BJ41"/>
    <mergeCell ref="X40:Y40"/>
    <mergeCell ref="AA40:AB40"/>
    <mergeCell ref="AJ41:AK41"/>
    <mergeCell ref="AM41:AN41"/>
    <mergeCell ref="BN39:BO39"/>
    <mergeCell ref="O39:P39"/>
    <mergeCell ref="U40:V40"/>
    <mergeCell ref="R40:S40"/>
    <mergeCell ref="X39:Y39"/>
    <mergeCell ref="AJ40:AK40"/>
    <mergeCell ref="AM40:AN40"/>
    <mergeCell ref="U39:V39"/>
    <mergeCell ref="AD40:AE40"/>
    <mergeCell ref="AG39:AH39"/>
    <mergeCell ref="O40:P40"/>
    <mergeCell ref="AG40:AH40"/>
    <mergeCell ref="R39:S39"/>
    <mergeCell ref="AJ39:AK39"/>
    <mergeCell ref="AM39:AN39"/>
    <mergeCell ref="BN40:BO40"/>
    <mergeCell ref="BI39:BJ39"/>
    <mergeCell ref="AA39:AB39"/>
    <mergeCell ref="Q2:Q4"/>
    <mergeCell ref="X35:Y35"/>
    <mergeCell ref="AD35:AE35"/>
    <mergeCell ref="A1:H1"/>
    <mergeCell ref="I1:M1"/>
    <mergeCell ref="X10:Y10"/>
    <mergeCell ref="AA10:AB10"/>
    <mergeCell ref="AC2:AC4"/>
    <mergeCell ref="AD2:AE3"/>
    <mergeCell ref="L2:M3"/>
    <mergeCell ref="O2:P3"/>
    <mergeCell ref="R2:S3"/>
    <mergeCell ref="U2:V3"/>
    <mergeCell ref="U11:V11"/>
    <mergeCell ref="AD10:AE10"/>
    <mergeCell ref="A2:A4"/>
    <mergeCell ref="U6:V6"/>
    <mergeCell ref="X6:Y6"/>
    <mergeCell ref="AA6:AB6"/>
    <mergeCell ref="O6:P6"/>
    <mergeCell ref="R6:S6"/>
    <mergeCell ref="B2:B4"/>
    <mergeCell ref="F9:G9"/>
    <mergeCell ref="C8:D8"/>
    <mergeCell ref="BN36:BO36"/>
    <mergeCell ref="F37:G37"/>
    <mergeCell ref="C38:D38"/>
    <mergeCell ref="BN37:BO37"/>
    <mergeCell ref="C36:D36"/>
    <mergeCell ref="R36:S36"/>
    <mergeCell ref="F36:G36"/>
    <mergeCell ref="I36:J36"/>
    <mergeCell ref="AJ36:AK36"/>
    <mergeCell ref="AJ38:AK38"/>
    <mergeCell ref="AM38:AN38"/>
    <mergeCell ref="BN38:BO38"/>
    <mergeCell ref="BI37:BJ37"/>
    <mergeCell ref="BI38:BJ38"/>
    <mergeCell ref="BI36:BJ36"/>
    <mergeCell ref="X36:Y36"/>
    <mergeCell ref="O36:P36"/>
    <mergeCell ref="AG36:AH36"/>
    <mergeCell ref="AM36:AN36"/>
    <mergeCell ref="AJ37:AK37"/>
    <mergeCell ref="AM37:AN37"/>
    <mergeCell ref="O37:P37"/>
    <mergeCell ref="AG37:AH37"/>
    <mergeCell ref="U37:V37"/>
    <mergeCell ref="BN33:BO33"/>
    <mergeCell ref="F35:G35"/>
    <mergeCell ref="BN21:BO32"/>
    <mergeCell ref="BN34:BO34"/>
    <mergeCell ref="BI34:BJ34"/>
    <mergeCell ref="O34:P34"/>
    <mergeCell ref="AJ35:AK35"/>
    <mergeCell ref="AM35:AN35"/>
    <mergeCell ref="BN35:BO35"/>
    <mergeCell ref="F34:G34"/>
    <mergeCell ref="I34:J34"/>
    <mergeCell ref="L34:M34"/>
    <mergeCell ref="R34:S34"/>
    <mergeCell ref="O33:Y33"/>
    <mergeCell ref="AA34:AB34"/>
    <mergeCell ref="BI35:BJ35"/>
    <mergeCell ref="AG35:AH35"/>
    <mergeCell ref="AA35:AB35"/>
    <mergeCell ref="O35:P35"/>
    <mergeCell ref="R35:S35"/>
    <mergeCell ref="BP2:BP4"/>
    <mergeCell ref="N2:N4"/>
    <mergeCell ref="BH2:BH4"/>
    <mergeCell ref="BI2:BJ3"/>
    <mergeCell ref="U4:V4"/>
    <mergeCell ref="U8:V8"/>
    <mergeCell ref="AF2:AF4"/>
    <mergeCell ref="AG2:AH3"/>
    <mergeCell ref="T2:T4"/>
    <mergeCell ref="BN7:BO7"/>
    <mergeCell ref="O7:P7"/>
    <mergeCell ref="O8:P8"/>
    <mergeCell ref="AI2:AI4"/>
    <mergeCell ref="AM2:AN3"/>
    <mergeCell ref="AG4:AH4"/>
    <mergeCell ref="AJ4:AK4"/>
    <mergeCell ref="X2:Y3"/>
    <mergeCell ref="AA2:AB3"/>
    <mergeCell ref="X4:Y4"/>
    <mergeCell ref="AA4:AB4"/>
    <mergeCell ref="AD4:AE4"/>
    <mergeCell ref="X7:Y7"/>
    <mergeCell ref="U7:V7"/>
    <mergeCell ref="AA5:AB5"/>
    <mergeCell ref="BN16:BO16"/>
    <mergeCell ref="BM2:BO6"/>
    <mergeCell ref="O4:P4"/>
    <mergeCell ref="Z2:Z4"/>
    <mergeCell ref="W2:W4"/>
    <mergeCell ref="AM4:AN4"/>
    <mergeCell ref="AD5:AE5"/>
    <mergeCell ref="AG5:AH5"/>
    <mergeCell ref="AJ5:AK5"/>
    <mergeCell ref="AM5:AN5"/>
    <mergeCell ref="AD6:AE6"/>
    <mergeCell ref="AG6:AH6"/>
    <mergeCell ref="AJ6:AK6"/>
    <mergeCell ref="AM6:AN6"/>
    <mergeCell ref="AJ7:AK7"/>
    <mergeCell ref="AM7:AN7"/>
    <mergeCell ref="AG7:AH7"/>
    <mergeCell ref="AJ8:AK8"/>
    <mergeCell ref="AM8:AN8"/>
    <mergeCell ref="BI4:BJ4"/>
    <mergeCell ref="BI5:BJ5"/>
    <mergeCell ref="BI6:BJ6"/>
    <mergeCell ref="BI7:BJ7"/>
    <mergeCell ref="BI8:BJ8"/>
    <mergeCell ref="AG8:AH8"/>
    <mergeCell ref="AD8:AE8"/>
    <mergeCell ref="AJ11:AK11"/>
    <mergeCell ref="AM11:AN11"/>
    <mergeCell ref="AD34:AE34"/>
    <mergeCell ref="AJ34:AK34"/>
    <mergeCell ref="AM34:AN34"/>
    <mergeCell ref="AA33:AK33"/>
    <mergeCell ref="AG34:AH34"/>
    <mergeCell ref="AD9:AE9"/>
    <mergeCell ref="AG10:AH10"/>
    <mergeCell ref="AJ10:AK10"/>
    <mergeCell ref="AA9:AB9"/>
    <mergeCell ref="AD11:AE11"/>
    <mergeCell ref="AG11:AH11"/>
    <mergeCell ref="AM48:AN48"/>
    <mergeCell ref="AG47:AH47"/>
    <mergeCell ref="F49:G49"/>
    <mergeCell ref="I49:J49"/>
    <mergeCell ref="L49:M49"/>
    <mergeCell ref="AG45:AH45"/>
    <mergeCell ref="AG9:AH9"/>
    <mergeCell ref="AJ9:AK9"/>
    <mergeCell ref="AM9:AN9"/>
    <mergeCell ref="AG41:AH41"/>
    <mergeCell ref="AA41:AB41"/>
    <mergeCell ref="AG42:AH42"/>
    <mergeCell ref="AG43:AH43"/>
    <mergeCell ref="AD41:AE41"/>
    <mergeCell ref="O38:P38"/>
    <mergeCell ref="I39:J39"/>
    <mergeCell ref="L39:M39"/>
    <mergeCell ref="F41:G41"/>
    <mergeCell ref="O41:P41"/>
    <mergeCell ref="R43:S43"/>
    <mergeCell ref="U38:V38"/>
    <mergeCell ref="AG38:AH38"/>
    <mergeCell ref="R38:S38"/>
    <mergeCell ref="AD39:AE39"/>
    <mergeCell ref="AM50:AN50"/>
    <mergeCell ref="AJ53:AK53"/>
    <mergeCell ref="AM53:AN53"/>
    <mergeCell ref="AJ58:AK58"/>
    <mergeCell ref="AM58:AN58"/>
    <mergeCell ref="AJ55:AK55"/>
    <mergeCell ref="AM55:AN55"/>
    <mergeCell ref="AJ57:AK57"/>
    <mergeCell ref="AM57:AN57"/>
  </mergeCells>
  <conditionalFormatting sqref="BN19">
    <cfRule type="iconSet" priority="113">
      <iconSet iconSet="3Symbols" showValue="0" reverse="1">
        <cfvo type="percent" val="0"/>
        <cfvo type="num" val="1" gte="0"/>
        <cfvo type="num" val="1"/>
      </iconSet>
    </cfRule>
  </conditionalFormatting>
  <conditionalFormatting sqref="BN18">
    <cfRule type="iconSet" priority="112">
      <iconSet iconSet="3Symbols" showValue="0" reverse="1">
        <cfvo type="percent" val="0"/>
        <cfvo type="num" val="1" gte="0"/>
        <cfvo type="num" val="1"/>
      </iconSet>
    </cfRule>
  </conditionalFormatting>
  <conditionalFormatting sqref="BN17">
    <cfRule type="iconSet" priority="111">
      <iconSet iconSet="3Symbols" showValue="0" reverse="1">
        <cfvo type="percent" val="0"/>
        <cfvo type="num" val="1" gte="0"/>
        <cfvo type="num" val="1"/>
      </iconSet>
    </cfRule>
  </conditionalFormatting>
  <conditionalFormatting sqref="BN21:BO32">
    <cfRule type="notContainsBlanks" dxfId="72" priority="126" stopIfTrue="1">
      <formula>LEN(TRIM(BN21))&gt;0</formula>
    </cfRule>
  </conditionalFormatting>
  <conditionalFormatting sqref="H34:XFD51 O33:Y33 AA33:AK33 H53:XFD61 O52:Y52 AA52:AK52 H2:AK32">
    <cfRule type="expression" dxfId="71" priority="11">
      <formula>$I$1=2</formula>
    </cfRule>
  </conditionalFormatting>
  <conditionalFormatting sqref="O33:Y33 AA33:AK33 K34:AK51 AA52:AK52 O52:Y52 K53:AK61 K2:XFD32">
    <cfRule type="expression" dxfId="70" priority="10">
      <formula>$I$1=3</formula>
    </cfRule>
  </conditionalFormatting>
  <conditionalFormatting sqref="N2:AK61">
    <cfRule type="expression" dxfId="69" priority="9">
      <formula>$I$1=4</formula>
    </cfRule>
  </conditionalFormatting>
  <conditionalFormatting sqref="AA33:AK33 Q34:AK51 AA52:AK52 Q53:AK61 Q2:XFD32">
    <cfRule type="expression" dxfId="68" priority="8">
      <formula>$I$1=5</formula>
    </cfRule>
  </conditionalFormatting>
  <conditionalFormatting sqref="T34:AK51 T53:AK61 T2:AK32">
    <cfRule type="expression" dxfId="67" priority="7">
      <formula>$I$1=6</formula>
    </cfRule>
  </conditionalFormatting>
  <conditionalFormatting sqref="AA33:AK33 W34:AK51 AA52:AK52 W53:AK61 W2:AK32">
    <cfRule type="expression" dxfId="66" priority="6">
      <formula>$I$1=7</formula>
    </cfRule>
  </conditionalFormatting>
  <conditionalFormatting sqref="Z2:AK61">
    <cfRule type="expression" dxfId="65" priority="5">
      <formula>$I$1=8</formula>
    </cfRule>
  </conditionalFormatting>
  <conditionalFormatting sqref="AC34:AK51 AC53:AK61 AC2:AK32">
    <cfRule type="expression" dxfId="64" priority="4">
      <formula>$I$1=9</formula>
    </cfRule>
  </conditionalFormatting>
  <conditionalFormatting sqref="AF34:AK51 AF53:AK66 AF2:AK32">
    <cfRule type="expression" dxfId="63" priority="3">
      <formula>$I$1=10</formula>
    </cfRule>
  </conditionalFormatting>
  <conditionalFormatting sqref="AI34:AK51 AI53:AK66 AI2:AK32">
    <cfRule type="expression" dxfId="62" priority="2">
      <formula>$I$1=11</formula>
    </cfRule>
  </conditionalFormatting>
  <conditionalFormatting sqref="I1:M1 C2:D3 F2:G3 I2:J3 L2:M3 O2:P3 R2:S3 U2:V3 X2:Y3 AA2:AB3 AD2:AE3 AG2:AH3 AJ2:AK3 C5:D11 F5:G11 I5:J11 L5:M11 O5:P11 R5:S11 U5:V11 X5:Y11 AA5:AB11 AD5:AE11 AG5:AH11 AJ5:AK11 C14:D31 F14:G31 I14:J31 L14:M31 O14:P31 R14:S31 U14:V31 X14:Y31 AA14:AB31 AD14:AE31 AG14:AH31 AJ14:AK31 C34:D50 F34:G50 I34:J50 L34:M50 O34:P50 R34:S50 U34:V50 X34:Y50 AA34:AB50 AD34:AE50 AG34:AH50 AJ34:AK50 C53:D65 F53:G65 I53:J65 L53:M65 O53:P65 R53:S65 U53:V65 X53:Y65 AA53:AB65 AD53:AE65 AG53:AH65 AJ53:AK65 C68:D75">
    <cfRule type="cellIs" dxfId="61" priority="1" operator="greaterThan">
      <formula>0</formula>
    </cfRule>
  </conditionalFormatting>
  <dataValidations count="5">
    <dataValidation type="list" showInputMessage="1" showErrorMessage="1" sqref="BI2" xr:uid="{00000000-0002-0000-0100-000000000000}">
      <formula1>$IP$5:$IV$16</formula1>
    </dataValidation>
    <dataValidation type="list" showInputMessage="1" showErrorMessage="1" sqref="AM2:AN3" xr:uid="{00000000-0002-0000-0100-000001000000}">
      <formula1>$IP$4:$IV$16</formula1>
    </dataValidation>
    <dataValidation type="list" allowBlank="1" showInputMessage="1" showErrorMessage="1" sqref="I1:M1" xr:uid="{00000000-0002-0000-0100-000002000000}">
      <formula1>$Y$67:$Y$77</formula1>
    </dataValidation>
    <dataValidation type="list" showInputMessage="1" showErrorMessage="1" sqref="C2:D3 F2:G3 I2:J3 L2:M3 O2:P3 R2:S3 U2:V3 X2:Y3 AA2:AB3 AD2:AE3 AG2:AH3 AJ2:AK3" xr:uid="{00000000-0002-0000-0100-000003000000}">
      <formula1>$AJ$68:$AJ$80</formula1>
    </dataValidation>
    <dataValidation type="list" allowBlank="1" showInputMessage="1" showErrorMessage="1" sqref="C14:C31 F14:F31 I14:I31 L14:L31 O14:O31 R14:R31 U14:U31 X14:X31 AA14:AA31 AD14:AD31 AG14:AG31 AJ14:AJ31" xr:uid="{00000000-0002-0000-0100-000004000000}">
      <formula1>$A$103:$A$123</formula1>
    </dataValidation>
  </dataValidations>
  <pageMargins left="0.511811024" right="0.511811024" top="0.78740157499999996" bottom="0.78740157499999996" header="0.31496062000000002" footer="0.31496062000000002"/>
  <pageSetup paperSize="9" scale="47" orientation="landscape" r:id="rId2"/>
  <colBreaks count="1" manualBreakCount="1">
    <brk id="8484" max="1048575" man="1"/>
  </col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
    <tabColor rgb="FFFF0000"/>
    <pageSetUpPr fitToPage="1"/>
  </sheetPr>
  <dimension ref="A1:AI31"/>
  <sheetViews>
    <sheetView zoomScaleNormal="100" workbookViewId="0">
      <selection activeCell="O50" sqref="O50:Q50"/>
    </sheetView>
  </sheetViews>
  <sheetFormatPr defaultColWidth="0" defaultRowHeight="21" customHeight="1" zeroHeight="1" x14ac:dyDescent="0.25"/>
  <cols>
    <col min="1" max="31" width="4.42578125" style="63" customWidth="1"/>
    <col min="32" max="33" width="4.42578125" style="63" hidden="1" customWidth="1"/>
    <col min="34" max="35" width="0" style="63" hidden="1" customWidth="1"/>
    <col min="36" max="16384" width="4.42578125" style="63" hidden="1"/>
  </cols>
  <sheetData>
    <row r="1" spans="1:35" s="363" customFormat="1" ht="13.5" customHeight="1" x14ac:dyDescent="0.25">
      <c r="G1" s="424"/>
      <c r="H1" s="424"/>
      <c r="I1" s="424"/>
      <c r="J1" s="424"/>
      <c r="S1" s="423" t="s">
        <v>15</v>
      </c>
      <c r="T1" s="413"/>
      <c r="U1" s="413"/>
      <c r="V1" s="414"/>
      <c r="W1" s="577" t="s">
        <v>1834</v>
      </c>
      <c r="X1" s="577"/>
      <c r="Y1" s="577"/>
      <c r="Z1" s="577"/>
      <c r="AA1" s="577"/>
      <c r="AB1" s="415"/>
      <c r="AC1" s="416"/>
      <c r="AD1" s="416"/>
      <c r="AE1" s="423">
        <f>IF(V3="X",1,0)</f>
        <v>0</v>
      </c>
    </row>
    <row r="2" spans="1:35" s="363" customFormat="1" ht="21" customHeight="1" thickBot="1" x14ac:dyDescent="0.35">
      <c r="C2" s="422" t="s">
        <v>100</v>
      </c>
      <c r="G2" s="364"/>
      <c r="H2" s="364"/>
      <c r="I2" s="364"/>
      <c r="J2" s="364"/>
      <c r="K2" s="364"/>
      <c r="L2" s="364"/>
      <c r="M2" s="364"/>
      <c r="N2" s="364"/>
      <c r="O2" s="364"/>
      <c r="P2" s="364"/>
      <c r="Q2" s="364"/>
      <c r="R2" s="364"/>
      <c r="S2" s="364"/>
      <c r="T2" s="413"/>
      <c r="U2" s="413"/>
      <c r="V2" s="414"/>
      <c r="W2" s="578" t="str">
        <f>CONCATENATE(MEMORIAL!B43,MEMORIAL!C43)</f>
        <v>Nº</v>
      </c>
      <c r="X2" s="578"/>
      <c r="Y2" s="578"/>
      <c r="Z2" s="578"/>
      <c r="AA2" s="578"/>
      <c r="AB2" s="415"/>
      <c r="AC2" s="416"/>
      <c r="AD2" s="416"/>
      <c r="AE2" s="423">
        <f>IF(Y3="X",1,0)</f>
        <v>0</v>
      </c>
    </row>
    <row r="3" spans="1:35" s="363" customFormat="1" ht="21" customHeight="1" thickBot="1" x14ac:dyDescent="0.35">
      <c r="C3" s="422" t="s">
        <v>1817</v>
      </c>
      <c r="G3" s="364"/>
      <c r="H3" s="364"/>
      <c r="I3" s="364"/>
      <c r="J3" s="364"/>
      <c r="K3" s="364"/>
      <c r="L3" s="364"/>
      <c r="M3" s="364"/>
      <c r="N3" s="364"/>
      <c r="O3" s="364"/>
      <c r="P3" s="364"/>
      <c r="Q3" s="364"/>
      <c r="R3" s="364"/>
      <c r="S3" s="364"/>
      <c r="T3" s="418"/>
      <c r="U3" s="418"/>
      <c r="V3" s="412"/>
      <c r="W3" s="417"/>
      <c r="X3" s="417"/>
      <c r="Y3" s="412"/>
      <c r="Z3" s="417"/>
      <c r="AA3" s="417"/>
      <c r="AB3" s="412"/>
      <c r="AC3" s="416"/>
      <c r="AD3" s="416"/>
      <c r="AE3" s="423">
        <f>IF(AB3="X",1,0)</f>
        <v>0</v>
      </c>
    </row>
    <row r="4" spans="1:35" s="363" customFormat="1" ht="21" customHeight="1" x14ac:dyDescent="0.3">
      <c r="G4" s="364"/>
      <c r="H4" s="364"/>
      <c r="I4" s="364"/>
      <c r="J4" s="364"/>
      <c r="K4" s="364"/>
      <c r="L4" s="364"/>
      <c r="M4" s="364"/>
      <c r="N4" s="364"/>
      <c r="O4" s="364"/>
      <c r="P4" s="364"/>
      <c r="Q4" s="364"/>
      <c r="R4" s="364"/>
      <c r="S4" s="364"/>
      <c r="T4" s="419"/>
      <c r="U4" s="419"/>
      <c r="V4" s="419"/>
      <c r="W4" s="419"/>
      <c r="X4" s="419"/>
      <c r="Y4" s="419"/>
      <c r="Z4" s="419"/>
      <c r="AA4" s="419"/>
      <c r="AB4" s="419"/>
      <c r="AC4" s="419"/>
      <c r="AD4" s="420"/>
      <c r="AE4" s="423">
        <f>SUM(AE1:AE3)</f>
        <v>0</v>
      </c>
    </row>
    <row r="5" spans="1:35" s="363" customFormat="1" ht="21" customHeight="1" thickBot="1" x14ac:dyDescent="0.35">
      <c r="B5" s="425"/>
      <c r="G5" s="364"/>
      <c r="H5" s="364"/>
      <c r="I5" s="364"/>
      <c r="J5" s="364"/>
      <c r="K5" s="364"/>
      <c r="L5" s="365"/>
      <c r="M5" s="365"/>
      <c r="N5" s="365"/>
      <c r="O5" s="365"/>
      <c r="P5" s="365"/>
      <c r="Q5" s="365"/>
      <c r="R5" s="365"/>
      <c r="S5" s="365"/>
      <c r="T5" s="579">
        <f>MEMORIAL!D42</f>
        <v>0</v>
      </c>
      <c r="U5" s="579"/>
      <c r="V5" s="579"/>
      <c r="W5" s="579"/>
      <c r="X5" s="579"/>
      <c r="Y5" s="579"/>
      <c r="Z5" s="579"/>
      <c r="AA5" s="579"/>
      <c r="AB5" s="579"/>
      <c r="AC5" s="579"/>
      <c r="AD5" s="579"/>
      <c r="AE5" s="423">
        <f>IF(AE4=0,114,IF(AE4=1,0,IF(AE4&gt;1,115,0)))</f>
        <v>114</v>
      </c>
    </row>
    <row r="6" spans="1:35" s="363" customFormat="1" ht="21" customHeight="1" thickBot="1" x14ac:dyDescent="0.3">
      <c r="G6" s="366"/>
      <c r="H6" s="366"/>
      <c r="I6" s="366"/>
      <c r="J6" s="367"/>
      <c r="K6" s="366"/>
      <c r="L6" s="366"/>
      <c r="M6" s="366"/>
      <c r="N6" s="422" t="s">
        <v>3172</v>
      </c>
      <c r="O6" s="366"/>
      <c r="P6" s="366"/>
      <c r="Q6" s="366"/>
      <c r="R6" s="422"/>
      <c r="S6" s="366"/>
      <c r="X6" s="367"/>
      <c r="AD6" s="426"/>
      <c r="AE6" s="422" t="s">
        <v>1827</v>
      </c>
    </row>
    <row r="7" spans="1:35" s="363" customFormat="1" ht="21" customHeight="1" x14ac:dyDescent="0.25">
      <c r="A7" s="63"/>
      <c r="B7" s="63"/>
      <c r="C7" s="63"/>
      <c r="D7" s="63"/>
      <c r="E7" s="63"/>
      <c r="F7" s="63"/>
      <c r="G7" s="65"/>
      <c r="H7" s="65"/>
      <c r="I7" s="65"/>
      <c r="J7" s="339"/>
      <c r="K7" s="66"/>
      <c r="L7" s="65"/>
      <c r="M7" s="366"/>
      <c r="N7" s="366"/>
      <c r="O7" s="366"/>
      <c r="P7" s="366"/>
      <c r="Q7" s="366"/>
      <c r="R7" s="366"/>
      <c r="S7" s="366"/>
      <c r="X7" s="367"/>
      <c r="Y7" s="368"/>
    </row>
    <row r="8" spans="1:35" s="363" customFormat="1" ht="21" customHeight="1" x14ac:dyDescent="0.25">
      <c r="A8" s="63"/>
      <c r="B8" s="63"/>
      <c r="C8" s="63"/>
      <c r="D8" s="63"/>
      <c r="E8" s="63"/>
      <c r="F8" s="63"/>
      <c r="G8" s="65"/>
      <c r="H8" s="65"/>
      <c r="I8" s="65"/>
      <c r="J8" s="339"/>
      <c r="K8" s="65"/>
      <c r="L8" s="65"/>
      <c r="M8" s="366"/>
      <c r="N8" s="366"/>
      <c r="O8" s="366"/>
      <c r="P8" s="366"/>
      <c r="Q8" s="366"/>
      <c r="R8" s="366"/>
      <c r="S8" s="366"/>
      <c r="X8" s="367"/>
      <c r="Y8" s="368"/>
    </row>
    <row r="9" spans="1:35" s="363" customFormat="1" ht="21" customHeight="1" x14ac:dyDescent="0.25">
      <c r="A9" s="63"/>
      <c r="B9" s="63"/>
      <c r="C9" s="63"/>
      <c r="D9" s="63"/>
      <c r="E9" s="63"/>
      <c r="F9" s="63"/>
      <c r="G9" s="65"/>
      <c r="H9" s="65"/>
      <c r="I9" s="65"/>
      <c r="J9" s="339"/>
      <c r="K9" s="65"/>
      <c r="L9" s="65"/>
      <c r="M9" s="366"/>
      <c r="N9" s="366"/>
      <c r="O9" s="366"/>
      <c r="P9" s="366"/>
      <c r="Q9" s="366"/>
      <c r="R9" s="366"/>
      <c r="S9" s="366"/>
      <c r="X9" s="367"/>
      <c r="Y9" s="368"/>
    </row>
    <row r="10" spans="1:35" s="363" customFormat="1" ht="21" customHeight="1" x14ac:dyDescent="0.25">
      <c r="A10" s="63"/>
      <c r="B10" s="63"/>
      <c r="C10" s="63"/>
      <c r="D10" s="63"/>
      <c r="E10" s="63"/>
      <c r="F10" s="63"/>
      <c r="G10" s="65"/>
      <c r="H10" s="65"/>
      <c r="I10" s="65"/>
      <c r="J10" s="339"/>
      <c r="K10" s="65"/>
      <c r="L10" s="65"/>
      <c r="M10" s="366"/>
      <c r="N10" s="369"/>
      <c r="O10" s="370"/>
      <c r="P10" s="370"/>
      <c r="Q10" s="370"/>
      <c r="R10" s="370"/>
      <c r="S10" s="370"/>
      <c r="T10" s="371"/>
      <c r="X10" s="367"/>
      <c r="Y10" s="368"/>
    </row>
    <row r="11" spans="1:35" s="363" customFormat="1" ht="21" customHeight="1" x14ac:dyDescent="0.25">
      <c r="A11" s="63"/>
      <c r="B11" s="63"/>
      <c r="C11" s="63"/>
      <c r="D11" s="63"/>
      <c r="E11" s="63"/>
      <c r="F11" s="63"/>
      <c r="G11" s="65"/>
      <c r="H11" s="65"/>
      <c r="I11" s="65"/>
      <c r="J11" s="339"/>
      <c r="K11" s="65"/>
      <c r="L11" s="65"/>
      <c r="M11" s="366"/>
      <c r="N11" s="369"/>
      <c r="O11" s="372"/>
      <c r="P11" s="372"/>
      <c r="Q11" s="372"/>
      <c r="R11" s="372"/>
      <c r="S11" s="372"/>
      <c r="T11" s="371"/>
      <c r="X11" s="367"/>
      <c r="Y11" s="368"/>
    </row>
    <row r="12" spans="1:35" s="363" customFormat="1" ht="21" customHeight="1" x14ac:dyDescent="0.3">
      <c r="A12" s="63"/>
      <c r="B12" s="63"/>
      <c r="C12" s="63"/>
      <c r="D12" s="63"/>
      <c r="E12" s="63"/>
      <c r="F12" s="63"/>
      <c r="G12" s="64"/>
      <c r="H12" s="64"/>
      <c r="I12" s="64"/>
      <c r="J12" s="339"/>
      <c r="K12" s="64"/>
      <c r="L12" s="64"/>
      <c r="M12" s="364"/>
      <c r="N12" s="373"/>
      <c r="O12" s="374"/>
      <c r="P12" s="374"/>
      <c r="Q12" s="373"/>
      <c r="R12" s="374"/>
      <c r="S12" s="374"/>
      <c r="T12" s="373"/>
      <c r="X12" s="367"/>
      <c r="Y12" s="368"/>
      <c r="AI12" s="363" t="s">
        <v>15</v>
      </c>
    </row>
    <row r="13" spans="1:35" s="363" customFormat="1" ht="21" customHeight="1" x14ac:dyDescent="0.3">
      <c r="A13" s="63"/>
      <c r="B13" s="63"/>
      <c r="C13" s="63"/>
      <c r="D13" s="63"/>
      <c r="E13" s="63"/>
      <c r="F13" s="63"/>
      <c r="G13" s="64"/>
      <c r="H13" s="64"/>
      <c r="I13" s="64"/>
      <c r="J13" s="339"/>
      <c r="K13" s="64"/>
      <c r="L13" s="64"/>
      <c r="M13" s="364"/>
      <c r="N13" s="375"/>
      <c r="O13" s="376"/>
      <c r="P13" s="377"/>
      <c r="Q13" s="378"/>
      <c r="R13" s="379"/>
      <c r="S13" s="376"/>
      <c r="T13" s="377"/>
      <c r="X13" s="367"/>
      <c r="Y13" s="368"/>
    </row>
    <row r="14" spans="1:35" ht="21" customHeight="1" x14ac:dyDescent="0.3">
      <c r="G14" s="64"/>
      <c r="H14" s="64"/>
      <c r="I14" s="64"/>
      <c r="J14" s="64"/>
      <c r="K14" s="64"/>
      <c r="L14" s="338"/>
      <c r="M14" s="338"/>
      <c r="N14" s="338"/>
      <c r="O14" s="338"/>
      <c r="P14" s="338"/>
      <c r="Q14" s="338"/>
      <c r="R14" s="338"/>
      <c r="S14" s="338"/>
      <c r="T14" s="338"/>
      <c r="U14" s="338"/>
      <c r="V14" s="338"/>
      <c r="Y14" s="421"/>
    </row>
    <row r="15" spans="1:35" ht="21" customHeight="1" x14ac:dyDescent="0.25">
      <c r="G15" s="65"/>
      <c r="H15" s="65"/>
      <c r="I15" s="65"/>
      <c r="J15" s="65"/>
      <c r="K15" s="65"/>
      <c r="L15" s="325"/>
      <c r="M15" s="325"/>
      <c r="N15" s="325"/>
      <c r="O15" s="325"/>
      <c r="P15" s="325"/>
      <c r="Q15" s="325"/>
      <c r="R15" s="325"/>
      <c r="S15" s="325"/>
      <c r="T15" s="325"/>
      <c r="U15" s="325"/>
      <c r="V15" s="325"/>
      <c r="Y15" s="421"/>
    </row>
    <row r="16" spans="1:35" ht="21" customHeight="1" x14ac:dyDescent="0.25">
      <c r="G16" s="65"/>
      <c r="H16" s="65"/>
      <c r="I16" s="65"/>
      <c r="J16" s="65"/>
      <c r="K16" s="65"/>
      <c r="L16" s="65"/>
      <c r="M16" s="65"/>
      <c r="N16" s="65"/>
      <c r="O16" s="65"/>
      <c r="P16" s="65"/>
      <c r="Q16" s="65"/>
      <c r="R16" s="65"/>
      <c r="S16" s="65"/>
    </row>
    <row r="17" spans="7:27" ht="21" customHeight="1" x14ac:dyDescent="0.25">
      <c r="G17" s="65"/>
      <c r="H17" s="65"/>
      <c r="I17" s="65"/>
      <c r="J17" s="65"/>
      <c r="K17" s="65"/>
      <c r="L17" s="65"/>
      <c r="M17" s="65"/>
      <c r="N17" s="65"/>
      <c r="O17" s="65"/>
      <c r="P17" s="65"/>
      <c r="Q17" s="65"/>
      <c r="R17" s="65"/>
      <c r="S17" s="65"/>
    </row>
    <row r="18" spans="7:27" ht="21" customHeight="1" x14ac:dyDescent="0.3">
      <c r="G18" s="64"/>
      <c r="H18" s="64"/>
      <c r="I18" s="64"/>
      <c r="J18" s="64"/>
      <c r="K18" s="64"/>
      <c r="L18" s="64"/>
      <c r="M18" s="64"/>
      <c r="N18" s="64"/>
      <c r="O18" s="64"/>
      <c r="P18" s="64"/>
      <c r="Q18" s="64"/>
      <c r="R18" s="64"/>
      <c r="S18" s="64"/>
    </row>
    <row r="19" spans="7:27" ht="21" customHeight="1" x14ac:dyDescent="0.25">
      <c r="G19" s="340" t="s">
        <v>202</v>
      </c>
      <c r="H19" s="340"/>
      <c r="I19" s="340"/>
      <c r="J19" s="340"/>
      <c r="K19" s="341"/>
      <c r="L19" s="341"/>
      <c r="M19" s="341"/>
      <c r="N19" s="341"/>
      <c r="O19" s="341"/>
      <c r="P19" s="341"/>
      <c r="Q19" s="341"/>
      <c r="R19" s="341"/>
      <c r="S19" s="341"/>
      <c r="T19" s="341"/>
      <c r="U19" s="341"/>
      <c r="V19" s="341"/>
      <c r="W19" s="341"/>
      <c r="X19" s="341"/>
      <c r="Y19" s="341"/>
      <c r="Z19" s="341"/>
      <c r="AA19" s="341"/>
    </row>
    <row r="20" spans="7:27" ht="21" customHeight="1" x14ac:dyDescent="0.25">
      <c r="G20" s="340"/>
      <c r="H20" s="340"/>
      <c r="I20" s="340"/>
      <c r="J20" s="340"/>
      <c r="K20" s="341"/>
      <c r="L20" s="341"/>
      <c r="M20" s="341"/>
      <c r="N20" s="341"/>
      <c r="O20" s="341"/>
      <c r="P20" s="341"/>
      <c r="Q20" s="341"/>
      <c r="R20" s="341"/>
      <c r="S20" s="341"/>
      <c r="T20" s="341"/>
      <c r="U20" s="341"/>
      <c r="V20" s="341"/>
      <c r="W20" s="341"/>
      <c r="X20" s="341"/>
      <c r="Y20" s="341"/>
      <c r="Z20" s="341"/>
      <c r="AA20" s="341"/>
    </row>
    <row r="21" spans="7:27" ht="21" customHeight="1" x14ac:dyDescent="0.25">
      <c r="G21" s="67"/>
      <c r="H21" s="67"/>
      <c r="I21" s="67"/>
      <c r="J21" s="67"/>
      <c r="K21" s="65"/>
      <c r="L21" s="65"/>
      <c r="M21" s="65"/>
      <c r="N21" s="65"/>
      <c r="O21" s="65"/>
      <c r="P21" s="65"/>
      <c r="Q21" s="65"/>
      <c r="R21" s="65"/>
      <c r="S21" s="65"/>
    </row>
    <row r="22" spans="7:27" ht="21" customHeight="1" x14ac:dyDescent="0.25">
      <c r="G22" s="67"/>
      <c r="H22" s="67"/>
      <c r="I22" s="67"/>
      <c r="J22" s="67"/>
      <c r="K22" s="65"/>
      <c r="L22" s="65"/>
      <c r="M22" s="65"/>
      <c r="N22" s="65"/>
      <c r="O22" s="65"/>
      <c r="P22" s="65"/>
      <c r="Q22" s="65"/>
      <c r="R22" s="65"/>
      <c r="S22" s="65"/>
    </row>
    <row r="23" spans="7:27" ht="21" customHeight="1" x14ac:dyDescent="0.25">
      <c r="G23" s="67"/>
      <c r="H23" s="67"/>
      <c r="I23" s="67"/>
      <c r="J23" s="67"/>
      <c r="K23" s="65"/>
      <c r="L23" s="65"/>
      <c r="M23" s="65"/>
      <c r="N23" s="65"/>
      <c r="O23" s="65"/>
      <c r="P23" s="65"/>
      <c r="Q23" s="65"/>
      <c r="R23" s="65"/>
      <c r="S23" s="65"/>
    </row>
    <row r="24" spans="7:27" ht="21" customHeight="1" x14ac:dyDescent="0.25">
      <c r="G24" s="67"/>
      <c r="H24" s="67"/>
      <c r="I24" s="67"/>
      <c r="J24" s="67"/>
      <c r="K24" s="65"/>
      <c r="L24" s="65"/>
      <c r="M24" s="65"/>
      <c r="N24" s="65"/>
      <c r="O24" s="65"/>
      <c r="P24" s="65"/>
      <c r="Q24" s="65"/>
      <c r="R24" s="65"/>
      <c r="S24" s="65"/>
    </row>
    <row r="25" spans="7:27" ht="21" customHeight="1" x14ac:dyDescent="0.25">
      <c r="G25" s="67"/>
      <c r="H25" s="67"/>
      <c r="I25" s="67"/>
      <c r="J25" s="67"/>
      <c r="K25" s="65"/>
      <c r="L25" s="65"/>
      <c r="M25" s="65"/>
      <c r="N25" s="65"/>
      <c r="O25" s="65"/>
      <c r="P25" s="65"/>
      <c r="Q25" s="65"/>
      <c r="R25" s="65"/>
      <c r="S25" s="65"/>
    </row>
    <row r="26" spans="7:27" ht="21" customHeight="1" x14ac:dyDescent="0.25">
      <c r="G26" s="67"/>
      <c r="H26" s="67"/>
      <c r="I26" s="67"/>
      <c r="J26" s="67"/>
      <c r="K26" s="65"/>
      <c r="L26" s="65"/>
      <c r="M26" s="65"/>
      <c r="N26" s="65"/>
      <c r="O26" s="65"/>
      <c r="P26" s="65"/>
      <c r="Q26" s="65"/>
      <c r="R26" s="65"/>
      <c r="S26" s="65"/>
    </row>
    <row r="27" spans="7:27" ht="21" customHeight="1" x14ac:dyDescent="0.25">
      <c r="G27" s="67"/>
      <c r="H27" s="67"/>
      <c r="I27" s="67"/>
      <c r="J27" s="67"/>
      <c r="K27" s="65"/>
      <c r="L27" s="65"/>
      <c r="M27" s="65"/>
      <c r="N27" s="65"/>
      <c r="O27" s="65"/>
      <c r="P27" s="65"/>
      <c r="Q27" s="65"/>
      <c r="R27" s="65"/>
      <c r="S27" s="65"/>
    </row>
    <row r="28" spans="7:27" ht="21" customHeight="1" x14ac:dyDescent="0.25">
      <c r="G28" s="67"/>
      <c r="H28" s="67"/>
      <c r="I28" s="67"/>
      <c r="J28" s="67"/>
      <c r="K28" s="65"/>
      <c r="L28" s="65"/>
      <c r="M28" s="65"/>
      <c r="N28" s="65"/>
      <c r="O28" s="65"/>
      <c r="P28" s="65"/>
      <c r="Q28" s="65"/>
      <c r="R28" s="65"/>
      <c r="S28" s="65"/>
    </row>
    <row r="29" spans="7:27" ht="21" customHeight="1" x14ac:dyDescent="0.25"/>
    <row r="30" spans="7:27" ht="21" customHeight="1" x14ac:dyDescent="0.25">
      <c r="G30" s="67"/>
      <c r="H30" s="67"/>
      <c r="I30" s="67"/>
      <c r="J30" s="67"/>
    </row>
    <row r="31" spans="7:27" ht="21" hidden="1" customHeight="1" x14ac:dyDescent="0.25">
      <c r="G31" s="67"/>
      <c r="H31" s="67"/>
      <c r="I31" s="67"/>
      <c r="J31" s="67"/>
    </row>
  </sheetData>
  <sheetProtection algorithmName="SHA-512" hashValue="owSRew3086t8nfL0V5xtXkhzP2DVtobyFvuMZ+gjTnx8Bdzjz7WRXDjV2VJoOXONF/tTxvGo0LPNGYDsG8puCA==" saltValue="kL6AvdVYQvmMusUzZRRuHg==" spinCount="100000" sheet="1" selectLockedCells="1"/>
  <customSheetViews>
    <customSheetView guid="{3D0BF824-B70B-411D-8F8F-CCBEF08DF0BD}" hiddenRows="1" hiddenColumns="1">
      <selection activeCell="J8" sqref="J8"/>
      <pageMargins left="0.25" right="0.25" top="0.984251969" bottom="0.984251969" header="0.27" footer="0.49212598499999999"/>
      <pageSetup paperSize="9" scale="50" orientation="portrait" horizontalDpi="300" verticalDpi="300" r:id="rId1"/>
      <headerFooter alignWithMargins="0"/>
    </customSheetView>
  </customSheetViews>
  <mergeCells count="3">
    <mergeCell ref="W1:AA1"/>
    <mergeCell ref="W2:AA2"/>
    <mergeCell ref="T5:AD5"/>
  </mergeCells>
  <phoneticPr fontId="0" type="noConversion"/>
  <dataValidations count="2">
    <dataValidation type="list" allowBlank="1" showInputMessage="1" showErrorMessage="1" sqref="N12 T12 Q12" xr:uid="{00000000-0002-0000-0200-000000000000}">
      <formula1>$AI$12:$AI$13</formula1>
    </dataValidation>
    <dataValidation type="list" allowBlank="1" showInputMessage="1" showErrorMessage="1" sqref="V3 Y3 AB3" xr:uid="{00000000-0002-0000-0200-000001000000}">
      <formula1>$S$1:$S$2</formula1>
    </dataValidation>
  </dataValidations>
  <pageMargins left="0.25" right="0.25" top="0.984251969" bottom="0.984251969" header="0.27" footer="0.49212598499999999"/>
  <pageSetup paperSize="9" scale="71" orientation="landscape" horizontalDpi="300" verticalDpi="3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tabColor rgb="FFFF0000"/>
    <pageSetUpPr fitToPage="1"/>
  </sheetPr>
  <dimension ref="A1:N61"/>
  <sheetViews>
    <sheetView zoomScale="90" zoomScaleNormal="90" workbookViewId="0">
      <selection activeCell="B9" sqref="B9"/>
    </sheetView>
  </sheetViews>
  <sheetFormatPr defaultColWidth="0" defaultRowHeight="12.75" zeroHeight="1" x14ac:dyDescent="0.2"/>
  <cols>
    <col min="1" max="1" width="9.140625" style="220" customWidth="1"/>
    <col min="2" max="2" width="8.85546875" style="220" customWidth="1"/>
    <col min="3" max="3" width="20.5703125" style="220" customWidth="1"/>
    <col min="4" max="4" width="10.5703125" style="220" customWidth="1"/>
    <col min="5" max="5" width="10.42578125" style="220" customWidth="1"/>
    <col min="6" max="6" width="20.85546875" style="220" customWidth="1"/>
    <col min="7" max="7" width="19.85546875" style="220" customWidth="1"/>
    <col min="8" max="8" width="15.5703125" style="220" customWidth="1"/>
    <col min="9" max="9" width="11.7109375" style="220" customWidth="1"/>
    <col min="10" max="10" width="9.140625" style="220" customWidth="1"/>
    <col min="11" max="11" width="8.85546875" style="220" customWidth="1"/>
    <col min="12" max="12" width="10.7109375" style="220" customWidth="1"/>
    <col min="13" max="13" width="21.5703125" style="220" customWidth="1"/>
    <col min="14" max="14" width="13.140625" style="220" customWidth="1"/>
    <col min="15" max="15" width="9.140625" style="220" customWidth="1"/>
    <col min="16" max="16384" width="0" style="220" hidden="1"/>
  </cols>
  <sheetData>
    <row r="1" spans="1:14" x14ac:dyDescent="0.2"/>
    <row r="2" spans="1:14" x14ac:dyDescent="0.2">
      <c r="H2" s="437">
        <f>CENTRO_DE_MEDIÇÃO!H10</f>
        <v>0</v>
      </c>
    </row>
    <row r="3" spans="1:14" x14ac:dyDescent="0.2"/>
    <row r="4" spans="1:14" x14ac:dyDescent="0.2"/>
    <row r="5" spans="1:14" x14ac:dyDescent="0.2"/>
    <row r="6" spans="1:14" x14ac:dyDescent="0.2"/>
    <row r="7" spans="1:14" ht="13.5" thickBot="1" x14ac:dyDescent="0.25"/>
    <row r="8" spans="1:14" ht="16.5" customHeight="1" thickBot="1" x14ac:dyDescent="0.25">
      <c r="B8" s="583" t="s">
        <v>84</v>
      </c>
      <c r="C8" s="608"/>
      <c r="D8" s="584"/>
      <c r="F8" s="344" t="s">
        <v>85</v>
      </c>
      <c r="H8" s="610" t="s">
        <v>1673</v>
      </c>
      <c r="I8" s="611"/>
      <c r="J8" s="330"/>
      <c r="K8" s="331" t="s">
        <v>1617</v>
      </c>
      <c r="L8" s="262">
        <f>IF(B10="X",IF(AND(J8="X",J9="X"),86,IF(OR(J8="X",J9="X"),0,87)),0)</f>
        <v>0</v>
      </c>
      <c r="N8" s="262">
        <v>1</v>
      </c>
    </row>
    <row r="9" spans="1:14" ht="13.5" customHeight="1" thickBot="1" x14ac:dyDescent="0.25">
      <c r="B9" s="402"/>
      <c r="C9" s="609" t="s">
        <v>24</v>
      </c>
      <c r="D9" s="609"/>
      <c r="E9" s="614">
        <f>IF(AND($B$9="",$B$10=0),84,IF(AND($B$9&gt;0,$B$10&gt;0),85,0))</f>
        <v>84</v>
      </c>
      <c r="F9" s="404"/>
      <c r="H9" s="612"/>
      <c r="I9" s="613"/>
      <c r="J9" s="328"/>
      <c r="K9" s="329" t="s">
        <v>1618</v>
      </c>
      <c r="N9" s="262">
        <v>2</v>
      </c>
    </row>
    <row r="10" spans="1:14" ht="13.5" customHeight="1" thickBot="1" x14ac:dyDescent="0.25">
      <c r="B10" s="402"/>
      <c r="C10" s="609" t="s">
        <v>25</v>
      </c>
      <c r="D10" s="609"/>
      <c r="E10" s="614"/>
      <c r="F10" s="229"/>
      <c r="H10" s="380" t="s">
        <v>1674</v>
      </c>
      <c r="I10" s="330">
        <v>3</v>
      </c>
      <c r="J10" s="583" t="s">
        <v>1675</v>
      </c>
      <c r="K10" s="584"/>
      <c r="L10" s="262">
        <f>IF(AND(J8="X",I10="",B10="X"),88,0)</f>
        <v>0</v>
      </c>
      <c r="N10" s="262">
        <v>3</v>
      </c>
    </row>
    <row r="11" spans="1:14" ht="17.25" thickBot="1" x14ac:dyDescent="0.25">
      <c r="B11" s="230"/>
      <c r="C11" s="230"/>
      <c r="D11" s="231"/>
      <c r="E11" s="231"/>
      <c r="F11" s="231"/>
      <c r="G11" s="231"/>
      <c r="N11" s="262">
        <v>4</v>
      </c>
    </row>
    <row r="12" spans="1:14" ht="13.5" customHeight="1" thickBot="1" x14ac:dyDescent="0.25">
      <c r="B12" s="627" t="s">
        <v>160</v>
      </c>
      <c r="C12" s="627"/>
      <c r="D12" s="600" t="s">
        <v>203</v>
      </c>
      <c r="E12" s="601"/>
      <c r="F12" s="388" t="s">
        <v>1721</v>
      </c>
      <c r="G12" s="256" t="s">
        <v>161</v>
      </c>
      <c r="H12" s="344" t="s">
        <v>162</v>
      </c>
      <c r="N12" s="262">
        <v>5</v>
      </c>
    </row>
    <row r="13" spans="1:14" ht="17.25" customHeight="1" thickBot="1" x14ac:dyDescent="0.25">
      <c r="A13" s="220" t="str">
        <f>IF(F13="",90,"")</f>
        <v/>
      </c>
      <c r="B13" s="615" t="s">
        <v>106</v>
      </c>
      <c r="C13" s="615"/>
      <c r="D13" s="616"/>
      <c r="E13" s="617"/>
      <c r="F13" s="404" t="s">
        <v>1818</v>
      </c>
      <c r="G13" s="332">
        <f>RELAÇÃO_DE_CARGA!C2</f>
        <v>0</v>
      </c>
      <c r="H13" s="403"/>
      <c r="N13" s="262">
        <v>6</v>
      </c>
    </row>
    <row r="14" spans="1:14" ht="17.25" customHeight="1" thickBot="1" x14ac:dyDescent="0.25">
      <c r="B14" s="615" t="s">
        <v>107</v>
      </c>
      <c r="C14" s="615"/>
      <c r="D14" s="616"/>
      <c r="E14" s="617"/>
      <c r="F14" s="404" t="s">
        <v>1819</v>
      </c>
      <c r="G14" s="332">
        <f>RELAÇÃO_DE_CARGA!F2</f>
        <v>0</v>
      </c>
      <c r="H14" s="403"/>
      <c r="N14" s="262">
        <v>7</v>
      </c>
    </row>
    <row r="15" spans="1:14" ht="17.25" thickBot="1" x14ac:dyDescent="0.25">
      <c r="B15" s="615" t="s">
        <v>108</v>
      </c>
      <c r="C15" s="615"/>
      <c r="D15" s="616"/>
      <c r="E15" s="617"/>
      <c r="F15" s="404" t="s">
        <v>1820</v>
      </c>
      <c r="G15" s="332">
        <f>RELAÇÃO_DE_CARGA!I2</f>
        <v>0</v>
      </c>
      <c r="H15" s="407"/>
      <c r="N15" s="262">
        <v>8</v>
      </c>
    </row>
    <row r="16" spans="1:14" ht="17.25" customHeight="1" thickBot="1" x14ac:dyDescent="0.25">
      <c r="B16" s="615" t="s">
        <v>109</v>
      </c>
      <c r="C16" s="615"/>
      <c r="D16" s="616"/>
      <c r="E16" s="617"/>
      <c r="F16" s="404" t="s">
        <v>1821</v>
      </c>
      <c r="G16" s="332">
        <f>RELAÇÃO_DE_CARGA!L2</f>
        <v>0</v>
      </c>
      <c r="H16" s="407"/>
      <c r="N16" s="262">
        <v>9</v>
      </c>
    </row>
    <row r="17" spans="2:14" ht="17.25" thickBot="1" x14ac:dyDescent="0.25">
      <c r="B17" s="615" t="s">
        <v>1546</v>
      </c>
      <c r="C17" s="615"/>
      <c r="D17" s="616"/>
      <c r="E17" s="617"/>
      <c r="F17" s="404" t="s">
        <v>1822</v>
      </c>
      <c r="G17" s="332">
        <f>RELAÇÃO_DE_CARGA!O2</f>
        <v>0</v>
      </c>
      <c r="H17" s="407"/>
      <c r="N17" s="262">
        <v>10</v>
      </c>
    </row>
    <row r="18" spans="2:14" ht="17.25" thickBot="1" x14ac:dyDescent="0.25">
      <c r="B18" s="615" t="s">
        <v>1547</v>
      </c>
      <c r="C18" s="615"/>
      <c r="D18" s="616"/>
      <c r="E18" s="617"/>
      <c r="F18" s="404" t="s">
        <v>1823</v>
      </c>
      <c r="G18" s="332">
        <f>RELAÇÃO_DE_CARGA!R2</f>
        <v>0</v>
      </c>
      <c r="H18" s="407"/>
      <c r="N18" s="262">
        <v>11</v>
      </c>
    </row>
    <row r="19" spans="2:14" ht="17.25" thickBot="1" x14ac:dyDescent="0.25">
      <c r="B19" s="615" t="s">
        <v>1548</v>
      </c>
      <c r="C19" s="615"/>
      <c r="D19" s="616"/>
      <c r="E19" s="617"/>
      <c r="F19" s="404" t="s">
        <v>1824</v>
      </c>
      <c r="G19" s="332">
        <f>RELAÇÃO_DE_CARGA!U2</f>
        <v>0</v>
      </c>
      <c r="H19" s="407"/>
      <c r="N19" s="262">
        <v>12</v>
      </c>
    </row>
    <row r="20" spans="2:14" ht="17.25" thickBot="1" x14ac:dyDescent="0.25">
      <c r="B20" s="615" t="s">
        <v>1549</v>
      </c>
      <c r="C20" s="615"/>
      <c r="D20" s="616"/>
      <c r="E20" s="617"/>
      <c r="F20" s="404" t="s">
        <v>1825</v>
      </c>
      <c r="G20" s="332">
        <f>RELAÇÃO_DE_CARGA!X2</f>
        <v>0</v>
      </c>
      <c r="H20" s="407"/>
      <c r="N20" s="262">
        <v>13</v>
      </c>
    </row>
    <row r="21" spans="2:14" ht="17.25" thickBot="1" x14ac:dyDescent="0.25">
      <c r="B21" s="615" t="s">
        <v>1550</v>
      </c>
      <c r="C21" s="615"/>
      <c r="D21" s="593"/>
      <c r="E21" s="594"/>
      <c r="F21" s="404" t="s">
        <v>1826</v>
      </c>
      <c r="G21" s="332">
        <f>RELAÇÃO_DE_CARGA!AA2</f>
        <v>0</v>
      </c>
      <c r="H21" s="407"/>
      <c r="N21" s="262">
        <v>14</v>
      </c>
    </row>
    <row r="22" spans="2:14" ht="17.25" thickBot="1" x14ac:dyDescent="0.25">
      <c r="B22" s="615" t="s">
        <v>1551</v>
      </c>
      <c r="C22" s="615"/>
      <c r="D22" s="593"/>
      <c r="E22" s="594"/>
      <c r="F22" s="404" t="s">
        <v>1670</v>
      </c>
      <c r="G22" s="332">
        <f>RELAÇÃO_DE_CARGA!AD2</f>
        <v>0</v>
      </c>
      <c r="H22" s="407"/>
      <c r="N22" s="262">
        <v>15</v>
      </c>
    </row>
    <row r="23" spans="2:14" ht="17.25" thickBot="1" x14ac:dyDescent="0.25">
      <c r="B23" s="615" t="s">
        <v>1552</v>
      </c>
      <c r="C23" s="615"/>
      <c r="D23" s="593"/>
      <c r="E23" s="594"/>
      <c r="F23" s="404" t="s">
        <v>1671</v>
      </c>
      <c r="G23" s="332">
        <f>RELAÇÃO_DE_CARGA!AG2</f>
        <v>0</v>
      </c>
      <c r="H23" s="407"/>
    </row>
    <row r="24" spans="2:14" ht="17.25" customHeight="1" thickBot="1" x14ac:dyDescent="0.25">
      <c r="B24" s="615" t="s">
        <v>1553</v>
      </c>
      <c r="C24" s="615"/>
      <c r="D24" s="593"/>
      <c r="E24" s="594"/>
      <c r="F24" s="404" t="s">
        <v>1735</v>
      </c>
      <c r="G24" s="332">
        <f>RELAÇÃO_DE_CARGA!AJ2</f>
        <v>0</v>
      </c>
      <c r="H24" s="407"/>
    </row>
    <row r="25" spans="2:14" ht="16.5" x14ac:dyDescent="0.2">
      <c r="B25" s="230"/>
      <c r="C25" s="230"/>
      <c r="D25" s="390">
        <f>SUM(D13:E24)</f>
        <v>0</v>
      </c>
      <c r="E25" s="390">
        <f>IF(AND(B10="X",D25=0),89,0)</f>
        <v>0</v>
      </c>
      <c r="F25" s="231"/>
      <c r="G25" s="322"/>
      <c r="H25" s="354"/>
    </row>
    <row r="26" spans="2:14" ht="16.5" x14ac:dyDescent="0.2">
      <c r="B26" s="230"/>
      <c r="C26" s="230"/>
      <c r="D26" s="230"/>
      <c r="E26" s="230"/>
      <c r="F26" s="231"/>
      <c r="G26" s="322"/>
      <c r="H26" s="354"/>
    </row>
    <row r="27" spans="2:14" ht="17.25" thickBot="1" x14ac:dyDescent="0.25">
      <c r="B27" s="230"/>
      <c r="C27" s="230"/>
      <c r="D27" s="231"/>
      <c r="E27" s="231"/>
      <c r="F27" s="231"/>
      <c r="G27" s="231"/>
    </row>
    <row r="28" spans="2:14" ht="18" customHeight="1" thickBot="1" x14ac:dyDescent="0.25">
      <c r="B28" s="610" t="s">
        <v>1616</v>
      </c>
      <c r="C28" s="611"/>
      <c r="D28" s="398"/>
      <c r="E28" s="331" t="s">
        <v>1617</v>
      </c>
      <c r="F28" s="389">
        <f>IF(AND($D$28="",$D$29=""),90,IF(AND($D$28&gt;0,$D$29&gt;0),91,0))</f>
        <v>90</v>
      </c>
      <c r="G28" s="232"/>
      <c r="H28" s="231"/>
      <c r="L28" s="333" t="s">
        <v>15</v>
      </c>
    </row>
    <row r="29" spans="2:14" ht="15" thickBot="1" x14ac:dyDescent="0.25">
      <c r="B29" s="612"/>
      <c r="C29" s="613"/>
      <c r="D29" s="399"/>
      <c r="E29" s="329" t="s">
        <v>1618</v>
      </c>
      <c r="F29" s="327"/>
      <c r="L29" s="326"/>
    </row>
    <row r="30" spans="2:14" x14ac:dyDescent="0.2">
      <c r="B30" s="405" t="str">
        <f>IF(D28="X","OBS: A Ordem de venda é válida apenas por 30 dias após a sua liberação","")</f>
        <v/>
      </c>
    </row>
    <row r="31" spans="2:14" ht="13.5" thickBot="1" x14ac:dyDescent="0.25"/>
    <row r="32" spans="2:14" ht="17.25" thickBot="1" x14ac:dyDescent="0.25">
      <c r="B32" s="602" t="s">
        <v>1726</v>
      </c>
      <c r="C32" s="602"/>
      <c r="D32" s="588"/>
      <c r="E32" s="589"/>
      <c r="F32" s="589"/>
      <c r="G32" s="590"/>
      <c r="H32" s="393">
        <f>IF(D32="",93,0)</f>
        <v>93</v>
      </c>
      <c r="M32" s="262" t="s">
        <v>1728</v>
      </c>
    </row>
    <row r="33" spans="1:14" ht="17.25" thickBot="1" x14ac:dyDescent="0.25">
      <c r="B33" s="602" t="s">
        <v>86</v>
      </c>
      <c r="C33" s="602"/>
      <c r="D33" s="588"/>
      <c r="E33" s="589"/>
      <c r="F33" s="589"/>
      <c r="G33" s="590"/>
      <c r="H33" s="393">
        <f>IF(D33="",92,0)</f>
        <v>92</v>
      </c>
      <c r="M33" s="262" t="s">
        <v>1727</v>
      </c>
    </row>
    <row r="34" spans="1:14" ht="17.25" thickBot="1" x14ac:dyDescent="0.25">
      <c r="B34" s="602" t="s">
        <v>87</v>
      </c>
      <c r="C34" s="602"/>
      <c r="D34" s="588"/>
      <c r="E34" s="589"/>
      <c r="F34" s="589"/>
      <c r="G34" s="590"/>
      <c r="H34" s="393">
        <f>IF(AND(D32="Pessoa Física",D34=""),"94",0)</f>
        <v>0</v>
      </c>
    </row>
    <row r="35" spans="1:14" ht="17.25" thickBot="1" x14ac:dyDescent="0.25">
      <c r="B35" s="602" t="s">
        <v>88</v>
      </c>
      <c r="C35" s="602"/>
      <c r="D35" s="588"/>
      <c r="E35" s="589"/>
      <c r="F35" s="589"/>
      <c r="G35" s="590"/>
      <c r="H35" s="393">
        <f>IF(AND(D32="Pessoa Física",D35=""),"95",0)</f>
        <v>0</v>
      </c>
    </row>
    <row r="36" spans="1:14" ht="17.25" thickBot="1" x14ac:dyDescent="0.25">
      <c r="B36" s="602" t="s">
        <v>89</v>
      </c>
      <c r="C36" s="602"/>
      <c r="D36" s="588"/>
      <c r="E36" s="589"/>
      <c r="F36" s="589"/>
      <c r="G36" s="590"/>
      <c r="H36" s="393">
        <f>IF(AND(D32="Pessoa Jurídica",D36=""),"96",0)</f>
        <v>0</v>
      </c>
    </row>
    <row r="37" spans="1:14" ht="17.25" thickBot="1" x14ac:dyDescent="0.25">
      <c r="B37" s="602" t="s">
        <v>90</v>
      </c>
      <c r="C37" s="602"/>
      <c r="D37" s="588"/>
      <c r="E37" s="589"/>
      <c r="F37" s="589"/>
      <c r="G37" s="590"/>
      <c r="H37" s="393"/>
    </row>
    <row r="38" spans="1:14" ht="17.25" thickBot="1" x14ac:dyDescent="0.25">
      <c r="B38" s="602" t="s">
        <v>91</v>
      </c>
      <c r="C38" s="602"/>
      <c r="D38" s="588"/>
      <c r="E38" s="589"/>
      <c r="F38" s="589"/>
      <c r="G38" s="590"/>
      <c r="H38" s="393">
        <v>0</v>
      </c>
    </row>
    <row r="39" spans="1:14" ht="13.5" customHeight="1" x14ac:dyDescent="0.2"/>
    <row r="40" spans="1:14" x14ac:dyDescent="0.2"/>
    <row r="41" spans="1:14" ht="13.5" thickBot="1" x14ac:dyDescent="0.25"/>
    <row r="42" spans="1:14" ht="14.25" thickBot="1" x14ac:dyDescent="0.3">
      <c r="B42" s="606" t="s">
        <v>92</v>
      </c>
      <c r="C42" s="607"/>
      <c r="D42" s="628"/>
      <c r="E42" s="629"/>
      <c r="F42" s="629"/>
      <c r="G42" s="629"/>
      <c r="H42" s="629"/>
      <c r="I42" s="629"/>
      <c r="J42" s="629"/>
      <c r="K42" s="629"/>
      <c r="L42" s="630"/>
      <c r="M42" s="393">
        <f>IF($D$42="",98,0)</f>
        <v>98</v>
      </c>
    </row>
    <row r="43" spans="1:14" ht="14.25" thickBot="1" x14ac:dyDescent="0.3">
      <c r="A43" s="393">
        <f>IF($C$43="",99,0)</f>
        <v>99</v>
      </c>
      <c r="B43" s="233" t="s">
        <v>93</v>
      </c>
      <c r="C43" s="603"/>
      <c r="D43" s="605"/>
      <c r="E43" s="234" t="s">
        <v>94</v>
      </c>
      <c r="F43" s="603"/>
      <c r="G43" s="604"/>
      <c r="H43" s="605"/>
      <c r="I43" s="235" t="s">
        <v>95</v>
      </c>
      <c r="J43" s="618"/>
      <c r="K43" s="619"/>
      <c r="L43" s="620"/>
      <c r="M43" s="393">
        <f>IF($J$43="",100,0)</f>
        <v>100</v>
      </c>
    </row>
    <row r="44" spans="1:14" ht="14.25" thickBot="1" x14ac:dyDescent="0.3">
      <c r="A44" s="393">
        <f>IF($C$44="",101,0)</f>
        <v>101</v>
      </c>
      <c r="B44" s="233" t="s">
        <v>96</v>
      </c>
      <c r="C44" s="603"/>
      <c r="D44" s="604"/>
      <c r="E44" s="604"/>
      <c r="F44" s="604"/>
      <c r="G44" s="604"/>
      <c r="H44" s="605"/>
      <c r="I44" s="234" t="s">
        <v>28</v>
      </c>
      <c r="J44" s="623"/>
      <c r="K44" s="624"/>
      <c r="L44" s="625"/>
      <c r="M44" s="393">
        <f>IF($J$44="",102,0)</f>
        <v>102</v>
      </c>
    </row>
    <row r="45" spans="1:14" x14ac:dyDescent="0.2">
      <c r="B45" s="236"/>
      <c r="C45" s="236"/>
      <c r="D45" s="236"/>
      <c r="E45" s="236"/>
      <c r="F45" s="236"/>
      <c r="G45" s="236"/>
      <c r="H45" s="236"/>
      <c r="I45" s="236"/>
      <c r="J45" s="236"/>
      <c r="K45" s="236"/>
      <c r="L45" s="236"/>
    </row>
    <row r="46" spans="1:14" ht="16.5" x14ac:dyDescent="0.3">
      <c r="B46" s="237"/>
    </row>
    <row r="47" spans="1:14" ht="13.5" thickBot="1" x14ac:dyDescent="0.25"/>
    <row r="48" spans="1:14" ht="26.25" thickBot="1" x14ac:dyDescent="0.25">
      <c r="A48" s="393">
        <f>IF($C$48="",103,0)</f>
        <v>103</v>
      </c>
      <c r="B48" s="344" t="s">
        <v>97</v>
      </c>
      <c r="C48" s="626"/>
      <c r="D48" s="595"/>
      <c r="E48" s="595"/>
      <c r="F48" s="595"/>
      <c r="G48" s="595"/>
      <c r="H48" s="595"/>
      <c r="I48" s="595"/>
      <c r="J48" s="595"/>
      <c r="K48" s="587"/>
      <c r="L48" s="238" t="s">
        <v>1815</v>
      </c>
      <c r="M48" s="427"/>
      <c r="N48" s="393">
        <f>IF($M$48="",104,0)</f>
        <v>104</v>
      </c>
    </row>
    <row r="49" spans="1:14" ht="17.25" customHeight="1" thickBot="1" x14ac:dyDescent="0.25">
      <c r="A49" s="393">
        <f>IF($C$49="",105,0)</f>
        <v>105</v>
      </c>
      <c r="B49" s="239" t="s">
        <v>1816</v>
      </c>
      <c r="C49" s="597"/>
      <c r="D49" s="598"/>
      <c r="E49" s="598"/>
      <c r="F49" s="598"/>
      <c r="G49" s="598"/>
      <c r="H49" s="599"/>
      <c r="I49" s="600" t="s">
        <v>26</v>
      </c>
      <c r="J49" s="601"/>
      <c r="K49" s="411"/>
      <c r="L49" s="240" t="s">
        <v>27</v>
      </c>
      <c r="M49" s="400"/>
      <c r="N49" s="393">
        <f>IF($K$49="",106,0)</f>
        <v>106</v>
      </c>
    </row>
    <row r="50" spans="1:14" ht="13.5" thickBot="1" x14ac:dyDescent="0.25">
      <c r="B50" s="600" t="s">
        <v>29</v>
      </c>
      <c r="C50" s="631"/>
      <c r="D50" s="631"/>
      <c r="E50" s="631"/>
      <c r="F50" s="631"/>
      <c r="G50" s="631"/>
      <c r="H50" s="631"/>
      <c r="I50" s="631"/>
      <c r="J50" s="631"/>
      <c r="K50" s="631"/>
      <c r="L50" s="631"/>
      <c r="M50" s="632"/>
    </row>
    <row r="51" spans="1:14" ht="14.25" thickBot="1" x14ac:dyDescent="0.25">
      <c r="A51" s="393">
        <f>IF($C$51="",107,0)</f>
        <v>107</v>
      </c>
      <c r="B51" s="324" t="s">
        <v>98</v>
      </c>
      <c r="C51" s="621"/>
      <c r="D51" s="633"/>
      <c r="E51" s="633"/>
      <c r="F51" s="633"/>
      <c r="G51" s="633"/>
      <c r="H51" s="633"/>
      <c r="I51" s="633"/>
      <c r="J51" s="633"/>
      <c r="K51" s="633"/>
      <c r="L51" s="633"/>
      <c r="M51" s="622"/>
    </row>
    <row r="52" spans="1:14" ht="14.25" thickBot="1" x14ac:dyDescent="0.25">
      <c r="A52" s="393">
        <f>IF($C$52="",108,0)</f>
        <v>108</v>
      </c>
      <c r="B52" s="324" t="s">
        <v>93</v>
      </c>
      <c r="C52" s="401"/>
      <c r="D52" s="241" t="s">
        <v>94</v>
      </c>
      <c r="E52" s="591"/>
      <c r="F52" s="636"/>
      <c r="G52" s="636"/>
      <c r="H52" s="636"/>
      <c r="I52" s="592"/>
      <c r="J52" s="241" t="s">
        <v>95</v>
      </c>
      <c r="K52" s="591"/>
      <c r="L52" s="592"/>
      <c r="M52" s="393">
        <f>IF($K$52="",111,0)</f>
        <v>111</v>
      </c>
    </row>
    <row r="53" spans="1:14" ht="14.25" thickBot="1" x14ac:dyDescent="0.25">
      <c r="A53" s="393">
        <f>IF($C$53="",109,0)</f>
        <v>109</v>
      </c>
      <c r="B53" s="239" t="s">
        <v>96</v>
      </c>
      <c r="C53" s="585"/>
      <c r="D53" s="595"/>
      <c r="E53" s="586"/>
      <c r="F53" s="586"/>
      <c r="G53" s="596"/>
      <c r="H53" s="580" t="s">
        <v>28</v>
      </c>
      <c r="I53" s="581"/>
      <c r="J53" s="582"/>
      <c r="K53" s="585"/>
      <c r="L53" s="586"/>
      <c r="M53" s="587"/>
      <c r="N53" s="393">
        <f>IF($K$53="",112,0)</f>
        <v>112</v>
      </c>
    </row>
    <row r="54" spans="1:14" ht="14.25" thickBot="1" x14ac:dyDescent="0.25">
      <c r="A54" s="393"/>
      <c r="B54" s="239" t="s">
        <v>1677</v>
      </c>
      <c r="C54" s="634"/>
      <c r="D54" s="635"/>
      <c r="E54" s="343" t="s">
        <v>30</v>
      </c>
      <c r="F54" s="626"/>
      <c r="G54" s="595"/>
      <c r="H54" s="595"/>
      <c r="I54" s="595"/>
      <c r="J54" s="595"/>
      <c r="K54" s="587"/>
      <c r="L54" s="393">
        <f>IF($F$54="",113,0)</f>
        <v>113</v>
      </c>
    </row>
    <row r="55" spans="1:14" ht="14.25" thickBot="1" x14ac:dyDescent="0.25">
      <c r="A55" s="393">
        <f>IF($C$55="",110,0)</f>
        <v>110</v>
      </c>
      <c r="B55" s="324" t="s">
        <v>1678</v>
      </c>
      <c r="C55" s="621"/>
      <c r="D55" s="622"/>
    </row>
    <row r="56" spans="1:14" x14ac:dyDescent="0.2">
      <c r="C56" s="262"/>
    </row>
    <row r="57" spans="1:14" x14ac:dyDescent="0.2"/>
    <row r="58" spans="1:14" x14ac:dyDescent="0.2"/>
    <row r="59" spans="1:14" x14ac:dyDescent="0.2"/>
    <row r="60" spans="1:14" x14ac:dyDescent="0.2"/>
    <row r="61" spans="1:14" hidden="1" x14ac:dyDescent="0.2"/>
  </sheetData>
  <sheetProtection algorithmName="SHA-512" hashValue="Ce82g/Oa8Rv5rSubD6TmGOKlW2vbQBOxbjEUrtL/jf49clChy6tvdUN9tgpYNxrQXgxG6Y739tel2LubAatAtg==" saltValue="NGvvq8TbJ6Z2kUPJC03+qw==" spinCount="100000" sheet="1" selectLockedCells="1"/>
  <dataConsolidate/>
  <customSheetViews>
    <customSheetView guid="{3D0BF824-B70B-411D-8F8F-CCBEF08DF0BD}" hiddenRows="1" hiddenColumns="1">
      <selection activeCell="B9" sqref="B9"/>
      <pageMargins left="0.511811024" right="0.511811024" top="0.78740157499999996" bottom="0.78740157499999996" header="0.31496062000000002" footer="0.31496062000000002"/>
      <pageSetup paperSize="9" orientation="portrait" r:id="rId1"/>
    </customSheetView>
  </customSheetViews>
  <mergeCells count="67">
    <mergeCell ref="C55:D55"/>
    <mergeCell ref="J44:L44"/>
    <mergeCell ref="F54:K54"/>
    <mergeCell ref="B12:C12"/>
    <mergeCell ref="D42:L42"/>
    <mergeCell ref="C48:K48"/>
    <mergeCell ref="B50:M50"/>
    <mergeCell ref="C51:M51"/>
    <mergeCell ref="B17:C17"/>
    <mergeCell ref="B15:C15"/>
    <mergeCell ref="B16:C16"/>
    <mergeCell ref="D17:E17"/>
    <mergeCell ref="C54:D54"/>
    <mergeCell ref="D16:E16"/>
    <mergeCell ref="E52:I52"/>
    <mergeCell ref="B13:C13"/>
    <mergeCell ref="J43:L43"/>
    <mergeCell ref="C43:D43"/>
    <mergeCell ref="F43:H43"/>
    <mergeCell ref="B14:C14"/>
    <mergeCell ref="B24:C24"/>
    <mergeCell ref="B33:C33"/>
    <mergeCell ref="D19:E19"/>
    <mergeCell ref="D14:E14"/>
    <mergeCell ref="D15:E15"/>
    <mergeCell ref="D18:E18"/>
    <mergeCell ref="B23:C23"/>
    <mergeCell ref="B22:C22"/>
    <mergeCell ref="D33:G33"/>
    <mergeCell ref="B32:C32"/>
    <mergeCell ref="D32:G32"/>
    <mergeCell ref="B36:C36"/>
    <mergeCell ref="D12:E12"/>
    <mergeCell ref="B18:C18"/>
    <mergeCell ref="D20:E20"/>
    <mergeCell ref="B28:C29"/>
    <mergeCell ref="B19:C19"/>
    <mergeCell ref="B20:C20"/>
    <mergeCell ref="B21:C21"/>
    <mergeCell ref="D13:E13"/>
    <mergeCell ref="B8:D8"/>
    <mergeCell ref="C9:D9"/>
    <mergeCell ref="C10:D10"/>
    <mergeCell ref="H8:I9"/>
    <mergeCell ref="E9:E10"/>
    <mergeCell ref="D35:G35"/>
    <mergeCell ref="D36:G36"/>
    <mergeCell ref="C44:H44"/>
    <mergeCell ref="B42:C42"/>
    <mergeCell ref="B37:C37"/>
    <mergeCell ref="B38:C38"/>
    <mergeCell ref="H53:J53"/>
    <mergeCell ref="J10:K10"/>
    <mergeCell ref="K53:M53"/>
    <mergeCell ref="D34:G34"/>
    <mergeCell ref="K52:L52"/>
    <mergeCell ref="D24:E24"/>
    <mergeCell ref="D21:E21"/>
    <mergeCell ref="D22:E22"/>
    <mergeCell ref="D23:E23"/>
    <mergeCell ref="D38:G38"/>
    <mergeCell ref="D37:G37"/>
    <mergeCell ref="C53:G53"/>
    <mergeCell ref="C49:H49"/>
    <mergeCell ref="I49:J49"/>
    <mergeCell ref="B34:C34"/>
    <mergeCell ref="B35:C35"/>
  </mergeCells>
  <conditionalFormatting sqref="F28 E9 H32:H38 M42:M44 N48:N49">
    <cfRule type="cellIs" dxfId="60" priority="42" stopIfTrue="1" operator="equal">
      <formula>"VERIFICAR"</formula>
    </cfRule>
  </conditionalFormatting>
  <conditionalFormatting sqref="H8:K10">
    <cfRule type="expression" dxfId="59" priority="25" stopIfTrue="1">
      <formula>$B$10&lt;&gt;"x"</formula>
    </cfRule>
  </conditionalFormatting>
  <conditionalFormatting sqref="H10:K10">
    <cfRule type="expression" dxfId="58" priority="30">
      <formula>$J$8&lt;&gt;"x"</formula>
    </cfRule>
  </conditionalFormatting>
  <conditionalFormatting sqref="J8:J9">
    <cfRule type="expression" dxfId="57" priority="26">
      <formula>$B$10="X"</formula>
    </cfRule>
  </conditionalFormatting>
  <conditionalFormatting sqref="I10">
    <cfRule type="expression" dxfId="56" priority="28">
      <formula>$J$8="x"</formula>
    </cfRule>
  </conditionalFormatting>
  <conditionalFormatting sqref="A43">
    <cfRule type="cellIs" dxfId="55" priority="24" stopIfTrue="1" operator="equal">
      <formula>"VERIFICAR"</formula>
    </cfRule>
  </conditionalFormatting>
  <conditionalFormatting sqref="A43">
    <cfRule type="cellIs" dxfId="54" priority="23" stopIfTrue="1" operator="equal">
      <formula>"VERIFICAR"</formula>
    </cfRule>
  </conditionalFormatting>
  <conditionalFormatting sqref="A44">
    <cfRule type="cellIs" dxfId="53" priority="22" stopIfTrue="1" operator="equal">
      <formula>"VERIFICAR"</formula>
    </cfRule>
  </conditionalFormatting>
  <conditionalFormatting sqref="A44">
    <cfRule type="cellIs" dxfId="52" priority="21" stopIfTrue="1" operator="equal">
      <formula>"VERIFICAR"</formula>
    </cfRule>
  </conditionalFormatting>
  <conditionalFormatting sqref="A48">
    <cfRule type="cellIs" dxfId="51" priority="20" stopIfTrue="1" operator="equal">
      <formula>"VERIFICAR"</formula>
    </cfRule>
  </conditionalFormatting>
  <conditionalFormatting sqref="A48">
    <cfRule type="cellIs" dxfId="50" priority="19" stopIfTrue="1" operator="equal">
      <formula>"VERIFICAR"</formula>
    </cfRule>
  </conditionalFormatting>
  <conditionalFormatting sqref="A49">
    <cfRule type="cellIs" dxfId="49" priority="18" stopIfTrue="1" operator="equal">
      <formula>"VERIFICAR"</formula>
    </cfRule>
  </conditionalFormatting>
  <conditionalFormatting sqref="A49">
    <cfRule type="cellIs" dxfId="48" priority="17" stopIfTrue="1" operator="equal">
      <formula>"VERIFICAR"</formula>
    </cfRule>
  </conditionalFormatting>
  <conditionalFormatting sqref="A51:A55">
    <cfRule type="cellIs" dxfId="47" priority="16" stopIfTrue="1" operator="equal">
      <formula>"VERIFICAR"</formula>
    </cfRule>
  </conditionalFormatting>
  <conditionalFormatting sqref="A51:A55">
    <cfRule type="cellIs" dxfId="46" priority="15" stopIfTrue="1" operator="equal">
      <formula>"VERIFICAR"</formula>
    </cfRule>
  </conditionalFormatting>
  <conditionalFormatting sqref="M52">
    <cfRule type="cellIs" dxfId="45" priority="14" stopIfTrue="1" operator="equal">
      <formula>"VERIFICAR"</formula>
    </cfRule>
  </conditionalFormatting>
  <conditionalFormatting sqref="N53">
    <cfRule type="cellIs" dxfId="44" priority="13" stopIfTrue="1" operator="equal">
      <formula>"VERIFICAR"</formula>
    </cfRule>
  </conditionalFormatting>
  <conditionalFormatting sqref="L54">
    <cfRule type="cellIs" dxfId="43" priority="12" stopIfTrue="1" operator="equal">
      <formula>"VERIFICAR"</formula>
    </cfRule>
  </conditionalFormatting>
  <conditionalFormatting sqref="D12:E24">
    <cfRule type="expression" dxfId="42" priority="11">
      <formula>$B$9="X"</formula>
    </cfRule>
  </conditionalFormatting>
  <conditionalFormatting sqref="B15:H24">
    <cfRule type="expression" dxfId="41" priority="10">
      <formula>$H$2=2</formula>
    </cfRule>
  </conditionalFormatting>
  <conditionalFormatting sqref="B16:H24">
    <cfRule type="expression" dxfId="40" priority="9">
      <formula>$H$2=3</formula>
    </cfRule>
  </conditionalFormatting>
  <conditionalFormatting sqref="B17:H24">
    <cfRule type="expression" dxfId="39" priority="8">
      <formula>$H$2=4</formula>
    </cfRule>
  </conditionalFormatting>
  <conditionalFormatting sqref="B18:H24">
    <cfRule type="expression" dxfId="38" priority="7">
      <formula>$H$2=5</formula>
    </cfRule>
  </conditionalFormatting>
  <conditionalFormatting sqref="B19:H24">
    <cfRule type="expression" dxfId="37" priority="6">
      <formula>$H$2=6</formula>
    </cfRule>
  </conditionalFormatting>
  <conditionalFormatting sqref="B20:H24">
    <cfRule type="expression" dxfId="36" priority="5">
      <formula>$H$2=7</formula>
    </cfRule>
  </conditionalFormatting>
  <conditionalFormatting sqref="B21:H24">
    <cfRule type="expression" dxfId="35" priority="4">
      <formula>$H$2=8</formula>
    </cfRule>
  </conditionalFormatting>
  <conditionalFormatting sqref="B22:H24">
    <cfRule type="expression" dxfId="34" priority="3">
      <formula>$H$2=9</formula>
    </cfRule>
  </conditionalFormatting>
  <conditionalFormatting sqref="B23:H24">
    <cfRule type="expression" dxfId="33" priority="2">
      <formula>$H$2=10</formula>
    </cfRule>
  </conditionalFormatting>
  <conditionalFormatting sqref="B24:H24">
    <cfRule type="expression" dxfId="32" priority="1">
      <formula>$H$2=11</formula>
    </cfRule>
  </conditionalFormatting>
  <dataValidations count="3">
    <dataValidation type="list" allowBlank="1" showInputMessage="1" showErrorMessage="1" sqref="D28:D29 B9:B10 J8:J9" xr:uid="{00000000-0002-0000-0300-000000000000}">
      <formula1>$L$28:$L$29</formula1>
    </dataValidation>
    <dataValidation type="list" allowBlank="1" showInputMessage="1" showErrorMessage="1" sqref="I10" xr:uid="{00000000-0002-0000-0300-000001000000}">
      <formula1>$N$7:$N$22</formula1>
    </dataValidation>
    <dataValidation type="list" allowBlank="1" showInputMessage="1" showErrorMessage="1" sqref="D32:G32" xr:uid="{00000000-0002-0000-0300-000002000000}">
      <formula1>$M$31:$M$33</formula1>
    </dataValidation>
  </dataValidations>
  <pageMargins left="0.511811024" right="0.511811024" top="0.78740157499999996" bottom="0.78740157499999996" header="0.31496062000000002" footer="0.31496062000000002"/>
  <pageSetup paperSize="9" scale="54"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3"/>
  <dimension ref="A1:G145"/>
  <sheetViews>
    <sheetView workbookViewId="0">
      <selection activeCell="G109" sqref="G109"/>
    </sheetView>
  </sheetViews>
  <sheetFormatPr defaultRowHeight="12.75" x14ac:dyDescent="0.2"/>
  <cols>
    <col min="2" max="2" width="80.28515625" customWidth="1"/>
    <col min="7" max="7" width="9.140625" style="397"/>
  </cols>
  <sheetData>
    <row r="1" spans="1:7" x14ac:dyDescent="0.2">
      <c r="A1">
        <v>0</v>
      </c>
      <c r="C1" s="20" t="s">
        <v>1828</v>
      </c>
      <c r="D1" s="20" t="s">
        <v>23</v>
      </c>
      <c r="E1" s="20" t="s">
        <v>212</v>
      </c>
      <c r="F1" s="20" t="s">
        <v>1734</v>
      </c>
    </row>
    <row r="2" spans="1:7" x14ac:dyDescent="0.2">
      <c r="A2">
        <v>1</v>
      </c>
      <c r="B2" t="s">
        <v>1749</v>
      </c>
      <c r="C2" s="20">
        <f>LARGE(G142:G145,1)</f>
        <v>116</v>
      </c>
      <c r="D2" s="20">
        <f>LARGE(G112:G141,1)</f>
        <v>113</v>
      </c>
      <c r="E2" s="20">
        <f>LARGE(G62:G111,1)</f>
        <v>72</v>
      </c>
      <c r="F2" s="20">
        <f>LARGE(G2:G61,1)</f>
        <v>0</v>
      </c>
      <c r="G2" s="397">
        <f>calculo!D11</f>
        <v>0</v>
      </c>
    </row>
    <row r="3" spans="1:7" x14ac:dyDescent="0.2">
      <c r="A3">
        <v>2</v>
      </c>
      <c r="B3" t="s">
        <v>1750</v>
      </c>
      <c r="G3" s="397">
        <f>calculo!G11</f>
        <v>0</v>
      </c>
    </row>
    <row r="4" spans="1:7" x14ac:dyDescent="0.2">
      <c r="A4">
        <v>3</v>
      </c>
      <c r="B4" t="s">
        <v>1751</v>
      </c>
      <c r="G4" s="397">
        <f>calculo!J11</f>
        <v>0</v>
      </c>
    </row>
    <row r="5" spans="1:7" x14ac:dyDescent="0.2">
      <c r="A5">
        <v>4</v>
      </c>
      <c r="B5" t="s">
        <v>1752</v>
      </c>
      <c r="G5" s="397">
        <f>calculo!M11</f>
        <v>0</v>
      </c>
    </row>
    <row r="6" spans="1:7" x14ac:dyDescent="0.2">
      <c r="A6">
        <v>5</v>
      </c>
      <c r="B6" t="s">
        <v>1753</v>
      </c>
      <c r="G6" s="397">
        <f>calculo!P11</f>
        <v>0</v>
      </c>
    </row>
    <row r="7" spans="1:7" x14ac:dyDescent="0.2">
      <c r="A7">
        <v>6</v>
      </c>
      <c r="B7" t="s">
        <v>1754</v>
      </c>
      <c r="G7" s="397">
        <f>calculo!S11</f>
        <v>0</v>
      </c>
    </row>
    <row r="8" spans="1:7" x14ac:dyDescent="0.2">
      <c r="A8">
        <v>7</v>
      </c>
      <c r="B8" t="s">
        <v>1755</v>
      </c>
      <c r="G8" s="397">
        <f>calculo!V11</f>
        <v>0</v>
      </c>
    </row>
    <row r="9" spans="1:7" x14ac:dyDescent="0.2">
      <c r="A9">
        <v>8</v>
      </c>
      <c r="B9" t="s">
        <v>1756</v>
      </c>
      <c r="G9" s="397">
        <f>calculo!Y11</f>
        <v>0</v>
      </c>
    </row>
    <row r="10" spans="1:7" x14ac:dyDescent="0.2">
      <c r="A10">
        <v>9</v>
      </c>
      <c r="B10" t="s">
        <v>1757</v>
      </c>
      <c r="G10" s="397">
        <f>calculo!AB11</f>
        <v>0</v>
      </c>
    </row>
    <row r="11" spans="1:7" x14ac:dyDescent="0.2">
      <c r="A11">
        <v>10</v>
      </c>
      <c r="B11" t="s">
        <v>1758</v>
      </c>
      <c r="G11" s="397">
        <f>calculo!AE11</f>
        <v>0</v>
      </c>
    </row>
    <row r="12" spans="1:7" x14ac:dyDescent="0.2">
      <c r="A12">
        <v>11</v>
      </c>
      <c r="B12" t="s">
        <v>1759</v>
      </c>
      <c r="G12" s="397">
        <f>calculo!AH11</f>
        <v>0</v>
      </c>
    </row>
    <row r="13" spans="1:7" x14ac:dyDescent="0.2">
      <c r="A13">
        <v>12</v>
      </c>
      <c r="B13" t="s">
        <v>1760</v>
      </c>
      <c r="G13" s="397">
        <f>calculo!AK11</f>
        <v>0</v>
      </c>
    </row>
    <row r="14" spans="1:7" x14ac:dyDescent="0.2">
      <c r="A14">
        <v>13</v>
      </c>
      <c r="B14" t="s">
        <v>1620</v>
      </c>
      <c r="G14" s="397">
        <f>calculo!E12</f>
        <v>0</v>
      </c>
    </row>
    <row r="15" spans="1:7" x14ac:dyDescent="0.2">
      <c r="A15">
        <v>14</v>
      </c>
      <c r="B15" t="s">
        <v>1621</v>
      </c>
      <c r="G15" s="397">
        <f>calculo!H12</f>
        <v>0</v>
      </c>
    </row>
    <row r="16" spans="1:7" x14ac:dyDescent="0.2">
      <c r="A16">
        <v>15</v>
      </c>
      <c r="B16" t="s">
        <v>1622</v>
      </c>
      <c r="G16" s="397">
        <f>calculo!K12</f>
        <v>0</v>
      </c>
    </row>
    <row r="17" spans="1:7" x14ac:dyDescent="0.2">
      <c r="A17">
        <v>16</v>
      </c>
      <c r="B17" t="s">
        <v>1623</v>
      </c>
      <c r="G17" s="397">
        <f>calculo!N12</f>
        <v>0</v>
      </c>
    </row>
    <row r="18" spans="1:7" x14ac:dyDescent="0.2">
      <c r="A18">
        <v>17</v>
      </c>
      <c r="B18" t="s">
        <v>1624</v>
      </c>
      <c r="G18" s="397">
        <f>calculo!Q12</f>
        <v>0</v>
      </c>
    </row>
    <row r="19" spans="1:7" x14ac:dyDescent="0.2">
      <c r="A19">
        <v>18</v>
      </c>
      <c r="B19" t="s">
        <v>1625</v>
      </c>
      <c r="G19" s="397">
        <f>calculo!T12</f>
        <v>0</v>
      </c>
    </row>
    <row r="20" spans="1:7" x14ac:dyDescent="0.2">
      <c r="A20">
        <v>19</v>
      </c>
      <c r="B20" t="s">
        <v>1626</v>
      </c>
      <c r="G20" s="397">
        <f>calculo!W12</f>
        <v>0</v>
      </c>
    </row>
    <row r="21" spans="1:7" x14ac:dyDescent="0.2">
      <c r="A21">
        <v>20</v>
      </c>
      <c r="B21" t="s">
        <v>1627</v>
      </c>
      <c r="G21" s="397">
        <f>calculo!Z12</f>
        <v>0</v>
      </c>
    </row>
    <row r="22" spans="1:7" x14ac:dyDescent="0.2">
      <c r="A22">
        <v>21</v>
      </c>
      <c r="B22" t="s">
        <v>1628</v>
      </c>
      <c r="G22" s="397">
        <f>calculo!AC12</f>
        <v>0</v>
      </c>
    </row>
    <row r="23" spans="1:7" x14ac:dyDescent="0.2">
      <c r="A23">
        <v>22</v>
      </c>
      <c r="B23" t="s">
        <v>1629</v>
      </c>
      <c r="G23" s="397">
        <f>calculo!AF12</f>
        <v>0</v>
      </c>
    </row>
    <row r="24" spans="1:7" x14ac:dyDescent="0.2">
      <c r="A24">
        <v>23</v>
      </c>
      <c r="B24" t="s">
        <v>1630</v>
      </c>
      <c r="G24" s="397">
        <f>calculo!AI12</f>
        <v>0</v>
      </c>
    </row>
    <row r="25" spans="1:7" x14ac:dyDescent="0.2">
      <c r="A25">
        <v>24</v>
      </c>
      <c r="B25" t="s">
        <v>1631</v>
      </c>
      <c r="G25" s="397">
        <f>calculo!AL12</f>
        <v>0</v>
      </c>
    </row>
    <row r="26" spans="1:7" x14ac:dyDescent="0.2">
      <c r="A26">
        <v>25</v>
      </c>
      <c r="B26" t="s">
        <v>1632</v>
      </c>
      <c r="G26" s="397">
        <f>calculo!E11</f>
        <v>0</v>
      </c>
    </row>
    <row r="27" spans="1:7" x14ac:dyDescent="0.2">
      <c r="A27">
        <v>26</v>
      </c>
      <c r="B27" t="s">
        <v>1633</v>
      </c>
      <c r="G27" s="397">
        <f>calculo!H11</f>
        <v>0</v>
      </c>
    </row>
    <row r="28" spans="1:7" x14ac:dyDescent="0.2">
      <c r="A28">
        <v>27</v>
      </c>
      <c r="B28" t="s">
        <v>1634</v>
      </c>
      <c r="G28" s="397">
        <f>calculo!K11</f>
        <v>0</v>
      </c>
    </row>
    <row r="29" spans="1:7" x14ac:dyDescent="0.2">
      <c r="A29">
        <v>28</v>
      </c>
      <c r="B29" t="s">
        <v>1635</v>
      </c>
      <c r="G29" s="397">
        <f>calculo!N11</f>
        <v>0</v>
      </c>
    </row>
    <row r="30" spans="1:7" x14ac:dyDescent="0.2">
      <c r="A30">
        <v>29</v>
      </c>
      <c r="B30" t="s">
        <v>1636</v>
      </c>
      <c r="G30" s="397">
        <f>calculo!Q11</f>
        <v>0</v>
      </c>
    </row>
    <row r="31" spans="1:7" x14ac:dyDescent="0.2">
      <c r="A31">
        <v>30</v>
      </c>
      <c r="B31" t="s">
        <v>1637</v>
      </c>
      <c r="G31" s="397">
        <f>calculo!T11</f>
        <v>0</v>
      </c>
    </row>
    <row r="32" spans="1:7" x14ac:dyDescent="0.2">
      <c r="A32">
        <v>31</v>
      </c>
      <c r="B32" t="s">
        <v>1638</v>
      </c>
      <c r="G32" s="397">
        <f>calculo!W11</f>
        <v>0</v>
      </c>
    </row>
    <row r="33" spans="1:7" x14ac:dyDescent="0.2">
      <c r="A33">
        <v>32</v>
      </c>
      <c r="B33" t="s">
        <v>1639</v>
      </c>
      <c r="G33" s="397">
        <f>calculo!Z11</f>
        <v>0</v>
      </c>
    </row>
    <row r="34" spans="1:7" x14ac:dyDescent="0.2">
      <c r="A34">
        <v>33</v>
      </c>
      <c r="B34" t="s">
        <v>1640</v>
      </c>
      <c r="G34" s="397">
        <f>calculo!AC11</f>
        <v>0</v>
      </c>
    </row>
    <row r="35" spans="1:7" x14ac:dyDescent="0.2">
      <c r="A35">
        <v>34</v>
      </c>
      <c r="B35" t="s">
        <v>1641</v>
      </c>
      <c r="G35" s="397">
        <f>calculo!AF11</f>
        <v>0</v>
      </c>
    </row>
    <row r="36" spans="1:7" x14ac:dyDescent="0.2">
      <c r="A36">
        <v>35</v>
      </c>
      <c r="B36" t="s">
        <v>1642</v>
      </c>
      <c r="G36" s="397">
        <f>calculo!AI11</f>
        <v>0</v>
      </c>
    </row>
    <row r="37" spans="1:7" x14ac:dyDescent="0.2">
      <c r="A37">
        <v>36</v>
      </c>
      <c r="B37" t="s">
        <v>1643</v>
      </c>
      <c r="G37" s="397">
        <f>calculo!AL11</f>
        <v>0</v>
      </c>
    </row>
    <row r="38" spans="1:7" x14ac:dyDescent="0.2">
      <c r="A38">
        <v>37</v>
      </c>
      <c r="B38" t="s">
        <v>1644</v>
      </c>
      <c r="G38" s="397">
        <f>calculo!D31</f>
        <v>0</v>
      </c>
    </row>
    <row r="39" spans="1:7" x14ac:dyDescent="0.2">
      <c r="A39">
        <v>38</v>
      </c>
      <c r="B39" t="s">
        <v>1645</v>
      </c>
      <c r="G39" s="397">
        <f>calculo!G31</f>
        <v>0</v>
      </c>
    </row>
    <row r="40" spans="1:7" x14ac:dyDescent="0.2">
      <c r="A40">
        <v>39</v>
      </c>
      <c r="B40" t="s">
        <v>1646</v>
      </c>
      <c r="G40" s="397">
        <f>calculo!J31</f>
        <v>0</v>
      </c>
    </row>
    <row r="41" spans="1:7" x14ac:dyDescent="0.2">
      <c r="A41">
        <v>40</v>
      </c>
      <c r="B41" t="s">
        <v>1647</v>
      </c>
      <c r="G41" s="397">
        <f>calculo!M31</f>
        <v>0</v>
      </c>
    </row>
    <row r="42" spans="1:7" x14ac:dyDescent="0.2">
      <c r="A42">
        <v>41</v>
      </c>
      <c r="B42" t="s">
        <v>1648</v>
      </c>
      <c r="G42" s="397">
        <f>calculo!P31</f>
        <v>0</v>
      </c>
    </row>
    <row r="43" spans="1:7" x14ac:dyDescent="0.2">
      <c r="A43">
        <v>42</v>
      </c>
      <c r="B43" t="s">
        <v>1649</v>
      </c>
      <c r="G43" s="397">
        <f>calculo!S31</f>
        <v>0</v>
      </c>
    </row>
    <row r="44" spans="1:7" x14ac:dyDescent="0.2">
      <c r="A44">
        <v>43</v>
      </c>
      <c r="B44" t="s">
        <v>1650</v>
      </c>
      <c r="G44" s="397">
        <f>calculo!V31</f>
        <v>0</v>
      </c>
    </row>
    <row r="45" spans="1:7" x14ac:dyDescent="0.2">
      <c r="A45">
        <v>44</v>
      </c>
      <c r="B45" t="s">
        <v>1651</v>
      </c>
      <c r="G45" s="397">
        <f>calculo!Y31</f>
        <v>0</v>
      </c>
    </row>
    <row r="46" spans="1:7" x14ac:dyDescent="0.2">
      <c r="A46">
        <v>45</v>
      </c>
      <c r="B46" t="s">
        <v>1652</v>
      </c>
      <c r="G46" s="397">
        <f>calculo!AB31</f>
        <v>0</v>
      </c>
    </row>
    <row r="47" spans="1:7" x14ac:dyDescent="0.2">
      <c r="A47">
        <v>46</v>
      </c>
      <c r="B47" t="s">
        <v>1653</v>
      </c>
      <c r="G47" s="397">
        <f>calculo!AE31</f>
        <v>0</v>
      </c>
    </row>
    <row r="48" spans="1:7" x14ac:dyDescent="0.2">
      <c r="A48">
        <v>47</v>
      </c>
      <c r="B48" t="s">
        <v>1654</v>
      </c>
      <c r="G48" s="397">
        <f>calculo!AH31</f>
        <v>0</v>
      </c>
    </row>
    <row r="49" spans="1:7" x14ac:dyDescent="0.2">
      <c r="A49">
        <v>48</v>
      </c>
      <c r="B49" t="s">
        <v>1655</v>
      </c>
      <c r="G49" s="397">
        <f>calculo!AK31</f>
        <v>0</v>
      </c>
    </row>
    <row r="50" spans="1:7" x14ac:dyDescent="0.2">
      <c r="A50">
        <v>49</v>
      </c>
      <c r="B50" t="s">
        <v>1656</v>
      </c>
      <c r="G50" s="397">
        <f>calculo!E31</f>
        <v>0</v>
      </c>
    </row>
    <row r="51" spans="1:7" x14ac:dyDescent="0.2">
      <c r="A51">
        <v>50</v>
      </c>
      <c r="B51" t="s">
        <v>1657</v>
      </c>
      <c r="G51" s="397">
        <f>calculo!H31</f>
        <v>0</v>
      </c>
    </row>
    <row r="52" spans="1:7" x14ac:dyDescent="0.2">
      <c r="A52">
        <v>51</v>
      </c>
      <c r="B52" t="s">
        <v>1658</v>
      </c>
      <c r="G52" s="397">
        <f>calculo!K31</f>
        <v>0</v>
      </c>
    </row>
    <row r="53" spans="1:7" x14ac:dyDescent="0.2">
      <c r="A53">
        <v>52</v>
      </c>
      <c r="B53" t="s">
        <v>1659</v>
      </c>
      <c r="G53" s="397">
        <f>calculo!N31</f>
        <v>0</v>
      </c>
    </row>
    <row r="54" spans="1:7" x14ac:dyDescent="0.2">
      <c r="A54">
        <v>53</v>
      </c>
      <c r="B54" t="s">
        <v>1660</v>
      </c>
      <c r="G54" s="397">
        <f>calculo!Q31</f>
        <v>0</v>
      </c>
    </row>
    <row r="55" spans="1:7" x14ac:dyDescent="0.2">
      <c r="A55">
        <v>54</v>
      </c>
      <c r="B55" t="s">
        <v>1661</v>
      </c>
      <c r="G55" s="397">
        <f>calculo!T31</f>
        <v>0</v>
      </c>
    </row>
    <row r="56" spans="1:7" x14ac:dyDescent="0.2">
      <c r="A56">
        <v>55</v>
      </c>
      <c r="B56" t="s">
        <v>1662</v>
      </c>
      <c r="G56" s="397">
        <f>calculo!W31</f>
        <v>0</v>
      </c>
    </row>
    <row r="57" spans="1:7" x14ac:dyDescent="0.2">
      <c r="A57">
        <v>56</v>
      </c>
      <c r="B57" t="s">
        <v>1663</v>
      </c>
      <c r="G57" s="397">
        <f>calculo!Z31</f>
        <v>0</v>
      </c>
    </row>
    <row r="58" spans="1:7" x14ac:dyDescent="0.2">
      <c r="A58">
        <v>57</v>
      </c>
      <c r="B58" t="s">
        <v>1664</v>
      </c>
      <c r="G58" s="397">
        <f>calculo!AC31</f>
        <v>0</v>
      </c>
    </row>
    <row r="59" spans="1:7" x14ac:dyDescent="0.2">
      <c r="A59">
        <v>58</v>
      </c>
      <c r="B59" t="s">
        <v>1665</v>
      </c>
      <c r="G59" s="397">
        <f>calculo!AF31</f>
        <v>0</v>
      </c>
    </row>
    <row r="60" spans="1:7" x14ac:dyDescent="0.2">
      <c r="A60">
        <v>59</v>
      </c>
      <c r="B60" t="s">
        <v>1666</v>
      </c>
      <c r="G60" s="397">
        <f>calculo!AI31</f>
        <v>0</v>
      </c>
    </row>
    <row r="61" spans="1:7" x14ac:dyDescent="0.2">
      <c r="A61">
        <v>60</v>
      </c>
      <c r="B61" t="s">
        <v>1667</v>
      </c>
      <c r="G61" s="397">
        <f>calculo!AL31</f>
        <v>0</v>
      </c>
    </row>
    <row r="62" spans="1:7" x14ac:dyDescent="0.2">
      <c r="A62">
        <v>61</v>
      </c>
      <c r="B62" t="s">
        <v>1668</v>
      </c>
      <c r="G62" s="397">
        <f>CENTRO_DE_MEDIÇÃO!I4</f>
        <v>0</v>
      </c>
    </row>
    <row r="63" spans="1:7" x14ac:dyDescent="0.2">
      <c r="A63">
        <v>62</v>
      </c>
      <c r="B63" s="20" t="s">
        <v>1669</v>
      </c>
      <c r="G63" s="397">
        <f>CENTRO_DE_MEDIÇÃO!J4</f>
        <v>0</v>
      </c>
    </row>
    <row r="64" spans="1:7" x14ac:dyDescent="0.2">
      <c r="A64">
        <v>63</v>
      </c>
      <c r="B64" s="20" t="s">
        <v>1695</v>
      </c>
      <c r="G64" s="397">
        <f>CENTRO_DE_MEDIÇÃO!G5</f>
        <v>63</v>
      </c>
    </row>
    <row r="65" spans="1:7" x14ac:dyDescent="0.2">
      <c r="A65">
        <v>64</v>
      </c>
      <c r="B65" s="20" t="s">
        <v>1696</v>
      </c>
      <c r="G65" s="397">
        <f>CENTRO_DE_MEDIÇÃO!H5</f>
        <v>64</v>
      </c>
    </row>
    <row r="66" spans="1:7" x14ac:dyDescent="0.2">
      <c r="A66">
        <v>65</v>
      </c>
      <c r="B66" s="20" t="s">
        <v>1697</v>
      </c>
      <c r="G66" s="397">
        <f>CENTRO_DE_MEDIÇÃO!A10</f>
        <v>65</v>
      </c>
    </row>
    <row r="67" spans="1:7" x14ac:dyDescent="0.2">
      <c r="A67">
        <v>66</v>
      </c>
      <c r="B67" s="20" t="s">
        <v>1698</v>
      </c>
      <c r="G67" s="397">
        <f>CENTRO_DE_MEDIÇÃO!D13</f>
        <v>66</v>
      </c>
    </row>
    <row r="68" spans="1:7" x14ac:dyDescent="0.2">
      <c r="A68">
        <v>67</v>
      </c>
      <c r="B68" s="20" t="s">
        <v>1699</v>
      </c>
      <c r="G68" s="397">
        <f>CENTRO_DE_MEDIÇÃO!H15</f>
        <v>67</v>
      </c>
    </row>
    <row r="69" spans="1:7" x14ac:dyDescent="0.2">
      <c r="A69">
        <v>68</v>
      </c>
      <c r="B69" s="20"/>
      <c r="G69" s="397">
        <v>0</v>
      </c>
    </row>
    <row r="70" spans="1:7" x14ac:dyDescent="0.2">
      <c r="A70">
        <v>69</v>
      </c>
      <c r="B70" s="20" t="s">
        <v>1700</v>
      </c>
      <c r="G70" s="397">
        <f>CENTRO_DE_MEDIÇÃO!E16</f>
        <v>69</v>
      </c>
    </row>
    <row r="71" spans="1:7" x14ac:dyDescent="0.2">
      <c r="A71">
        <v>70</v>
      </c>
      <c r="B71" s="20" t="s">
        <v>1701</v>
      </c>
      <c r="G71" s="397">
        <f>CENTRO_DE_MEDIÇÃO!D29</f>
        <v>0</v>
      </c>
    </row>
    <row r="72" spans="1:7" x14ac:dyDescent="0.2">
      <c r="A72">
        <v>70.099999999999994</v>
      </c>
      <c r="B72" s="20" t="s">
        <v>1782</v>
      </c>
      <c r="G72" s="397">
        <f>calculo!BR101</f>
        <v>0</v>
      </c>
    </row>
    <row r="73" spans="1:7" x14ac:dyDescent="0.2">
      <c r="A73">
        <v>70.11</v>
      </c>
      <c r="B73" s="20" t="s">
        <v>1783</v>
      </c>
      <c r="G73" s="397">
        <f>calculo!BS101</f>
        <v>0</v>
      </c>
    </row>
    <row r="74" spans="1:7" x14ac:dyDescent="0.2">
      <c r="A74">
        <v>70.12</v>
      </c>
      <c r="B74" s="20" t="s">
        <v>1784</v>
      </c>
      <c r="G74" s="397">
        <f>calculo!BT101</f>
        <v>0</v>
      </c>
    </row>
    <row r="75" spans="1:7" x14ac:dyDescent="0.2">
      <c r="A75">
        <v>70.13</v>
      </c>
      <c r="B75" s="20" t="s">
        <v>1785</v>
      </c>
      <c r="G75" s="397">
        <f>calculo!BU101</f>
        <v>0</v>
      </c>
    </row>
    <row r="76" spans="1:7" x14ac:dyDescent="0.2">
      <c r="A76">
        <v>70.14</v>
      </c>
      <c r="B76" s="20" t="s">
        <v>1786</v>
      </c>
      <c r="G76" s="397">
        <f>calculo!BV101</f>
        <v>0</v>
      </c>
    </row>
    <row r="77" spans="1:7" x14ac:dyDescent="0.2">
      <c r="A77">
        <v>70.150000000000006</v>
      </c>
      <c r="B77" s="20" t="s">
        <v>1787</v>
      </c>
      <c r="G77" s="397">
        <f>calculo!BW101</f>
        <v>0</v>
      </c>
    </row>
    <row r="78" spans="1:7" x14ac:dyDescent="0.2">
      <c r="A78">
        <v>70.16</v>
      </c>
      <c r="B78" s="20" t="s">
        <v>1788</v>
      </c>
      <c r="G78" s="397">
        <f>calculo!BX101</f>
        <v>0</v>
      </c>
    </row>
    <row r="79" spans="1:7" x14ac:dyDescent="0.2">
      <c r="A79">
        <v>70.17</v>
      </c>
      <c r="B79" s="20" t="s">
        <v>1789</v>
      </c>
      <c r="G79" s="397">
        <f>calculo!BY101</f>
        <v>0</v>
      </c>
    </row>
    <row r="80" spans="1:7" x14ac:dyDescent="0.2">
      <c r="A80">
        <v>70.180000000000007</v>
      </c>
      <c r="B80" s="20" t="s">
        <v>1790</v>
      </c>
      <c r="G80" s="397">
        <f>calculo!BZ101</f>
        <v>0</v>
      </c>
    </row>
    <row r="81" spans="1:7" x14ac:dyDescent="0.2">
      <c r="A81">
        <v>70.19</v>
      </c>
      <c r="B81" s="20" t="s">
        <v>1791</v>
      </c>
      <c r="G81" s="397">
        <f>calculo!CA101</f>
        <v>0</v>
      </c>
    </row>
    <row r="82" spans="1:7" x14ac:dyDescent="0.2">
      <c r="A82">
        <v>70.2</v>
      </c>
      <c r="B82" s="20" t="s">
        <v>1792</v>
      </c>
      <c r="G82" s="397">
        <f>calculo!CB101</f>
        <v>0</v>
      </c>
    </row>
    <row r="83" spans="1:7" x14ac:dyDescent="0.2">
      <c r="A83">
        <v>70.210000000000093</v>
      </c>
      <c r="B83" s="20" t="s">
        <v>1793</v>
      </c>
      <c r="G83" s="397">
        <f>calculo!CC101</f>
        <v>0</v>
      </c>
    </row>
    <row r="84" spans="1:7" x14ac:dyDescent="0.2">
      <c r="A84">
        <v>70.5</v>
      </c>
      <c r="B84" s="20" t="s">
        <v>1780</v>
      </c>
      <c r="G84" s="397">
        <f>CENTRO_DE_MEDIÇÃO!I14</f>
        <v>0</v>
      </c>
    </row>
    <row r="85" spans="1:7" x14ac:dyDescent="0.2">
      <c r="A85">
        <v>71</v>
      </c>
      <c r="B85" s="20" t="s">
        <v>1702</v>
      </c>
      <c r="G85" s="397">
        <f>CENTRO_DE_MEDIÇÃO!L17</f>
        <v>71</v>
      </c>
    </row>
    <row r="86" spans="1:7" x14ac:dyDescent="0.2">
      <c r="A86">
        <v>72</v>
      </c>
      <c r="B86" s="20" t="s">
        <v>1703</v>
      </c>
      <c r="G86" s="397">
        <f>CENTRO_DE_MEDIÇÃO!L18</f>
        <v>72</v>
      </c>
    </row>
    <row r="87" spans="1:7" x14ac:dyDescent="0.2">
      <c r="A87">
        <v>73</v>
      </c>
      <c r="B87" s="20" t="s">
        <v>1704</v>
      </c>
      <c r="G87" s="397">
        <f>CENTRO_DE_MEDIÇÃO!L19</f>
        <v>0</v>
      </c>
    </row>
    <row r="88" spans="1:7" x14ac:dyDescent="0.2">
      <c r="A88">
        <v>74</v>
      </c>
      <c r="B88" s="20" t="s">
        <v>1705</v>
      </c>
      <c r="G88" s="397">
        <f>CENTRO_DE_MEDIÇÃO!L20</f>
        <v>0</v>
      </c>
    </row>
    <row r="89" spans="1:7" x14ac:dyDescent="0.2">
      <c r="A89">
        <v>75</v>
      </c>
      <c r="B89" s="20" t="s">
        <v>1706</v>
      </c>
      <c r="G89" s="397">
        <f>CENTRO_DE_MEDIÇÃO!L21</f>
        <v>0</v>
      </c>
    </row>
    <row r="90" spans="1:7" x14ac:dyDescent="0.2">
      <c r="A90">
        <v>76</v>
      </c>
      <c r="B90" s="20" t="s">
        <v>1707</v>
      </c>
      <c r="G90" s="397">
        <f>CENTRO_DE_MEDIÇÃO!L22</f>
        <v>0</v>
      </c>
    </row>
    <row r="91" spans="1:7" x14ac:dyDescent="0.2">
      <c r="A91">
        <v>77</v>
      </c>
      <c r="B91" s="20" t="s">
        <v>1708</v>
      </c>
      <c r="G91" s="397">
        <f>CENTRO_DE_MEDIÇÃO!L23</f>
        <v>0</v>
      </c>
    </row>
    <row r="92" spans="1:7" x14ac:dyDescent="0.2">
      <c r="A92">
        <v>78</v>
      </c>
      <c r="B92" s="20" t="s">
        <v>1709</v>
      </c>
      <c r="G92" s="397">
        <f>CENTRO_DE_MEDIÇÃO!L24</f>
        <v>0</v>
      </c>
    </row>
    <row r="93" spans="1:7" x14ac:dyDescent="0.2">
      <c r="A93">
        <v>79</v>
      </c>
      <c r="B93" s="20" t="s">
        <v>1710</v>
      </c>
      <c r="G93" s="397">
        <f>CENTRO_DE_MEDIÇÃO!L25</f>
        <v>0</v>
      </c>
    </row>
    <row r="94" spans="1:7" x14ac:dyDescent="0.2">
      <c r="A94">
        <v>80</v>
      </c>
      <c r="B94" s="20" t="s">
        <v>1711</v>
      </c>
      <c r="G94" s="397">
        <f>CENTRO_DE_MEDIÇÃO!L26</f>
        <v>0</v>
      </c>
    </row>
    <row r="95" spans="1:7" x14ac:dyDescent="0.2">
      <c r="A95">
        <v>81</v>
      </c>
      <c r="B95" s="20" t="s">
        <v>1712</v>
      </c>
      <c r="G95" s="397">
        <f>CENTRO_DE_MEDIÇÃO!L27</f>
        <v>0</v>
      </c>
    </row>
    <row r="96" spans="1:7" x14ac:dyDescent="0.2">
      <c r="A96">
        <v>82</v>
      </c>
      <c r="B96" s="20" t="s">
        <v>1713</v>
      </c>
      <c r="G96" s="397">
        <f>CENTRO_DE_MEDIÇÃO!L28</f>
        <v>0</v>
      </c>
    </row>
    <row r="97" spans="1:7" x14ac:dyDescent="0.2">
      <c r="A97">
        <v>82.1</v>
      </c>
      <c r="B97" s="20" t="s">
        <v>1736</v>
      </c>
      <c r="G97" s="397">
        <f>CENTRO_DE_MEDIÇÃO!L30</f>
        <v>0</v>
      </c>
    </row>
    <row r="98" spans="1:7" x14ac:dyDescent="0.2">
      <c r="A98">
        <v>82.11</v>
      </c>
      <c r="B98" s="20" t="s">
        <v>1737</v>
      </c>
      <c r="G98" s="397">
        <f>CENTRO_DE_MEDIÇÃO!L31</f>
        <v>0</v>
      </c>
    </row>
    <row r="99" spans="1:7" x14ac:dyDescent="0.2">
      <c r="A99">
        <v>82.12</v>
      </c>
      <c r="B99" s="20" t="s">
        <v>1738</v>
      </c>
      <c r="G99" s="397">
        <f>CENTRO_DE_MEDIÇÃO!L32</f>
        <v>0</v>
      </c>
    </row>
    <row r="100" spans="1:7" x14ac:dyDescent="0.2">
      <c r="A100">
        <v>82.13</v>
      </c>
      <c r="B100" s="20" t="s">
        <v>1739</v>
      </c>
      <c r="G100" s="397">
        <f>CENTRO_DE_MEDIÇÃO!L33</f>
        <v>0</v>
      </c>
    </row>
    <row r="101" spans="1:7" x14ac:dyDescent="0.2">
      <c r="A101">
        <v>82.14</v>
      </c>
      <c r="B101" s="20" t="s">
        <v>1740</v>
      </c>
      <c r="G101" s="397">
        <f>CENTRO_DE_MEDIÇÃO!L34</f>
        <v>0</v>
      </c>
    </row>
    <row r="102" spans="1:7" x14ac:dyDescent="0.2">
      <c r="A102">
        <v>82.15</v>
      </c>
      <c r="B102" s="20" t="s">
        <v>1741</v>
      </c>
      <c r="G102" s="397">
        <f>CENTRO_DE_MEDIÇÃO!L35</f>
        <v>0</v>
      </c>
    </row>
    <row r="103" spans="1:7" x14ac:dyDescent="0.2">
      <c r="A103">
        <v>82.16</v>
      </c>
      <c r="B103" s="20" t="s">
        <v>1742</v>
      </c>
      <c r="G103" s="397">
        <f>CENTRO_DE_MEDIÇÃO!L36</f>
        <v>0</v>
      </c>
    </row>
    <row r="104" spans="1:7" x14ac:dyDescent="0.2">
      <c r="A104">
        <v>82.17</v>
      </c>
      <c r="B104" s="20" t="s">
        <v>1743</v>
      </c>
      <c r="G104" s="397">
        <f>CENTRO_DE_MEDIÇÃO!L37</f>
        <v>0</v>
      </c>
    </row>
    <row r="105" spans="1:7" x14ac:dyDescent="0.2">
      <c r="A105">
        <v>82.18</v>
      </c>
      <c r="B105" s="20" t="s">
        <v>1744</v>
      </c>
      <c r="G105" s="397">
        <f>CENTRO_DE_MEDIÇÃO!L38</f>
        <v>0</v>
      </c>
    </row>
    <row r="106" spans="1:7" x14ac:dyDescent="0.2">
      <c r="A106">
        <v>82.19</v>
      </c>
      <c r="B106" s="20" t="s">
        <v>1745</v>
      </c>
      <c r="G106" s="397">
        <f>CENTRO_DE_MEDIÇÃO!L39</f>
        <v>0</v>
      </c>
    </row>
    <row r="107" spans="1:7" x14ac:dyDescent="0.2">
      <c r="A107">
        <v>82.2</v>
      </c>
      <c r="B107" s="20" t="s">
        <v>1746</v>
      </c>
      <c r="G107" s="397">
        <f>CENTRO_DE_MEDIÇÃO!L40</f>
        <v>0</v>
      </c>
    </row>
    <row r="108" spans="1:7" x14ac:dyDescent="0.2">
      <c r="A108">
        <v>82.21</v>
      </c>
      <c r="B108" s="20" t="s">
        <v>1747</v>
      </c>
      <c r="G108" s="397">
        <f>CENTRO_DE_MEDIÇÃO!L41</f>
        <v>0</v>
      </c>
    </row>
    <row r="109" spans="1:7" x14ac:dyDescent="0.2">
      <c r="A109">
        <v>82.22</v>
      </c>
      <c r="B109" s="20" t="s">
        <v>1797</v>
      </c>
      <c r="G109" s="397">
        <f>CENTRO_DE_MEDIÇÃO!F29</f>
        <v>0</v>
      </c>
    </row>
    <row r="110" spans="1:7" x14ac:dyDescent="0.2">
      <c r="A110">
        <v>82.23</v>
      </c>
      <c r="B110" s="20" t="s">
        <v>1764</v>
      </c>
      <c r="G110" s="397">
        <f>CENTRO_DE_MEDIÇÃO!J14</f>
        <v>0</v>
      </c>
    </row>
    <row r="111" spans="1:7" x14ac:dyDescent="0.2">
      <c r="A111">
        <v>83</v>
      </c>
      <c r="B111" s="20" t="s">
        <v>1714</v>
      </c>
      <c r="G111" s="397">
        <f>CENTRO_DE_MEDIÇÃO!I29</f>
        <v>0</v>
      </c>
    </row>
    <row r="112" spans="1:7" x14ac:dyDescent="0.2">
      <c r="A112">
        <v>84</v>
      </c>
      <c r="B112" s="20" t="s">
        <v>1715</v>
      </c>
      <c r="G112" s="397">
        <f>MEMORIAL!E9</f>
        <v>84</v>
      </c>
    </row>
    <row r="113" spans="1:7" x14ac:dyDescent="0.2">
      <c r="A113">
        <v>85</v>
      </c>
      <c r="B113" s="20" t="s">
        <v>1716</v>
      </c>
      <c r="G113" s="397">
        <f>MEMORIAL!E9</f>
        <v>84</v>
      </c>
    </row>
    <row r="114" spans="1:7" x14ac:dyDescent="0.2">
      <c r="A114">
        <v>86</v>
      </c>
      <c r="B114" s="20" t="s">
        <v>1717</v>
      </c>
      <c r="G114" s="397">
        <f>MEMORIAL!L8</f>
        <v>0</v>
      </c>
    </row>
    <row r="115" spans="1:7" x14ac:dyDescent="0.2">
      <c r="A115">
        <v>87</v>
      </c>
      <c r="B115" s="20" t="s">
        <v>1718</v>
      </c>
      <c r="G115" s="397">
        <f>MEMORIAL!L8</f>
        <v>0</v>
      </c>
    </row>
    <row r="116" spans="1:7" x14ac:dyDescent="0.2">
      <c r="A116">
        <v>88</v>
      </c>
      <c r="B116" s="20" t="s">
        <v>1719</v>
      </c>
      <c r="G116" s="397">
        <f>MEMORIAL!L10</f>
        <v>0</v>
      </c>
    </row>
    <row r="117" spans="1:7" x14ac:dyDescent="0.2">
      <c r="A117">
        <v>89</v>
      </c>
      <c r="B117" s="20" t="s">
        <v>1720</v>
      </c>
      <c r="G117" s="397">
        <f>MEMORIAL!E25</f>
        <v>0</v>
      </c>
    </row>
    <row r="118" spans="1:7" x14ac:dyDescent="0.2">
      <c r="A118">
        <v>90</v>
      </c>
      <c r="B118" s="20" t="s">
        <v>1724</v>
      </c>
      <c r="G118" s="397">
        <f>MEMORIAL!F28</f>
        <v>90</v>
      </c>
    </row>
    <row r="119" spans="1:7" x14ac:dyDescent="0.2">
      <c r="A119">
        <v>91</v>
      </c>
      <c r="B119" s="20" t="s">
        <v>1723</v>
      </c>
      <c r="G119" s="397">
        <f>MEMORIAL!F28</f>
        <v>90</v>
      </c>
    </row>
    <row r="120" spans="1:7" x14ac:dyDescent="0.2">
      <c r="A120">
        <v>92</v>
      </c>
      <c r="B120" s="20" t="s">
        <v>1725</v>
      </c>
      <c r="G120" s="397">
        <f>MEMORIAL!H33</f>
        <v>92</v>
      </c>
    </row>
    <row r="121" spans="1:7" x14ac:dyDescent="0.2">
      <c r="A121">
        <v>93</v>
      </c>
      <c r="B121" s="20" t="s">
        <v>1729</v>
      </c>
      <c r="G121" s="397">
        <f>MEMORIAL!H32</f>
        <v>93</v>
      </c>
    </row>
    <row r="122" spans="1:7" x14ac:dyDescent="0.2">
      <c r="A122">
        <v>94</v>
      </c>
      <c r="B122" s="20" t="s">
        <v>1730</v>
      </c>
      <c r="G122" s="397">
        <f>MEMORIAL!H34</f>
        <v>0</v>
      </c>
    </row>
    <row r="123" spans="1:7" x14ac:dyDescent="0.2">
      <c r="A123">
        <v>95</v>
      </c>
      <c r="B123" s="20" t="s">
        <v>1731</v>
      </c>
      <c r="G123" s="397">
        <f>MEMORIAL!H35</f>
        <v>0</v>
      </c>
    </row>
    <row r="124" spans="1:7" x14ac:dyDescent="0.2">
      <c r="A124">
        <v>96</v>
      </c>
      <c r="B124" s="20" t="s">
        <v>1732</v>
      </c>
      <c r="G124" s="397">
        <f>MEMORIAL!H36</f>
        <v>0</v>
      </c>
    </row>
    <row r="125" spans="1:7" x14ac:dyDescent="0.2">
      <c r="A125">
        <v>97</v>
      </c>
      <c r="B125" s="20" t="s">
        <v>1733</v>
      </c>
      <c r="G125" s="397">
        <f>MEMORIAL!H38</f>
        <v>0</v>
      </c>
    </row>
    <row r="126" spans="1:7" x14ac:dyDescent="0.2">
      <c r="A126">
        <v>98</v>
      </c>
      <c r="B126" s="20" t="s">
        <v>1762</v>
      </c>
      <c r="G126" s="397">
        <f>MEMORIAL!M42</f>
        <v>98</v>
      </c>
    </row>
    <row r="127" spans="1:7" x14ac:dyDescent="0.2">
      <c r="A127">
        <v>99</v>
      </c>
      <c r="B127" s="20" t="s">
        <v>1774</v>
      </c>
      <c r="G127" s="397">
        <f>MEMORIAL!A43</f>
        <v>99</v>
      </c>
    </row>
    <row r="128" spans="1:7" x14ac:dyDescent="0.2">
      <c r="A128">
        <v>100</v>
      </c>
      <c r="B128" s="20" t="s">
        <v>1765</v>
      </c>
      <c r="G128" s="397">
        <f>MEMORIAL!M43</f>
        <v>100</v>
      </c>
    </row>
    <row r="129" spans="1:7" x14ac:dyDescent="0.2">
      <c r="A129">
        <v>101</v>
      </c>
      <c r="B129" s="20" t="s">
        <v>1766</v>
      </c>
      <c r="G129" s="397">
        <f>MEMORIAL!A44</f>
        <v>101</v>
      </c>
    </row>
    <row r="130" spans="1:7" x14ac:dyDescent="0.2">
      <c r="A130">
        <v>102</v>
      </c>
      <c r="B130" s="20" t="s">
        <v>1767</v>
      </c>
      <c r="G130" s="397">
        <f>MEMORIAL!M44</f>
        <v>102</v>
      </c>
    </row>
    <row r="131" spans="1:7" x14ac:dyDescent="0.2">
      <c r="A131">
        <v>103</v>
      </c>
      <c r="B131" s="20" t="s">
        <v>1768</v>
      </c>
      <c r="G131" s="397">
        <f>MEMORIAL!A48</f>
        <v>103</v>
      </c>
    </row>
    <row r="132" spans="1:7" x14ac:dyDescent="0.2">
      <c r="A132">
        <v>104</v>
      </c>
      <c r="B132" s="20" t="s">
        <v>1769</v>
      </c>
      <c r="G132" s="397">
        <f>MEMORIAL!N48</f>
        <v>104</v>
      </c>
    </row>
    <row r="133" spans="1:7" x14ac:dyDescent="0.2">
      <c r="A133">
        <v>105</v>
      </c>
      <c r="B133" s="20" t="s">
        <v>1770</v>
      </c>
      <c r="G133" s="397">
        <f>MEMORIAL!A49</f>
        <v>105</v>
      </c>
    </row>
    <row r="134" spans="1:7" x14ac:dyDescent="0.2">
      <c r="A134">
        <v>106</v>
      </c>
      <c r="B134" s="20" t="s">
        <v>1771</v>
      </c>
      <c r="G134" s="397">
        <f>MEMORIAL!N49</f>
        <v>106</v>
      </c>
    </row>
    <row r="135" spans="1:7" x14ac:dyDescent="0.2">
      <c r="A135">
        <v>107</v>
      </c>
      <c r="B135" s="20" t="s">
        <v>1772</v>
      </c>
      <c r="G135" s="397">
        <f>MEMORIAL!A51</f>
        <v>107</v>
      </c>
    </row>
    <row r="136" spans="1:7" x14ac:dyDescent="0.2">
      <c r="A136">
        <v>108</v>
      </c>
      <c r="B136" s="20" t="s">
        <v>1773</v>
      </c>
      <c r="G136" s="397">
        <f>MEMORIAL!A52</f>
        <v>108</v>
      </c>
    </row>
    <row r="137" spans="1:7" x14ac:dyDescent="0.2">
      <c r="A137">
        <v>109</v>
      </c>
      <c r="B137" s="20" t="s">
        <v>1775</v>
      </c>
      <c r="G137" s="397">
        <f>MEMORIAL!A53</f>
        <v>109</v>
      </c>
    </row>
    <row r="138" spans="1:7" x14ac:dyDescent="0.2">
      <c r="A138">
        <v>110</v>
      </c>
      <c r="B138" s="20" t="s">
        <v>1776</v>
      </c>
      <c r="G138" s="397">
        <f>MEMORIAL!A55</f>
        <v>110</v>
      </c>
    </row>
    <row r="139" spans="1:7" x14ac:dyDescent="0.2">
      <c r="A139">
        <v>111</v>
      </c>
      <c r="B139" s="20" t="s">
        <v>1777</v>
      </c>
      <c r="G139" s="397">
        <f>MEMORIAL!M52</f>
        <v>111</v>
      </c>
    </row>
    <row r="140" spans="1:7" x14ac:dyDescent="0.2">
      <c r="A140">
        <v>112</v>
      </c>
      <c r="B140" s="20" t="s">
        <v>1778</v>
      </c>
      <c r="G140" s="397">
        <f>MEMORIAL!N53</f>
        <v>112</v>
      </c>
    </row>
    <row r="141" spans="1:7" x14ac:dyDescent="0.2">
      <c r="A141">
        <v>113</v>
      </c>
      <c r="B141" s="20" t="s">
        <v>1779</v>
      </c>
      <c r="G141" s="397">
        <f>MEMORIAL!L54</f>
        <v>113</v>
      </c>
    </row>
    <row r="142" spans="1:7" x14ac:dyDescent="0.2">
      <c r="A142">
        <v>114</v>
      </c>
      <c r="B142" s="20" t="s">
        <v>1829</v>
      </c>
      <c r="G142" s="397">
        <f>IF(CROQUI!AE5=114,CROQUI!AE5,0)</f>
        <v>114</v>
      </c>
    </row>
    <row r="143" spans="1:7" x14ac:dyDescent="0.2">
      <c r="A143">
        <v>115</v>
      </c>
      <c r="B143" s="20" t="s">
        <v>1830</v>
      </c>
      <c r="G143" s="397">
        <f>IF(CROQUI!AE5=115,CROQUI!AE5,0)</f>
        <v>0</v>
      </c>
    </row>
    <row r="144" spans="1:7" x14ac:dyDescent="0.2">
      <c r="A144">
        <v>116</v>
      </c>
      <c r="B144" s="20" t="s">
        <v>1831</v>
      </c>
      <c r="G144" s="397">
        <f>IF(CROQUI!AD6="",116,0)</f>
        <v>116</v>
      </c>
    </row>
    <row r="145" spans="1:7" x14ac:dyDescent="0.2">
      <c r="A145">
        <v>117</v>
      </c>
      <c r="B145" s="20" t="s">
        <v>1832</v>
      </c>
      <c r="G145" s="397">
        <f>IF(CROQUI!AD6&gt;15,117,0)</f>
        <v>0</v>
      </c>
    </row>
  </sheetData>
  <customSheetViews>
    <customSheetView guid="{3D0BF824-B70B-411D-8F8F-CCBEF08DF0BD}" state="hidden">
      <selection activeCell="B1" sqref="B1"/>
      <pageMargins left="0.511811024" right="0.511811024" top="0.78740157499999996" bottom="0.78740157499999996" header="0.31496062000000002" footer="0.31496062000000002"/>
      <pageSetup paperSize="9" orientation="portrait" r:id="rId1"/>
    </customSheetView>
  </customSheetViews>
  <pageMargins left="0.511811024" right="0.511811024" top="0.78740157499999996" bottom="0.78740157499999996" header="0.31496062000000002" footer="0.31496062000000002"/>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dimension ref="A1:AD103"/>
  <sheetViews>
    <sheetView topLeftCell="A32" zoomScaleNormal="100" workbookViewId="0">
      <selection activeCell="G37" sqref="G37"/>
    </sheetView>
  </sheetViews>
  <sheetFormatPr defaultRowHeight="12.75" x14ac:dyDescent="0.2"/>
  <cols>
    <col min="2" max="2" width="14.140625" customWidth="1"/>
    <col min="6" max="6" width="11.140625" bestFit="1" customWidth="1"/>
    <col min="7" max="8" width="8.42578125" bestFit="1" customWidth="1"/>
    <col min="9" max="9" width="10.7109375" customWidth="1"/>
    <col min="11" max="11" width="11" bestFit="1" customWidth="1"/>
  </cols>
  <sheetData>
    <row r="1" spans="2:24" x14ac:dyDescent="0.2">
      <c r="B1" t="s">
        <v>1</v>
      </c>
      <c r="L1" t="s">
        <v>214</v>
      </c>
      <c r="N1" t="s">
        <v>215</v>
      </c>
    </row>
    <row r="2" spans="2:24" ht="13.5" thickBot="1" x14ac:dyDescent="0.25">
      <c r="C2" t="s">
        <v>172</v>
      </c>
      <c r="D2" t="s">
        <v>173</v>
      </c>
      <c r="E2" t="s">
        <v>174</v>
      </c>
      <c r="F2" t="s">
        <v>175</v>
      </c>
      <c r="G2" t="s">
        <v>180</v>
      </c>
      <c r="H2" s="20" t="s">
        <v>213</v>
      </c>
      <c r="I2" t="s">
        <v>181</v>
      </c>
      <c r="J2" t="s">
        <v>1835</v>
      </c>
      <c r="K2" s="20" t="s">
        <v>200</v>
      </c>
      <c r="L2" s="20" t="s">
        <v>213</v>
      </c>
      <c r="M2" t="s">
        <v>1602</v>
      </c>
    </row>
    <row r="3" spans="2:24" x14ac:dyDescent="0.2">
      <c r="B3" t="s">
        <v>150</v>
      </c>
      <c r="C3" s="98">
        <f>IF(CENTRO_DE_MEDIÇÃO!$G$4="ESTRELA",calculo!$BR$97,calculo!$BR$98)</f>
        <v>0</v>
      </c>
      <c r="D3">
        <f>calculo!$BR$94</f>
        <v>2</v>
      </c>
      <c r="E3">
        <f>CENTRO_DE_MEDIÇÃO!D17</f>
        <v>0</v>
      </c>
      <c r="F3" t="str">
        <f>CENTRO_DE_MEDIÇÃO!H17</f>
        <v/>
      </c>
      <c r="G3">
        <f>IF(D3=2,VLOOKUP(C3,$C$41:$H$52,2,TRUE),IF(C3&lt;=35,VLOOKUP(49,$C$43:$H$52,2,TRUE),VLOOKUP(C3,$C$41:$H$52,2,TRUE)))</f>
        <v>30</v>
      </c>
      <c r="H3">
        <f>IF(D3=2,VLOOKUP(calculo!$AQ$65,CondutorXcorrenteXproteção!$A$75:$C$77,3,TRUE),VLOOKUP(calculo!$AQ$65,CondutorXcorrenteXproteção!$A$87:$C$96,3,TRUE))</f>
        <v>0</v>
      </c>
      <c r="I3">
        <f>VLOOKUP(M3,$D$41:$H$52,IF(E3="PVC",2,4),FALSE)</f>
        <v>6</v>
      </c>
      <c r="J3">
        <f>IF(E3="PVC",VLOOKUP(I3,$P$41:$Q$52,2,TRUE),VLOOKUP(I3,$P$41:$R$52,3,TRUE))</f>
        <v>43</v>
      </c>
      <c r="K3" t="str">
        <f>VLOOKUP(N3,$P$3:$R$8,3,TRUE)</f>
        <v>32 mm</v>
      </c>
      <c r="M3">
        <f>LARGE(G3:H3,1)</f>
        <v>30</v>
      </c>
      <c r="N3">
        <f>J3*(D3+1)</f>
        <v>129</v>
      </c>
      <c r="P3">
        <v>0</v>
      </c>
      <c r="Q3">
        <v>226</v>
      </c>
      <c r="R3" t="s">
        <v>1799</v>
      </c>
      <c r="T3" s="440" t="s">
        <v>176</v>
      </c>
      <c r="U3" s="441" t="s">
        <v>1839</v>
      </c>
      <c r="V3" s="439"/>
      <c r="W3" s="440" t="s">
        <v>178</v>
      </c>
      <c r="X3" s="441" t="s">
        <v>1839</v>
      </c>
    </row>
    <row r="4" spans="2:24" x14ac:dyDescent="0.2">
      <c r="B4" t="s">
        <v>151</v>
      </c>
      <c r="C4" s="98">
        <f>IF(CENTRO_DE_MEDIÇÃO!$G$4="ESTRELA",calculo!$BS$97,calculo!$BS$98)</f>
        <v>0</v>
      </c>
      <c r="D4">
        <f>calculo!$BS$94</f>
        <v>2</v>
      </c>
      <c r="E4">
        <f>CENTRO_DE_MEDIÇÃO!D18</f>
        <v>0</v>
      </c>
      <c r="F4" t="str">
        <f>CENTRO_DE_MEDIÇÃO!H18</f>
        <v/>
      </c>
      <c r="G4">
        <f t="shared" ref="G4:G14" si="0">IF(D4=2,VLOOKUP(C4,$C$41:$H$52,2,TRUE),IF(C4&lt;=35,VLOOKUP(49,$C$43:$H$52,2,TRUE),VLOOKUP(C4,$C$41:$H$52,2,TRUE)))</f>
        <v>30</v>
      </c>
      <c r="H4">
        <f>IF(D4=2,VLOOKUP(calculo!$AR$65,CondutorXcorrenteXproteção!$A$75:$C$77,3,TRUE),VLOOKUP(calculo!$AR$65,CondutorXcorrenteXproteção!$A$87:$C$96,3,TRUE))</f>
        <v>0</v>
      </c>
      <c r="I4">
        <f>VLOOKUP(M4,$D$41:$H$52,IF(E4="PVC",2,4),FALSE)</f>
        <v>6</v>
      </c>
      <c r="J4">
        <f t="shared" ref="J4:J36" si="1">IF(E4="PVC",VLOOKUP(I4,$P$41:$Q$52,2,TRUE),VLOOKUP(I4,$P$41:$R$52,3,TRUE))</f>
        <v>43</v>
      </c>
      <c r="K4" t="str">
        <f t="shared" ref="K4:K36" si="2">VLOOKUP(N4,$P$3:$R$8,3,TRUE)</f>
        <v>32 mm</v>
      </c>
      <c r="M4">
        <f t="shared" ref="M4:M37" si="3">LARGE(G4:H4,1)</f>
        <v>30</v>
      </c>
      <c r="N4">
        <f t="shared" ref="N4:N37" si="4">J4*(D4+1)</f>
        <v>129</v>
      </c>
      <c r="P4">
        <v>227</v>
      </c>
      <c r="Q4">
        <v>385</v>
      </c>
      <c r="R4" t="s">
        <v>1800</v>
      </c>
      <c r="T4" s="442">
        <v>30</v>
      </c>
      <c r="U4" s="443" t="s">
        <v>1840</v>
      </c>
      <c r="V4" s="439"/>
      <c r="W4" s="444" t="s">
        <v>1840</v>
      </c>
      <c r="X4" s="443"/>
    </row>
    <row r="5" spans="2:24" x14ac:dyDescent="0.2">
      <c r="B5" t="s">
        <v>158</v>
      </c>
      <c r="C5" s="98">
        <f>IF(CENTRO_DE_MEDIÇÃO!$G$4="ESTRELA",calculo!$BT$97,calculo!$BT$98)</f>
        <v>0</v>
      </c>
      <c r="D5">
        <f>calculo!$BT$94</f>
        <v>2</v>
      </c>
      <c r="E5">
        <f>CENTRO_DE_MEDIÇÃO!D19</f>
        <v>0</v>
      </c>
      <c r="F5" t="str">
        <f>CENTRO_DE_MEDIÇÃO!H19</f>
        <v/>
      </c>
      <c r="G5">
        <f t="shared" si="0"/>
        <v>30</v>
      </c>
      <c r="H5">
        <f>IF(D5=2,VLOOKUP(calculo!$AS$65,CondutorXcorrenteXproteção!$A$75:$C$77,3,TRUE),VLOOKUP(calculo!$AS$65,CondutorXcorrenteXproteção!$A$87:$C$96,3,TRUE))</f>
        <v>0</v>
      </c>
      <c r="I5">
        <f t="shared" ref="I5:I14" si="5">VLOOKUP(M5,$D$41:$H$52,IF(E5="PVC",2,4),FALSE)</f>
        <v>6</v>
      </c>
      <c r="J5">
        <f t="shared" si="1"/>
        <v>43</v>
      </c>
      <c r="K5" t="str">
        <f t="shared" si="2"/>
        <v>32 mm</v>
      </c>
      <c r="M5">
        <f t="shared" si="3"/>
        <v>30</v>
      </c>
      <c r="N5">
        <f t="shared" si="4"/>
        <v>129</v>
      </c>
      <c r="P5">
        <v>386</v>
      </c>
      <c r="Q5">
        <v>498</v>
      </c>
      <c r="R5" t="s">
        <v>1801</v>
      </c>
      <c r="T5" s="442">
        <v>50</v>
      </c>
      <c r="U5" s="443" t="s">
        <v>1841</v>
      </c>
      <c r="V5" s="439"/>
      <c r="W5" s="444" t="s">
        <v>1840</v>
      </c>
      <c r="X5" s="443"/>
    </row>
    <row r="6" spans="2:24" x14ac:dyDescent="0.2">
      <c r="B6" t="s">
        <v>159</v>
      </c>
      <c r="C6" s="98">
        <f>IF(CENTRO_DE_MEDIÇÃO!$G$4="ESTRELA",calculo!$BU$97,calculo!$BU$98)</f>
        <v>0</v>
      </c>
      <c r="D6">
        <f>calculo!$BU$94</f>
        <v>2</v>
      </c>
      <c r="E6">
        <f>CENTRO_DE_MEDIÇÃO!D20</f>
        <v>0</v>
      </c>
      <c r="F6" t="str">
        <f>CENTRO_DE_MEDIÇÃO!H20</f>
        <v/>
      </c>
      <c r="G6">
        <f t="shared" si="0"/>
        <v>30</v>
      </c>
      <c r="H6">
        <f>IF(D6=2,VLOOKUP(calculo!$AT$65,CondutorXcorrenteXproteção!$A$75:$C$77,3,TRUE),VLOOKUP(calculo!$AT$65,CondutorXcorrenteXproteção!$A$87:$C$96,3,TRUE))</f>
        <v>0</v>
      </c>
      <c r="I6">
        <f t="shared" si="5"/>
        <v>6</v>
      </c>
      <c r="J6">
        <f t="shared" si="1"/>
        <v>43</v>
      </c>
      <c r="K6" t="str">
        <f t="shared" si="2"/>
        <v>32 mm</v>
      </c>
      <c r="M6">
        <f t="shared" si="3"/>
        <v>30</v>
      </c>
      <c r="N6">
        <f t="shared" si="4"/>
        <v>129</v>
      </c>
      <c r="P6">
        <v>499</v>
      </c>
      <c r="Q6">
        <v>792</v>
      </c>
      <c r="R6" t="s">
        <v>1802</v>
      </c>
      <c r="T6" s="442">
        <v>63</v>
      </c>
      <c r="U6" s="443" t="s">
        <v>1841</v>
      </c>
      <c r="V6" s="439"/>
      <c r="W6" s="444" t="s">
        <v>1840</v>
      </c>
      <c r="X6" s="443"/>
    </row>
    <row r="7" spans="2:24" x14ac:dyDescent="0.2">
      <c r="B7" t="s">
        <v>1587</v>
      </c>
      <c r="C7" s="98">
        <f>IF(CENTRO_DE_MEDIÇÃO!$G$4="ESTRELA",calculo!$BV$97,calculo!$BV$98)</f>
        <v>0</v>
      </c>
      <c r="D7">
        <f>calculo!$BV$94</f>
        <v>2</v>
      </c>
      <c r="E7">
        <f>CENTRO_DE_MEDIÇÃO!D21</f>
        <v>0</v>
      </c>
      <c r="F7" t="str">
        <f>CENTRO_DE_MEDIÇÃO!H21</f>
        <v/>
      </c>
      <c r="G7">
        <f>IF(D7=2,VLOOKUP(C7,$C$41:$H$52,2,TRUE),IF(C7&lt;=35,VLOOKUP(49,$C$43:$H$52,2,TRUE),VLOOKUP(C7,$C$41:$H$52,2,TRUE)))</f>
        <v>30</v>
      </c>
      <c r="H7">
        <f>IF(D7=2,VLOOKUP(calculo!$AU$65,CondutorXcorrenteXproteção!$A$75:$C$77,3,TRUE),VLOOKUP(calculo!$AU$65,CondutorXcorrenteXproteção!$A$87:$C$96,3,TRUE))</f>
        <v>0</v>
      </c>
      <c r="I7">
        <f t="shared" si="5"/>
        <v>6</v>
      </c>
      <c r="J7">
        <f t="shared" si="1"/>
        <v>43</v>
      </c>
      <c r="K7" t="str">
        <f t="shared" si="2"/>
        <v>32 mm</v>
      </c>
      <c r="M7">
        <f t="shared" si="3"/>
        <v>30</v>
      </c>
      <c r="N7">
        <f t="shared" si="4"/>
        <v>129</v>
      </c>
      <c r="P7">
        <v>793</v>
      </c>
      <c r="Q7">
        <v>1291</v>
      </c>
      <c r="R7" t="s">
        <v>1803</v>
      </c>
      <c r="T7" s="442">
        <v>80</v>
      </c>
      <c r="U7" s="443" t="s">
        <v>1841</v>
      </c>
      <c r="V7" s="439"/>
      <c r="W7" s="444" t="s">
        <v>1840</v>
      </c>
      <c r="X7" s="443"/>
    </row>
    <row r="8" spans="2:24" x14ac:dyDescent="0.2">
      <c r="B8" t="s">
        <v>1588</v>
      </c>
      <c r="C8" s="98">
        <f>IF(CENTRO_DE_MEDIÇÃO!$G$4="ESTRELA",calculo!$BW$97,calculo!$BW$98)</f>
        <v>0</v>
      </c>
      <c r="D8">
        <f>calculo!$BW$94</f>
        <v>2</v>
      </c>
      <c r="E8">
        <f>CENTRO_DE_MEDIÇÃO!D22</f>
        <v>0</v>
      </c>
      <c r="F8" t="str">
        <f>CENTRO_DE_MEDIÇÃO!H22</f>
        <v/>
      </c>
      <c r="G8">
        <f>IF(D8=2,VLOOKUP(C8,$C$41:$H$52,2,TRUE),IF(C8&lt;=35,VLOOKUP(49,$C$43:$H$52,2,TRUE),VLOOKUP(C8,$C$41:$H$52,2,TRUE)))</f>
        <v>30</v>
      </c>
      <c r="H8">
        <f>IF(D8=2,VLOOKUP(calculo!$AV$65,CondutorXcorrenteXproteção!$A$75:$C$77,3,TRUE),VLOOKUP(calculo!$AV$65,CondutorXcorrenteXproteção!$A$87:$C$96,3,TRUE))</f>
        <v>0</v>
      </c>
      <c r="I8">
        <f t="shared" si="5"/>
        <v>6</v>
      </c>
      <c r="J8">
        <f t="shared" si="1"/>
        <v>43</v>
      </c>
      <c r="K8" t="str">
        <f t="shared" si="2"/>
        <v>32 mm</v>
      </c>
      <c r="M8">
        <f t="shared" si="3"/>
        <v>30</v>
      </c>
      <c r="N8">
        <f t="shared" si="4"/>
        <v>129</v>
      </c>
      <c r="P8">
        <v>1292</v>
      </c>
      <c r="Q8">
        <v>1796</v>
      </c>
      <c r="R8" t="s">
        <v>1804</v>
      </c>
      <c r="T8" s="442">
        <v>100</v>
      </c>
      <c r="U8" s="443" t="s">
        <v>1841</v>
      </c>
      <c r="V8" s="439"/>
      <c r="W8" s="444" t="s">
        <v>1840</v>
      </c>
      <c r="X8" s="443"/>
    </row>
    <row r="9" spans="2:24" x14ac:dyDescent="0.2">
      <c r="B9" t="s">
        <v>1589</v>
      </c>
      <c r="C9" s="98">
        <f>IF(CENTRO_DE_MEDIÇÃO!$G$4="ESTRELA",calculo!$BX$97,calculo!$BX$98)</f>
        <v>0</v>
      </c>
      <c r="D9">
        <f>calculo!$BX$94</f>
        <v>2</v>
      </c>
      <c r="E9">
        <f>CENTRO_DE_MEDIÇÃO!D23</f>
        <v>0</v>
      </c>
      <c r="F9" t="str">
        <f>CENTRO_DE_MEDIÇÃO!H23</f>
        <v/>
      </c>
      <c r="G9">
        <f>IF(D9=2,VLOOKUP(C9,$C$41:$H$52,2,TRUE),IF(C9&lt;=35,VLOOKUP(49,$C$43:$H$52,2,TRUE),VLOOKUP(C9,$C$41:$H$52,2,TRUE)))</f>
        <v>30</v>
      </c>
      <c r="H9">
        <f>IF(D9=2,VLOOKUP(calculo!$AW$65,CondutorXcorrenteXproteção!$A$75:$C$77,3,TRUE),VLOOKUP(calculo!$AW$65,CondutorXcorrenteXproteção!$A$87:$C$96,3,TRUE))</f>
        <v>0</v>
      </c>
      <c r="I9">
        <f t="shared" si="5"/>
        <v>6</v>
      </c>
      <c r="J9">
        <f t="shared" si="1"/>
        <v>43</v>
      </c>
      <c r="K9" t="str">
        <f t="shared" si="2"/>
        <v>32 mm</v>
      </c>
      <c r="M9">
        <f t="shared" si="3"/>
        <v>30</v>
      </c>
      <c r="N9">
        <f t="shared" si="4"/>
        <v>129</v>
      </c>
      <c r="T9" s="442">
        <v>125</v>
      </c>
      <c r="U9" s="443" t="s">
        <v>1841</v>
      </c>
      <c r="V9" s="439"/>
      <c r="W9" s="444" t="s">
        <v>1840</v>
      </c>
      <c r="X9" s="443"/>
    </row>
    <row r="10" spans="2:24" x14ac:dyDescent="0.2">
      <c r="B10" t="s">
        <v>1590</v>
      </c>
      <c r="C10" s="98">
        <f>IF(CENTRO_DE_MEDIÇÃO!$G$4="ESTRELA",calculo!$BY$97,calculo!$BY$98)</f>
        <v>0</v>
      </c>
      <c r="D10">
        <f>calculo!$BY$94</f>
        <v>2</v>
      </c>
      <c r="E10">
        <f>CENTRO_DE_MEDIÇÃO!D24</f>
        <v>0</v>
      </c>
      <c r="F10" t="str">
        <f>CENTRO_DE_MEDIÇÃO!H24</f>
        <v/>
      </c>
      <c r="G10">
        <f t="shared" si="0"/>
        <v>30</v>
      </c>
      <c r="H10">
        <f>IF(D10=2,VLOOKUP(calculo!$AX$65,CondutorXcorrenteXproteção!$A$75:$C$77,3,TRUE),VLOOKUP(calculo!$AX$65,CondutorXcorrenteXproteção!$A$87:$C$96,3,TRUE))</f>
        <v>0</v>
      </c>
      <c r="I10">
        <f t="shared" si="5"/>
        <v>6</v>
      </c>
      <c r="J10">
        <f t="shared" si="1"/>
        <v>43</v>
      </c>
      <c r="K10" t="str">
        <f t="shared" si="2"/>
        <v>32 mm</v>
      </c>
      <c r="M10">
        <f t="shared" si="3"/>
        <v>30</v>
      </c>
      <c r="N10">
        <f t="shared" si="4"/>
        <v>129</v>
      </c>
      <c r="T10" s="442">
        <v>150</v>
      </c>
      <c r="U10" s="443" t="s">
        <v>1841</v>
      </c>
      <c r="V10" s="439"/>
      <c r="W10" s="442">
        <v>160</v>
      </c>
      <c r="X10" s="443" t="s">
        <v>1841</v>
      </c>
    </row>
    <row r="11" spans="2:24" x14ac:dyDescent="0.2">
      <c r="B11" t="s">
        <v>1591</v>
      </c>
      <c r="C11" s="98">
        <f>IF(CENTRO_DE_MEDIÇÃO!$G$4="ESTRELA",calculo!$BZ$97,calculo!$BZ$98)</f>
        <v>0</v>
      </c>
      <c r="D11">
        <f>calculo!$BZ$94</f>
        <v>2</v>
      </c>
      <c r="E11">
        <f>CENTRO_DE_MEDIÇÃO!D25</f>
        <v>0</v>
      </c>
      <c r="F11" t="str">
        <f>CENTRO_DE_MEDIÇÃO!H25</f>
        <v/>
      </c>
      <c r="G11">
        <f t="shared" si="0"/>
        <v>30</v>
      </c>
      <c r="H11">
        <f>IF(D11=2,VLOOKUP(calculo!$AY$65,CondutorXcorrenteXproteção!$A$75:$C$77,3,TRUE),VLOOKUP(calculo!$AY$65,CondutorXcorrenteXproteção!$A$87:$C$96,3,TRUE))</f>
        <v>0</v>
      </c>
      <c r="I11">
        <f t="shared" si="5"/>
        <v>6</v>
      </c>
      <c r="J11">
        <f t="shared" si="1"/>
        <v>43</v>
      </c>
      <c r="K11" t="str">
        <f t="shared" si="2"/>
        <v>32 mm</v>
      </c>
      <c r="M11">
        <f t="shared" si="3"/>
        <v>30</v>
      </c>
      <c r="N11">
        <f t="shared" si="4"/>
        <v>129</v>
      </c>
      <c r="T11" s="442">
        <v>200</v>
      </c>
      <c r="U11" s="443" t="s">
        <v>1841</v>
      </c>
      <c r="V11" s="439"/>
      <c r="W11" s="442">
        <v>200</v>
      </c>
      <c r="X11" s="443" t="s">
        <v>1841</v>
      </c>
    </row>
    <row r="12" spans="2:24" x14ac:dyDescent="0.2">
      <c r="B12" t="s">
        <v>1592</v>
      </c>
      <c r="C12" s="98">
        <f>IF(CENTRO_DE_MEDIÇÃO!$G$4="ESTRELA",calculo!$CA$97,calculo!$CA$98)</f>
        <v>0</v>
      </c>
      <c r="D12">
        <f>calculo!$CA$94</f>
        <v>2</v>
      </c>
      <c r="E12">
        <f>CENTRO_DE_MEDIÇÃO!D26</f>
        <v>0</v>
      </c>
      <c r="F12" t="str">
        <f>CENTRO_DE_MEDIÇÃO!H26</f>
        <v/>
      </c>
      <c r="G12">
        <f t="shared" si="0"/>
        <v>30</v>
      </c>
      <c r="H12">
        <f>IF(D12=2,VLOOKUP(calculo!$AZ$65,CondutorXcorrenteXproteção!$A$75:$C$77,3,TRUE),VLOOKUP(calculo!$AZ$65,CondutorXcorrenteXproteção!$A$87:$C$96,3,TRUE))</f>
        <v>0</v>
      </c>
      <c r="I12">
        <f t="shared" si="5"/>
        <v>6</v>
      </c>
      <c r="J12">
        <f t="shared" si="1"/>
        <v>43</v>
      </c>
      <c r="K12" t="str">
        <f t="shared" si="2"/>
        <v>32 mm</v>
      </c>
      <c r="M12">
        <f t="shared" si="3"/>
        <v>30</v>
      </c>
      <c r="N12">
        <f t="shared" si="4"/>
        <v>129</v>
      </c>
      <c r="T12" s="442">
        <v>225</v>
      </c>
      <c r="U12" s="443" t="s">
        <v>1841</v>
      </c>
      <c r="V12" s="439"/>
      <c r="W12" s="442">
        <v>225</v>
      </c>
      <c r="X12" s="443" t="s">
        <v>1841</v>
      </c>
    </row>
    <row r="13" spans="2:24" x14ac:dyDescent="0.2">
      <c r="B13" t="s">
        <v>1593</v>
      </c>
      <c r="C13" s="98">
        <f>IF(CENTRO_DE_MEDIÇÃO!$G$4="ESTRELA",calculo!$CB$97,calculo!$CB$98)</f>
        <v>0</v>
      </c>
      <c r="D13">
        <f>calculo!$CB$94</f>
        <v>2</v>
      </c>
      <c r="E13">
        <f>CENTRO_DE_MEDIÇÃO!D27</f>
        <v>0</v>
      </c>
      <c r="F13" t="str">
        <f>CENTRO_DE_MEDIÇÃO!H27</f>
        <v/>
      </c>
      <c r="G13">
        <f t="shared" si="0"/>
        <v>30</v>
      </c>
      <c r="H13">
        <f>IF(D13=2,VLOOKUP(calculo!$BA$65,CondutorXcorrenteXproteção!$A$75:$C$77,3,TRUE),VLOOKUP(calculo!$BA$65,CondutorXcorrenteXproteção!$A$87:$C$96,3,TRUE))</f>
        <v>0</v>
      </c>
      <c r="I13">
        <f t="shared" si="5"/>
        <v>6</v>
      </c>
      <c r="J13">
        <f t="shared" si="1"/>
        <v>43</v>
      </c>
      <c r="K13" t="str">
        <f t="shared" si="2"/>
        <v>32 mm</v>
      </c>
      <c r="M13">
        <f t="shared" si="3"/>
        <v>30</v>
      </c>
      <c r="N13">
        <f t="shared" si="4"/>
        <v>129</v>
      </c>
      <c r="T13" s="442">
        <v>300</v>
      </c>
      <c r="U13" s="443" t="s">
        <v>1842</v>
      </c>
      <c r="V13" s="439"/>
      <c r="W13" s="442">
        <v>250</v>
      </c>
      <c r="X13" s="443" t="s">
        <v>1841</v>
      </c>
    </row>
    <row r="14" spans="2:24" ht="13.5" thickBot="1" x14ac:dyDescent="0.25">
      <c r="B14" t="s">
        <v>1594</v>
      </c>
      <c r="C14" s="98">
        <f>IF(CENTRO_DE_MEDIÇÃO!$G$4="ESTRELA",calculo!$CC$97,calculo!$CC$98)</f>
        <v>0</v>
      </c>
      <c r="D14">
        <f>calculo!$CC$94</f>
        <v>2</v>
      </c>
      <c r="E14">
        <f>CENTRO_DE_MEDIÇÃO!D28</f>
        <v>0</v>
      </c>
      <c r="F14" t="str">
        <f>CENTRO_DE_MEDIÇÃO!H28</f>
        <v/>
      </c>
      <c r="G14">
        <f t="shared" si="0"/>
        <v>30</v>
      </c>
      <c r="H14">
        <f>IF(D14=2,VLOOKUP(calculo!$BB$65,CondutorXcorrenteXproteção!$A$75:$C$77,3,TRUE),VLOOKUP(calculo!$BB$65,CondutorXcorrenteXproteção!$A$87:$C$96,3,TRUE))</f>
        <v>0</v>
      </c>
      <c r="I14">
        <f t="shared" si="5"/>
        <v>6</v>
      </c>
      <c r="J14">
        <f t="shared" si="1"/>
        <v>43</v>
      </c>
      <c r="K14" t="str">
        <f t="shared" si="2"/>
        <v>32 mm</v>
      </c>
      <c r="M14">
        <f t="shared" si="3"/>
        <v>30</v>
      </c>
      <c r="N14">
        <f t="shared" si="4"/>
        <v>129</v>
      </c>
      <c r="O14" t="s">
        <v>1603</v>
      </c>
      <c r="T14" s="445">
        <v>350</v>
      </c>
      <c r="U14" s="443" t="s">
        <v>1842</v>
      </c>
      <c r="V14" s="439"/>
      <c r="W14" s="445">
        <v>315</v>
      </c>
      <c r="X14" s="443" t="s">
        <v>1842</v>
      </c>
    </row>
    <row r="15" spans="2:24" x14ac:dyDescent="0.2">
      <c r="B15" t="s">
        <v>1595</v>
      </c>
      <c r="C15" s="98">
        <f>IF(CENTRO_DE_MEDIÇÃO!$G$4="ESTRELA",calculo!$CD$97,calculo!$CD$98)</f>
        <v>0</v>
      </c>
      <c r="D15">
        <f>calculo!$CD$94</f>
        <v>2</v>
      </c>
      <c r="E15">
        <f>CENTRO_DE_MEDIÇÃO!$D$12</f>
        <v>0</v>
      </c>
      <c r="F15">
        <f>CENTRO_DE_MEDIÇÃO!$H$14</f>
        <v>0</v>
      </c>
      <c r="G15">
        <f>IF(F15="DISJUNTOR",VLOOKUP(C15,$C$41:$H$53,2,TRUE),VLOOKUP(C15,$K$47:$N$53,2,TRUE))</f>
        <v>150</v>
      </c>
      <c r="H15">
        <f>IF(D15=2,VLOOKUP(calculo!$CP$60,CondutorXcorrenteXproteção!$A$75:$C$77,3,TRUE),VLOOKUP(calculo!$CP$60,CondutorXcorrenteXproteção!$A$87:$C$96,3,TRUE))</f>
        <v>0</v>
      </c>
      <c r="I15" t="str">
        <f>IF(F15="DISJUNTOR",VLOOKUP(O15,$D$42:$H$53,IF(E15="PVC",2,4),FALSE),VLOOKUP(O15,$L$47:$N$53,IF(E15="PVC",2,3),FALSE))</f>
        <v>ERRO</v>
      </c>
      <c r="J15" t="e">
        <f t="shared" si="1"/>
        <v>#N/A</v>
      </c>
      <c r="K15" t="e">
        <f>VLOOKUP(N15,$P$3:$R$8,3,TRUE)</f>
        <v>#N/A</v>
      </c>
      <c r="M15">
        <f>LARGE(G15:H15,1)</f>
        <v>150</v>
      </c>
      <c r="N15" t="e">
        <f t="shared" si="4"/>
        <v>#N/A</v>
      </c>
      <c r="O15">
        <f>IF(OR(M15&lt;=$M$3,M15&lt;=$M$4),IF(F15="DISJUNTOR",VLOOKUP(LARGE($M$3:$M$4,1)+1,$C$42:$D$53,2,TRUE),VLOOKUP(LARGE($M$3:$M$4,1)+1,$K$47:$L$53,2,TRUE)),M15)</f>
        <v>150</v>
      </c>
    </row>
    <row r="16" spans="2:24" x14ac:dyDescent="0.2">
      <c r="B16" t="s">
        <v>1596</v>
      </c>
      <c r="C16" s="98">
        <f>IF(CENTRO_DE_MEDIÇÃO!$G$4="ESTRELA",calculo!$CE$97,calculo!$CE$98)</f>
        <v>0</v>
      </c>
      <c r="D16">
        <f>calculo!$CD$94</f>
        <v>2</v>
      </c>
      <c r="E16">
        <f>CENTRO_DE_MEDIÇÃO!$D$15</f>
        <v>0</v>
      </c>
      <c r="F16" t="s">
        <v>73</v>
      </c>
      <c r="G16">
        <f t="shared" ref="G16:G30" si="6">IF(F16="DISJUNTOR",VLOOKUP(C16,$C$41:$H$53,2,TRUE),VLOOKUP(C16,$K$48:$N$53,2,TRUE))</f>
        <v>30</v>
      </c>
      <c r="H16">
        <f>IF(D16=2,VLOOKUP(calculo!$AQ$65,CondutorXcorrenteXproteção!$A$75:$C$77,3,TRUE),VLOOKUP(calculo!$AQ$65,CondutorXcorrenteXproteção!$A$87:$C$96,3,TRUE))</f>
        <v>0</v>
      </c>
      <c r="I16">
        <f t="shared" ref="I16:I31" si="7">IF(F16="DISJUNTOR",VLOOKUP(O16,$D$41:$H$53,IF(E16="PVC",2,4),FALSE),VLOOKUP(O16,$L$47:$N$53,IF(E16="PVC",2,3),FALSE))</f>
        <v>10</v>
      </c>
      <c r="J16">
        <f t="shared" si="1"/>
        <v>54</v>
      </c>
      <c r="K16" t="str">
        <f t="shared" si="2"/>
        <v>32 mm</v>
      </c>
      <c r="M16">
        <f t="shared" ref="M16:M31" si="8">LARGE(G16:H16,1)</f>
        <v>30</v>
      </c>
      <c r="N16">
        <f t="shared" si="4"/>
        <v>162</v>
      </c>
      <c r="O16">
        <f>IF(OR(M16&lt;=$M$3,M16&lt;=$M$4),IF(F16="DISJUNTOR",VLOOKUP(LARGE($M$3:$M$4,1)+1,$C$42:$D$53,2,TRUE),VLOOKUP(LARGE($M$3:$M$4,1)+1,$K$47:$L$53,2,TRUE)),M16)</f>
        <v>50</v>
      </c>
    </row>
    <row r="17" spans="2:30" x14ac:dyDescent="0.2">
      <c r="B17" t="s">
        <v>1597</v>
      </c>
      <c r="C17" s="98">
        <f>IF(CENTRO_DE_MEDIÇÃO!$G$4="ESTRELA",calculo!$CF$97,calculo!$CF$98)</f>
        <v>0</v>
      </c>
      <c r="D17">
        <f>calculo!$CD$94</f>
        <v>2</v>
      </c>
      <c r="E17" t="e">
        <f>CENTRO_DE_MEDIÇÃO!#REF!</f>
        <v>#REF!</v>
      </c>
      <c r="F17" t="s">
        <v>73</v>
      </c>
      <c r="G17">
        <f t="shared" si="6"/>
        <v>30</v>
      </c>
      <c r="H17">
        <f>IF(D17=2,VLOOKUP(calculo!$AQ$65,CondutorXcorrenteXproteção!$A$75:$C$77,3,TRUE),VLOOKUP(calculo!$AQ$65,CondutorXcorrenteXproteção!$A$87:$C$96,3,TRUE))</f>
        <v>0</v>
      </c>
      <c r="I17" t="e">
        <f t="shared" si="7"/>
        <v>#REF!</v>
      </c>
      <c r="J17" t="e">
        <f t="shared" si="1"/>
        <v>#REF!</v>
      </c>
      <c r="K17" t="e">
        <f t="shared" si="2"/>
        <v>#REF!</v>
      </c>
      <c r="M17">
        <f t="shared" si="8"/>
        <v>30</v>
      </c>
      <c r="N17" t="e">
        <f t="shared" si="4"/>
        <v>#REF!</v>
      </c>
      <c r="O17">
        <f>IF(OR(M17&lt;=$M$5,M17&lt;=$M$6),IF(F17="DISJUNTOR",VLOOKUP(LARGE($M$5:$M$6,1)+1,$C$42:$D$53,2,TRUE),VLOOKUP(LARGE($M$5:$M$6,1)+1,$K$47:$L$53,2,TRUE)),M17)</f>
        <v>50</v>
      </c>
    </row>
    <row r="18" spans="2:30" x14ac:dyDescent="0.2">
      <c r="B18" t="s">
        <v>1560</v>
      </c>
      <c r="C18" s="98">
        <f>IF(CENTRO_DE_MEDIÇÃO!$G$4="ESTRELA",calculo!$CG$97,calculo!$CG$98)</f>
        <v>0</v>
      </c>
      <c r="D18">
        <f>calculo!$CD$94</f>
        <v>2</v>
      </c>
      <c r="E18">
        <f>E15</f>
        <v>0</v>
      </c>
      <c r="F18">
        <f>CENTRO_DE_MEDIÇÃO!$H$14</f>
        <v>0</v>
      </c>
      <c r="G18">
        <f>IF(F18="DISJUNTOR",VLOOKUP(C18,$C$41:$H$53,2,TRUE),VLOOKUP(C18,$K$47:$N$53,2,TRUE))</f>
        <v>150</v>
      </c>
      <c r="H18">
        <f>IF(D18=2,VLOOKUP(calculo!$EA$60,CondutorXcorrenteXproteção!$A$75:$C$77,3,TRUE),VLOOKUP(calculo!$EA$60,CondutorXcorrenteXproteção!$A$87:$C$96,3,TRUE))</f>
        <v>0</v>
      </c>
      <c r="I18" t="str">
        <f t="shared" si="7"/>
        <v>ERRO</v>
      </c>
      <c r="J18" t="e">
        <f t="shared" si="1"/>
        <v>#N/A</v>
      </c>
      <c r="K18" t="e">
        <f t="shared" si="2"/>
        <v>#N/A</v>
      </c>
      <c r="M18">
        <f t="shared" si="8"/>
        <v>150</v>
      </c>
      <c r="N18" t="e">
        <f t="shared" si="4"/>
        <v>#N/A</v>
      </c>
      <c r="O18">
        <f>IF(M18&lt;=LARGE($M$3:$M$6,1),IF(F18="DISJUNTOR",VLOOKUP(LARGE($M$3:$M$6,1)+1,$C$42:$D$53,2,TRUE),VLOOKUP(LARGE($M$3:$M$6,1)+1,$K$47:$L$53,2,TRUE)),M18)</f>
        <v>150</v>
      </c>
    </row>
    <row r="19" spans="2:30" x14ac:dyDescent="0.2">
      <c r="B19" t="s">
        <v>1598</v>
      </c>
      <c r="C19" s="98">
        <f>IF(CENTRO_DE_MEDIÇÃO!$G$4="ESTRELA",calculo!$CH$97,calculo!$CH$98)</f>
        <v>0</v>
      </c>
      <c r="D19">
        <f>calculo!$CD$94</f>
        <v>2</v>
      </c>
      <c r="E19">
        <f>E16</f>
        <v>0</v>
      </c>
      <c r="F19" t="s">
        <v>73</v>
      </c>
      <c r="G19">
        <f t="shared" si="6"/>
        <v>30</v>
      </c>
      <c r="H19">
        <f>IF(D19=2,VLOOKUP(calculo!$AQ$65,CondutorXcorrenteXproteção!$A$75:$C$77,3,TRUE),VLOOKUP(calculo!$AQ$65,CondutorXcorrenteXproteção!$A$87:$C$96,3,TRUE))</f>
        <v>0</v>
      </c>
      <c r="I19">
        <f t="shared" si="7"/>
        <v>10</v>
      </c>
      <c r="J19">
        <f t="shared" si="1"/>
        <v>54</v>
      </c>
      <c r="K19" t="str">
        <f t="shared" si="2"/>
        <v>32 mm</v>
      </c>
      <c r="M19">
        <f t="shared" si="8"/>
        <v>30</v>
      </c>
      <c r="N19">
        <f t="shared" si="4"/>
        <v>162</v>
      </c>
      <c r="O19">
        <f>IF(OR(M19&lt;=$M$3,M19&lt;=$M$4,M19&lt;=$M$5),IF(F19="DISJUNTOR",VLOOKUP(LARGE($M$3:$M$5,1)+1,$C$42:$D$53,2,TRUE),VLOOKUP(LARGE($M$3:$M$5,1)+1,$K$47:$L$53,2,TRUE)),M19)</f>
        <v>50</v>
      </c>
    </row>
    <row r="20" spans="2:30" x14ac:dyDescent="0.2">
      <c r="B20" t="s">
        <v>1565</v>
      </c>
      <c r="C20" s="98">
        <f>IF(CENTRO_DE_MEDIÇÃO!$G$4="ESTRELA",calculo!$CI$97,calculo!$CI$98)</f>
        <v>0</v>
      </c>
      <c r="D20">
        <f>calculo!$CD$94</f>
        <v>2</v>
      </c>
      <c r="E20" t="e">
        <f>E17</f>
        <v>#REF!</v>
      </c>
      <c r="F20" t="s">
        <v>73</v>
      </c>
      <c r="G20">
        <f t="shared" si="6"/>
        <v>30</v>
      </c>
      <c r="H20">
        <f>IF(D20=2,VLOOKUP(calculo!$AQ$65,CondutorXcorrenteXproteção!$A$75:$C$77,3,TRUE),VLOOKUP(calculo!$AQ$65,CondutorXcorrenteXproteção!$A$87:$C$96,3,TRUE))</f>
        <v>0</v>
      </c>
      <c r="I20" t="e">
        <f t="shared" si="7"/>
        <v>#REF!</v>
      </c>
      <c r="J20" t="e">
        <f t="shared" si="1"/>
        <v>#REF!</v>
      </c>
      <c r="K20" t="e">
        <f t="shared" si="2"/>
        <v>#REF!</v>
      </c>
      <c r="M20">
        <f t="shared" si="8"/>
        <v>30</v>
      </c>
      <c r="N20" t="e">
        <f t="shared" si="4"/>
        <v>#REF!</v>
      </c>
      <c r="O20">
        <f>IF(OR(M20&lt;=$M$6,M20&lt;=$M$7,M20&lt;=$M$8),IF(F20="DISJUNTOR",VLOOKUP(LARGE($M$6:$M$8,1)+1,$C$42:$D$53,2,TRUE),VLOOKUP(LARGE($M$6:$M$8,1)+1,$K$47:$L$53,2,TRUE)),M20)</f>
        <v>50</v>
      </c>
    </row>
    <row r="21" spans="2:30" x14ac:dyDescent="0.2">
      <c r="B21" t="s">
        <v>1566</v>
      </c>
      <c r="C21" s="98">
        <f>IF(CENTRO_DE_MEDIÇÃO!$G$4="ESTRELA",calculo!$CJ$97,calculo!$CJ$98)</f>
        <v>0</v>
      </c>
      <c r="D21">
        <f>calculo!$CD$94</f>
        <v>2</v>
      </c>
      <c r="E21">
        <f>E15</f>
        <v>0</v>
      </c>
      <c r="F21">
        <f>CENTRO_DE_MEDIÇÃO!$H$14</f>
        <v>0</v>
      </c>
      <c r="G21">
        <f>IF(F21="DISJUNTOR",VLOOKUP(C21,$C$41:$H$53,2,TRUE),VLOOKUP(C21,$K$47:$N$53,2,TRUE))</f>
        <v>150</v>
      </c>
      <c r="H21">
        <f>IF(D21=2,VLOOKUP(calculo!$H$220,CondutorXcorrenteXproteção!$A$75:$C$77,3,TRUE),VLOOKUP(calculo!$H$220,CondutorXcorrenteXproteção!$A$87:$C$96,3,TRUE))</f>
        <v>0</v>
      </c>
      <c r="I21" t="str">
        <f t="shared" si="7"/>
        <v>ERRO</v>
      </c>
      <c r="J21" t="e">
        <f t="shared" si="1"/>
        <v>#N/A</v>
      </c>
      <c r="K21" t="e">
        <f t="shared" si="2"/>
        <v>#N/A</v>
      </c>
      <c r="M21">
        <f t="shared" si="8"/>
        <v>150</v>
      </c>
      <c r="N21" t="e">
        <f t="shared" si="4"/>
        <v>#N/A</v>
      </c>
      <c r="O21">
        <f>IF(M21&lt;=LARGE($M$3:$M$8,1),IF(F21="DISJUNTOR",VLOOKUP(LARGE($M$3:$M$8,1)+1,$C$42:$D$53,2,TRUE),VLOOKUP(LARGE($M$3:$M$8,1)+1,$K$47:$L$53,2,TRUE)),M21)</f>
        <v>150</v>
      </c>
    </row>
    <row r="22" spans="2:30" x14ac:dyDescent="0.2">
      <c r="B22" t="s">
        <v>1599</v>
      </c>
      <c r="C22" s="98">
        <f>IF(CENTRO_DE_MEDIÇÃO!$G$4="ESTRELA",calculo!$CK$97,calculo!$CK$98)</f>
        <v>0</v>
      </c>
      <c r="D22">
        <f>calculo!$CD$94</f>
        <v>2</v>
      </c>
      <c r="E22">
        <f>E16</f>
        <v>0</v>
      </c>
      <c r="F22" t="s">
        <v>73</v>
      </c>
      <c r="G22">
        <f t="shared" si="6"/>
        <v>30</v>
      </c>
      <c r="H22">
        <f>IF(D22=2,VLOOKUP(calculo!$AQ$65,CondutorXcorrenteXproteção!$A$75:$C$77,3,TRUE),VLOOKUP(calculo!$AQ$65,CondutorXcorrenteXproteção!$A$87:$C$96,3,TRUE))</f>
        <v>0</v>
      </c>
      <c r="I22">
        <f t="shared" si="7"/>
        <v>10</v>
      </c>
      <c r="J22">
        <f>IF(E22="PVC",VLOOKUP(I22,$P$41:$Q$52,2,TRUE),VLOOKUP(I22,$P$41:$R$52,3,TRUE))</f>
        <v>54</v>
      </c>
      <c r="K22" t="str">
        <f t="shared" si="2"/>
        <v>32 mm</v>
      </c>
      <c r="M22">
        <f t="shared" si="8"/>
        <v>30</v>
      </c>
      <c r="N22">
        <f t="shared" si="4"/>
        <v>162</v>
      </c>
      <c r="O22">
        <f>IF(OR(M22&lt;=$M$3,M22&lt;=$M$4),IF(F22="DISJUNTOR",VLOOKUP(LARGE($M$3:$M$4,1)+1,$C$42:$D$53,2,TRUE),VLOOKUP(LARGE($M$3:$M$4,1)+1,$K$47:$L$53,2,TRUE)),M22)</f>
        <v>50</v>
      </c>
      <c r="R22" s="637" t="s">
        <v>1607</v>
      </c>
      <c r="S22" s="638"/>
      <c r="T22" s="638"/>
      <c r="U22" s="638"/>
      <c r="V22" s="638"/>
    </row>
    <row r="23" spans="2:30" x14ac:dyDescent="0.2">
      <c r="B23" t="s">
        <v>1571</v>
      </c>
      <c r="C23" s="98">
        <f>IF(CENTRO_DE_MEDIÇÃO!$G$4="ESTRELA",calculo!$CL$97,calculo!$CL$98)</f>
        <v>0</v>
      </c>
      <c r="D23">
        <f>calculo!$CD$94</f>
        <v>2</v>
      </c>
      <c r="E23" t="e">
        <f>E17</f>
        <v>#REF!</v>
      </c>
      <c r="F23" t="s">
        <v>73</v>
      </c>
      <c r="G23">
        <f t="shared" si="6"/>
        <v>30</v>
      </c>
      <c r="H23">
        <f>IF(D23=2,VLOOKUP(calculo!$AQ$65,CondutorXcorrenteXproteção!$A$75:$C$77,3,TRUE),VLOOKUP(calculo!$AQ$65,CondutorXcorrenteXproteção!$A$87:$C$96,3,TRUE))</f>
        <v>0</v>
      </c>
      <c r="I23" t="e">
        <f t="shared" si="7"/>
        <v>#REF!</v>
      </c>
      <c r="J23" t="e">
        <f t="shared" si="1"/>
        <v>#REF!</v>
      </c>
      <c r="K23" t="e">
        <f t="shared" si="2"/>
        <v>#REF!</v>
      </c>
      <c r="M23">
        <f t="shared" si="8"/>
        <v>30</v>
      </c>
      <c r="N23" t="e">
        <f t="shared" si="4"/>
        <v>#REF!</v>
      </c>
      <c r="O23">
        <f>IF(OR(M23&lt;=$M$5,M23&lt;=$M$6),IF(F23="DISJUNTOR",VLOOKUP(LARGE($M$5:$M$6,1)+1,$C$42:$D$53,2,TRUE),VLOOKUP(LARGE($M$5:$M$6,1)+1,$K$47:$L$53,2,TRUE)),M23)</f>
        <v>50</v>
      </c>
      <c r="R23" t="s">
        <v>157</v>
      </c>
      <c r="S23" t="s">
        <v>1839</v>
      </c>
      <c r="T23" s="88" t="s">
        <v>1604</v>
      </c>
      <c r="U23" s="98" t="s">
        <v>1605</v>
      </c>
      <c r="V23" s="300" t="s">
        <v>1606</v>
      </c>
      <c r="W23" s="301" t="s">
        <v>41</v>
      </c>
      <c r="X23" s="301" t="s">
        <v>0</v>
      </c>
      <c r="Y23" s="301" t="s">
        <v>1608</v>
      </c>
      <c r="Z23" s="301" t="s">
        <v>1612</v>
      </c>
      <c r="AA23" s="301" t="s">
        <v>1613</v>
      </c>
      <c r="AB23" s="301" t="s">
        <v>1614</v>
      </c>
      <c r="AC23" s="301" t="s">
        <v>1615</v>
      </c>
      <c r="AD23" t="s">
        <v>157</v>
      </c>
    </row>
    <row r="24" spans="2:30" x14ac:dyDescent="0.2">
      <c r="B24" t="s">
        <v>1600</v>
      </c>
      <c r="C24" s="98">
        <f>IF(CENTRO_DE_MEDIÇÃO!$G$4="ESTRELA",calculo!$CM$97,calculo!$CM$98)</f>
        <v>0</v>
      </c>
      <c r="D24">
        <f>calculo!$CD$94</f>
        <v>2</v>
      </c>
      <c r="E24" t="e">
        <f>CENTRO_DE_MEDIÇÃO!#REF!</f>
        <v>#REF!</v>
      </c>
      <c r="F24" t="s">
        <v>73</v>
      </c>
      <c r="G24">
        <f t="shared" si="6"/>
        <v>30</v>
      </c>
      <c r="H24">
        <f>IF(D24=2,VLOOKUP(calculo!$AQ$65,CondutorXcorrenteXproteção!$A$75:$C$77,3,TRUE),VLOOKUP(calculo!$AQ$65,CondutorXcorrenteXproteção!$A$87:$C$96,3,TRUE))</f>
        <v>0</v>
      </c>
      <c r="I24" t="e">
        <f t="shared" si="7"/>
        <v>#REF!</v>
      </c>
      <c r="J24" t="e">
        <f t="shared" si="1"/>
        <v>#REF!</v>
      </c>
      <c r="K24" t="e">
        <f t="shared" si="2"/>
        <v>#REF!</v>
      </c>
      <c r="M24">
        <f t="shared" si="8"/>
        <v>30</v>
      </c>
      <c r="N24" t="e">
        <f t="shared" si="4"/>
        <v>#REF!</v>
      </c>
      <c r="O24">
        <f>IF(OR(M24&lt;=$M$7,M24&lt;=$M$8),IF(F24="DISJUNTOR",VLOOKUP(LARGE($M$7:$M$8,1)+1,$C$42:$D$53,2,TRUE),VLOOKUP(LARGE($M$7:$M$8,1)+1,$K$47:$L$53,2,TRUE)),M24)</f>
        <v>50</v>
      </c>
      <c r="Q24" t="s">
        <v>21</v>
      </c>
      <c r="R24" t="str">
        <f>I15</f>
        <v>ERRO</v>
      </c>
      <c r="T24" s="88"/>
      <c r="U24" s="98"/>
      <c r="V24" s="300"/>
      <c r="W24" s="98">
        <f>calculo!CD92</f>
        <v>0</v>
      </c>
      <c r="X24" s="98">
        <f>C15</f>
        <v>0</v>
      </c>
      <c r="Y24">
        <f>O33</f>
        <v>150</v>
      </c>
      <c r="Z24" s="98">
        <f>calculo!CD93</f>
        <v>0</v>
      </c>
      <c r="AA24" s="98">
        <f>calculo!CD99</f>
        <v>0</v>
      </c>
      <c r="AB24" s="98">
        <f>calculo!CD100</f>
        <v>0</v>
      </c>
      <c r="AC24" t="e">
        <f>K15</f>
        <v>#N/A</v>
      </c>
      <c r="AD24" t="str">
        <f>I33</f>
        <v>ERRO</v>
      </c>
    </row>
    <row r="25" spans="2:30" x14ac:dyDescent="0.2">
      <c r="B25" t="s">
        <v>1573</v>
      </c>
      <c r="C25" s="98">
        <f>IF(CENTRO_DE_MEDIÇÃO!$G$4="ESTRELA",calculo!$CN$97,calculo!$CN$98)</f>
        <v>0</v>
      </c>
      <c r="D25">
        <f>calculo!$CD$94</f>
        <v>2</v>
      </c>
      <c r="E25">
        <f>CENTRO_DE_MEDIÇÃO!$D$16</f>
        <v>0</v>
      </c>
      <c r="F25" t="s">
        <v>73</v>
      </c>
      <c r="G25">
        <f t="shared" si="6"/>
        <v>30</v>
      </c>
      <c r="H25">
        <f>IF(D25=2,VLOOKUP(calculo!$AQ$65,CondutorXcorrenteXproteção!$A$75:$C$77,3,TRUE),VLOOKUP(calculo!$AQ$65,CondutorXcorrenteXproteção!$A$87:$C$96,3,TRUE))</f>
        <v>0</v>
      </c>
      <c r="I25">
        <f t="shared" si="7"/>
        <v>10</v>
      </c>
      <c r="J25">
        <f t="shared" si="1"/>
        <v>54</v>
      </c>
      <c r="K25" t="str">
        <f t="shared" si="2"/>
        <v>32 mm</v>
      </c>
      <c r="M25">
        <f t="shared" si="8"/>
        <v>30</v>
      </c>
      <c r="N25">
        <f t="shared" si="4"/>
        <v>162</v>
      </c>
      <c r="O25">
        <f>IF(OR(M25&lt;=$M$9,M25&lt;=$M$10),IF(F25="DISJUNTOR",VLOOKUP(LARGE($M$9:$M$10,1)+1,$C$42:$D$53,2,TRUE),VLOOKUP(LARGE($M$9:$M$10,1)+1,$K$47:$L$53,2,TRUE)),M25)</f>
        <v>50</v>
      </c>
      <c r="Q25" t="s">
        <v>20</v>
      </c>
      <c r="R25" t="str">
        <f>I18</f>
        <v>ERRO</v>
      </c>
      <c r="S25">
        <f>I16</f>
        <v>10</v>
      </c>
      <c r="T25" s="88" t="e">
        <f>I17</f>
        <v>#REF!</v>
      </c>
      <c r="U25" s="98"/>
      <c r="V25" s="300"/>
      <c r="W25" s="98">
        <f>calculo!CG92</f>
        <v>0</v>
      </c>
      <c r="X25" s="98">
        <f>C18</f>
        <v>0</v>
      </c>
      <c r="Y25">
        <f>O34</f>
        <v>150</v>
      </c>
      <c r="Z25" s="98">
        <f>calculo!CG93</f>
        <v>0</v>
      </c>
      <c r="AA25" s="98">
        <f>calculo!CG99</f>
        <v>0</v>
      </c>
      <c r="AB25" s="98">
        <f>calculo!CG100</f>
        <v>0</v>
      </c>
      <c r="AC25" t="e">
        <f>K18</f>
        <v>#N/A</v>
      </c>
      <c r="AD25" t="str">
        <f>I34</f>
        <v>ERRO</v>
      </c>
    </row>
    <row r="26" spans="2:30" x14ac:dyDescent="0.2">
      <c r="B26" t="s">
        <v>1574</v>
      </c>
      <c r="C26" s="98">
        <f>IF(CENTRO_DE_MEDIÇÃO!$G$4="ESTRELA",calculo!$CO$97,calculo!$CO$98)</f>
        <v>0</v>
      </c>
      <c r="D26">
        <f>calculo!$CD$94</f>
        <v>2</v>
      </c>
      <c r="E26">
        <f>CENTRO_DE_MEDIÇÃO!$D$12</f>
        <v>0</v>
      </c>
      <c r="F26">
        <f>CENTRO_DE_MEDIÇÃO!$H$14</f>
        <v>0</v>
      </c>
      <c r="G26">
        <f>IF(F26="DISJUNTOR",VLOOKUP(C26,$C$41:$H$53,2,TRUE),VLOOKUP(C26,$K$47:$N$53,2,TRUE))</f>
        <v>150</v>
      </c>
      <c r="H26">
        <f>IF(D26=2,VLOOKUP(calculo!$H$282,CondutorXcorrenteXproteção!$A$75:$C$77,3,TRUE),VLOOKUP(calculo!$H$282,CondutorXcorrenteXproteção!$A$87:$C$96,3,TRUE))</f>
        <v>0</v>
      </c>
      <c r="I26" t="str">
        <f t="shared" si="7"/>
        <v>ERRO</v>
      </c>
      <c r="J26" t="e">
        <f t="shared" si="1"/>
        <v>#N/A</v>
      </c>
      <c r="K26" t="e">
        <f t="shared" si="2"/>
        <v>#N/A</v>
      </c>
      <c r="M26">
        <f t="shared" si="8"/>
        <v>150</v>
      </c>
      <c r="N26" t="e">
        <f t="shared" si="4"/>
        <v>#N/A</v>
      </c>
      <c r="O26">
        <f>IF(M26&lt;=LARGE($M$3:$M$10,1),IF(F26="DISJUNTOR",VLOOKUP(LARGE($M$3:$M$10,1)+1,$C$42:$D$53,2,TRUE),VLOOKUP(LARGE($M$3:$M$10,1)+1,$K$47:$L$53,2,TRUE)),M26)</f>
        <v>150</v>
      </c>
      <c r="Q26" t="s">
        <v>22</v>
      </c>
      <c r="R26" t="str">
        <f>I21</f>
        <v>ERRO</v>
      </c>
      <c r="S26">
        <f>I19</f>
        <v>10</v>
      </c>
      <c r="T26" s="88" t="e">
        <f>I20</f>
        <v>#REF!</v>
      </c>
      <c r="U26" s="98"/>
      <c r="V26" s="300"/>
      <c r="W26" s="98">
        <f>calculo!CJ92</f>
        <v>0</v>
      </c>
      <c r="X26" s="98">
        <f>C21</f>
        <v>0</v>
      </c>
      <c r="Y26">
        <f>O35</f>
        <v>150</v>
      </c>
      <c r="Z26" s="98">
        <f>calculo!CJ93</f>
        <v>0</v>
      </c>
      <c r="AA26">
        <f>calculo!CJ99</f>
        <v>0</v>
      </c>
      <c r="AB26">
        <f>calculo!CJ100</f>
        <v>0</v>
      </c>
      <c r="AC26" t="e">
        <f>K21</f>
        <v>#N/A</v>
      </c>
      <c r="AD26" t="str">
        <f>I35</f>
        <v>ERRO</v>
      </c>
    </row>
    <row r="27" spans="2:30" x14ac:dyDescent="0.2">
      <c r="B27" t="s">
        <v>1839</v>
      </c>
      <c r="C27" s="98">
        <f>C31</f>
        <v>0</v>
      </c>
      <c r="D27" s="98">
        <f>D31</f>
        <v>2</v>
      </c>
      <c r="F27">
        <f>F31</f>
        <v>0</v>
      </c>
      <c r="G27">
        <f>G31</f>
        <v>150</v>
      </c>
      <c r="H27">
        <f>H31</f>
        <v>0</v>
      </c>
      <c r="I27" t="e">
        <f>IF(F27="DISJUNTOR",VLOOKUP(O27,$T$3:$U$14,2,FALSE),VLOOKUP(O27,$W$3:$X$14,2,FALSE))</f>
        <v>#N/A</v>
      </c>
      <c r="M27">
        <f t="shared" si="8"/>
        <v>150</v>
      </c>
      <c r="O27">
        <f>O31</f>
        <v>150</v>
      </c>
      <c r="Q27" t="s">
        <v>23</v>
      </c>
      <c r="R27" t="str">
        <f>I26</f>
        <v>ERRO</v>
      </c>
      <c r="S27">
        <f>I22</f>
        <v>10</v>
      </c>
      <c r="T27" s="88" t="e">
        <f>I23</f>
        <v>#REF!</v>
      </c>
      <c r="U27" s="98" t="e">
        <f>I24</f>
        <v>#REF!</v>
      </c>
      <c r="V27" s="300">
        <f>I25</f>
        <v>10</v>
      </c>
      <c r="W27" s="98">
        <f>calculo!CO92</f>
        <v>0</v>
      </c>
      <c r="X27" s="98">
        <f>C26</f>
        <v>0</v>
      </c>
      <c r="Y27">
        <f>O36</f>
        <v>150</v>
      </c>
      <c r="Z27" s="98">
        <f>calculo!CO93</f>
        <v>0</v>
      </c>
      <c r="AA27">
        <f>calculo!CO99</f>
        <v>0</v>
      </c>
      <c r="AB27">
        <f>calculo!CO100</f>
        <v>0</v>
      </c>
      <c r="AC27" t="e">
        <f>K26</f>
        <v>#N/A</v>
      </c>
      <c r="AD27" t="str">
        <f>I36</f>
        <v>ERRO</v>
      </c>
    </row>
    <row r="28" spans="2:30" x14ac:dyDescent="0.2">
      <c r="B28" t="s">
        <v>1579</v>
      </c>
      <c r="C28" s="98">
        <f>IF(CENTRO_DE_MEDIÇÃO!$G$4="ESTRELA",calculo!$CQ$97,calculo!$CQ$98)</f>
        <v>0</v>
      </c>
      <c r="D28">
        <f>calculo!$CD$94</f>
        <v>2</v>
      </c>
      <c r="E28" t="e">
        <f>E17</f>
        <v>#REF!</v>
      </c>
      <c r="F28" t="s">
        <v>73</v>
      </c>
      <c r="G28">
        <f t="shared" si="6"/>
        <v>30</v>
      </c>
      <c r="H28">
        <f>IF(D28=2,VLOOKUP(calculo!$AQ$65,CondutorXcorrenteXproteção!$A$75:$C$77,3,TRUE),VLOOKUP(calculo!$AQ$65,CondutorXcorrenteXproteção!$A$87:$C$96,3,TRUE))</f>
        <v>0</v>
      </c>
      <c r="I28" t="e">
        <f t="shared" si="7"/>
        <v>#REF!</v>
      </c>
      <c r="J28" t="e">
        <f t="shared" si="1"/>
        <v>#REF!</v>
      </c>
      <c r="K28" t="e">
        <f t="shared" si="2"/>
        <v>#REF!</v>
      </c>
      <c r="M28">
        <f t="shared" si="8"/>
        <v>30</v>
      </c>
      <c r="N28" t="e">
        <f t="shared" si="4"/>
        <v>#REF!</v>
      </c>
      <c r="O28">
        <f>IF(OR(M28&lt;=$M$6,M28&lt;=$M$7,M28&lt;=$M$8),IF(F28="DISJUNTOR",VLOOKUP(LARGE($M$6:$M$8,1)+1,$C$42:$D$53,2,TRUE),VLOOKUP(LARGE($M$6:$M$8,1)+1,$K$47:$L$53,2,TRUE)),M28)</f>
        <v>50</v>
      </c>
      <c r="Q28" t="s">
        <v>19</v>
      </c>
      <c r="R28" t="str">
        <f>I31</f>
        <v>ERRO</v>
      </c>
      <c r="S28" t="e">
        <f>I27</f>
        <v>#N/A</v>
      </c>
      <c r="T28" s="88" t="e">
        <f>I28</f>
        <v>#REF!</v>
      </c>
      <c r="U28" s="98" t="e">
        <f>I29</f>
        <v>#REF!</v>
      </c>
      <c r="V28" s="300">
        <f>I30</f>
        <v>10</v>
      </c>
      <c r="W28" s="98">
        <f>calculo!CT92</f>
        <v>0</v>
      </c>
      <c r="X28" s="98">
        <f>C31</f>
        <v>0</v>
      </c>
      <c r="Y28">
        <f>O37</f>
        <v>150</v>
      </c>
      <c r="Z28" s="98">
        <f>calculo!CT93</f>
        <v>0</v>
      </c>
      <c r="AA28">
        <f>calculo!CT99</f>
        <v>0</v>
      </c>
      <c r="AB28">
        <f>calculo!CT100</f>
        <v>0</v>
      </c>
      <c r="AC28" t="e">
        <f>K31</f>
        <v>#N/A</v>
      </c>
      <c r="AD28" t="str">
        <f>I37</f>
        <v>ERRO</v>
      </c>
    </row>
    <row r="29" spans="2:30" x14ac:dyDescent="0.2">
      <c r="B29" t="s">
        <v>1601</v>
      </c>
      <c r="C29" s="98">
        <f>IF(CENTRO_DE_MEDIÇÃO!$G$4="ESTRELA",calculo!$CR$97,calculo!$CR$98)</f>
        <v>0</v>
      </c>
      <c r="D29">
        <f>calculo!$CD$94</f>
        <v>2</v>
      </c>
      <c r="E29" t="e">
        <f>E24</f>
        <v>#REF!</v>
      </c>
      <c r="F29" t="s">
        <v>73</v>
      </c>
      <c r="G29">
        <f t="shared" si="6"/>
        <v>30</v>
      </c>
      <c r="H29">
        <f>IF(D29=2,VLOOKUP(calculo!$AQ$65,CondutorXcorrenteXproteção!$A$75:$C$77,3,TRUE),VLOOKUP(calculo!$AQ$65,CondutorXcorrenteXproteção!$A$87:$C$96,3,TRUE))</f>
        <v>0</v>
      </c>
      <c r="I29" t="e">
        <f t="shared" si="7"/>
        <v>#REF!</v>
      </c>
      <c r="J29" t="e">
        <f t="shared" si="1"/>
        <v>#REF!</v>
      </c>
      <c r="K29" t="e">
        <f t="shared" si="2"/>
        <v>#REF!</v>
      </c>
      <c r="M29">
        <f t="shared" si="8"/>
        <v>30</v>
      </c>
      <c r="N29" t="e">
        <f t="shared" si="4"/>
        <v>#REF!</v>
      </c>
      <c r="O29">
        <f>IF(OR(M29&lt;=$M$9,M29&lt;=$M$10,M29&lt;=$M$11),IF(F29="DISJUNTOR",VLOOKUP(LARGE($M$9:$M$11,1)+1,$C$42:$D$53,2,TRUE),VLOOKUP(LARGE($M$9:$M$11,1)+1,$K$47:$L$53,2,TRUE)),M29)</f>
        <v>50</v>
      </c>
      <c r="Q29">
        <v>1</v>
      </c>
      <c r="R29">
        <v>2</v>
      </c>
      <c r="S29">
        <v>3</v>
      </c>
      <c r="T29">
        <v>4</v>
      </c>
      <c r="U29">
        <v>5</v>
      </c>
      <c r="V29">
        <v>6</v>
      </c>
      <c r="W29">
        <v>7</v>
      </c>
      <c r="X29">
        <v>8</v>
      </c>
      <c r="Y29">
        <v>9</v>
      </c>
      <c r="Z29">
        <v>10</v>
      </c>
      <c r="AA29">
        <v>11</v>
      </c>
      <c r="AB29">
        <v>12</v>
      </c>
      <c r="AC29">
        <v>13</v>
      </c>
      <c r="AD29">
        <v>2</v>
      </c>
    </row>
    <row r="30" spans="2:30" x14ac:dyDescent="0.2">
      <c r="B30" t="s">
        <v>1581</v>
      </c>
      <c r="C30" s="98">
        <f>IF(CENTRO_DE_MEDIÇÃO!$G$4="ESTRELA",calculo!$CS$97,calculo!$CS$98)</f>
        <v>0</v>
      </c>
      <c r="D30">
        <f>calculo!$CD$94</f>
        <v>2</v>
      </c>
      <c r="E30">
        <f>E25</f>
        <v>0</v>
      </c>
      <c r="F30" t="s">
        <v>73</v>
      </c>
      <c r="G30">
        <f t="shared" si="6"/>
        <v>30</v>
      </c>
      <c r="H30">
        <f>IF(D30=2,VLOOKUP(calculo!$AQ$65,CondutorXcorrenteXproteção!$A$75:$C$77,3,TRUE),VLOOKUP(calculo!$AQ$65,CondutorXcorrenteXproteção!$A$87:$C$96,3,TRUE))</f>
        <v>0</v>
      </c>
      <c r="I30">
        <f t="shared" si="7"/>
        <v>10</v>
      </c>
      <c r="J30">
        <f t="shared" si="1"/>
        <v>54</v>
      </c>
      <c r="K30" t="str">
        <f t="shared" si="2"/>
        <v>32 mm</v>
      </c>
      <c r="M30">
        <f t="shared" si="8"/>
        <v>30</v>
      </c>
      <c r="N30">
        <f t="shared" si="4"/>
        <v>162</v>
      </c>
      <c r="O30">
        <f>IF(OR(M30&lt;=$M$12,M30&lt;=$M$13,M30&lt;=$M$14),IF(F30="DISJUNTOR",VLOOKUP(LARGE($M$12:$M$14,1)+1,$C$42:$D$53,2,TRUE),VLOOKUP(LARGE($M$12:$M$14,1)+1,$K$47:$L$53,2,TRUE)),M30)</f>
        <v>50</v>
      </c>
    </row>
    <row r="31" spans="2:30" x14ac:dyDescent="0.2">
      <c r="B31" t="s">
        <v>1582</v>
      </c>
      <c r="C31" s="98">
        <f>IF(CENTRO_DE_MEDIÇÃO!$G$4="ESTRELA",calculo!$CT$97,calculo!$CT$98)</f>
        <v>0</v>
      </c>
      <c r="D31">
        <f>calculo!$CD$94</f>
        <v>2</v>
      </c>
      <c r="E31">
        <f>CENTRO_DE_MEDIÇÃO!$D$12</f>
        <v>0</v>
      </c>
      <c r="F31">
        <f>CENTRO_DE_MEDIÇÃO!$H$14</f>
        <v>0</v>
      </c>
      <c r="G31">
        <f>IF(F31="DISJUNTOR",VLOOKUP(C31,$C$41:$H$53,2,TRUE),VLOOKUP(C31,$K$47:$N$53,2,TRUE))</f>
        <v>150</v>
      </c>
      <c r="H31">
        <f>IF(D31=2,VLOOKUP(calculo!$H$343,CondutorXcorrenteXproteção!$A$75:$C$77,3,TRUE),VLOOKUP(calculo!$H$343,CondutorXcorrenteXproteção!$A$87:$C$96,3,TRUE))</f>
        <v>0</v>
      </c>
      <c r="I31" t="str">
        <f t="shared" si="7"/>
        <v>ERRO</v>
      </c>
      <c r="J31" t="e">
        <f t="shared" si="1"/>
        <v>#N/A</v>
      </c>
      <c r="K31" t="e">
        <f t="shared" si="2"/>
        <v>#N/A</v>
      </c>
      <c r="M31">
        <f t="shared" si="8"/>
        <v>150</v>
      </c>
      <c r="N31" t="e">
        <f t="shared" si="4"/>
        <v>#N/A</v>
      </c>
      <c r="O31">
        <f>IF(M31&lt;=LARGE($M$3:$M$14,1),IF(F31="DISJUNTOR",VLOOKUP(LARGE($M$3:$M$14,1)+1,$C$42:$D$53,2,TRUE),VLOOKUP(LARGE($M$3:$M$14,1)+1,$K$47:$L$53,2,TRUE)),M31)</f>
        <v>150</v>
      </c>
    </row>
    <row r="32" spans="2:30" x14ac:dyDescent="0.2">
      <c r="B32" t="s">
        <v>216</v>
      </c>
      <c r="C32" s="98">
        <f>IF(CENTRO_DE_MEDIÇÃO!$G$4="ESTRELA",calculo!$BP$97,calculo!$BP$98)</f>
        <v>0</v>
      </c>
      <c r="D32">
        <f>calculo!BP94</f>
        <v>2</v>
      </c>
      <c r="E32">
        <f>CENTRO_DE_MEDIÇÃO!D30</f>
        <v>0</v>
      </c>
      <c r="F32" t="str">
        <f>CENTRO_DE_MEDIÇÃO!H30</f>
        <v/>
      </c>
      <c r="G32">
        <f>VLOOKUP(C32,$C$41:$H$53,2,TRUE)</f>
        <v>30</v>
      </c>
      <c r="H32">
        <f>IF(D32=2,VLOOKUP(calculo!$CP$70,CondutorXcorrenteXproteção!$A$75:$C$77,3,TRUE),VLOOKUP(calculo!$CP$70,CondutorXcorrenteXproteção!$A$87:$C$96,3,TRUE))</f>
        <v>0</v>
      </c>
      <c r="I32">
        <f>VLOOKUP(M32,$D$41:$H$53,IF(E32="PVC",IF(F32="DISJUNTOR",2,3),IF(F32="DISJUNTOR",4,5)),FALSE)</f>
        <v>0</v>
      </c>
      <c r="J32" t="e">
        <f t="shared" si="1"/>
        <v>#N/A</v>
      </c>
      <c r="K32" t="e">
        <f t="shared" si="2"/>
        <v>#N/A</v>
      </c>
      <c r="M32">
        <f t="shared" si="3"/>
        <v>30</v>
      </c>
      <c r="N32" t="e">
        <f t="shared" si="4"/>
        <v>#N/A</v>
      </c>
    </row>
    <row r="33" spans="2:18" x14ac:dyDescent="0.2">
      <c r="B33" s="51" t="s">
        <v>1687</v>
      </c>
      <c r="C33" s="98">
        <f>IF(CENTRO_DE_MEDIÇÃO!$G$4="ESTRELA",calculo!$CU$97,calculo!$CU$98)</f>
        <v>0</v>
      </c>
      <c r="D33">
        <f>calculo!$CU$94</f>
        <v>2</v>
      </c>
      <c r="E33">
        <f>CENTRO_DE_MEDIÇÃO!$D$12</f>
        <v>0</v>
      </c>
      <c r="F33">
        <f>CENTRO_DE_MEDIÇÃO!$H$14</f>
        <v>0</v>
      </c>
      <c r="G33">
        <f>IF(F33="DISJUNTOR",VLOOKUP(C33,$C$41:$H$53,2,TRUE),VLOOKUP(C33,$K$47:$N$53,2,TRUE))</f>
        <v>150</v>
      </c>
      <c r="H33">
        <f>IF(D33=2,VLOOKUP(calculo!$CY$60,CondutorXcorrenteXproteção!$A$75:$C$77,3,TRUE),VLOOKUP(calculo!$CY$60,CondutorXcorrenteXproteção!$A$87:$C$96,3,TRUE))</f>
        <v>0</v>
      </c>
      <c r="I33" t="str">
        <f>IF(F33="DISJUNTOR",VLOOKUP(O33,$D$41:$H$53,IF(E33="PVC",2,4),FALSE),VLOOKUP(O33,$L$47:$N$53,IF(E33="PVC",2,3),FALSE))</f>
        <v>ERRO</v>
      </c>
      <c r="J33" t="e">
        <f t="shared" si="1"/>
        <v>#N/A</v>
      </c>
      <c r="K33" t="e">
        <f t="shared" si="2"/>
        <v>#N/A</v>
      </c>
      <c r="M33">
        <f t="shared" si="3"/>
        <v>150</v>
      </c>
      <c r="N33" t="e">
        <f t="shared" si="4"/>
        <v>#N/A</v>
      </c>
      <c r="O33">
        <f>IF(OR(M33&lt;=$M$3,M33&lt;=$M$4),IF(F33="DISJUNTOR",VLOOKUP(LARGE($M$3:$M$4,1)+1,$C$42:$D$53,2,TRUE),VLOOKUP(LARGE($M$3:$M$4,1)+1,$K$47:$L$53,2,TRUE)),M33)</f>
        <v>150</v>
      </c>
    </row>
    <row r="34" spans="2:18" x14ac:dyDescent="0.2">
      <c r="B34" s="51" t="s">
        <v>1688</v>
      </c>
      <c r="C34" s="98">
        <f>IF(CENTRO_DE_MEDIÇÃO!$G$4="ESTRELA",calculo!$CV$97,calculo!$CV$98)</f>
        <v>0</v>
      </c>
      <c r="D34">
        <f>calculo!$CV$94</f>
        <v>2</v>
      </c>
      <c r="E34">
        <f>CENTRO_DE_MEDIÇÃO!$D$12</f>
        <v>0</v>
      </c>
      <c r="F34">
        <f>CENTRO_DE_MEDIÇÃO!$H$14</f>
        <v>0</v>
      </c>
      <c r="G34">
        <f>IF(F34="DISJUNTOR",VLOOKUP(C34,$C$41:$H$53,2,TRUE),VLOOKUP(C34,$K$47:$N$53,2,TRUE))</f>
        <v>150</v>
      </c>
      <c r="H34">
        <f>IF(D34=2,VLOOKUP(calculo!$ES$60,CondutorXcorrenteXproteção!$A$75:$C$77,3,TRUE),VLOOKUP(calculo!$ES$60,CondutorXcorrenteXproteção!$A$87:$C$96,3,TRUE))</f>
        <v>0</v>
      </c>
      <c r="I34" t="str">
        <f>IF(F34="DISJUNTOR",VLOOKUP(O34,$D$41:$H$53,IF(E34="PVC",2,4),FALSE),VLOOKUP(O34,$L$47:$N$53,IF(E34="PVC",2,3),FALSE))</f>
        <v>ERRO</v>
      </c>
      <c r="J34" t="e">
        <f t="shared" si="1"/>
        <v>#N/A</v>
      </c>
      <c r="K34" t="e">
        <f t="shared" si="2"/>
        <v>#N/A</v>
      </c>
      <c r="M34">
        <f t="shared" si="3"/>
        <v>150</v>
      </c>
      <c r="N34" t="e">
        <f t="shared" si="4"/>
        <v>#N/A</v>
      </c>
      <c r="O34">
        <f>IF(M34&lt;=LARGE($M$3:$M$6,1),IF(F34="DISJUNTOR",VLOOKUP(LARGE($M$3:$M$6,1)+1,$C$42:$D$53,2,TRUE),VLOOKUP(LARGE($M$3:$M$6,1)+1,$K$47:$L$53,2,TRUE)),M34)</f>
        <v>150</v>
      </c>
    </row>
    <row r="35" spans="2:18" x14ac:dyDescent="0.2">
      <c r="B35" s="51" t="s">
        <v>1689</v>
      </c>
      <c r="C35" s="98">
        <f>IF(CENTRO_DE_MEDIÇÃO!$G$4="ESTRELA",calculo!$CW$97,calculo!$CW$98)</f>
        <v>0</v>
      </c>
      <c r="D35">
        <f>calculo!$CW$94</f>
        <v>2</v>
      </c>
      <c r="E35">
        <f>CENTRO_DE_MEDIÇÃO!$D$12</f>
        <v>0</v>
      </c>
      <c r="F35">
        <f>CENTRO_DE_MEDIÇÃO!$H$14</f>
        <v>0</v>
      </c>
      <c r="G35">
        <f>IF(F35="DISJUNTOR",VLOOKUP(C35,$C$41:$H$53,2,TRUE),VLOOKUP(C35,$K$47:$N$53,2,TRUE))</f>
        <v>150</v>
      </c>
      <c r="H35">
        <f>IF(D35=2,VLOOKUP(calculo!$Z$220,CondutorXcorrenteXproteção!$A$75:$C$77,3,TRUE),VLOOKUP(calculo!$Z$220,CondutorXcorrenteXproteção!$A$87:$C$96,3,TRUE))</f>
        <v>0</v>
      </c>
      <c r="I35" t="str">
        <f>IF(F35="DISJUNTOR",VLOOKUP(O35,$D$41:$H$53,IF(E35="PVC",2,4),FALSE),VLOOKUP(O35,$L$47:$N$53,IF(E35="PVC",2,3),FALSE))</f>
        <v>ERRO</v>
      </c>
      <c r="J35" t="e">
        <f t="shared" si="1"/>
        <v>#N/A</v>
      </c>
      <c r="K35" t="e">
        <f t="shared" si="2"/>
        <v>#N/A</v>
      </c>
      <c r="M35">
        <f t="shared" si="3"/>
        <v>150</v>
      </c>
      <c r="N35" t="e">
        <f t="shared" si="4"/>
        <v>#N/A</v>
      </c>
      <c r="O35">
        <f>IF(M35&lt;=LARGE($M$3:$M$8,1),IF(F35="DISJUNTOR",VLOOKUP(LARGE($M$3:$M$8,1)+1,$C$42:$D$53,2,TRUE),VLOOKUP(LARGE($M$3:$M$8,1)+1,$K$47:$L$53,2,TRUE)),M35)</f>
        <v>150</v>
      </c>
    </row>
    <row r="36" spans="2:18" x14ac:dyDescent="0.2">
      <c r="B36" s="51" t="s">
        <v>1690</v>
      </c>
      <c r="C36" s="98">
        <f>IF(CENTRO_DE_MEDIÇÃO!$G$4="ESTRELA",calculo!$CX$97,calculo!$CX$98)</f>
        <v>0</v>
      </c>
      <c r="D36">
        <f>calculo!$CX$94</f>
        <v>2</v>
      </c>
      <c r="E36">
        <f>CENTRO_DE_MEDIÇÃO!$D$12</f>
        <v>0</v>
      </c>
      <c r="F36">
        <f>CENTRO_DE_MEDIÇÃO!$H$14</f>
        <v>0</v>
      </c>
      <c r="G36">
        <f>IF(F36="DISJUNTOR",VLOOKUP(C36,$C$41:$H$53,2,TRUE),VLOOKUP(C36,$K$47:$N$53,2,TRUE))</f>
        <v>150</v>
      </c>
      <c r="H36">
        <f>IF(D36=2,VLOOKUP(calculo!$Z$282,CondutorXcorrenteXproteção!$A$75:$C$77,3,TRUE),VLOOKUP(calculo!$Z$282,CondutorXcorrenteXproteção!$A$87:$C$96,3,TRUE))</f>
        <v>0</v>
      </c>
      <c r="I36" t="str">
        <f>IF(F36="DISJUNTOR",VLOOKUP(O36,$D$41:$H$53,IF(E36="PVC",2,4),FALSE),VLOOKUP(O36,$L$47:$N$53,IF(E36="PVC",2,3),FALSE))</f>
        <v>ERRO</v>
      </c>
      <c r="J36" t="e">
        <f t="shared" si="1"/>
        <v>#N/A</v>
      </c>
      <c r="K36" t="e">
        <f t="shared" si="2"/>
        <v>#N/A</v>
      </c>
      <c r="M36">
        <f t="shared" si="3"/>
        <v>150</v>
      </c>
      <c r="N36" t="e">
        <f t="shared" si="4"/>
        <v>#N/A</v>
      </c>
      <c r="O36">
        <f>IF(M36&lt;=LARGE($M$3:$M$10,1),IF(F36="DISJUNTOR",VLOOKUP(LARGE($M$3:$M$10,1)+1,$C$42:$D$53,2,TRUE),VLOOKUP(LARGE($M$3:$M$10,1)+1,$K$47:$L$53,2,TRUE)),M36)</f>
        <v>150</v>
      </c>
    </row>
    <row r="37" spans="2:18" x14ac:dyDescent="0.2">
      <c r="B37" s="51" t="s">
        <v>1691</v>
      </c>
      <c r="C37" s="98">
        <f>IF(CENTRO_DE_MEDIÇÃO!$G$4="ESTRELA",calculo!$CY$97,calculo!$CY$98)</f>
        <v>0</v>
      </c>
      <c r="D37">
        <f>calculo!$CY$94</f>
        <v>2</v>
      </c>
      <c r="E37">
        <f>CENTRO_DE_MEDIÇÃO!$D$12</f>
        <v>0</v>
      </c>
      <c r="F37">
        <f>CENTRO_DE_MEDIÇÃO!$H$14</f>
        <v>0</v>
      </c>
      <c r="G37">
        <f>IF(F37="DISJUNTOR",VLOOKUP(C37,$C$41:$H$53,2,TRUE),VLOOKUP(C37,$K$47:$N$53,2,TRUE))</f>
        <v>150</v>
      </c>
      <c r="H37">
        <f>IF(D37=2,VLOOKUP(calculo!$Z$343,CondutorXcorrenteXproteção!$A$75:$C$77,3,TRUE),VLOOKUP(calculo!$Z$343,CondutorXcorrenteXproteção!$A$87:$C$96,3,TRUE))</f>
        <v>0</v>
      </c>
      <c r="I37" t="str">
        <f>IF(F37="DISJUNTOR",VLOOKUP(O37,$D$41:$H$53,IF(E37="PVC",2,4),FALSE),VLOOKUP(O37,$L$47:$N$53,IF(E37="PVC",2,3),FALSE))</f>
        <v>ERRO</v>
      </c>
      <c r="K37" t="str">
        <f>VLOOKUP(N37,$P$3:$R$8,3,TRUE)</f>
        <v>32 mm</v>
      </c>
      <c r="M37">
        <f t="shared" si="3"/>
        <v>150</v>
      </c>
      <c r="N37">
        <f t="shared" si="4"/>
        <v>0</v>
      </c>
      <c r="O37">
        <f>IF(M37&lt;=LARGE($M$3:$M$14,1),IF(F37="DISJUNTOR",VLOOKUP(LARGE($M$3:$M$14,1)+1,$C$42:$D$53,2,TRUE),VLOOKUP(LARGE($M$3:$M$14,1)+1,$K$47:$L$53,2,TRUE)),M37)</f>
        <v>150</v>
      </c>
    </row>
    <row r="38" spans="2:18" x14ac:dyDescent="0.2">
      <c r="C38" s="263"/>
    </row>
    <row r="39" spans="2:18" x14ac:dyDescent="0.2">
      <c r="B39" t="s">
        <v>216</v>
      </c>
      <c r="C39">
        <f>IF(CENTRO_DE_MEDIÇÃO!G4="ESTRELA",calculo!BC116,calculo!BC117)</f>
        <v>325.03817343583432</v>
      </c>
      <c r="D39" t="e">
        <f>VLOOKUP(N8,$O$3:$Q$8,3,TRUE)</f>
        <v>#N/A</v>
      </c>
      <c r="E39">
        <f>CENTRO_DE_MEDIÇÃO!D30</f>
        <v>0</v>
      </c>
      <c r="F39" s="20" t="str">
        <f>CENTRO_DE_MEDIÇÃO!H30</f>
        <v/>
      </c>
      <c r="H39" t="e">
        <f>VLOOKUP(K39,$D$41:$H$52,IF(E39="PVC",IF(F39="DISJUNTOR",2,3),IF(F39="DISJUNTOR",4,5)))</f>
        <v>#N/A</v>
      </c>
      <c r="I39" s="20" t="s">
        <v>157</v>
      </c>
      <c r="J39" t="e">
        <f>VLOOKUP(N7,$O$3:$Q$8,3,TRUE)</f>
        <v>#N/A</v>
      </c>
      <c r="K39" t="e">
        <f>VLOOKUP(calculo!A175,CondutorXcorrenteXproteção!A63:G71,3,TRUE)</f>
        <v>#N/A</v>
      </c>
    </row>
    <row r="40" spans="2:18" x14ac:dyDescent="0.2">
      <c r="E40" s="394" t="s">
        <v>79</v>
      </c>
      <c r="F40" s="394"/>
      <c r="G40" s="394" t="s">
        <v>179</v>
      </c>
      <c r="H40" s="394"/>
      <c r="Q40" t="s">
        <v>79</v>
      </c>
      <c r="R40" t="s">
        <v>1836</v>
      </c>
    </row>
    <row r="41" spans="2:18" x14ac:dyDescent="0.2">
      <c r="C41" t="s">
        <v>1</v>
      </c>
      <c r="E41" t="s">
        <v>176</v>
      </c>
      <c r="F41" t="s">
        <v>178</v>
      </c>
      <c r="G41" t="s">
        <v>176</v>
      </c>
      <c r="H41" t="s">
        <v>178</v>
      </c>
      <c r="P41">
        <v>6</v>
      </c>
      <c r="Q41">
        <v>18</v>
      </c>
      <c r="R41">
        <v>43</v>
      </c>
    </row>
    <row r="42" spans="2:18" x14ac:dyDescent="0.2">
      <c r="C42">
        <v>0</v>
      </c>
      <c r="D42">
        <v>30</v>
      </c>
      <c r="E42">
        <v>6</v>
      </c>
      <c r="F42">
        <v>0</v>
      </c>
      <c r="G42">
        <v>6</v>
      </c>
      <c r="H42">
        <v>0</v>
      </c>
      <c r="P42">
        <v>10</v>
      </c>
      <c r="Q42">
        <v>27</v>
      </c>
      <c r="R42">
        <v>54</v>
      </c>
    </row>
    <row r="43" spans="2:18" x14ac:dyDescent="0.2">
      <c r="C43">
        <v>30.1</v>
      </c>
      <c r="D43">
        <v>50</v>
      </c>
      <c r="E43">
        <v>10</v>
      </c>
      <c r="F43">
        <v>0</v>
      </c>
      <c r="G43">
        <v>10</v>
      </c>
      <c r="H43">
        <v>0</v>
      </c>
      <c r="I43">
        <f>D43*1.6</f>
        <v>80</v>
      </c>
      <c r="J43" t="s">
        <v>177</v>
      </c>
      <c r="P43">
        <v>16</v>
      </c>
      <c r="Q43">
        <v>37</v>
      </c>
      <c r="R43">
        <v>68</v>
      </c>
    </row>
    <row r="44" spans="2:18" x14ac:dyDescent="0.2">
      <c r="C44">
        <v>50.1</v>
      </c>
      <c r="D44">
        <v>63</v>
      </c>
      <c r="E44">
        <v>16</v>
      </c>
      <c r="F44">
        <v>0</v>
      </c>
      <c r="G44">
        <v>10</v>
      </c>
      <c r="H44">
        <v>0</v>
      </c>
      <c r="I44">
        <f t="shared" ref="I44:I51" si="9">D44*1.6</f>
        <v>100.80000000000001</v>
      </c>
      <c r="J44" t="s">
        <v>177</v>
      </c>
      <c r="P44">
        <v>25</v>
      </c>
      <c r="Q44">
        <v>57</v>
      </c>
      <c r="R44">
        <v>104</v>
      </c>
    </row>
    <row r="45" spans="2:18" x14ac:dyDescent="0.2">
      <c r="C45">
        <v>63.1</v>
      </c>
      <c r="D45">
        <v>80</v>
      </c>
      <c r="E45">
        <v>25</v>
      </c>
      <c r="F45">
        <v>0</v>
      </c>
      <c r="G45">
        <v>16</v>
      </c>
      <c r="H45">
        <v>0</v>
      </c>
      <c r="I45">
        <f t="shared" si="9"/>
        <v>128</v>
      </c>
      <c r="J45" t="s">
        <v>177</v>
      </c>
      <c r="P45">
        <v>35</v>
      </c>
      <c r="Q45">
        <v>71</v>
      </c>
      <c r="R45">
        <v>123</v>
      </c>
    </row>
    <row r="46" spans="2:18" x14ac:dyDescent="0.2">
      <c r="C46">
        <v>80.099999999999994</v>
      </c>
      <c r="D46">
        <v>100</v>
      </c>
      <c r="E46">
        <v>35</v>
      </c>
      <c r="F46">
        <v>0</v>
      </c>
      <c r="G46">
        <v>25</v>
      </c>
      <c r="H46">
        <v>0</v>
      </c>
      <c r="I46">
        <f t="shared" si="9"/>
        <v>160</v>
      </c>
      <c r="J46" t="s">
        <v>177</v>
      </c>
      <c r="M46" t="s">
        <v>79</v>
      </c>
      <c r="N46" t="s">
        <v>81</v>
      </c>
      <c r="P46">
        <v>50</v>
      </c>
      <c r="Q46">
        <v>95</v>
      </c>
      <c r="R46">
        <v>154</v>
      </c>
    </row>
    <row r="47" spans="2:18" x14ac:dyDescent="0.2">
      <c r="C47">
        <v>100.1</v>
      </c>
      <c r="D47">
        <v>125</v>
      </c>
      <c r="E47">
        <v>50</v>
      </c>
      <c r="F47">
        <v>0</v>
      </c>
      <c r="G47">
        <v>35</v>
      </c>
      <c r="H47">
        <v>0</v>
      </c>
      <c r="I47">
        <f t="shared" si="9"/>
        <v>200</v>
      </c>
      <c r="J47" t="s">
        <v>177</v>
      </c>
      <c r="K47">
        <v>0</v>
      </c>
      <c r="L47">
        <v>150</v>
      </c>
      <c r="M47" t="s">
        <v>1763</v>
      </c>
      <c r="N47" t="s">
        <v>1763</v>
      </c>
      <c r="P47">
        <v>70</v>
      </c>
      <c r="Q47">
        <v>133</v>
      </c>
      <c r="R47" s="406">
        <v>201</v>
      </c>
    </row>
    <row r="48" spans="2:18" x14ac:dyDescent="0.2">
      <c r="C48">
        <v>125.1</v>
      </c>
      <c r="D48">
        <v>150</v>
      </c>
      <c r="E48">
        <v>70</v>
      </c>
      <c r="F48">
        <v>0</v>
      </c>
      <c r="G48">
        <v>50</v>
      </c>
      <c r="H48">
        <v>0</v>
      </c>
      <c r="I48">
        <f t="shared" si="9"/>
        <v>240</v>
      </c>
      <c r="J48" t="s">
        <v>177</v>
      </c>
      <c r="K48">
        <v>150.1</v>
      </c>
      <c r="L48">
        <v>160</v>
      </c>
      <c r="M48" s="406">
        <v>95</v>
      </c>
      <c r="N48">
        <v>70</v>
      </c>
      <c r="P48">
        <v>95</v>
      </c>
      <c r="Q48">
        <v>177</v>
      </c>
      <c r="R48" s="406">
        <v>269</v>
      </c>
    </row>
    <row r="49" spans="1:18" x14ac:dyDescent="0.2">
      <c r="C49">
        <v>150.1</v>
      </c>
      <c r="D49">
        <v>200</v>
      </c>
      <c r="E49">
        <v>95</v>
      </c>
      <c r="F49">
        <v>120</v>
      </c>
      <c r="G49">
        <v>70</v>
      </c>
      <c r="H49">
        <v>70</v>
      </c>
      <c r="I49">
        <f t="shared" si="9"/>
        <v>320</v>
      </c>
      <c r="J49" t="s">
        <v>177</v>
      </c>
      <c r="K49">
        <v>160.1</v>
      </c>
      <c r="L49">
        <v>200</v>
      </c>
      <c r="M49">
        <v>120</v>
      </c>
      <c r="N49">
        <v>70</v>
      </c>
      <c r="P49">
        <v>120</v>
      </c>
      <c r="Q49">
        <v>214</v>
      </c>
      <c r="R49" s="406">
        <v>299</v>
      </c>
    </row>
    <row r="50" spans="1:18" x14ac:dyDescent="0.2">
      <c r="C50">
        <v>200.1</v>
      </c>
      <c r="D50">
        <v>225</v>
      </c>
      <c r="E50">
        <v>120</v>
      </c>
      <c r="F50">
        <v>150</v>
      </c>
      <c r="G50">
        <v>95</v>
      </c>
      <c r="H50">
        <v>95</v>
      </c>
      <c r="I50">
        <f t="shared" si="9"/>
        <v>360</v>
      </c>
      <c r="J50" t="s">
        <v>177</v>
      </c>
      <c r="K50">
        <v>200.1</v>
      </c>
      <c r="L50">
        <v>225</v>
      </c>
      <c r="M50">
        <v>150</v>
      </c>
      <c r="N50">
        <v>95</v>
      </c>
      <c r="P50">
        <v>150</v>
      </c>
      <c r="Q50">
        <v>255</v>
      </c>
      <c r="R50" s="406">
        <v>363</v>
      </c>
    </row>
    <row r="51" spans="1:18" x14ac:dyDescent="0.2">
      <c r="C51">
        <v>225.1</v>
      </c>
      <c r="D51">
        <v>300</v>
      </c>
      <c r="E51">
        <v>185</v>
      </c>
      <c r="F51">
        <v>240</v>
      </c>
      <c r="G51">
        <v>120</v>
      </c>
      <c r="H51">
        <v>150</v>
      </c>
      <c r="I51">
        <f t="shared" si="9"/>
        <v>480</v>
      </c>
      <c r="J51" t="s">
        <v>177</v>
      </c>
      <c r="K51">
        <v>225.1</v>
      </c>
      <c r="L51">
        <v>250</v>
      </c>
      <c r="M51">
        <v>185</v>
      </c>
      <c r="N51">
        <v>120</v>
      </c>
      <c r="P51">
        <v>185</v>
      </c>
      <c r="Q51">
        <v>314</v>
      </c>
      <c r="R51" s="406">
        <v>452</v>
      </c>
    </row>
    <row r="52" spans="1:18" x14ac:dyDescent="0.2">
      <c r="C52">
        <v>300.10000000000002</v>
      </c>
      <c r="D52">
        <v>350</v>
      </c>
      <c r="E52">
        <v>240</v>
      </c>
      <c r="F52" t="s">
        <v>182</v>
      </c>
      <c r="G52">
        <v>150</v>
      </c>
      <c r="H52">
        <v>185</v>
      </c>
      <c r="I52">
        <f>D52*1.6</f>
        <v>560</v>
      </c>
      <c r="J52" t="s">
        <v>177</v>
      </c>
      <c r="K52">
        <v>251.1</v>
      </c>
      <c r="L52">
        <v>315</v>
      </c>
      <c r="M52">
        <v>240</v>
      </c>
      <c r="N52">
        <v>150</v>
      </c>
      <c r="P52">
        <v>240</v>
      </c>
      <c r="Q52">
        <v>416</v>
      </c>
      <c r="R52" s="406">
        <v>573</v>
      </c>
    </row>
    <row r="53" spans="1:18" x14ac:dyDescent="0.2">
      <c r="C53">
        <v>350.1</v>
      </c>
      <c r="D53">
        <v>999999</v>
      </c>
      <c r="E53" t="s">
        <v>1763</v>
      </c>
      <c r="F53" t="s">
        <v>1763</v>
      </c>
      <c r="G53" t="s">
        <v>1763</v>
      </c>
      <c r="H53" t="s">
        <v>1763</v>
      </c>
      <c r="I53">
        <f>D53*1.6</f>
        <v>1599998.4000000001</v>
      </c>
      <c r="K53">
        <v>315.10000000000002</v>
      </c>
      <c r="L53">
        <v>99999</v>
      </c>
      <c r="M53" t="s">
        <v>1763</v>
      </c>
      <c r="N53" t="s">
        <v>1763</v>
      </c>
    </row>
    <row r="54" spans="1:18" x14ac:dyDescent="0.2">
      <c r="B54" t="s">
        <v>1</v>
      </c>
    </row>
    <row r="55" spans="1:18" x14ac:dyDescent="0.2">
      <c r="C55" t="s">
        <v>172</v>
      </c>
      <c r="D55" t="s">
        <v>173</v>
      </c>
      <c r="E55" t="s">
        <v>174</v>
      </c>
      <c r="F55" t="s">
        <v>175</v>
      </c>
      <c r="G55" t="s">
        <v>180</v>
      </c>
      <c r="H55" t="s">
        <v>181</v>
      </c>
      <c r="I55" t="s">
        <v>214</v>
      </c>
      <c r="J55" t="s">
        <v>215</v>
      </c>
    </row>
    <row r="56" spans="1:18" x14ac:dyDescent="0.2">
      <c r="B56" t="s">
        <v>154</v>
      </c>
      <c r="C56" t="e">
        <f>IF(CENTRO_DE_MEDIÇÃO!$G$4="ESTRELA",calculo!BK116,calculo!BK117)</f>
        <v>#REF!</v>
      </c>
      <c r="D56">
        <f>IF(CENTRO_DE_MEDIÇÃO!$I$13="TRIFÁSICO",3,2)</f>
        <v>2</v>
      </c>
      <c r="E56">
        <f>CENTRO_DE_MEDIÇÃO!D15</f>
        <v>0</v>
      </c>
      <c r="F56" s="209" t="s">
        <v>185</v>
      </c>
      <c r="G56" t="e">
        <f>VLOOKUP(C56,$C$41:$H$52,2,TRUE)</f>
        <v>#REF!</v>
      </c>
      <c r="H56" t="e">
        <f>LARGE(I56:J56,1)</f>
        <v>#REF!</v>
      </c>
      <c r="I56">
        <f>VLOOKUP(calculo!A126,CondutorXcorrenteXproteção!A76:G85,IF(E56="PVC",IF(F59="DISJUNTOR",4,5),IF(F59="DISJUNTOR",6,7)),TRUE)</f>
        <v>0</v>
      </c>
      <c r="J56" t="e">
        <f>VLOOKUP(G56,$D$41:$H$52,IF(E56="PVC",IF(F59="DISJUNTOR",2,3),IF(F59="DISJUNTOR",4,5)))</f>
        <v>#REF!</v>
      </c>
    </row>
    <row r="57" spans="1:18" x14ac:dyDescent="0.2">
      <c r="B57" t="s">
        <v>155</v>
      </c>
      <c r="C57" t="e">
        <f>IF(CENTRO_DE_MEDIÇÃO!$G$4="ESTRELA",calculo!BM116,calculo!BM117)</f>
        <v>#REF!</v>
      </c>
      <c r="D57">
        <f>IF(CENTRO_DE_MEDIÇÃO!$I$13="TRIFÁSICO",3,2)</f>
        <v>2</v>
      </c>
      <c r="E57" t="e">
        <f>CENTRO_DE_MEDIÇÃO!#REF!</f>
        <v>#REF!</v>
      </c>
      <c r="F57" s="209" t="s">
        <v>186</v>
      </c>
      <c r="G57" t="e">
        <f>VLOOKUP(C57,$C$41:$H$52,2,TRUE)</f>
        <v>#REF!</v>
      </c>
      <c r="H57" t="e">
        <f>LARGE(I57:J57,1)</f>
        <v>#REF!</v>
      </c>
      <c r="I57" t="e">
        <f>VLOOKUP(calculo!A127,CondutorXcorrenteXproteção!A76:G85,IF(E57="PVC",IF(F59="DISJUNTOR",4,5),IF(F60="DISJUNTOR",6,7)),TRUE)</f>
        <v>#REF!</v>
      </c>
      <c r="J57" t="e">
        <f>VLOOKUP(G57,$D$41:$H$52,IF(E57="PVC",IF(F59="DISJUNTOR",2,3),IF(F59="DISJUNTOR",4,5)))</f>
        <v>#REF!</v>
      </c>
    </row>
    <row r="59" spans="1:18" x14ac:dyDescent="0.2">
      <c r="B59" t="s">
        <v>183</v>
      </c>
      <c r="C59" s="98" t="e">
        <f>IF(CENTRO_DE_MEDIÇÃO!$G$4="ESTRELA",calculo!BO116,calculo!BO117)</f>
        <v>#REF!</v>
      </c>
      <c r="D59">
        <f>IF(CENTRO_DE_MEDIÇÃO!$I$13="TRIFÁSICO",3,2)</f>
        <v>2</v>
      </c>
      <c r="E59">
        <f>CENTRO_DE_MEDIÇÃO!D12</f>
        <v>0</v>
      </c>
      <c r="F59">
        <f>CENTRO_DE_MEDIÇÃO!H13</f>
        <v>0</v>
      </c>
      <c r="G59" t="e">
        <f>IF(VLOOKUP(C59,$C$41:$H$52,2,TRUE)&lt;=#REF!,VLOOKUP(#REF!+1,C41:H52,2),VLOOKUP(C59,C41:H52,2))</f>
        <v>#REF!</v>
      </c>
      <c r="H59" t="e">
        <f>VLOOKUP(G59,$D$41:$H$52,IF(E59="PVC",IF(F59="DISJUNTOR",2,3),IF(F59="DISJUNTOR",4,5)))</f>
        <v>#REF!</v>
      </c>
      <c r="J59" s="20" t="s">
        <v>79</v>
      </c>
      <c r="K59" s="20" t="s">
        <v>81</v>
      </c>
    </row>
    <row r="60" spans="1:18" x14ac:dyDescent="0.2">
      <c r="I60">
        <v>6</v>
      </c>
      <c r="J60" s="20">
        <v>30</v>
      </c>
      <c r="K60" s="20"/>
    </row>
    <row r="61" spans="1:18" x14ac:dyDescent="0.2">
      <c r="B61" s="20" t="s">
        <v>187</v>
      </c>
      <c r="E61" t="e">
        <f>VLOOKUP(G59,B62:E72,IF(D59=3,4,3))</f>
        <v>#REF!</v>
      </c>
      <c r="F61" s="20"/>
      <c r="I61">
        <v>10</v>
      </c>
      <c r="J61">
        <v>50</v>
      </c>
      <c r="K61">
        <v>66</v>
      </c>
    </row>
    <row r="62" spans="1:18" x14ac:dyDescent="0.2">
      <c r="B62" s="20" t="s">
        <v>180</v>
      </c>
      <c r="C62" s="20" t="s">
        <v>173</v>
      </c>
      <c r="D62" s="20" t="s">
        <v>188</v>
      </c>
      <c r="E62" s="20" t="s">
        <v>188</v>
      </c>
      <c r="I62">
        <v>16</v>
      </c>
      <c r="J62">
        <v>68</v>
      </c>
      <c r="K62">
        <v>89</v>
      </c>
    </row>
    <row r="63" spans="1:18" x14ac:dyDescent="0.2">
      <c r="A63">
        <v>10</v>
      </c>
      <c r="B63">
        <v>50</v>
      </c>
      <c r="C63">
        <f>IF(CENTRO_DE_MEDIÇÃO!$H$4="3F+N",3,2)</f>
        <v>2</v>
      </c>
      <c r="D63" s="471" t="s">
        <v>3159</v>
      </c>
      <c r="E63" s="471" t="s">
        <v>3160</v>
      </c>
      <c r="F63">
        <v>90</v>
      </c>
      <c r="I63">
        <v>25</v>
      </c>
      <c r="J63">
        <v>89</v>
      </c>
      <c r="K63">
        <v>117</v>
      </c>
    </row>
    <row r="64" spans="1:18" x14ac:dyDescent="0.2">
      <c r="A64">
        <v>16</v>
      </c>
      <c r="B64">
        <v>63</v>
      </c>
      <c r="C64">
        <f>IF(CENTRO_DE_MEDIÇÃO!$H$4="3F+N",3,2)</f>
        <v>2</v>
      </c>
      <c r="D64" s="471" t="s">
        <v>3159</v>
      </c>
      <c r="E64" s="471" t="s">
        <v>3160</v>
      </c>
      <c r="F64">
        <v>90</v>
      </c>
      <c r="I64">
        <v>35</v>
      </c>
      <c r="J64">
        <v>111</v>
      </c>
      <c r="K64">
        <v>144</v>
      </c>
    </row>
    <row r="65" spans="1:12" x14ac:dyDescent="0.2">
      <c r="A65">
        <v>25</v>
      </c>
      <c r="B65">
        <v>80</v>
      </c>
      <c r="C65">
        <f>IF(CENTRO_DE_MEDIÇÃO!$H$4="3F+N",3,2)</f>
        <v>2</v>
      </c>
      <c r="D65" s="20" t="s">
        <v>189</v>
      </c>
      <c r="E65" s="20" t="s">
        <v>193</v>
      </c>
      <c r="F65">
        <v>200</v>
      </c>
      <c r="I65">
        <v>50</v>
      </c>
      <c r="J65">
        <v>134</v>
      </c>
      <c r="K65">
        <v>175</v>
      </c>
    </row>
    <row r="66" spans="1:12" x14ac:dyDescent="0.2">
      <c r="A66">
        <v>35</v>
      </c>
      <c r="B66">
        <v>100</v>
      </c>
      <c r="C66">
        <f>IF(CENTRO_DE_MEDIÇÃO!$H$4="3F+N",3,2)</f>
        <v>2</v>
      </c>
      <c r="D66" s="20" t="s">
        <v>189</v>
      </c>
      <c r="E66" s="20" t="s">
        <v>193</v>
      </c>
      <c r="F66">
        <v>200</v>
      </c>
      <c r="I66">
        <v>70</v>
      </c>
      <c r="J66">
        <v>171</v>
      </c>
      <c r="K66">
        <v>222</v>
      </c>
    </row>
    <row r="67" spans="1:12" x14ac:dyDescent="0.2">
      <c r="A67">
        <v>50</v>
      </c>
      <c r="B67">
        <v>125</v>
      </c>
      <c r="C67">
        <f>IF(CENTRO_DE_MEDIÇÃO!$H$4="3F+N",3,2)</f>
        <v>2</v>
      </c>
      <c r="D67" s="20" t="s">
        <v>190</v>
      </c>
      <c r="E67" s="20" t="s">
        <v>194</v>
      </c>
      <c r="F67">
        <v>300</v>
      </c>
      <c r="I67">
        <v>95</v>
      </c>
      <c r="J67">
        <v>207</v>
      </c>
      <c r="K67">
        <v>269</v>
      </c>
    </row>
    <row r="68" spans="1:12" x14ac:dyDescent="0.2">
      <c r="A68">
        <v>70</v>
      </c>
      <c r="B68">
        <v>150</v>
      </c>
      <c r="C68">
        <f>IF(CENTRO_DE_MEDIÇÃO!$H$4="3F+N",3,2)</f>
        <v>2</v>
      </c>
      <c r="D68" s="20" t="s">
        <v>190</v>
      </c>
      <c r="E68" s="20" t="s">
        <v>194</v>
      </c>
      <c r="F68">
        <v>300</v>
      </c>
      <c r="I68">
        <v>120</v>
      </c>
      <c r="J68">
        <v>239</v>
      </c>
      <c r="K68">
        <v>312</v>
      </c>
    </row>
    <row r="69" spans="1:12" x14ac:dyDescent="0.2">
      <c r="A69">
        <v>95</v>
      </c>
      <c r="B69">
        <v>200</v>
      </c>
      <c r="C69">
        <f>IF(CENTRO_DE_MEDIÇÃO!$H$4="3F+N",3,2)</f>
        <v>2</v>
      </c>
      <c r="D69" s="20" t="s">
        <v>190</v>
      </c>
      <c r="E69" s="471" t="s">
        <v>195</v>
      </c>
      <c r="F69">
        <v>300</v>
      </c>
      <c r="I69">
        <v>150</v>
      </c>
      <c r="J69">
        <v>275</v>
      </c>
      <c r="K69">
        <v>367</v>
      </c>
    </row>
    <row r="70" spans="1:12" x14ac:dyDescent="0.2">
      <c r="A70">
        <v>120</v>
      </c>
      <c r="B70">
        <v>225</v>
      </c>
      <c r="C70">
        <f>IF(CENTRO_DE_MEDIÇÃO!$H$4="3F+N",3,2)</f>
        <v>2</v>
      </c>
      <c r="D70" s="471" t="s">
        <v>191</v>
      </c>
      <c r="E70" s="20" t="s">
        <v>195</v>
      </c>
      <c r="F70">
        <v>300</v>
      </c>
      <c r="I70">
        <v>185</v>
      </c>
      <c r="J70">
        <v>314</v>
      </c>
      <c r="K70">
        <v>418</v>
      </c>
    </row>
    <row r="71" spans="1:12" x14ac:dyDescent="0.2">
      <c r="A71">
        <v>185</v>
      </c>
      <c r="B71">
        <v>300</v>
      </c>
      <c r="C71">
        <f>IF(CENTRO_DE_MEDIÇÃO!$H$4="3F+N",3,2)</f>
        <v>2</v>
      </c>
      <c r="D71" s="20" t="s">
        <v>192</v>
      </c>
      <c r="E71" s="20" t="s">
        <v>196</v>
      </c>
      <c r="F71">
        <v>300</v>
      </c>
      <c r="I71">
        <v>240</v>
      </c>
      <c r="J71">
        <v>369</v>
      </c>
      <c r="K71">
        <v>492</v>
      </c>
    </row>
    <row r="72" spans="1:12" x14ac:dyDescent="0.2">
      <c r="A72">
        <v>240</v>
      </c>
      <c r="B72">
        <v>350</v>
      </c>
      <c r="C72">
        <f>IF(CENTRO_DE_MEDIÇÃO!$H$4="3F+N",3,2)</f>
        <v>2</v>
      </c>
      <c r="D72" s="20" t="s">
        <v>192</v>
      </c>
      <c r="E72" s="20" t="s">
        <v>196</v>
      </c>
      <c r="F72">
        <v>300</v>
      </c>
    </row>
    <row r="73" spans="1:12" x14ac:dyDescent="0.2">
      <c r="D73" s="638" t="s">
        <v>79</v>
      </c>
      <c r="E73" s="638"/>
      <c r="F73" s="638" t="s">
        <v>179</v>
      </c>
      <c r="G73" s="638"/>
    </row>
    <row r="74" spans="1:12" x14ac:dyDescent="0.2">
      <c r="A74" s="638" t="s">
        <v>1685</v>
      </c>
      <c r="B74" s="638"/>
      <c r="C74" s="638"/>
      <c r="D74" t="s">
        <v>176</v>
      </c>
      <c r="E74" t="s">
        <v>178</v>
      </c>
      <c r="F74" t="s">
        <v>176</v>
      </c>
      <c r="G74" t="s">
        <v>178</v>
      </c>
    </row>
    <row r="75" spans="1:12" x14ac:dyDescent="0.2">
      <c r="A75" s="391">
        <v>0</v>
      </c>
      <c r="B75" s="391">
        <v>0</v>
      </c>
      <c r="C75" s="391">
        <v>0</v>
      </c>
      <c r="D75" s="391">
        <v>0</v>
      </c>
      <c r="E75" s="391">
        <v>0</v>
      </c>
      <c r="F75" s="391">
        <v>0</v>
      </c>
      <c r="G75" s="391">
        <v>0</v>
      </c>
    </row>
    <row r="76" spans="1:12" x14ac:dyDescent="0.2">
      <c r="A76">
        <v>0.1</v>
      </c>
      <c r="B76">
        <v>3</v>
      </c>
      <c r="C76">
        <v>50</v>
      </c>
      <c r="D76">
        <v>10</v>
      </c>
      <c r="E76">
        <v>0</v>
      </c>
      <c r="F76">
        <v>10</v>
      </c>
      <c r="G76">
        <v>0</v>
      </c>
    </row>
    <row r="77" spans="1:12" x14ac:dyDescent="0.2">
      <c r="A77">
        <v>3.1</v>
      </c>
      <c r="B77">
        <v>5</v>
      </c>
      <c r="C77">
        <v>63</v>
      </c>
      <c r="D77">
        <v>16</v>
      </c>
      <c r="E77">
        <v>0</v>
      </c>
      <c r="F77">
        <v>10</v>
      </c>
      <c r="G77">
        <v>0</v>
      </c>
      <c r="J77">
        <v>0</v>
      </c>
      <c r="K77">
        <v>16</v>
      </c>
      <c r="L77">
        <v>16</v>
      </c>
    </row>
    <row r="78" spans="1:12" x14ac:dyDescent="0.2">
      <c r="C78">
        <v>80</v>
      </c>
      <c r="D78">
        <v>25</v>
      </c>
      <c r="E78">
        <v>0</v>
      </c>
      <c r="F78">
        <v>16</v>
      </c>
      <c r="G78">
        <v>0</v>
      </c>
      <c r="J78">
        <v>16.100000000000001</v>
      </c>
      <c r="K78">
        <v>25</v>
      </c>
      <c r="L78">
        <v>25</v>
      </c>
    </row>
    <row r="79" spans="1:12" x14ac:dyDescent="0.2">
      <c r="C79">
        <v>100</v>
      </c>
      <c r="D79">
        <v>35</v>
      </c>
      <c r="E79">
        <v>0</v>
      </c>
      <c r="F79">
        <v>25</v>
      </c>
      <c r="G79">
        <v>0</v>
      </c>
      <c r="J79">
        <v>25.1</v>
      </c>
      <c r="K79">
        <v>35</v>
      </c>
      <c r="L79">
        <v>35</v>
      </c>
    </row>
    <row r="80" spans="1:12" x14ac:dyDescent="0.2">
      <c r="C80">
        <v>125</v>
      </c>
      <c r="D80">
        <v>50</v>
      </c>
      <c r="E80">
        <v>0</v>
      </c>
      <c r="F80">
        <v>35</v>
      </c>
      <c r="G80">
        <v>0</v>
      </c>
      <c r="J80">
        <v>35.1</v>
      </c>
      <c r="K80">
        <v>50</v>
      </c>
      <c r="L80">
        <v>50</v>
      </c>
    </row>
    <row r="81" spans="1:12" x14ac:dyDescent="0.2">
      <c r="C81">
        <v>150</v>
      </c>
      <c r="D81">
        <v>70</v>
      </c>
      <c r="E81">
        <v>0</v>
      </c>
      <c r="F81">
        <v>50</v>
      </c>
      <c r="G81">
        <v>0</v>
      </c>
      <c r="J81">
        <v>50.1</v>
      </c>
      <c r="K81">
        <v>70</v>
      </c>
      <c r="L81">
        <v>70</v>
      </c>
    </row>
    <row r="82" spans="1:12" x14ac:dyDescent="0.2">
      <c r="B82">
        <v>160</v>
      </c>
      <c r="C82">
        <v>200</v>
      </c>
      <c r="D82">
        <v>95</v>
      </c>
      <c r="E82">
        <v>120</v>
      </c>
      <c r="F82">
        <v>70</v>
      </c>
      <c r="G82">
        <v>95</v>
      </c>
      <c r="J82">
        <v>70.099999999999994</v>
      </c>
      <c r="K82">
        <v>95</v>
      </c>
      <c r="L82">
        <v>95</v>
      </c>
    </row>
    <row r="83" spans="1:12" x14ac:dyDescent="0.2">
      <c r="B83">
        <v>200</v>
      </c>
      <c r="C83">
        <v>225</v>
      </c>
      <c r="D83">
        <v>120</v>
      </c>
      <c r="E83">
        <v>185</v>
      </c>
      <c r="F83">
        <v>95</v>
      </c>
      <c r="G83">
        <v>120</v>
      </c>
      <c r="I83">
        <f>B82*1.45</f>
        <v>232</v>
      </c>
      <c r="J83">
        <v>95.1</v>
      </c>
      <c r="K83">
        <v>120</v>
      </c>
      <c r="L83">
        <v>120</v>
      </c>
    </row>
    <row r="84" spans="1:12" x14ac:dyDescent="0.2">
      <c r="B84">
        <v>250</v>
      </c>
      <c r="C84">
        <v>300</v>
      </c>
      <c r="D84">
        <v>185</v>
      </c>
      <c r="E84">
        <v>240</v>
      </c>
      <c r="F84">
        <v>120</v>
      </c>
      <c r="G84">
        <v>150</v>
      </c>
      <c r="I84">
        <f>B83*1.45</f>
        <v>290</v>
      </c>
      <c r="J84">
        <v>120.1</v>
      </c>
      <c r="K84">
        <v>150</v>
      </c>
      <c r="L84">
        <v>150</v>
      </c>
    </row>
    <row r="85" spans="1:12" x14ac:dyDescent="0.2">
      <c r="B85">
        <v>315</v>
      </c>
      <c r="C85">
        <v>350</v>
      </c>
      <c r="D85">
        <v>240</v>
      </c>
      <c r="E85">
        <v>240</v>
      </c>
      <c r="F85">
        <v>150</v>
      </c>
      <c r="G85">
        <v>240</v>
      </c>
      <c r="I85">
        <f>B84*1.45</f>
        <v>362.5</v>
      </c>
      <c r="J85">
        <v>150.1</v>
      </c>
      <c r="K85">
        <v>185</v>
      </c>
      <c r="L85">
        <v>185</v>
      </c>
    </row>
    <row r="86" spans="1:12" x14ac:dyDescent="0.2">
      <c r="A86" s="638" t="s">
        <v>1686</v>
      </c>
      <c r="B86" s="638"/>
      <c r="C86" s="638"/>
      <c r="I86">
        <f>B85*1.45</f>
        <v>456.75</v>
      </c>
    </row>
    <row r="87" spans="1:12" x14ac:dyDescent="0.2">
      <c r="A87" s="391">
        <v>0</v>
      </c>
      <c r="B87" s="391">
        <v>0</v>
      </c>
      <c r="C87" s="391">
        <v>0</v>
      </c>
    </row>
    <row r="88" spans="1:12" x14ac:dyDescent="0.2">
      <c r="A88">
        <v>0.1</v>
      </c>
      <c r="B88">
        <v>5</v>
      </c>
      <c r="C88">
        <v>50</v>
      </c>
    </row>
    <row r="89" spans="1:12" x14ac:dyDescent="0.2">
      <c r="A89">
        <v>5.0999999999999996</v>
      </c>
      <c r="B89">
        <v>7.5</v>
      </c>
      <c r="C89">
        <v>63</v>
      </c>
    </row>
    <row r="90" spans="1:12" x14ac:dyDescent="0.2">
      <c r="A90">
        <v>7.6</v>
      </c>
      <c r="B90">
        <v>10</v>
      </c>
      <c r="C90">
        <v>80</v>
      </c>
    </row>
    <row r="91" spans="1:12" x14ac:dyDescent="0.2">
      <c r="A91">
        <v>10.1</v>
      </c>
      <c r="B91">
        <v>15</v>
      </c>
      <c r="C91">
        <v>100</v>
      </c>
    </row>
    <row r="92" spans="1:12" x14ac:dyDescent="0.2">
      <c r="A92">
        <v>15.1</v>
      </c>
      <c r="B92">
        <v>20</v>
      </c>
      <c r="C92">
        <v>125</v>
      </c>
    </row>
    <row r="93" spans="1:12" x14ac:dyDescent="0.2">
      <c r="A93">
        <v>20.100000000000001</v>
      </c>
      <c r="B93">
        <v>25</v>
      </c>
      <c r="C93">
        <v>150</v>
      </c>
    </row>
    <row r="94" spans="1:12" x14ac:dyDescent="0.2">
      <c r="A94">
        <v>25.1</v>
      </c>
      <c r="B94">
        <v>30</v>
      </c>
      <c r="C94">
        <v>200</v>
      </c>
    </row>
    <row r="95" spans="1:12" x14ac:dyDescent="0.2">
      <c r="A95">
        <v>30.1</v>
      </c>
      <c r="B95">
        <v>40</v>
      </c>
      <c r="C95">
        <v>225</v>
      </c>
    </row>
    <row r="96" spans="1:12" x14ac:dyDescent="0.2">
      <c r="A96">
        <v>40.1</v>
      </c>
      <c r="B96">
        <v>60</v>
      </c>
      <c r="C96">
        <v>300</v>
      </c>
    </row>
    <row r="99" spans="2:3" x14ac:dyDescent="0.2">
      <c r="B99" t="s">
        <v>21</v>
      </c>
      <c r="C99" t="s">
        <v>1805</v>
      </c>
    </row>
    <row r="100" spans="2:3" x14ac:dyDescent="0.2">
      <c r="B100" t="s">
        <v>20</v>
      </c>
      <c r="C100" t="s">
        <v>1806</v>
      </c>
    </row>
    <row r="101" spans="2:3" x14ac:dyDescent="0.2">
      <c r="B101" t="s">
        <v>22</v>
      </c>
      <c r="C101" t="s">
        <v>1807</v>
      </c>
    </row>
    <row r="102" spans="2:3" x14ac:dyDescent="0.2">
      <c r="B102" t="s">
        <v>23</v>
      </c>
      <c r="C102" t="s">
        <v>1808</v>
      </c>
    </row>
    <row r="103" spans="2:3" x14ac:dyDescent="0.2">
      <c r="B103" t="s">
        <v>19</v>
      </c>
      <c r="C103" t="s">
        <v>1809</v>
      </c>
    </row>
  </sheetData>
  <customSheetViews>
    <customSheetView guid="{3D0BF824-B70B-411D-8F8F-CCBEF08DF0BD}" scale="120" state="hidden" topLeftCell="I1">
      <selection activeCell="S24" sqref="S24"/>
      <pageMargins left="0.511811024" right="0.511811024" top="0.78740157499999996" bottom="0.78740157499999996" header="0.31496062000000002" footer="0.31496062000000002"/>
      <pageSetup paperSize="9" orientation="portrait" r:id="rId1"/>
    </customSheetView>
  </customSheetViews>
  <mergeCells count="5">
    <mergeCell ref="R22:V22"/>
    <mergeCell ref="A74:C74"/>
    <mergeCell ref="A86:C86"/>
    <mergeCell ref="D73:E73"/>
    <mergeCell ref="F73:G73"/>
  </mergeCells>
  <pageMargins left="0.511811024" right="0.511811024" top="0.78740157499999996" bottom="0.78740157499999996" header="0.31496062000000002" footer="0.31496062000000002"/>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dimension ref="B1:D13"/>
  <sheetViews>
    <sheetView workbookViewId="0">
      <selection activeCell="C12" sqref="C12"/>
    </sheetView>
  </sheetViews>
  <sheetFormatPr defaultRowHeight="12.75" x14ac:dyDescent="0.2"/>
  <sheetData>
    <row r="1" spans="2:4" x14ac:dyDescent="0.2">
      <c r="B1" s="74" t="s">
        <v>110</v>
      </c>
      <c r="C1" s="75" t="s">
        <v>111</v>
      </c>
      <c r="D1" s="76" t="s">
        <v>102</v>
      </c>
    </row>
    <row r="2" spans="2:4" x14ac:dyDescent="0.2">
      <c r="B2" s="77">
        <v>0</v>
      </c>
      <c r="C2" s="73">
        <v>0.9</v>
      </c>
      <c r="D2" s="78">
        <v>0.86</v>
      </c>
    </row>
    <row r="3" spans="2:4" x14ac:dyDescent="0.2">
      <c r="B3" s="77">
        <v>1</v>
      </c>
      <c r="C3" s="73">
        <v>1.9</v>
      </c>
      <c r="D3" s="78">
        <v>0.75</v>
      </c>
    </row>
    <row r="4" spans="2:4" x14ac:dyDescent="0.2">
      <c r="B4" s="77">
        <v>2</v>
      </c>
      <c r="C4" s="73">
        <v>2.9</v>
      </c>
      <c r="D4" s="78">
        <v>0.66</v>
      </c>
    </row>
    <row r="5" spans="2:4" x14ac:dyDescent="0.2">
      <c r="B5" s="77">
        <v>3</v>
      </c>
      <c r="C5" s="73">
        <v>3.9</v>
      </c>
      <c r="D5" s="78">
        <v>0.59</v>
      </c>
    </row>
    <row r="6" spans="2:4" x14ac:dyDescent="0.2">
      <c r="B6" s="77">
        <v>4</v>
      </c>
      <c r="C6" s="73">
        <v>4.9000000000000004</v>
      </c>
      <c r="D6" s="78">
        <v>0.52</v>
      </c>
    </row>
    <row r="7" spans="2:4" x14ac:dyDescent="0.2">
      <c r="B7" s="77">
        <v>5</v>
      </c>
      <c r="C7" s="73">
        <v>5.9</v>
      </c>
      <c r="D7" s="78">
        <v>0.45</v>
      </c>
    </row>
    <row r="8" spans="2:4" x14ac:dyDescent="0.2">
      <c r="B8" s="77">
        <v>6</v>
      </c>
      <c r="C8" s="73">
        <v>6.9</v>
      </c>
      <c r="D8" s="78">
        <v>0.4</v>
      </c>
    </row>
    <row r="9" spans="2:4" x14ac:dyDescent="0.2">
      <c r="B9" s="77">
        <v>7</v>
      </c>
      <c r="C9" s="73">
        <v>7.9</v>
      </c>
      <c r="D9" s="78">
        <v>0.35</v>
      </c>
    </row>
    <row r="10" spans="2:4" x14ac:dyDescent="0.2">
      <c r="B10" s="77">
        <v>8</v>
      </c>
      <c r="C10" s="73">
        <v>8.9</v>
      </c>
      <c r="D10" s="78">
        <v>0.31</v>
      </c>
    </row>
    <row r="11" spans="2:4" x14ac:dyDescent="0.2">
      <c r="B11" s="77">
        <v>9</v>
      </c>
      <c r="C11" s="73">
        <v>9.9</v>
      </c>
      <c r="D11" s="78">
        <v>0.27</v>
      </c>
    </row>
    <row r="12" spans="2:4" ht="13.5" thickBot="1" x14ac:dyDescent="0.25">
      <c r="B12" s="79">
        <v>10</v>
      </c>
      <c r="C12" s="80">
        <v>10000</v>
      </c>
      <c r="D12" s="81">
        <v>0.24</v>
      </c>
    </row>
    <row r="13" spans="2:4" ht="13.5" thickBot="1" x14ac:dyDescent="0.25">
      <c r="B13" s="639" t="s">
        <v>112</v>
      </c>
      <c r="C13" s="640"/>
      <c r="D13" s="641"/>
    </row>
  </sheetData>
  <customSheetViews>
    <customSheetView guid="{3D0BF824-B70B-411D-8F8F-CCBEF08DF0BD}" state="hidden">
      <selection activeCell="C12" sqref="C12"/>
      <pageMargins left="0.511811024" right="0.511811024" top="0.78740157499999996" bottom="0.78740157499999996" header="0.31496062000000002" footer="0.31496062000000002"/>
    </customSheetView>
  </customSheetViews>
  <mergeCells count="1">
    <mergeCell ref="B13:D13"/>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tabColor rgb="FFFF0000"/>
    <pageSetUpPr fitToPage="1"/>
  </sheetPr>
  <dimension ref="A1:IW72"/>
  <sheetViews>
    <sheetView zoomScale="90" zoomScaleNormal="90" workbookViewId="0">
      <selection activeCell="G4" sqref="G4"/>
    </sheetView>
  </sheetViews>
  <sheetFormatPr defaultColWidth="0" defaultRowHeight="13.5" zeroHeight="1" x14ac:dyDescent="0.25"/>
  <cols>
    <col min="1" max="1" width="11.140625" style="17" bestFit="1" customWidth="1"/>
    <col min="2" max="2" width="18.85546875" style="17" bestFit="1" customWidth="1"/>
    <col min="3" max="3" width="15.85546875" style="17" bestFit="1" customWidth="1"/>
    <col min="4" max="4" width="13.7109375" style="17" customWidth="1"/>
    <col min="5" max="5" width="13.5703125" style="17" bestFit="1" customWidth="1"/>
    <col min="6" max="6" width="19.5703125" style="17" bestFit="1" customWidth="1"/>
    <col min="7" max="7" width="14.42578125" style="17" bestFit="1" customWidth="1"/>
    <col min="8" max="8" width="19" style="17" bestFit="1" customWidth="1"/>
    <col min="9" max="9" width="12.85546875" style="17" customWidth="1"/>
    <col min="10" max="10" width="10.5703125" style="220" customWidth="1"/>
    <col min="11" max="11" width="10.5703125" style="464" customWidth="1"/>
    <col min="12" max="12" width="10.5703125" style="36" hidden="1" customWidth="1"/>
    <col min="13" max="13" width="0" style="220" hidden="1" customWidth="1"/>
    <col min="14" max="14" width="14" style="17" hidden="1" customWidth="1"/>
    <col min="15" max="15" width="28.5703125" style="17" hidden="1" customWidth="1"/>
    <col min="16" max="255" width="10.5703125" style="17" hidden="1" customWidth="1"/>
    <col min="256" max="256" width="15.28515625" style="17" hidden="1" customWidth="1"/>
    <col min="257" max="16384" width="0" style="145" hidden="1"/>
  </cols>
  <sheetData>
    <row r="1" spans="1:16" ht="12.75" customHeight="1" x14ac:dyDescent="0.25">
      <c r="C1" s="15"/>
      <c r="D1" s="16"/>
      <c r="E1" s="16"/>
      <c r="F1" s="16"/>
      <c r="G1" s="16"/>
      <c r="H1" s="16"/>
      <c r="I1" s="40"/>
    </row>
    <row r="2" spans="1:16" ht="14.25" customHeight="1" thickBot="1" x14ac:dyDescent="0.3">
      <c r="B2" s="642" t="s">
        <v>4</v>
      </c>
      <c r="C2" s="642"/>
      <c r="D2" s="642"/>
      <c r="E2" s="642"/>
      <c r="F2" s="642"/>
      <c r="G2" s="642"/>
      <c r="H2" s="642"/>
      <c r="I2" s="41"/>
    </row>
    <row r="3" spans="1:16" ht="14.25" thickTop="1" x14ac:dyDescent="0.25">
      <c r="B3" s="1" t="s">
        <v>6</v>
      </c>
      <c r="C3" s="222">
        <f>VLOOKUP($I$7,CondutorXcorrenteXproteção!$Q$24:$Z$28,10,FALSE)</f>
        <v>0</v>
      </c>
      <c r="D3" s="2" t="s">
        <v>3</v>
      </c>
      <c r="F3" s="3" t="s">
        <v>5</v>
      </c>
      <c r="G3" s="222">
        <f>VLOOKUP($I$7,CondutorXcorrenteXproteção!$Q$24:$X$28,8,FALSE)</f>
        <v>0</v>
      </c>
      <c r="H3" s="4" t="s">
        <v>0</v>
      </c>
      <c r="I3" s="49"/>
      <c r="N3" s="16"/>
      <c r="O3" s="18"/>
    </row>
    <row r="4" spans="1:16" x14ac:dyDescent="0.25">
      <c r="B4" s="306" t="s">
        <v>1848</v>
      </c>
      <c r="C4" s="451" t="str">
        <f>CONCATENATE(calculo!BO99,ROUND(calculo!BP99+(calculo!BP100/2),2),calculo!BN99,calculo!BO100,ROUND(calculo!BP100/2,2))</f>
        <v>L: 0   F: 0</v>
      </c>
      <c r="D4" s="308" t="s">
        <v>3</v>
      </c>
      <c r="F4" s="5" t="s">
        <v>8</v>
      </c>
      <c r="G4" s="184"/>
      <c r="H4" s="185"/>
      <c r="I4" s="336">
        <f>IF(AND(H4="2F+N",OR(A17="TRIFÁSICO",A18="TRIFÁSICO",A19="TRIFÁSICO",A20="TRIFÁSICO",E30&gt;0,A21="TRIFÁSICO",A22="TRIFÁSICO",A23="TRIFÁSICO",A24="TRIFÁSICO",A25="TRIFÁSICO",A26="TRIFÁSICO",A27="TRIFÁSICO",A28="TRIFÁSICO")),61,0)</f>
        <v>0</v>
      </c>
      <c r="J4" s="336">
        <f>IF(AND(G4="ESTRELA",E13&gt;25,H4="2F+N"),62,0)</f>
        <v>0</v>
      </c>
      <c r="L4" s="36" t="s">
        <v>21</v>
      </c>
      <c r="N4" s="16"/>
      <c r="O4" s="37" t="s">
        <v>71</v>
      </c>
      <c r="P4" s="36" t="s">
        <v>14</v>
      </c>
    </row>
    <row r="5" spans="1:16" x14ac:dyDescent="0.25">
      <c r="B5" s="310" t="s">
        <v>1849</v>
      </c>
      <c r="C5" s="452" t="str">
        <f>CONCATENATE(calculo!BO99,ROUND((calculo!BP99*0.66666)+(calculo!BP100*0.33333),2),calculo!BN99,calculo!BO100,ROUND((calculo!BP99*0.33333)+(calculo!BP100*0.33333),2))</f>
        <v>L: 0   F: 0</v>
      </c>
      <c r="D5" s="450" t="s">
        <v>3</v>
      </c>
      <c r="G5" s="389">
        <f>IF(G4="",63,0)</f>
        <v>63</v>
      </c>
      <c r="H5" s="389">
        <f>IF(H4="",64,0)</f>
        <v>64</v>
      </c>
      <c r="I5" s="49"/>
      <c r="L5" s="36" t="s">
        <v>20</v>
      </c>
      <c r="N5" s="16"/>
      <c r="O5" s="38" t="s">
        <v>17</v>
      </c>
      <c r="P5" s="36" t="s">
        <v>72</v>
      </c>
    </row>
    <row r="6" spans="1:16" x14ac:dyDescent="0.25">
      <c r="B6" s="643" t="s">
        <v>70</v>
      </c>
      <c r="C6" s="643"/>
      <c r="D6" s="643"/>
      <c r="E6" s="643"/>
      <c r="F6" s="643"/>
      <c r="G6" s="643"/>
      <c r="H6" s="643"/>
      <c r="I6" s="49"/>
      <c r="L6" s="36" t="s">
        <v>22</v>
      </c>
      <c r="N6" s="16"/>
      <c r="O6" s="19"/>
    </row>
    <row r="7" spans="1:16" ht="14.25" customHeight="1" x14ac:dyDescent="0.25">
      <c r="B7" s="306" t="s">
        <v>1672</v>
      </c>
      <c r="C7" s="307">
        <f>(calculo!BP102)*1.2</f>
        <v>0</v>
      </c>
      <c r="D7" s="308" t="s">
        <v>3</v>
      </c>
      <c r="E7" s="309"/>
      <c r="F7" s="310" t="s">
        <v>7</v>
      </c>
      <c r="G7" s="311" t="e">
        <f>VLOOKUP($G$14,CondutorXcorrenteXproteção!$B$63:$F$72,IF(I13="TRIFÁSICO",4,3))</f>
        <v>#N/A</v>
      </c>
      <c r="H7" s="312" t="s">
        <v>2</v>
      </c>
      <c r="I7" s="438" t="s">
        <v>19</v>
      </c>
      <c r="L7" s="36" t="s">
        <v>23</v>
      </c>
      <c r="N7" s="16"/>
      <c r="O7" s="19"/>
    </row>
    <row r="8" spans="1:16" ht="8.25" customHeight="1" x14ac:dyDescent="0.25">
      <c r="C8" s="6"/>
      <c r="D8" s="7"/>
      <c r="E8" s="8"/>
      <c r="F8" s="6"/>
      <c r="G8" s="7"/>
      <c r="H8" s="9"/>
      <c r="I8" s="49"/>
      <c r="L8" s="36" t="s">
        <v>19</v>
      </c>
      <c r="N8" s="16"/>
      <c r="O8" s="19"/>
    </row>
    <row r="9" spans="1:16" ht="13.5" customHeight="1" x14ac:dyDescent="0.25">
      <c r="B9" s="644" t="s">
        <v>10</v>
      </c>
      <c r="C9" s="644"/>
      <c r="D9" s="644"/>
      <c r="E9" s="644"/>
      <c r="F9" s="644"/>
      <c r="G9" s="644"/>
      <c r="H9" s="644"/>
      <c r="I9" s="647" t="s">
        <v>1694</v>
      </c>
      <c r="J9" s="647"/>
      <c r="O9" s="19"/>
    </row>
    <row r="10" spans="1:16" x14ac:dyDescent="0.25">
      <c r="A10" s="389">
        <f>IF(C10="",65,0)</f>
        <v>65</v>
      </c>
      <c r="B10" s="10" t="s">
        <v>11</v>
      </c>
      <c r="C10" s="186"/>
      <c r="D10" s="223" t="e">
        <f>VLOOKUP($G$14,CondutorXcorrenteXproteção!$B$63:$F$72,5)</f>
        <v>#N/A</v>
      </c>
      <c r="E10" s="11" t="s">
        <v>77</v>
      </c>
      <c r="G10" s="221" t="s">
        <v>1838</v>
      </c>
      <c r="H10" s="302">
        <f>RELAÇÃO_DE_CARGA!Z1</f>
        <v>0</v>
      </c>
      <c r="I10" s="647" t="e">
        <f>IF(F13&lt;=16,F13,IF(F13&lt;=35,16,VLOOKUP(F13/2,CondutorXcorrenteXproteção!J76:L84,3,TRUE)))</f>
        <v>#VALUE!</v>
      </c>
      <c r="J10" s="647"/>
      <c r="N10" s="17" t="s">
        <v>16</v>
      </c>
      <c r="O10" s="19"/>
    </row>
    <row r="11" spans="1:16" ht="4.5" customHeight="1" x14ac:dyDescent="0.25">
      <c r="C11" s="6"/>
      <c r="D11" s="7"/>
      <c r="E11" s="7"/>
      <c r="F11" s="12"/>
      <c r="G11" s="6"/>
      <c r="H11" s="9"/>
      <c r="I11" s="41"/>
      <c r="N11" s="17" t="s">
        <v>82</v>
      </c>
    </row>
    <row r="12" spans="1:16" ht="14.25" thickBot="1" x14ac:dyDescent="0.3">
      <c r="B12" s="662" t="s">
        <v>78</v>
      </c>
      <c r="C12" s="663"/>
      <c r="D12" s="187"/>
      <c r="E12" s="303" t="s">
        <v>201</v>
      </c>
      <c r="F12" s="303" t="s">
        <v>1611</v>
      </c>
      <c r="G12" s="304" t="s">
        <v>1609</v>
      </c>
      <c r="H12" s="303" t="s">
        <v>1610</v>
      </c>
      <c r="I12" s="304" t="s">
        <v>99</v>
      </c>
      <c r="J12" s="304" t="s">
        <v>200</v>
      </c>
      <c r="K12" s="465"/>
      <c r="L12" s="389"/>
      <c r="N12" s="17" t="s">
        <v>83</v>
      </c>
    </row>
    <row r="13" spans="1:16" ht="16.5" customHeight="1" thickTop="1" thickBot="1" x14ac:dyDescent="0.3">
      <c r="B13" s="645" t="s">
        <v>1693</v>
      </c>
      <c r="C13" s="646"/>
      <c r="D13" s="389">
        <f>IF(D12="",66,0)</f>
        <v>66</v>
      </c>
      <c r="E13" s="222">
        <f>SUM(E17:E28,E30)</f>
        <v>0</v>
      </c>
      <c r="F13" s="221" t="str">
        <f>VLOOKUP($I$7,CondutorXcorrenteXproteção!$Q$24:$V$28,2,FALSE)</f>
        <v>ERRO</v>
      </c>
      <c r="I13" s="224" t="str">
        <f>IF(H4="3F+N","TRIFÁSICO","BIFÁSICO")</f>
        <v>BIFÁSICO</v>
      </c>
      <c r="J13" s="221" t="e">
        <f>CondutorXcorrenteXproteção!AC28</f>
        <v>#N/A</v>
      </c>
      <c r="K13" s="465"/>
      <c r="L13" s="389"/>
    </row>
    <row r="14" spans="1:16" ht="15" thickTop="1" thickBot="1" x14ac:dyDescent="0.3">
      <c r="B14" s="645" t="s">
        <v>1692</v>
      </c>
      <c r="C14" s="646"/>
      <c r="F14" s="221" t="str">
        <f>VLOOKUP($I$7,CondutorXcorrenteXproteção!$Q$24:$AD$28,14,FALSE)</f>
        <v>ERRO</v>
      </c>
      <c r="G14" s="302" t="str">
        <f>IF(H10=0,"",VLOOKUP($I$7,CondutorXcorrenteXproteção!$Q$24:$Y$28,9,FALSE))</f>
        <v/>
      </c>
      <c r="H14" s="184"/>
      <c r="I14" s="392">
        <f>IF(AND(G14&lt;=150,H14="FUSÍVEL"),70.5,0)</f>
        <v>0</v>
      </c>
      <c r="J14" s="262">
        <f>IF(G14=999999,82.23,0)</f>
        <v>0</v>
      </c>
      <c r="L14" s="36" t="s">
        <v>73</v>
      </c>
    </row>
    <row r="15" spans="1:16" ht="14.25" thickTop="1" x14ac:dyDescent="0.25">
      <c r="B15" s="661" t="s">
        <v>1839</v>
      </c>
      <c r="C15" s="664" t="e">
        <f>CondutorXcorrenteXproteção!S28</f>
        <v>#N/A</v>
      </c>
      <c r="D15" s="225"/>
      <c r="E15" s="225">
        <f>IF(H10="K",0,IF(D15="",68,0))</f>
        <v>68</v>
      </c>
      <c r="F15" s="225"/>
      <c r="G15" s="13"/>
      <c r="H15" s="389">
        <f>IF(H14="",67,0)</f>
        <v>67</v>
      </c>
      <c r="L15" s="36" t="s">
        <v>74</v>
      </c>
    </row>
    <row r="16" spans="1:16" ht="14.25" thickBot="1" x14ac:dyDescent="0.3">
      <c r="B16" s="649"/>
      <c r="C16" s="665"/>
      <c r="D16" s="226">
        <f>D15</f>
        <v>0</v>
      </c>
      <c r="E16" s="389">
        <f>IF(D17="",69,0)</f>
        <v>69</v>
      </c>
      <c r="F16" s="389"/>
      <c r="G16" s="408">
        <f>SUM(G17:G25)</f>
        <v>0</v>
      </c>
      <c r="H16" s="213"/>
      <c r="I16" s="183"/>
      <c r="K16" s="466"/>
      <c r="L16" s="336" t="str">
        <f>IF(AND(I17="TRIFÁSICO",$I$13="BIFÁSICO"),"VERIFICAR","")</f>
        <v/>
      </c>
      <c r="O16" s="36" t="s">
        <v>13</v>
      </c>
    </row>
    <row r="17" spans="1:15" ht="14.25" thickTop="1" x14ac:dyDescent="0.25">
      <c r="A17" s="334">
        <f>I17</f>
        <v>0</v>
      </c>
      <c r="B17" s="648" t="s">
        <v>184</v>
      </c>
      <c r="C17" s="320" t="str">
        <f>CONCATENATE(IF(calculo!$C$1="Vazio","Vazio","Unid 1 - "),MEMORIAL!F13)</f>
        <v>VazioCS 01</v>
      </c>
      <c r="D17" s="317"/>
      <c r="E17" s="321" t="str">
        <f>IF(calculo!$C$1="Vazio","",calculo!$BR$92)</f>
        <v/>
      </c>
      <c r="F17" s="460" t="str">
        <f>IF(calculo!$C$1="Vazio","",CondutorXcorrenteXproteção!I3)</f>
        <v/>
      </c>
      <c r="G17" s="460">
        <f>IF(OR(calculo!$C$1="Vazio",calculo!$C$1=0),0,IF(CondutorXcorrenteXproteção!M3=30,"32/35",CondutorXcorrenteXproteção!M3))</f>
        <v>0</v>
      </c>
      <c r="H17" s="316" t="str">
        <f>IF(calculo!$C$1="Vazio","","DISJUNTOR")</f>
        <v/>
      </c>
      <c r="I17" s="318"/>
      <c r="J17" s="319" t="str">
        <f>IF(calculo!$C$1="Vazio","",CondutorXcorrenteXproteção!K3)</f>
        <v/>
      </c>
      <c r="K17" s="465" t="str">
        <f>IF(G17&gt;150,"ERRO","")</f>
        <v/>
      </c>
      <c r="L17" s="389">
        <f>IF(AND(I17="",RELAÇÃO_DE_CARGA!C2&lt;&gt;"Vazio"),71,0)</f>
        <v>71</v>
      </c>
      <c r="O17" s="36" t="s">
        <v>18</v>
      </c>
    </row>
    <row r="18" spans="1:15" x14ac:dyDescent="0.25">
      <c r="A18" s="334">
        <f>I18</f>
        <v>0</v>
      </c>
      <c r="B18" s="649"/>
      <c r="C18" s="320" t="str">
        <f>CONCATENATE(IF(calculo!$F$1="Vazio","Vazio","Unid 2 - "),MEMORIAL!F14)</f>
        <v>VazioCS 02</v>
      </c>
      <c r="D18" s="226">
        <f>D17</f>
        <v>0</v>
      </c>
      <c r="E18" s="227" t="str">
        <f>IF(calculo!$F$1="Vazio","",calculo!$BS$92)</f>
        <v/>
      </c>
      <c r="F18" s="461" t="str">
        <f>IF(calculo!$F$1="Vazio","",CondutorXcorrenteXproteção!I4)</f>
        <v/>
      </c>
      <c r="G18" s="460">
        <f>IF(OR(calculo!$F$1="Vazio",calculo!$F$1=0),0,IF(CondutorXcorrenteXproteção!M4=30,"32/35",CondutorXcorrenteXproteção!M4))</f>
        <v>0</v>
      </c>
      <c r="H18" s="221" t="str">
        <f>IF(calculo!$F$1="Vazio","","DISJUNTOR")</f>
        <v/>
      </c>
      <c r="I18" s="318"/>
      <c r="J18" s="224" t="str">
        <f>IF(calculo!$F$1="Vazio","",CondutorXcorrenteXproteção!K4)</f>
        <v/>
      </c>
      <c r="K18" s="465" t="str">
        <f t="shared" ref="K18:K28" si="0">IF(G18&gt;150,"ERRO","")</f>
        <v/>
      </c>
      <c r="L18" s="389">
        <f>IF(AND(I18="",RELAÇÃO_DE_CARGA!F2&lt;&gt;"Vazio"),72,0)</f>
        <v>72</v>
      </c>
    </row>
    <row r="19" spans="1:15" x14ac:dyDescent="0.25">
      <c r="A19" s="335">
        <f>IF($H$10="K",0,I19)</f>
        <v>0</v>
      </c>
      <c r="B19" s="649"/>
      <c r="C19" s="320" t="str">
        <f>CONCATENATE(IF(calculo!$I$1="Vazio","Vazio","Unid 3 - "),MEMORIAL!F15)</f>
        <v>VazioCS 03</v>
      </c>
      <c r="D19" s="226">
        <f>D17</f>
        <v>0</v>
      </c>
      <c r="E19" s="227" t="str">
        <f>IF(calculo!$I$1="Vazio","",calculo!$BT$92)</f>
        <v/>
      </c>
      <c r="F19" s="461">
        <f>IF(OR(H10&gt;2),IF(calculo!$I$1="Vazio","",CondutorXcorrenteXproteção!I5),0)</f>
        <v>0</v>
      </c>
      <c r="G19" s="460">
        <f>IF(OR(calculo!$I$1="Vazio",calculo!$I$1=0),0,IF(CondutorXcorrenteXproteção!M5=30,"32/35",CondutorXcorrenteXproteção!M5))</f>
        <v>0</v>
      </c>
      <c r="H19" s="221" t="str">
        <f>IF(calculo!$I$1="Vazio","","DISJUNTOR")</f>
        <v/>
      </c>
      <c r="I19" s="318"/>
      <c r="J19" s="224" t="str">
        <f>IF(calculo!$I$1="Vazio","",CondutorXcorrenteXproteção!K5)</f>
        <v/>
      </c>
      <c r="K19" s="465" t="str">
        <f t="shared" si="0"/>
        <v/>
      </c>
      <c r="L19" s="335">
        <f>IF($H$10&lt;3,0,IF(AND(I19="",RELAÇÃO_DE_CARGA!I2&lt;&gt;"Vazio"),73,0))</f>
        <v>0</v>
      </c>
      <c r="N19" s="17" t="s">
        <v>79</v>
      </c>
    </row>
    <row r="20" spans="1:15" x14ac:dyDescent="0.25">
      <c r="A20" s="335">
        <f>IF($H$10="K",0,I20)</f>
        <v>0</v>
      </c>
      <c r="B20" s="649"/>
      <c r="C20" s="320" t="str">
        <f>CONCATENATE(IF(calculo!$L$1="Vazio","Vazio","Unid 4 - "),MEMORIAL!F16)</f>
        <v>VazioCS 04</v>
      </c>
      <c r="D20" s="226">
        <f>D17</f>
        <v>0</v>
      </c>
      <c r="E20" s="227" t="str">
        <f>IF(calculo!$L$1="Vazio","",calculo!$BU$92)</f>
        <v/>
      </c>
      <c r="F20" s="461">
        <f>IF(OR(H10&gt;3),IF(calculo!$L$1="Vazio","",CondutorXcorrenteXproteção!I6),0)</f>
        <v>0</v>
      </c>
      <c r="G20" s="460">
        <f>IF(OR(calculo!$L$1="Vazio",calculo!$L$1=0),0,IF(CondutorXcorrenteXproteção!M6=30,"32/35",CondutorXcorrenteXproteção!M6))</f>
        <v>0</v>
      </c>
      <c r="H20" s="221" t="str">
        <f>IF(calculo!$L$1="Vazio","","DISJUNTOR")</f>
        <v/>
      </c>
      <c r="I20" s="318"/>
      <c r="J20" s="224" t="str">
        <f>IF(calculo!$L$1="Vazio","",CondutorXcorrenteXproteção!K6)</f>
        <v/>
      </c>
      <c r="K20" s="465" t="str">
        <f t="shared" si="0"/>
        <v/>
      </c>
      <c r="L20" s="335">
        <f>IF($H$10&lt;4,0,IF(AND(I20="",RELAÇÃO_DE_CARGA!L2&lt;&gt;"Vazio"),74,0))</f>
        <v>0</v>
      </c>
    </row>
    <row r="21" spans="1:15" x14ac:dyDescent="0.25">
      <c r="A21" s="335">
        <f>IF(OR($H$10="K",$H$10="L"),0,I21)</f>
        <v>0</v>
      </c>
      <c r="B21" s="649"/>
      <c r="C21" s="320" t="str">
        <f>CONCATENATE(IF(calculo!$O$1="Vazio","Vazio","Unid 5 - "),MEMORIAL!F17)</f>
        <v>VazioCS 05</v>
      </c>
      <c r="D21" s="226">
        <f>D17</f>
        <v>0</v>
      </c>
      <c r="E21" s="227" t="str">
        <f>IF(calculo!$O$1="Vazio","",calculo!$BV$92)</f>
        <v/>
      </c>
      <c r="F21" s="461">
        <f>IF(OR(H10&gt;4),IF(calculo!$O$1="Vazio","",CondutorXcorrenteXproteção!I7),0)</f>
        <v>0</v>
      </c>
      <c r="G21" s="460">
        <f>IF(OR(calculo!$O$1="Vazio",calculo!$O$1=0),0,IF(CondutorXcorrenteXproteção!M7=30,"32/35",CondutorXcorrenteXproteção!M7))</f>
        <v>0</v>
      </c>
      <c r="H21" s="221" t="str">
        <f>IF(calculo!$O$1="Vazio","","DISJUNTOR")</f>
        <v/>
      </c>
      <c r="I21" s="318"/>
      <c r="J21" s="224" t="str">
        <f>IF(calculo!$O$1="Vazio","",CondutorXcorrenteXproteção!K7)</f>
        <v/>
      </c>
      <c r="K21" s="465" t="str">
        <f t="shared" si="0"/>
        <v/>
      </c>
      <c r="L21" s="335">
        <f>IF($H$10&lt;5,0,IF(AND(I21="",RELAÇÃO_DE_CARGA!O2&lt;&gt;"Vazio"),75,0))</f>
        <v>0</v>
      </c>
    </row>
    <row r="22" spans="1:15" x14ac:dyDescent="0.25">
      <c r="A22" s="335">
        <f>IF(OR($H$10="K",$H$10="L"),0,I22)</f>
        <v>0</v>
      </c>
      <c r="B22" s="649"/>
      <c r="C22" s="320" t="str">
        <f>CONCATENATE(IF(calculo!$R$1="Vazio","Vazio","Unid 6 - "),MEMORIAL!F18)</f>
        <v>VazioCS 06</v>
      </c>
      <c r="D22" s="226">
        <f>D17</f>
        <v>0</v>
      </c>
      <c r="E22" s="227" t="str">
        <f>IF(calculo!$R$1="Vazio","",calculo!$BW$92)</f>
        <v/>
      </c>
      <c r="F22" s="461">
        <f>IF(OR(H10&gt;5),IF(calculo!$R$1="Vazio","",CondutorXcorrenteXproteção!I8),0)</f>
        <v>0</v>
      </c>
      <c r="G22" s="460">
        <f>IF(OR(calculo!$R$1="Vazio",calculo!$R$1=0),0,IF(CondutorXcorrenteXproteção!M8=30,"32/35",CondutorXcorrenteXproteção!M8))</f>
        <v>0</v>
      </c>
      <c r="H22" s="221" t="str">
        <f>IF(calculo!$R$1="Vazio","","DISJUNTOR")</f>
        <v/>
      </c>
      <c r="I22" s="318"/>
      <c r="J22" s="224" t="str">
        <f>IF(calculo!$R$1="Vazio","",CondutorXcorrenteXproteção!K8)</f>
        <v/>
      </c>
      <c r="K22" s="465" t="str">
        <f t="shared" si="0"/>
        <v/>
      </c>
      <c r="L22" s="335">
        <f>IF($H$10&lt;6,0,IF(AND(I22="",RELAÇÃO_DE_CARGA!R2&lt;&gt;"Vazio"),76,0))</f>
        <v>0</v>
      </c>
    </row>
    <row r="23" spans="1:15" x14ac:dyDescent="0.25">
      <c r="A23" s="335">
        <f>IF(OR($H$10="K",$H$10="L",$H$10="H"),0,I23)</f>
        <v>0</v>
      </c>
      <c r="B23" s="649"/>
      <c r="C23" s="320" t="str">
        <f>CONCATENATE(IF(calculo!$U$1="Vazio","Vazio","Unid 7 - "),MEMORIAL!F19)</f>
        <v>VazioCS 07</v>
      </c>
      <c r="D23" s="226">
        <f>D17</f>
        <v>0</v>
      </c>
      <c r="E23" s="227" t="str">
        <f>IF(calculo!$U$1="Vazio","",calculo!$BX$92)</f>
        <v/>
      </c>
      <c r="F23" s="461">
        <f>IF(OR(H10&gt;6),IF(calculo!$U$1="Vazio","",CondutorXcorrenteXproteção!I9),0)</f>
        <v>0</v>
      </c>
      <c r="G23" s="460">
        <f>IF(OR(calculo!$U$1="Vazio",calculo!$U$1=0),0,IF(CondutorXcorrenteXproteção!M9=30,"32/35",CondutorXcorrenteXproteção!M9))</f>
        <v>0</v>
      </c>
      <c r="H23" s="221" t="str">
        <f>IF(calculo!$U$1="Vazio","","DISJUNTOR")</f>
        <v/>
      </c>
      <c r="I23" s="318"/>
      <c r="J23" s="224" t="str">
        <f>IF(calculo!$U$1="Vazio","",CondutorXcorrenteXproteção!K9)</f>
        <v/>
      </c>
      <c r="K23" s="465" t="str">
        <f t="shared" si="0"/>
        <v/>
      </c>
      <c r="L23" s="335">
        <f>IF($H$10&lt;7,0,IF(AND(I23="",RELAÇÃO_DE_CARGA!U2&lt;&gt;"Vazio"),77,0))</f>
        <v>0</v>
      </c>
    </row>
    <row r="24" spans="1:15" x14ac:dyDescent="0.25">
      <c r="A24" s="335">
        <f>IF(OR($H$10="K",$H$10="L",$H$10="H"),0,I24)</f>
        <v>0</v>
      </c>
      <c r="B24" s="649"/>
      <c r="C24" s="320" t="str">
        <f>CONCATENATE(IF(calculo!$X$1="Vazio","Vazio","Unid 8 - "),MEMORIAL!F20)</f>
        <v>VazioCS 08</v>
      </c>
      <c r="D24" s="226">
        <f>D17</f>
        <v>0</v>
      </c>
      <c r="E24" s="227" t="str">
        <f>IF(calculo!$X$1="Vazio","",calculo!$BY$92)</f>
        <v/>
      </c>
      <c r="F24" s="461">
        <f>IF(OR(H10&gt;7),IF(calculo!$X$1="Vazio","",CondutorXcorrenteXproteção!I10),0)</f>
        <v>0</v>
      </c>
      <c r="G24" s="460">
        <f>IF(OR(calculo!$X$1="Vazio",calculo!$X$1=0),0,IF(CondutorXcorrenteXproteção!M10=30,"32/35",CondutorXcorrenteXproteção!M10))</f>
        <v>0</v>
      </c>
      <c r="H24" s="221" t="str">
        <f>IF(calculo!$X$1="Vazio","","DISJUNTOR")</f>
        <v/>
      </c>
      <c r="I24" s="318"/>
      <c r="J24" s="224" t="str">
        <f>IF(calculo!$X$1="Vazio","",CondutorXcorrenteXproteção!K10)</f>
        <v/>
      </c>
      <c r="K24" s="465" t="str">
        <f t="shared" si="0"/>
        <v/>
      </c>
      <c r="L24" s="335">
        <f>IF($H$10&lt;8,0,IF(AND(I24="",RELAÇÃO_DE_CARGA!X2&lt;&gt;"Vazio"),78,0))</f>
        <v>0</v>
      </c>
    </row>
    <row r="25" spans="1:15" x14ac:dyDescent="0.25">
      <c r="A25" s="335">
        <f>IF(OR($H$10="K",$H$10="L",$H$10="H",$H$10="M"),0,I25)</f>
        <v>0</v>
      </c>
      <c r="B25" s="649"/>
      <c r="C25" s="320" t="str">
        <f>CONCATENATE(IF(calculo!$AA$1="Vazio","Vazio","Unid 9 - "),MEMORIAL!F21)</f>
        <v>VazioCS 09</v>
      </c>
      <c r="D25" s="226">
        <f>D17</f>
        <v>0</v>
      </c>
      <c r="E25" s="227" t="str">
        <f>IF(calculo!$AA$1="Vazio","",calculo!$BZ$92)</f>
        <v/>
      </c>
      <c r="F25" s="461">
        <f>IF(H10&gt;8,IF(calculo!$AA$1="Vazio","",CondutorXcorrenteXproteção!I11),0)</f>
        <v>0</v>
      </c>
      <c r="G25" s="460">
        <f>IF(OR(calculo!$AA$1="Vazio",calculo!$AA$1=0),0,IF(CondutorXcorrenteXproteção!M11=30,"32/35",CondutorXcorrenteXproteção!M11))</f>
        <v>0</v>
      </c>
      <c r="H25" s="221" t="str">
        <f>IF(calculo!$AA$1="Vazio","","DISJUNTOR")</f>
        <v/>
      </c>
      <c r="I25" s="318"/>
      <c r="J25" s="224" t="str">
        <f>IF(calculo!$AA$1="Vazio","",CondutorXcorrenteXproteção!K11)</f>
        <v/>
      </c>
      <c r="K25" s="465" t="str">
        <f t="shared" si="0"/>
        <v/>
      </c>
      <c r="L25" s="335">
        <f>IF($H$10&lt;9,0,IF(AND(I25="",RELAÇÃO_DE_CARGA!AA2&lt;&gt;"Vazio"),79,0))</f>
        <v>0</v>
      </c>
    </row>
    <row r="26" spans="1:15" x14ac:dyDescent="0.25">
      <c r="A26" s="335">
        <f>IF(OR($H$10="K",$H$10="L",$H$10="H",$H$10="M"),0,I26)</f>
        <v>0</v>
      </c>
      <c r="B26" s="649"/>
      <c r="C26" s="320" t="str">
        <f>CONCATENATE(IF(calculo!$AD$1="Vazio","Vazio","Unid 10 - "),MEMORIAL!F22)</f>
        <v>VazioCS 10</v>
      </c>
      <c r="D26" s="226">
        <f>D17</f>
        <v>0</v>
      </c>
      <c r="E26" s="227" t="str">
        <f>IF(calculo!$AD$1="Vazio","",calculo!$CA$92)</f>
        <v/>
      </c>
      <c r="F26" s="461">
        <f>IF(OR(H10&gt;9),IF(calculo!$AD$1="Vazio","",CondutorXcorrenteXproteção!I12),0)</f>
        <v>0</v>
      </c>
      <c r="G26" s="460">
        <f>IF(OR(calculo!$AD$1="Vazio",calculo!$AD$1=0),0,IF(CondutorXcorrenteXproteção!M12=30,"32/35",CondutorXcorrenteXproteção!M12))</f>
        <v>0</v>
      </c>
      <c r="H26" s="221" t="str">
        <f>IF(calculo!$AD$1="Vazio","","DISJUNTOR")</f>
        <v/>
      </c>
      <c r="I26" s="318"/>
      <c r="J26" s="224" t="str">
        <f>IF(calculo!$AD$1="Vazio","",CondutorXcorrenteXproteção!K12)</f>
        <v/>
      </c>
      <c r="K26" s="465" t="str">
        <f t="shared" si="0"/>
        <v/>
      </c>
      <c r="L26" s="335">
        <f>IF($H$10&lt;10,0,IF(AND(I26="",RELAÇÃO_DE_CARGA!AD2&lt;&gt;"Vazio"),80,0))</f>
        <v>0</v>
      </c>
    </row>
    <row r="27" spans="1:15" x14ac:dyDescent="0.25">
      <c r="A27" s="335">
        <f>IF(OR($H$10="K",$H$10="L",$H$10="H",$H$10="M"),0,I27)</f>
        <v>0</v>
      </c>
      <c r="B27" s="649"/>
      <c r="C27" s="320" t="str">
        <f>CONCATENATE(IF(calculo!$AG$1="Vazio","Vazio","Unid 11 - "),MEMORIAL!F23)</f>
        <v>VazioCS 11</v>
      </c>
      <c r="D27" s="226">
        <f>D17</f>
        <v>0</v>
      </c>
      <c r="E27" s="227" t="str">
        <f>IF(calculo!$AG$1="Vazio","",calculo!$CB$92)</f>
        <v/>
      </c>
      <c r="F27" s="461">
        <f>IF(OR(H10&gt;10),IF(calculo!$AG$1="Vazio","",CondutorXcorrenteXproteção!I13),0)</f>
        <v>0</v>
      </c>
      <c r="G27" s="460">
        <f>IF(OR(calculo!$AG$1="Vazio",calculo!$AG$1=0),0,IF(CondutorXcorrenteXproteção!M13=30,"32/35",CondutorXcorrenteXproteção!M13))</f>
        <v>0</v>
      </c>
      <c r="H27" s="221" t="str">
        <f>IF(calculo!$AG$1="Vazio","","DISJUNTOR")</f>
        <v/>
      </c>
      <c r="I27" s="318"/>
      <c r="J27" s="224" t="str">
        <f>IF(calculo!$AG$1="Vazio","",CondutorXcorrenteXproteção!K13)</f>
        <v/>
      </c>
      <c r="K27" s="465" t="str">
        <f t="shared" si="0"/>
        <v/>
      </c>
      <c r="L27" s="335">
        <f>IF($H$10&lt;11,0,IF(AND(I27="",RELAÇÃO_DE_CARGA!AG2&lt;&gt;"Vazio"),81,0))</f>
        <v>0</v>
      </c>
    </row>
    <row r="28" spans="1:15" x14ac:dyDescent="0.25">
      <c r="A28" s="335">
        <f>IF(OR($H$10="K",$H$10="L",$H$10="H",$H$10="M"),0,I28)</f>
        <v>0</v>
      </c>
      <c r="B28" s="649"/>
      <c r="C28" s="320" t="str">
        <f>CONCATENATE(IF(calculo!$AJ$1="Vazio","Vazio","Unid 12 - "),MEMORIAL!F24)</f>
        <v>VazioCS 12</v>
      </c>
      <c r="D28" s="226">
        <f>D17</f>
        <v>0</v>
      </c>
      <c r="E28" s="227" t="str">
        <f>IF(calculo!$AJ$1="Vazio","",calculo!$CC$92)</f>
        <v/>
      </c>
      <c r="F28" s="461">
        <f>IF(OR(H10&gt;11),IF(calculo!$AJ$1="Vazio","",CondutorXcorrenteXproteção!I14),0)</f>
        <v>0</v>
      </c>
      <c r="G28" s="460">
        <f>IF(OR(calculo!$AJ$1="Vazio",calculo!$AJ$1=0),0,IF(CondutorXcorrenteXproteção!M14=30,"32/35",CondutorXcorrenteXproteção!M14))</f>
        <v>0</v>
      </c>
      <c r="H28" s="221" t="str">
        <f>IF(calculo!$AJ$1="Vazio","","DISJUNTOR")</f>
        <v/>
      </c>
      <c r="I28" s="318"/>
      <c r="J28" s="224" t="str">
        <f>IF(calculo!$AJ$1="Vazio","",CondutorXcorrenteXproteção!K14)</f>
        <v/>
      </c>
      <c r="K28" s="465" t="str">
        <f t="shared" si="0"/>
        <v/>
      </c>
      <c r="L28" s="335">
        <f>IF($H$10&lt;12,0,IF(AND(I28="",RELAÇÃO_DE_CARGA!AJ2&lt;&gt;"Vazio"),82,0))</f>
        <v>0</v>
      </c>
    </row>
    <row r="29" spans="1:15" x14ac:dyDescent="0.25">
      <c r="A29" s="44"/>
      <c r="B29" s="43"/>
      <c r="C29" s="14"/>
      <c r="D29" s="225">
        <f>IF(E30=0,0,IF(D30="",70,0))</f>
        <v>0</v>
      </c>
      <c r="E29" s="14"/>
      <c r="F29" s="409">
        <f>IF((LARGE(G17:G28,1))&gt;150,82.22,0)</f>
        <v>0</v>
      </c>
      <c r="G29" s="14"/>
      <c r="H29" s="14"/>
      <c r="I29" s="225">
        <f>IF(E30=0,0,IF(I30="",70,0))</f>
        <v>0</v>
      </c>
    </row>
    <row r="30" spans="1:15" x14ac:dyDescent="0.25">
      <c r="A30" s="44"/>
      <c r="B30" s="43"/>
      <c r="C30" s="228" t="s">
        <v>216</v>
      </c>
      <c r="D30" s="186"/>
      <c r="E30" s="385">
        <f>calculo!BP92</f>
        <v>0</v>
      </c>
      <c r="F30" s="302" t="str">
        <f>IF(E30=0,"",CondutorXcorrenteXproteção!I32)</f>
        <v/>
      </c>
      <c r="G30" s="302" t="str">
        <f>IF(E30=0,"",IF(CondutorXcorrenteXproteção!M32=30,"32/35",CondutorXcorrenteXproteção!M32))</f>
        <v/>
      </c>
      <c r="H30" s="221" t="str">
        <f>IF(E30=0,"","DISJUNTOR")</f>
        <v/>
      </c>
      <c r="I30" s="318"/>
      <c r="J30" s="221" t="str">
        <f>IF(E30=0,"",CondutorXcorrenteXproteção!K32)</f>
        <v/>
      </c>
      <c r="L30" s="36">
        <f>IF(H17="DISJUNTOR",IF(AND(I17="BIFÁSICO",E17&gt;=25,G4="ESTRELA"),82.1,0),0)</f>
        <v>0</v>
      </c>
    </row>
    <row r="31" spans="1:15" x14ac:dyDescent="0.25">
      <c r="A31" s="44"/>
      <c r="B31" s="43"/>
      <c r="C31" s="14"/>
      <c r="D31" s="183"/>
      <c r="E31" s="14"/>
      <c r="F31" s="14"/>
      <c r="G31" s="14"/>
      <c r="H31" s="14"/>
      <c r="I31" s="336"/>
      <c r="L31" s="36">
        <f>IF(H18="DISJUNTOR",IF(AND(I18="BIFÁSICO",E18&gt;=25,G4="ESTRELA"),82.11,0),0)</f>
        <v>0</v>
      </c>
      <c r="N31" s="42"/>
    </row>
    <row r="32" spans="1:15" x14ac:dyDescent="0.25">
      <c r="A32" s="44"/>
      <c r="B32" s="652" t="s">
        <v>12</v>
      </c>
      <c r="C32" s="654" t="s">
        <v>1843</v>
      </c>
      <c r="D32" s="655"/>
      <c r="E32" s="655"/>
      <c r="F32" s="655"/>
      <c r="G32" s="655"/>
      <c r="H32" s="656"/>
      <c r="I32" s="50"/>
      <c r="J32" s="262" t="s">
        <v>13</v>
      </c>
      <c r="L32" s="36">
        <f>IF(H19="DISJUNTOR",IF(AND(I19="BIFÁSICO",E19&gt;=25,G4="ESTRELA"),82.12,0),0)</f>
        <v>0</v>
      </c>
      <c r="N32" s="43"/>
    </row>
    <row r="33" spans="1:257" x14ac:dyDescent="0.25">
      <c r="A33" s="44"/>
      <c r="B33" s="653"/>
      <c r="C33" s="657"/>
      <c r="D33" s="658"/>
      <c r="E33" s="658"/>
      <c r="F33" s="658"/>
      <c r="G33" s="658"/>
      <c r="H33" s="659"/>
      <c r="I33" s="48"/>
      <c r="J33" s="262" t="s">
        <v>18</v>
      </c>
      <c r="L33" s="36">
        <f>IF(H20="DISJUNTOR",IF(AND(I20="BIFÁSICO",E20&gt;=25,G4="ESTRELA"),82.13,0),0)</f>
        <v>0</v>
      </c>
      <c r="N33" s="46"/>
    </row>
    <row r="34" spans="1:257" x14ac:dyDescent="0.25">
      <c r="A34" s="44"/>
      <c r="B34" s="46"/>
      <c r="C34" s="48"/>
      <c r="D34" s="48"/>
      <c r="E34" s="48"/>
      <c r="F34" s="48"/>
      <c r="G34" s="48"/>
      <c r="H34" s="48"/>
      <c r="I34" s="39"/>
      <c r="L34" s="36">
        <f>IF(H21="DISJUNTOR",IF(AND(I21="BIFÁSICO",E21&gt;=25,G4="ESTRELA"),82.14,0),0)</f>
        <v>0</v>
      </c>
      <c r="N34" s="48"/>
    </row>
    <row r="35" spans="1:257" x14ac:dyDescent="0.25">
      <c r="A35" s="44"/>
      <c r="B35" s="48"/>
      <c r="C35" s="48"/>
      <c r="D35" s="48"/>
      <c r="E35" s="48"/>
      <c r="F35" s="48"/>
      <c r="G35" s="48"/>
      <c r="H35" s="48"/>
      <c r="I35" s="48"/>
      <c r="L35" s="36">
        <f>IF(H22="DISJUNTOR",IF(AND(I22="BIFÁSICO",E22&gt;=25,G4="ESTRELA"),82.15,0),0)</f>
        <v>0</v>
      </c>
      <c r="N35" s="48"/>
    </row>
    <row r="36" spans="1:257" x14ac:dyDescent="0.25">
      <c r="A36" s="44"/>
      <c r="B36" s="48" t="str">
        <f>IF(C36&lt;&gt;"","OBSERVAÇÃO:","")</f>
        <v/>
      </c>
      <c r="C36" s="660" t="str">
        <f>IF(AND(G4="DELTA",H4="3F+N"),"No Sistema Delta com Neutro, a fase de força (4° fio) deve ser utilizada somente para alimentação de cargas trifásicas","")</f>
        <v/>
      </c>
      <c r="D36" s="660"/>
      <c r="E36" s="660"/>
      <c r="F36" s="660"/>
      <c r="G36" s="660"/>
      <c r="H36" s="660"/>
      <c r="I36" s="48"/>
      <c r="L36" s="36">
        <f>IF(H23="DISJUNTOR",IF(AND(I23="BIFÁSICO",E23&gt;=25,G4="ESTRELA"),82.16,0),0)</f>
        <v>0</v>
      </c>
      <c r="M36" s="36"/>
      <c r="N36" s="220"/>
      <c r="O36" s="48"/>
      <c r="IW36" s="17"/>
    </row>
    <row r="37" spans="1:257" x14ac:dyDescent="0.25">
      <c r="A37" s="44"/>
      <c r="B37" s="48"/>
      <c r="C37" s="448"/>
      <c r="D37" s="448"/>
      <c r="E37" s="448"/>
      <c r="F37" s="448"/>
      <c r="G37" s="448"/>
      <c r="H37" s="448"/>
      <c r="I37" s="48"/>
      <c r="L37" s="36">
        <f>IF(H24="DISJUNTOR",IF(AND(I24="BIFÁSICO",E24&gt;=25,G4="ESTRELA"),82.17,0),0)</f>
        <v>0</v>
      </c>
      <c r="M37" s="36"/>
      <c r="N37" s="220"/>
      <c r="IW37" s="17"/>
    </row>
    <row r="38" spans="1:257" x14ac:dyDescent="0.25">
      <c r="A38" s="44"/>
      <c r="B38" s="44"/>
      <c r="C38" s="48"/>
      <c r="D38" s="48"/>
      <c r="E38" s="48"/>
      <c r="F38" s="48"/>
      <c r="G38" s="48"/>
      <c r="H38" s="48"/>
      <c r="I38" s="48"/>
      <c r="J38" s="48"/>
      <c r="L38" s="36">
        <f>IF(H25="DISJUNTOR",IF(AND(I25="BIFÁSICO",E25&gt;=25,G4="ESTRELA"),82.18,0),0)</f>
        <v>0</v>
      </c>
      <c r="M38" s="36"/>
      <c r="N38" s="220"/>
      <c r="IW38" s="17"/>
    </row>
    <row r="39" spans="1:257" x14ac:dyDescent="0.25">
      <c r="A39" s="44"/>
      <c r="B39" s="650" t="s">
        <v>70</v>
      </c>
      <c r="C39" s="651"/>
      <c r="D39" s="651"/>
      <c r="E39" s="651"/>
      <c r="F39" s="651"/>
      <c r="G39" s="651"/>
      <c r="H39" s="651"/>
      <c r="I39" s="651"/>
      <c r="J39" s="651"/>
      <c r="L39" s="36">
        <f>IF(H26="DISJUNTOR",IF(AND(I26="BIFÁSICO",E26&gt;=25,G4="ESTRELA"),82.19,0),0)</f>
        <v>0</v>
      </c>
      <c r="M39" s="36"/>
      <c r="N39" s="220"/>
      <c r="IW39" s="17"/>
    </row>
    <row r="40" spans="1:257" x14ac:dyDescent="0.25">
      <c r="A40" s="257" t="s">
        <v>203</v>
      </c>
      <c r="B40" s="258" t="s">
        <v>204</v>
      </c>
      <c r="C40" s="259" t="s">
        <v>105</v>
      </c>
      <c r="D40" s="259" t="s">
        <v>162</v>
      </c>
      <c r="E40" s="259" t="s">
        <v>205</v>
      </c>
      <c r="F40" s="259" t="s">
        <v>206</v>
      </c>
      <c r="G40" s="259" t="s">
        <v>207</v>
      </c>
      <c r="H40" s="259" t="s">
        <v>208</v>
      </c>
      <c r="I40" s="259" t="s">
        <v>58</v>
      </c>
      <c r="J40" s="258" t="s">
        <v>173</v>
      </c>
      <c r="L40" s="36">
        <f>IF(H27="DISJUNTOR",IF(AND(I27="BIFÁSICO",E27&gt;=25,G4="ESTRELA"),82.2,0),0)</f>
        <v>0</v>
      </c>
      <c r="M40" s="36"/>
      <c r="N40" s="220"/>
      <c r="IW40" s="17"/>
    </row>
    <row r="41" spans="1:257" x14ac:dyDescent="0.25">
      <c r="A41" s="361">
        <f>MEMORIAL!D13</f>
        <v>0</v>
      </c>
      <c r="B41" s="257" t="str">
        <f>MEMORIAL!F13</f>
        <v>CS 01</v>
      </c>
      <c r="C41" s="258">
        <f>MEMORIAL!G13</f>
        <v>0</v>
      </c>
      <c r="D41" s="362">
        <f>MEMORIAL!H13</f>
        <v>0</v>
      </c>
      <c r="E41" s="260">
        <f>calculo!C4</f>
        <v>0</v>
      </c>
      <c r="F41" s="261">
        <f>SUM(calculo!C5:C10)</f>
        <v>0</v>
      </c>
      <c r="G41" s="261">
        <f>SUM(calculo!AR13:AR28,calculo!AR30)</f>
        <v>0</v>
      </c>
      <c r="H41" s="260">
        <f>SUM(calculo!C123:C154)</f>
        <v>0</v>
      </c>
      <c r="I41" s="260">
        <f>calculo!C119</f>
        <v>0</v>
      </c>
      <c r="J41" s="361">
        <f>I17</f>
        <v>0</v>
      </c>
      <c r="L41" s="36">
        <f>IF(H28="DISJUNTOR",IF(AND(I28="BIFÁSICO",E28&gt;=25,G4="ESTRELA"),82.21,0),0)</f>
        <v>0</v>
      </c>
      <c r="M41" s="36"/>
      <c r="N41" s="220"/>
      <c r="IW41" s="17"/>
    </row>
    <row r="42" spans="1:257" x14ac:dyDescent="0.25">
      <c r="A42" s="361">
        <f>MEMORIAL!D14</f>
        <v>0</v>
      </c>
      <c r="B42" s="257" t="str">
        <f>MEMORIAL!F14</f>
        <v>CS 02</v>
      </c>
      <c r="C42" s="258">
        <f>MEMORIAL!G14</f>
        <v>0</v>
      </c>
      <c r="D42" s="362">
        <f>MEMORIAL!H14</f>
        <v>0</v>
      </c>
      <c r="E42" s="260">
        <f>calculo!F4</f>
        <v>0</v>
      </c>
      <c r="F42" s="261">
        <f>SUM(calculo!F5:F10)</f>
        <v>0</v>
      </c>
      <c r="G42" s="261">
        <f>SUM(calculo!AT13:AT28,calculo!AT30)</f>
        <v>0</v>
      </c>
      <c r="H42" s="260">
        <f>SUM(calculo!F123:F154)</f>
        <v>0</v>
      </c>
      <c r="I42" s="260">
        <f>calculo!F119</f>
        <v>0</v>
      </c>
      <c r="J42" s="361">
        <f t="shared" ref="J42:J52" si="1">I18</f>
        <v>0</v>
      </c>
      <c r="K42" s="467"/>
      <c r="L42" s="262"/>
      <c r="M42" s="36"/>
      <c r="N42" s="220"/>
      <c r="IW42" s="17"/>
    </row>
    <row r="43" spans="1:257" x14ac:dyDescent="0.25">
      <c r="A43" s="361">
        <f>MEMORIAL!D15</f>
        <v>0</v>
      </c>
      <c r="B43" s="260" t="str">
        <f>MEMORIAL!F15</f>
        <v>CS 03</v>
      </c>
      <c r="C43" s="260">
        <f>MEMORIAL!G15</f>
        <v>0</v>
      </c>
      <c r="D43" s="361">
        <f>MEMORIAL!H15</f>
        <v>0</v>
      </c>
      <c r="E43" s="260">
        <f>calculo!I4</f>
        <v>0</v>
      </c>
      <c r="F43" s="261">
        <f>SUM(calculo!I5:I10)</f>
        <v>0</v>
      </c>
      <c r="G43" s="261">
        <f>SUM(calculo!AV13:AV28,calculo!AV30)</f>
        <v>0</v>
      </c>
      <c r="H43" s="260">
        <f>SUM(calculo!I123:I154)</f>
        <v>0</v>
      </c>
      <c r="I43" s="260">
        <f>calculo!I119</f>
        <v>0</v>
      </c>
      <c r="J43" s="361">
        <f t="shared" si="1"/>
        <v>0</v>
      </c>
      <c r="K43" s="467"/>
      <c r="L43" s="262"/>
      <c r="M43" s="36"/>
      <c r="N43" s="220"/>
      <c r="IW43" s="17"/>
    </row>
    <row r="44" spans="1:257" x14ac:dyDescent="0.25">
      <c r="A44" s="361">
        <f>MEMORIAL!D16</f>
        <v>0</v>
      </c>
      <c r="B44" s="260" t="str">
        <f>MEMORIAL!F16</f>
        <v>CS 04</v>
      </c>
      <c r="C44" s="260">
        <f>MEMORIAL!G16</f>
        <v>0</v>
      </c>
      <c r="D44" s="361">
        <f>MEMORIAL!H16</f>
        <v>0</v>
      </c>
      <c r="E44" s="260">
        <f>calculo!L4</f>
        <v>0</v>
      </c>
      <c r="F44" s="261">
        <f>SUM(calculo!L5:L10)</f>
        <v>0</v>
      </c>
      <c r="G44" s="261">
        <f>SUM(calculo!AX13:AX28,calculo!AX30)</f>
        <v>0</v>
      </c>
      <c r="H44" s="260">
        <f>SUM(calculo!L123:L154)</f>
        <v>0</v>
      </c>
      <c r="I44" s="260">
        <f>calculo!L119</f>
        <v>0</v>
      </c>
      <c r="J44" s="361">
        <f t="shared" si="1"/>
        <v>0</v>
      </c>
      <c r="K44" s="467"/>
      <c r="L44" s="262"/>
      <c r="M44" s="36"/>
      <c r="N44" s="220"/>
      <c r="IW44" s="17"/>
    </row>
    <row r="45" spans="1:257" x14ac:dyDescent="0.25">
      <c r="A45" s="361">
        <f>MEMORIAL!D17</f>
        <v>0</v>
      </c>
      <c r="B45" s="260" t="str">
        <f>MEMORIAL!F17</f>
        <v>CS 05</v>
      </c>
      <c r="C45" s="260">
        <f>MEMORIAL!G17</f>
        <v>0</v>
      </c>
      <c r="D45" s="361">
        <f>MEMORIAL!H17</f>
        <v>0</v>
      </c>
      <c r="E45" s="260">
        <f>calculo!O4</f>
        <v>0</v>
      </c>
      <c r="F45" s="261">
        <f>SUM(calculo!O5:O10)</f>
        <v>0</v>
      </c>
      <c r="G45" s="261">
        <f>SUM(calculo!AZ13:AZ28,calculo!AZ30)</f>
        <v>0</v>
      </c>
      <c r="H45" s="260">
        <f>SUM(calculo!O123:O154)</f>
        <v>0</v>
      </c>
      <c r="I45" s="260">
        <f>calculo!O119</f>
        <v>0</v>
      </c>
      <c r="J45" s="361">
        <f t="shared" si="1"/>
        <v>0</v>
      </c>
      <c r="K45" s="467"/>
      <c r="L45" s="262"/>
      <c r="M45" s="36"/>
      <c r="N45" s="220"/>
      <c r="IW45" s="17"/>
    </row>
    <row r="46" spans="1:257" x14ac:dyDescent="0.25">
      <c r="A46" s="361">
        <f>MEMORIAL!D18</f>
        <v>0</v>
      </c>
      <c r="B46" s="260" t="str">
        <f>MEMORIAL!F18</f>
        <v>CS 06</v>
      </c>
      <c r="C46" s="260">
        <f>MEMORIAL!G18</f>
        <v>0</v>
      </c>
      <c r="D46" s="361">
        <f>MEMORIAL!H18</f>
        <v>0</v>
      </c>
      <c r="E46" s="260">
        <f>calculo!R4</f>
        <v>0</v>
      </c>
      <c r="F46" s="261">
        <f>SUM(calculo!R5:R10)</f>
        <v>0</v>
      </c>
      <c r="G46" s="261">
        <f>SUM(calculo!BB13:BB28,calculo!BB30)</f>
        <v>0</v>
      </c>
      <c r="H46" s="260">
        <f>SUM(calculo!R123:R154)</f>
        <v>0</v>
      </c>
      <c r="I46" s="260">
        <f>calculo!R119</f>
        <v>0</v>
      </c>
      <c r="J46" s="361">
        <f t="shared" si="1"/>
        <v>0</v>
      </c>
      <c r="K46" s="467"/>
      <c r="L46" s="262"/>
      <c r="M46" s="36"/>
      <c r="N46" s="220"/>
      <c r="IW46" s="17"/>
    </row>
    <row r="47" spans="1:257" x14ac:dyDescent="0.25">
      <c r="A47" s="361">
        <f>MEMORIAL!D19</f>
        <v>0</v>
      </c>
      <c r="B47" s="260" t="str">
        <f>MEMORIAL!F19</f>
        <v>CS 07</v>
      </c>
      <c r="C47" s="260">
        <f>MEMORIAL!G19</f>
        <v>0</v>
      </c>
      <c r="D47" s="361">
        <f>MEMORIAL!H19</f>
        <v>0</v>
      </c>
      <c r="E47" s="260">
        <f>calculo!U4</f>
        <v>0</v>
      </c>
      <c r="F47" s="261">
        <f>SUM(calculo!U5:U10)</f>
        <v>0</v>
      </c>
      <c r="G47" s="261">
        <f>SUM(calculo!BD13:BD28,calculo!BD30)</f>
        <v>0</v>
      </c>
      <c r="H47" s="260">
        <f>SUM(calculo!U123:U154)</f>
        <v>0</v>
      </c>
      <c r="I47" s="260">
        <f>calculo!U119</f>
        <v>0</v>
      </c>
      <c r="J47" s="361">
        <f t="shared" si="1"/>
        <v>0</v>
      </c>
      <c r="K47" s="467"/>
      <c r="L47" s="262"/>
      <c r="M47" s="36"/>
      <c r="N47" s="220"/>
      <c r="IW47" s="17"/>
    </row>
    <row r="48" spans="1:257" x14ac:dyDescent="0.25">
      <c r="A48" s="361">
        <f>MEMORIAL!D20</f>
        <v>0</v>
      </c>
      <c r="B48" s="260" t="str">
        <f>MEMORIAL!F20</f>
        <v>CS 08</v>
      </c>
      <c r="C48" s="260">
        <f>MEMORIAL!G20</f>
        <v>0</v>
      </c>
      <c r="D48" s="361">
        <f>MEMORIAL!H20</f>
        <v>0</v>
      </c>
      <c r="E48" s="260">
        <f>calculo!X4</f>
        <v>0</v>
      </c>
      <c r="F48" s="261">
        <f>SUM(calculo!X5:X10)</f>
        <v>0</v>
      </c>
      <c r="G48" s="261">
        <f>SUM(calculo!BF13:BF28,calculo!BF30)</f>
        <v>0</v>
      </c>
      <c r="H48" s="260">
        <f>SUM(calculo!X123:X154)</f>
        <v>0</v>
      </c>
      <c r="I48" s="260">
        <f>calculo!X119</f>
        <v>0</v>
      </c>
      <c r="J48" s="361">
        <f t="shared" si="1"/>
        <v>0</v>
      </c>
      <c r="K48" s="467"/>
      <c r="L48" s="262"/>
      <c r="M48" s="36"/>
      <c r="N48" s="220"/>
      <c r="IW48" s="17"/>
    </row>
    <row r="49" spans="1:257" x14ac:dyDescent="0.25">
      <c r="A49" s="361">
        <f>MEMORIAL!D21</f>
        <v>0</v>
      </c>
      <c r="B49" s="260" t="str">
        <f>MEMORIAL!F21</f>
        <v>CS 09</v>
      </c>
      <c r="C49" s="260">
        <f>MEMORIAL!G21</f>
        <v>0</v>
      </c>
      <c r="D49" s="361">
        <f>MEMORIAL!H21</f>
        <v>0</v>
      </c>
      <c r="E49" s="260">
        <f>calculo!AA4</f>
        <v>0</v>
      </c>
      <c r="F49" s="261">
        <f>SUM(calculo!AA5:AA10)</f>
        <v>0</v>
      </c>
      <c r="G49" s="261">
        <f>SUM(calculo!BH13:BH28,calculo!BH30)</f>
        <v>0</v>
      </c>
      <c r="H49" s="260">
        <f>SUM(calculo!AA123:AA154)</f>
        <v>0</v>
      </c>
      <c r="I49" s="260">
        <f>calculo!AA119</f>
        <v>0</v>
      </c>
      <c r="J49" s="361">
        <f t="shared" si="1"/>
        <v>0</v>
      </c>
      <c r="K49" s="467"/>
      <c r="L49" s="262"/>
      <c r="M49" s="36"/>
      <c r="N49" s="220"/>
      <c r="IW49" s="17"/>
    </row>
    <row r="50" spans="1:257" x14ac:dyDescent="0.25">
      <c r="A50" s="361">
        <f>MEMORIAL!D22</f>
        <v>0</v>
      </c>
      <c r="B50" s="260" t="str">
        <f>MEMORIAL!F22</f>
        <v>CS 10</v>
      </c>
      <c r="C50" s="260">
        <f>MEMORIAL!G22</f>
        <v>0</v>
      </c>
      <c r="D50" s="361">
        <f>MEMORIAL!H22</f>
        <v>0</v>
      </c>
      <c r="E50" s="260">
        <f>calculo!AD4</f>
        <v>0</v>
      </c>
      <c r="F50" s="261">
        <f>SUM(calculo!AD5:AD10)</f>
        <v>0</v>
      </c>
      <c r="G50" s="261">
        <f>SUM(calculo!BJ13:BJ28,calculo!BJ30)</f>
        <v>0</v>
      </c>
      <c r="H50" s="260">
        <f>SUM(calculo!AD123:AD154)</f>
        <v>0</v>
      </c>
      <c r="I50" s="260">
        <f>calculo!AD119</f>
        <v>0</v>
      </c>
      <c r="J50" s="361">
        <f t="shared" si="1"/>
        <v>0</v>
      </c>
      <c r="K50" s="467"/>
      <c r="L50" s="262"/>
      <c r="M50" s="36"/>
      <c r="N50" s="220"/>
      <c r="IW50" s="17"/>
    </row>
    <row r="51" spans="1:257" x14ac:dyDescent="0.25">
      <c r="A51" s="361">
        <f>MEMORIAL!D23</f>
        <v>0</v>
      </c>
      <c r="B51" s="260" t="str">
        <f>MEMORIAL!F23</f>
        <v>CS 11</v>
      </c>
      <c r="C51" s="260">
        <f>MEMORIAL!G23</f>
        <v>0</v>
      </c>
      <c r="D51" s="361">
        <f>MEMORIAL!H23</f>
        <v>0</v>
      </c>
      <c r="E51" s="260">
        <f>calculo!AG4</f>
        <v>0</v>
      </c>
      <c r="F51" s="261">
        <f>SUM(calculo!AG5:AG10)</f>
        <v>0</v>
      </c>
      <c r="G51" s="261">
        <f>SUM(calculo!BL13:BL28,calculo!BL30)</f>
        <v>0</v>
      </c>
      <c r="H51" s="260">
        <f>SUM(calculo!AG123:AG154)</f>
        <v>0</v>
      </c>
      <c r="I51" s="260">
        <f>calculo!AG119</f>
        <v>0</v>
      </c>
      <c r="J51" s="361">
        <f t="shared" si="1"/>
        <v>0</v>
      </c>
      <c r="K51" s="467"/>
      <c r="L51" s="262" t="s">
        <v>74</v>
      </c>
      <c r="M51" s="36"/>
      <c r="N51" s="220"/>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c r="IW51" s="36"/>
    </row>
    <row r="52" spans="1:257" ht="21.75" hidden="1" customHeight="1" x14ac:dyDescent="0.25">
      <c r="A52" s="361">
        <f>MEMORIAL!D24</f>
        <v>0</v>
      </c>
      <c r="B52" s="260" t="str">
        <f>MEMORIAL!F24</f>
        <v>CS 12</v>
      </c>
      <c r="C52" s="260">
        <f>MEMORIAL!G24</f>
        <v>0</v>
      </c>
      <c r="D52" s="361">
        <f>MEMORIAL!H24</f>
        <v>0</v>
      </c>
      <c r="E52" s="260">
        <f>calculo!AJ4</f>
        <v>0</v>
      </c>
      <c r="F52" s="260">
        <v>0</v>
      </c>
      <c r="G52" s="260">
        <f>SUM(calculo!BN13:BN28,calculo!BN30)</f>
        <v>0</v>
      </c>
      <c r="H52" s="260">
        <f>SUM(calculo!AJ123:AJ154)</f>
        <v>0</v>
      </c>
      <c r="I52" s="260">
        <f>calculo!AJ119</f>
        <v>0</v>
      </c>
      <c r="J52" s="361">
        <f t="shared" si="1"/>
        <v>0</v>
      </c>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row>
    <row r="53" spans="1:257" hidden="1" x14ac:dyDescent="0.25">
      <c r="A53" s="44"/>
      <c r="B53" s="47"/>
      <c r="D53" s="36" t="s">
        <v>79</v>
      </c>
      <c r="E53" s="36"/>
      <c r="F53" s="36"/>
      <c r="G53" s="36"/>
      <c r="H53" s="36"/>
      <c r="I53" s="36"/>
      <c r="J53" s="36" t="s">
        <v>73</v>
      </c>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row>
    <row r="54" spans="1:257" ht="15" hidden="1" customHeight="1" x14ac:dyDescent="0.25">
      <c r="A54" s="44"/>
      <c r="C54" s="36"/>
      <c r="D54" s="36" t="s">
        <v>80</v>
      </c>
      <c r="E54" s="36"/>
      <c r="F54" s="36"/>
      <c r="G54" s="36"/>
      <c r="H54" s="36"/>
      <c r="I54" s="36" t="s">
        <v>74</v>
      </c>
    </row>
    <row r="55" spans="1:257" hidden="1" x14ac:dyDescent="0.25">
      <c r="A55" s="45"/>
      <c r="C55" s="36"/>
      <c r="D55" s="36" t="s">
        <v>81</v>
      </c>
      <c r="E55" s="36"/>
      <c r="F55" s="36"/>
      <c r="G55" s="36"/>
      <c r="H55" s="36"/>
      <c r="I55" s="36"/>
    </row>
    <row r="56" spans="1:257" hidden="1" x14ac:dyDescent="0.25"/>
    <row r="57" spans="1:257" hidden="1" x14ac:dyDescent="0.25"/>
    <row r="58" spans="1:257" hidden="1" x14ac:dyDescent="0.25"/>
    <row r="59" spans="1:257" hidden="1" x14ac:dyDescent="0.25"/>
    <row r="60" spans="1:257" hidden="1" x14ac:dyDescent="0.25"/>
    <row r="61" spans="1:257" hidden="1" x14ac:dyDescent="0.25"/>
    <row r="62" spans="1:257" hidden="1" x14ac:dyDescent="0.25"/>
    <row r="63" spans="1:257" hidden="1" x14ac:dyDescent="0.25"/>
    <row r="64" spans="1:257" hidden="1" x14ac:dyDescent="0.25"/>
    <row r="65" x14ac:dyDescent="0.25"/>
    <row r="66" x14ac:dyDescent="0.25"/>
    <row r="67" hidden="1" x14ac:dyDescent="0.25"/>
    <row r="68" hidden="1" x14ac:dyDescent="0.25"/>
    <row r="69" hidden="1" x14ac:dyDescent="0.25"/>
    <row r="70" x14ac:dyDescent="0.25"/>
    <row r="71" x14ac:dyDescent="0.25"/>
    <row r="72" hidden="1" x14ac:dyDescent="0.25"/>
  </sheetData>
  <sheetProtection algorithmName="SHA-512" hashValue="bD9uzmhALxm1dgqIQSr6EauNC+JAnsNUF8yBcu+q6MGEpb5WGOaBNcQrhJxphATIoMWHXoqeN2u8Yy/a9zoU3A==" saltValue="/+99MBi/FLeYhQD4qyjFTw==" spinCount="100000" sheet="1" selectLockedCells="1"/>
  <customSheetViews>
    <customSheetView guid="{3D0BF824-B70B-411D-8F8F-CCBEF08DF0BD}" fitToPage="1" hiddenRows="1" hiddenColumns="1">
      <selection activeCell="C10" sqref="C10"/>
      <pageMargins left="0.25" right="0.25" top="0.984251969" bottom="0.984251969" header="0.27" footer="0.49212598499999999"/>
      <pageSetup paperSize="9" scale="74" orientation="portrait" horizontalDpi="300" verticalDpi="300" r:id="rId1"/>
      <headerFooter alignWithMargins="0"/>
    </customSheetView>
  </customSheetViews>
  <mergeCells count="15">
    <mergeCell ref="I9:J9"/>
    <mergeCell ref="I10:J10"/>
    <mergeCell ref="B17:B28"/>
    <mergeCell ref="B39:J39"/>
    <mergeCell ref="B32:B33"/>
    <mergeCell ref="C32:H33"/>
    <mergeCell ref="C36:H36"/>
    <mergeCell ref="B15:B16"/>
    <mergeCell ref="B12:C12"/>
    <mergeCell ref="C15:C16"/>
    <mergeCell ref="B2:H2"/>
    <mergeCell ref="B6:H6"/>
    <mergeCell ref="B9:H9"/>
    <mergeCell ref="B13:C13"/>
    <mergeCell ref="B14:C14"/>
  </mergeCells>
  <phoneticPr fontId="0" type="noConversion"/>
  <conditionalFormatting sqref="B36:H37">
    <cfRule type="notContainsBlanks" dxfId="31" priority="62" stopIfTrue="1">
      <formula>LEN(TRIM(B36))&gt;0</formula>
    </cfRule>
  </conditionalFormatting>
  <conditionalFormatting sqref="I14">
    <cfRule type="containsText" dxfId="30" priority="28" operator="containsText" text="VERIFICAR">
      <formula>NOT(ISERROR(SEARCH("VERIFICAR",I14)))</formula>
    </cfRule>
  </conditionalFormatting>
  <conditionalFormatting sqref="I29">
    <cfRule type="expression" dxfId="29" priority="23" stopIfTrue="1">
      <formula>$H$10="K"</formula>
    </cfRule>
  </conditionalFormatting>
  <conditionalFormatting sqref="E30">
    <cfRule type="expression" dxfId="28" priority="22">
      <formula>$E$30=0</formula>
    </cfRule>
  </conditionalFormatting>
  <conditionalFormatting sqref="C19:J28">
    <cfRule type="expression" dxfId="27" priority="21">
      <formula>$H$10=2</formula>
    </cfRule>
  </conditionalFormatting>
  <conditionalFormatting sqref="C20:J28">
    <cfRule type="expression" dxfId="26" priority="20">
      <formula>$H$10=3</formula>
    </cfRule>
  </conditionalFormatting>
  <conditionalFormatting sqref="C21:J28">
    <cfRule type="expression" dxfId="25" priority="19">
      <formula>$H$10=4</formula>
    </cfRule>
  </conditionalFormatting>
  <conditionalFormatting sqref="C22:J28">
    <cfRule type="expression" dxfId="24" priority="18">
      <formula>$H$10=5</formula>
    </cfRule>
  </conditionalFormatting>
  <conditionalFormatting sqref="C23:J28">
    <cfRule type="expression" dxfId="23" priority="17">
      <formula>$H$10=6</formula>
    </cfRule>
  </conditionalFormatting>
  <conditionalFormatting sqref="C24:J28">
    <cfRule type="expression" dxfId="22" priority="16">
      <formula>$H$10=7</formula>
    </cfRule>
  </conditionalFormatting>
  <conditionalFormatting sqref="C25:J28">
    <cfRule type="expression" dxfId="21" priority="15">
      <formula>$H$10=8</formula>
    </cfRule>
  </conditionalFormatting>
  <conditionalFormatting sqref="C26:J28">
    <cfRule type="expression" dxfId="20" priority="14">
      <formula>$H$10=9</formula>
    </cfRule>
  </conditionalFormatting>
  <conditionalFormatting sqref="C27:J28">
    <cfRule type="expression" dxfId="19" priority="13">
      <formula>$H$10=10</formula>
    </cfRule>
  </conditionalFormatting>
  <conditionalFormatting sqref="C28:J28">
    <cfRule type="expression" dxfId="18" priority="12">
      <formula>$H$10=11</formula>
    </cfRule>
  </conditionalFormatting>
  <conditionalFormatting sqref="A43:J52">
    <cfRule type="expression" dxfId="17" priority="11">
      <formula>$H$10=2</formula>
    </cfRule>
  </conditionalFormatting>
  <conditionalFormatting sqref="A44:J52">
    <cfRule type="expression" dxfId="16" priority="10">
      <formula>$H$10=3</formula>
    </cfRule>
  </conditionalFormatting>
  <conditionalFormatting sqref="A45:J52">
    <cfRule type="expression" dxfId="15" priority="9">
      <formula>$H$10=4</formula>
    </cfRule>
  </conditionalFormatting>
  <conditionalFormatting sqref="A46:J52">
    <cfRule type="expression" dxfId="14" priority="8">
      <formula>$H$10=5</formula>
    </cfRule>
  </conditionalFormatting>
  <conditionalFormatting sqref="A47:J52">
    <cfRule type="expression" dxfId="13" priority="7">
      <formula>$H$10=6</formula>
    </cfRule>
  </conditionalFormatting>
  <conditionalFormatting sqref="A48:J52">
    <cfRule type="expression" dxfId="12" priority="6">
      <formula>$H$10=7</formula>
    </cfRule>
  </conditionalFormatting>
  <conditionalFormatting sqref="A49:J52">
    <cfRule type="expression" dxfId="11" priority="5">
      <formula>$H$10=8</formula>
    </cfRule>
  </conditionalFormatting>
  <conditionalFormatting sqref="A50:J52">
    <cfRule type="expression" dxfId="10" priority="4">
      <formula>$H$10=9</formula>
    </cfRule>
  </conditionalFormatting>
  <conditionalFormatting sqref="A51:J52">
    <cfRule type="expression" dxfId="9" priority="3">
      <formula>$H$10=10</formula>
    </cfRule>
  </conditionalFormatting>
  <conditionalFormatting sqref="G17:G28">
    <cfRule type="cellIs" dxfId="8" priority="2" operator="greaterThan">
      <formula>0</formula>
    </cfRule>
  </conditionalFormatting>
  <conditionalFormatting sqref="F17:F28">
    <cfRule type="cellIs" dxfId="7" priority="1" operator="greaterThan">
      <formula>0</formula>
    </cfRule>
  </conditionalFormatting>
  <dataValidations count="6">
    <dataValidation type="list" allowBlank="1" showInputMessage="1" showErrorMessage="1" sqref="D30 D12 D17" xr:uid="{00000000-0002-0000-0700-000000000000}">
      <formula1>$D$53:$D$56</formula1>
    </dataValidation>
    <dataValidation type="list" allowBlank="1" showInputMessage="1" showErrorMessage="1" sqref="I17:I28 I30" xr:uid="{00000000-0002-0000-0700-000001000000}">
      <formula1>$J$32:$J$34</formula1>
    </dataValidation>
    <dataValidation type="list" allowBlank="1" showInputMessage="1" showErrorMessage="1" sqref="H14" xr:uid="{00000000-0002-0000-0700-000002000000}">
      <formula1>$L$14:$L$15</formula1>
    </dataValidation>
    <dataValidation type="list" allowBlank="1" showInputMessage="1" showErrorMessage="1" sqref="G4" xr:uid="{00000000-0002-0000-0700-000003000000}">
      <formula1>$P$4:$P$5</formula1>
    </dataValidation>
    <dataValidation type="list" allowBlank="1" showInputMessage="1" showErrorMessage="1" sqref="H4" xr:uid="{00000000-0002-0000-0700-000004000000}">
      <formula1>$O$4:$O$5</formula1>
    </dataValidation>
    <dataValidation type="list" allowBlank="1" showInputMessage="1" showErrorMessage="1" sqref="C10" xr:uid="{00000000-0002-0000-0700-000005000000}">
      <formula1>$N$10:$N$13</formula1>
    </dataValidation>
  </dataValidations>
  <pageMargins left="0.23622047244094491" right="0.23622047244094491" top="0.98425196850393704" bottom="0.98425196850393704" header="0.27559055118110237" footer="0.51181102362204722"/>
  <pageSetup paperSize="9" scale="63" orientation="landscape" horizontalDpi="300" verticalDpi="300" r:id="rId2"/>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74486-31B1-41DE-B5A3-22C98F15C55A}">
  <sheetPr codeName="Planilha1"/>
  <dimension ref="A1:E19"/>
  <sheetViews>
    <sheetView zoomScale="90" zoomScaleNormal="90" workbookViewId="0">
      <selection activeCell="D2" sqref="D2"/>
    </sheetView>
  </sheetViews>
  <sheetFormatPr defaultRowHeight="12.75" x14ac:dyDescent="0.2"/>
  <cols>
    <col min="3" max="3" width="14" customWidth="1"/>
    <col min="4" max="4" width="65.7109375" customWidth="1"/>
    <col min="5" max="5" width="92.42578125" customWidth="1"/>
  </cols>
  <sheetData>
    <row r="1" spans="1:5" ht="25.5" x14ac:dyDescent="0.2">
      <c r="A1" s="468" t="s">
        <v>3134</v>
      </c>
      <c r="B1" s="468" t="s">
        <v>3135</v>
      </c>
      <c r="C1" s="468" t="s">
        <v>3136</v>
      </c>
      <c r="D1" s="468" t="s">
        <v>3137</v>
      </c>
      <c r="E1" s="468" t="s">
        <v>3138</v>
      </c>
    </row>
    <row r="2" spans="1:5" ht="25.5" customHeight="1" x14ac:dyDescent="0.2">
      <c r="A2" s="668">
        <v>18</v>
      </c>
      <c r="B2" s="667">
        <v>43252</v>
      </c>
      <c r="C2" s="667" t="s">
        <v>3139</v>
      </c>
      <c r="D2" s="469" t="s">
        <v>3140</v>
      </c>
      <c r="E2" s="469" t="s">
        <v>3141</v>
      </c>
    </row>
    <row r="3" spans="1:5" ht="25.5" x14ac:dyDescent="0.2">
      <c r="A3" s="668"/>
      <c r="B3" s="667"/>
      <c r="C3" s="667"/>
      <c r="D3" s="470"/>
      <c r="E3" s="469" t="s">
        <v>3142</v>
      </c>
    </row>
    <row r="4" spans="1:5" x14ac:dyDescent="0.2">
      <c r="A4" s="668"/>
      <c r="B4" s="667"/>
      <c r="C4" s="667"/>
      <c r="D4" s="470"/>
      <c r="E4" s="469" t="s">
        <v>3143</v>
      </c>
    </row>
    <row r="5" spans="1:5" ht="25.5" x14ac:dyDescent="0.2">
      <c r="A5" s="668">
        <v>19</v>
      </c>
      <c r="B5" s="667">
        <v>43678</v>
      </c>
      <c r="C5" s="667" t="s">
        <v>3144</v>
      </c>
      <c r="D5" s="470" t="s">
        <v>3145</v>
      </c>
      <c r="E5" s="469" t="s">
        <v>3146</v>
      </c>
    </row>
    <row r="6" spans="1:5" x14ac:dyDescent="0.2">
      <c r="A6" s="668"/>
      <c r="B6" s="667"/>
      <c r="C6" s="667"/>
      <c r="D6" s="470" t="s">
        <v>3147</v>
      </c>
      <c r="E6" s="469" t="s">
        <v>3148</v>
      </c>
    </row>
    <row r="7" spans="1:5" ht="63.75" x14ac:dyDescent="0.2">
      <c r="A7" s="668"/>
      <c r="B7" s="667"/>
      <c r="C7" s="667"/>
      <c r="D7" s="470" t="s">
        <v>3149</v>
      </c>
      <c r="E7" s="469" t="s">
        <v>3150</v>
      </c>
    </row>
    <row r="8" spans="1:5" ht="25.5" x14ac:dyDescent="0.2">
      <c r="A8" s="668"/>
      <c r="B8" s="667"/>
      <c r="C8" s="667"/>
      <c r="D8" s="470" t="s">
        <v>3151</v>
      </c>
      <c r="E8" s="470" t="s">
        <v>3152</v>
      </c>
    </row>
    <row r="9" spans="1:5" ht="25.5" x14ac:dyDescent="0.2">
      <c r="A9" s="668"/>
      <c r="B9" s="667"/>
      <c r="C9" s="667"/>
      <c r="D9" s="469" t="s">
        <v>3153</v>
      </c>
      <c r="E9" s="469" t="s">
        <v>3154</v>
      </c>
    </row>
    <row r="10" spans="1:5" ht="38.25" x14ac:dyDescent="0.2">
      <c r="A10" s="668"/>
      <c r="B10" s="667"/>
      <c r="C10" s="667"/>
      <c r="D10" s="469" t="s">
        <v>3155</v>
      </c>
      <c r="E10" s="469" t="s">
        <v>3158</v>
      </c>
    </row>
    <row r="11" spans="1:5" ht="38.25" x14ac:dyDescent="0.2">
      <c r="A11" s="668"/>
      <c r="B11" s="667"/>
      <c r="C11" s="667"/>
      <c r="D11" s="718" t="s">
        <v>3156</v>
      </c>
      <c r="E11" s="718" t="s">
        <v>3157</v>
      </c>
    </row>
    <row r="12" spans="1:5" ht="25.5" x14ac:dyDescent="0.2">
      <c r="A12" s="668"/>
      <c r="B12" s="669">
        <v>43831</v>
      </c>
      <c r="C12" s="670" t="s">
        <v>3144</v>
      </c>
      <c r="D12" s="469" t="s">
        <v>3161</v>
      </c>
      <c r="E12" s="469" t="s">
        <v>3162</v>
      </c>
    </row>
    <row r="13" spans="1:5" ht="25.5" x14ac:dyDescent="0.2">
      <c r="A13" s="668"/>
      <c r="B13" s="670"/>
      <c r="C13" s="670"/>
      <c r="D13" s="469" t="s">
        <v>3163</v>
      </c>
      <c r="E13" s="469" t="s">
        <v>3164</v>
      </c>
    </row>
    <row r="14" spans="1:5" ht="38.25" x14ac:dyDescent="0.2">
      <c r="A14" s="668"/>
      <c r="B14" s="669">
        <v>43952</v>
      </c>
      <c r="C14" s="666" t="s">
        <v>3171</v>
      </c>
      <c r="D14" s="470" t="s">
        <v>3165</v>
      </c>
      <c r="E14" s="470" t="s">
        <v>3166</v>
      </c>
    </row>
    <row r="15" spans="1:5" ht="25.5" x14ac:dyDescent="0.2">
      <c r="A15" s="668"/>
      <c r="B15" s="669"/>
      <c r="C15" s="666"/>
      <c r="D15" s="469" t="s">
        <v>3167</v>
      </c>
      <c r="E15" s="469" t="s">
        <v>3168</v>
      </c>
    </row>
    <row r="16" spans="1:5" ht="51" x14ac:dyDescent="0.2">
      <c r="A16" s="668"/>
      <c r="B16" s="669"/>
      <c r="C16" s="666"/>
      <c r="D16" s="470" t="s">
        <v>3169</v>
      </c>
      <c r="E16" s="470" t="s">
        <v>3170</v>
      </c>
    </row>
    <row r="17" spans="1:5" x14ac:dyDescent="0.2">
      <c r="A17" s="668"/>
      <c r="B17" s="669"/>
      <c r="C17" s="666"/>
      <c r="D17" s="472" t="s">
        <v>3173</v>
      </c>
      <c r="E17" s="470" t="s">
        <v>3174</v>
      </c>
    </row>
    <row r="18" spans="1:5" ht="38.25" x14ac:dyDescent="0.2">
      <c r="A18" s="668"/>
      <c r="B18" s="669"/>
      <c r="C18" s="472" t="s">
        <v>3176</v>
      </c>
      <c r="D18" s="470" t="s">
        <v>3175</v>
      </c>
      <c r="E18" s="470" t="s">
        <v>3177</v>
      </c>
    </row>
    <row r="19" spans="1:5" ht="38.25" x14ac:dyDescent="0.2">
      <c r="A19" s="668"/>
      <c r="B19" s="669"/>
      <c r="C19" s="474" t="s">
        <v>3144</v>
      </c>
      <c r="D19" s="470" t="s">
        <v>3178</v>
      </c>
      <c r="E19" s="473" t="s">
        <v>3179</v>
      </c>
    </row>
  </sheetData>
  <mergeCells count="10">
    <mergeCell ref="C14:C17"/>
    <mergeCell ref="C2:C4"/>
    <mergeCell ref="B2:B4"/>
    <mergeCell ref="A2:A4"/>
    <mergeCell ref="B12:B13"/>
    <mergeCell ref="C12:C13"/>
    <mergeCell ref="B5:B11"/>
    <mergeCell ref="C5:C11"/>
    <mergeCell ref="B14:B19"/>
    <mergeCell ref="A5:A19"/>
  </mergeCells>
  <pageMargins left="0.511811024" right="0.511811024" top="0.78740157499999996" bottom="0.78740157499999996" header="0.31496062000000002" footer="0.31496062000000002"/>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8"/>
  <dimension ref="A1:AJ50"/>
  <sheetViews>
    <sheetView workbookViewId="0">
      <selection activeCell="D5" sqref="D5"/>
    </sheetView>
  </sheetViews>
  <sheetFormatPr defaultRowHeight="12.75" x14ac:dyDescent="0.2"/>
  <cols>
    <col min="1" max="2" width="13.140625" style="98" customWidth="1"/>
    <col min="3" max="3" width="15.140625" style="98" bestFit="1" customWidth="1"/>
    <col min="4" max="4" width="15" style="98" customWidth="1"/>
    <col min="5" max="5" width="11" style="98" bestFit="1" customWidth="1"/>
    <col min="6" max="6" width="10.5703125" style="98" bestFit="1" customWidth="1"/>
    <col min="7" max="7" width="11.28515625" style="98" bestFit="1" customWidth="1"/>
    <col min="8" max="8" width="8.5703125" style="98" bestFit="1" customWidth="1"/>
  </cols>
  <sheetData>
    <row r="1" spans="1:36" s="97" customFormat="1" ht="42.75" customHeight="1" x14ac:dyDescent="0.2">
      <c r="A1" s="96"/>
      <c r="B1" s="99"/>
      <c r="C1" s="100"/>
      <c r="D1" s="96"/>
      <c r="E1" s="99"/>
      <c r="F1" s="100"/>
      <c r="G1" s="96"/>
      <c r="H1" s="99"/>
      <c r="I1" s="100"/>
      <c r="J1"/>
      <c r="K1" s="99"/>
      <c r="L1" s="100"/>
      <c r="M1"/>
      <c r="N1" s="99"/>
      <c r="O1" s="100"/>
      <c r="P1"/>
      <c r="Q1" s="99"/>
      <c r="R1" s="100"/>
      <c r="S1"/>
      <c r="T1" s="99"/>
      <c r="U1" s="100"/>
      <c r="V1"/>
      <c r="W1" s="99"/>
      <c r="X1" s="100"/>
      <c r="Y1"/>
      <c r="Z1" s="99"/>
      <c r="AA1" s="100"/>
      <c r="AB1"/>
      <c r="AC1" s="99"/>
      <c r="AD1" s="100"/>
      <c r="AE1"/>
      <c r="AF1" s="99"/>
      <c r="AG1" s="100"/>
      <c r="AH1"/>
      <c r="AI1"/>
      <c r="AJ1"/>
    </row>
    <row r="2" spans="1:36" ht="13.5" thickBot="1" x14ac:dyDescent="0.25">
      <c r="A2" s="96"/>
      <c r="B2" s="101"/>
      <c r="C2" s="102"/>
      <c r="D2" s="96"/>
      <c r="E2" s="101"/>
      <c r="F2" s="102"/>
      <c r="G2" s="96"/>
      <c r="H2" s="101"/>
      <c r="I2" s="102"/>
      <c r="J2" s="96"/>
      <c r="K2" s="101"/>
      <c r="L2" s="102"/>
      <c r="N2" s="101"/>
      <c r="O2" s="102"/>
      <c r="Q2" s="101"/>
      <c r="R2" s="102"/>
      <c r="T2" s="101"/>
      <c r="U2" s="102"/>
      <c r="W2" s="101"/>
      <c r="X2" s="102"/>
      <c r="Z2" s="101"/>
      <c r="AA2" s="102"/>
      <c r="AC2" s="101"/>
      <c r="AD2" s="102"/>
      <c r="AF2" s="101"/>
      <c r="AG2" s="102"/>
    </row>
    <row r="3" spans="1:36" ht="13.5" thickBot="1" x14ac:dyDescent="0.25">
      <c r="A3" s="96"/>
      <c r="B3" s="82"/>
      <c r="C3" s="82"/>
      <c r="D3" s="96"/>
      <c r="E3" s="82"/>
      <c r="F3" s="82"/>
      <c r="G3" s="96"/>
      <c r="H3" s="82"/>
      <c r="I3" s="82"/>
      <c r="J3" s="96"/>
      <c r="K3" s="82"/>
      <c r="L3" s="82"/>
      <c r="N3" s="82"/>
      <c r="O3" s="82"/>
      <c r="Q3" s="82"/>
      <c r="R3" s="82"/>
      <c r="T3" s="82"/>
      <c r="U3" s="82"/>
      <c r="W3" s="82"/>
      <c r="X3" s="82"/>
      <c r="Z3" s="82"/>
      <c r="AA3" s="82"/>
      <c r="AC3" s="82"/>
      <c r="AD3" s="82"/>
      <c r="AF3" s="82"/>
      <c r="AG3" s="82"/>
    </row>
    <row r="4" spans="1:36" x14ac:dyDescent="0.2">
      <c r="A4" s="96"/>
      <c r="B4" s="99" t="s">
        <v>38</v>
      </c>
      <c r="C4" s="111" t="s">
        <v>131</v>
      </c>
      <c r="D4" s="96"/>
      <c r="E4" s="99" t="s">
        <v>38</v>
      </c>
      <c r="F4" s="111" t="s">
        <v>132</v>
      </c>
      <c r="G4" s="96"/>
      <c r="H4" s="99" t="s">
        <v>38</v>
      </c>
      <c r="I4" s="100" t="s">
        <v>126</v>
      </c>
      <c r="K4" s="99" t="s">
        <v>38</v>
      </c>
      <c r="L4" s="100" t="s">
        <v>127</v>
      </c>
      <c r="M4" s="103"/>
      <c r="N4" s="99" t="s">
        <v>38</v>
      </c>
      <c r="O4" s="100" t="s">
        <v>48</v>
      </c>
      <c r="P4" s="103"/>
      <c r="Q4" s="99" t="s">
        <v>38</v>
      </c>
      <c r="R4" s="100" t="s">
        <v>128</v>
      </c>
      <c r="T4" s="99" t="s">
        <v>38</v>
      </c>
      <c r="U4" s="100" t="s">
        <v>50</v>
      </c>
      <c r="W4" s="99" t="s">
        <v>38</v>
      </c>
      <c r="X4" s="100" t="s">
        <v>51</v>
      </c>
      <c r="Z4" s="99" t="s">
        <v>38</v>
      </c>
      <c r="AA4" s="100" t="s">
        <v>52</v>
      </c>
      <c r="AC4" s="99" t="s">
        <v>38</v>
      </c>
      <c r="AD4" s="100" t="s">
        <v>129</v>
      </c>
      <c r="AF4" s="99" t="s">
        <v>38</v>
      </c>
      <c r="AG4" s="100" t="s">
        <v>54</v>
      </c>
    </row>
    <row r="5" spans="1:36" x14ac:dyDescent="0.2">
      <c r="A5" s="96"/>
      <c r="B5" s="104">
        <v>0</v>
      </c>
      <c r="C5" s="105">
        <v>0</v>
      </c>
      <c r="D5" s="105"/>
      <c r="E5" s="104">
        <v>0</v>
      </c>
      <c r="F5" s="106">
        <v>0</v>
      </c>
      <c r="G5" s="96"/>
      <c r="H5" s="104">
        <v>0</v>
      </c>
      <c r="I5" s="106">
        <v>0</v>
      </c>
      <c r="K5" s="104">
        <v>0</v>
      </c>
      <c r="L5" s="106">
        <v>0</v>
      </c>
      <c r="M5" s="103"/>
      <c r="N5" s="104">
        <v>0</v>
      </c>
      <c r="O5" s="106">
        <v>0</v>
      </c>
      <c r="P5" s="103"/>
      <c r="Q5" s="104">
        <v>0</v>
      </c>
      <c r="R5" s="106">
        <v>0</v>
      </c>
      <c r="T5" s="104">
        <v>0</v>
      </c>
      <c r="U5" s="106">
        <v>0</v>
      </c>
      <c r="W5" s="104">
        <v>0</v>
      </c>
      <c r="X5" s="106">
        <v>0</v>
      </c>
      <c r="Z5" s="104">
        <v>0</v>
      </c>
      <c r="AA5" s="106">
        <v>0</v>
      </c>
      <c r="AC5" s="104">
        <v>0</v>
      </c>
      <c r="AD5" s="106">
        <v>0</v>
      </c>
      <c r="AF5" s="104">
        <v>0</v>
      </c>
      <c r="AG5" s="106">
        <v>0</v>
      </c>
    </row>
    <row r="6" spans="1:36" x14ac:dyDescent="0.2">
      <c r="A6" s="96"/>
      <c r="B6" s="104">
        <v>1</v>
      </c>
      <c r="C6" s="105">
        <v>1</v>
      </c>
      <c r="D6" s="105"/>
      <c r="E6" s="104">
        <v>1</v>
      </c>
      <c r="F6" s="106">
        <v>1</v>
      </c>
      <c r="G6" s="96"/>
      <c r="H6" s="104">
        <v>1</v>
      </c>
      <c r="I6" s="106">
        <v>1</v>
      </c>
      <c r="K6" s="104">
        <v>1</v>
      </c>
      <c r="L6" s="106">
        <v>1</v>
      </c>
      <c r="M6" s="107"/>
      <c r="N6" s="104">
        <v>1</v>
      </c>
      <c r="O6" s="106">
        <v>1</v>
      </c>
      <c r="P6" s="107"/>
      <c r="Q6" s="104">
        <v>1</v>
      </c>
      <c r="R6" s="106">
        <v>1</v>
      </c>
      <c r="T6" s="104">
        <v>1</v>
      </c>
      <c r="U6" s="106">
        <v>1</v>
      </c>
      <c r="W6" s="104">
        <v>1</v>
      </c>
      <c r="X6" s="106">
        <v>1</v>
      </c>
      <c r="Z6" s="104">
        <v>1</v>
      </c>
      <c r="AA6" s="106">
        <v>1</v>
      </c>
      <c r="AC6" s="104">
        <v>1</v>
      </c>
      <c r="AD6" s="106">
        <v>1</v>
      </c>
      <c r="AF6" s="104">
        <v>1</v>
      </c>
      <c r="AG6" s="106">
        <v>1</v>
      </c>
    </row>
    <row r="7" spans="1:36" x14ac:dyDescent="0.2">
      <c r="A7" s="96"/>
      <c r="B7" s="104">
        <v>2</v>
      </c>
      <c r="C7" s="105">
        <v>0.9</v>
      </c>
      <c r="D7" s="105"/>
      <c r="E7" s="104">
        <v>2</v>
      </c>
      <c r="F7" s="106">
        <v>0.72</v>
      </c>
      <c r="G7" s="96"/>
      <c r="H7" s="104">
        <v>2</v>
      </c>
      <c r="I7" s="106">
        <v>0.72</v>
      </c>
      <c r="K7" s="104">
        <v>2</v>
      </c>
      <c r="L7" s="106">
        <v>0.71</v>
      </c>
      <c r="N7" s="104">
        <v>2</v>
      </c>
      <c r="O7" s="106">
        <v>0.6</v>
      </c>
      <c r="Q7" s="104">
        <v>2</v>
      </c>
      <c r="R7" s="106">
        <v>0.6</v>
      </c>
      <c r="T7" s="104">
        <v>2</v>
      </c>
      <c r="U7" s="106">
        <v>1</v>
      </c>
      <c r="W7" s="104">
        <v>2</v>
      </c>
      <c r="X7" s="106">
        <v>1</v>
      </c>
      <c r="Z7" s="104">
        <v>2</v>
      </c>
      <c r="AA7" s="106">
        <v>1</v>
      </c>
      <c r="AC7" s="104">
        <v>2</v>
      </c>
      <c r="AD7" s="106">
        <v>1</v>
      </c>
      <c r="AF7" s="104">
        <v>2</v>
      </c>
      <c r="AG7" s="106">
        <v>0.56000000000000005</v>
      </c>
    </row>
    <row r="8" spans="1:36" x14ac:dyDescent="0.2">
      <c r="A8" s="96"/>
      <c r="B8" s="104">
        <v>3</v>
      </c>
      <c r="C8" s="105">
        <v>0.84</v>
      </c>
      <c r="D8" s="105"/>
      <c r="E8" s="104">
        <v>3</v>
      </c>
      <c r="F8" s="106">
        <v>0.62</v>
      </c>
      <c r="G8" s="96"/>
      <c r="H8" s="104">
        <v>3</v>
      </c>
      <c r="I8" s="106">
        <v>0.62</v>
      </c>
      <c r="K8" s="104">
        <v>3</v>
      </c>
      <c r="L8" s="106">
        <v>0.64</v>
      </c>
      <c r="N8" s="104">
        <v>3</v>
      </c>
      <c r="O8" s="106">
        <v>0.48</v>
      </c>
      <c r="Q8" s="104">
        <v>3</v>
      </c>
      <c r="R8" s="106">
        <v>0.48</v>
      </c>
      <c r="T8" s="104">
        <v>3</v>
      </c>
      <c r="U8" s="106">
        <v>1</v>
      </c>
      <c r="W8" s="104">
        <v>3</v>
      </c>
      <c r="X8" s="106">
        <v>1</v>
      </c>
      <c r="Z8" s="104">
        <v>3</v>
      </c>
      <c r="AA8" s="106">
        <v>1</v>
      </c>
      <c r="AC8" s="104">
        <v>3</v>
      </c>
      <c r="AD8" s="106">
        <v>1</v>
      </c>
      <c r="AF8" s="104">
        <v>3</v>
      </c>
      <c r="AG8" s="106">
        <v>0.47</v>
      </c>
    </row>
    <row r="9" spans="1:36" x14ac:dyDescent="0.2">
      <c r="A9" s="96"/>
      <c r="B9" s="104">
        <v>4</v>
      </c>
      <c r="C9" s="105">
        <v>0.76</v>
      </c>
      <c r="D9" s="105"/>
      <c r="E9" s="104">
        <v>4</v>
      </c>
      <c r="F9" s="106">
        <v>0.56999999999999995</v>
      </c>
      <c r="G9" s="96"/>
      <c r="H9" s="104">
        <v>4</v>
      </c>
      <c r="I9" s="106">
        <v>0.56999999999999995</v>
      </c>
      <c r="K9" s="104">
        <v>4</v>
      </c>
      <c r="L9" s="106">
        <v>0.6</v>
      </c>
      <c r="N9" s="104">
        <v>4</v>
      </c>
      <c r="O9" s="106">
        <v>0.4</v>
      </c>
      <c r="Q9" s="104">
        <v>4</v>
      </c>
      <c r="R9" s="106">
        <v>0.4</v>
      </c>
      <c r="T9" s="104">
        <v>4</v>
      </c>
      <c r="U9" s="106">
        <v>1</v>
      </c>
      <c r="W9" s="104">
        <v>4</v>
      </c>
      <c r="X9" s="106">
        <v>1</v>
      </c>
      <c r="Z9" s="104">
        <v>4</v>
      </c>
      <c r="AA9" s="106">
        <v>1</v>
      </c>
      <c r="AC9" s="104">
        <v>4</v>
      </c>
      <c r="AD9" s="106">
        <v>1</v>
      </c>
      <c r="AF9" s="104">
        <v>4</v>
      </c>
      <c r="AG9" s="106">
        <v>0.39</v>
      </c>
    </row>
    <row r="10" spans="1:36" x14ac:dyDescent="0.2">
      <c r="A10"/>
      <c r="B10" s="104">
        <v>5</v>
      </c>
      <c r="C10" s="105">
        <v>0.68</v>
      </c>
      <c r="D10" s="105"/>
      <c r="E10" s="104">
        <v>5</v>
      </c>
      <c r="F10" s="106">
        <v>0.54</v>
      </c>
      <c r="G10"/>
      <c r="H10" s="104">
        <v>5</v>
      </c>
      <c r="I10" s="106">
        <v>0.54</v>
      </c>
      <c r="K10" s="104">
        <v>5</v>
      </c>
      <c r="L10" s="106">
        <v>0.56999999999999995</v>
      </c>
      <c r="N10" s="104">
        <v>5</v>
      </c>
      <c r="O10" s="106">
        <v>0.37</v>
      </c>
      <c r="Q10" s="104">
        <v>5</v>
      </c>
      <c r="R10" s="106">
        <v>0.37</v>
      </c>
      <c r="T10" s="104">
        <v>5</v>
      </c>
      <c r="U10" s="106">
        <v>0.8</v>
      </c>
      <c r="W10" s="104">
        <v>5</v>
      </c>
      <c r="X10" s="106">
        <v>0.8</v>
      </c>
      <c r="Z10" s="104">
        <v>5</v>
      </c>
      <c r="AA10" s="106">
        <v>0.8</v>
      </c>
      <c r="AC10" s="104">
        <v>5</v>
      </c>
      <c r="AD10" s="106">
        <v>0.8</v>
      </c>
      <c r="AF10" s="104">
        <v>5</v>
      </c>
      <c r="AG10" s="106">
        <v>0.35</v>
      </c>
    </row>
    <row r="11" spans="1:36" x14ac:dyDescent="0.2">
      <c r="A11"/>
      <c r="B11" s="104">
        <v>6</v>
      </c>
      <c r="C11" s="105">
        <v>0.61</v>
      </c>
      <c r="D11" s="105"/>
      <c r="E11" s="104">
        <v>6</v>
      </c>
      <c r="F11" s="106">
        <v>0.52</v>
      </c>
      <c r="G11"/>
      <c r="H11" s="104">
        <v>6</v>
      </c>
      <c r="I11" s="106">
        <v>0.52</v>
      </c>
      <c r="K11" s="104">
        <v>6</v>
      </c>
      <c r="L11" s="106">
        <v>0.54</v>
      </c>
      <c r="N11" s="104">
        <v>6</v>
      </c>
      <c r="O11" s="106">
        <v>0.35</v>
      </c>
      <c r="Q11" s="104">
        <v>6</v>
      </c>
      <c r="R11" s="106">
        <v>0.35</v>
      </c>
      <c r="T11" s="104">
        <v>6</v>
      </c>
      <c r="U11" s="106">
        <v>0.7</v>
      </c>
      <c r="W11" s="104">
        <v>6</v>
      </c>
      <c r="X11" s="106">
        <v>0.7</v>
      </c>
      <c r="Z11" s="104">
        <v>6</v>
      </c>
      <c r="AA11" s="106">
        <v>0.7</v>
      </c>
      <c r="AC11" s="104">
        <v>6</v>
      </c>
      <c r="AD11" s="106">
        <v>0.7</v>
      </c>
      <c r="AF11" s="104">
        <v>6</v>
      </c>
      <c r="AG11" s="106">
        <v>0.25</v>
      </c>
    </row>
    <row r="12" spans="1:36" x14ac:dyDescent="0.2">
      <c r="A12"/>
      <c r="B12" s="104">
        <v>7</v>
      </c>
      <c r="C12" s="105">
        <v>0.55000000000000004</v>
      </c>
      <c r="D12" s="105"/>
      <c r="E12" s="104">
        <v>7</v>
      </c>
      <c r="F12" s="106">
        <v>0.5</v>
      </c>
      <c r="G12"/>
      <c r="H12" s="104">
        <v>7</v>
      </c>
      <c r="I12" s="106">
        <v>0.5</v>
      </c>
      <c r="K12" s="104">
        <v>7</v>
      </c>
      <c r="L12" s="106">
        <v>0.53</v>
      </c>
      <c r="N12" s="104">
        <v>7</v>
      </c>
      <c r="O12" s="106">
        <v>0.33</v>
      </c>
      <c r="Q12" s="104">
        <v>7</v>
      </c>
      <c r="R12" s="106">
        <v>0.33</v>
      </c>
      <c r="T12" s="104">
        <v>7</v>
      </c>
      <c r="U12" s="106">
        <v>0.62</v>
      </c>
      <c r="W12" s="104">
        <v>7</v>
      </c>
      <c r="X12" s="106">
        <v>0.62</v>
      </c>
      <c r="Z12" s="104">
        <v>7</v>
      </c>
      <c r="AA12" s="106">
        <v>0.62</v>
      </c>
      <c r="AC12" s="104">
        <v>7</v>
      </c>
      <c r="AD12" s="106">
        <v>0.62</v>
      </c>
      <c r="AF12" s="104">
        <v>7</v>
      </c>
      <c r="AG12" s="106">
        <v>0.25</v>
      </c>
    </row>
    <row r="13" spans="1:36" x14ac:dyDescent="0.2">
      <c r="A13"/>
      <c r="B13" s="104">
        <v>8</v>
      </c>
      <c r="C13" s="105">
        <v>0.49</v>
      </c>
      <c r="D13" s="105"/>
      <c r="E13" s="104">
        <v>8</v>
      </c>
      <c r="F13" s="106">
        <v>0.49</v>
      </c>
      <c r="G13"/>
      <c r="H13" s="104">
        <v>8</v>
      </c>
      <c r="I13" s="106">
        <v>0.49</v>
      </c>
      <c r="K13" s="104">
        <v>8</v>
      </c>
      <c r="L13" s="106">
        <v>0.51</v>
      </c>
      <c r="N13" s="104">
        <v>8</v>
      </c>
      <c r="O13" s="106">
        <v>0.32</v>
      </c>
      <c r="Q13" s="104">
        <v>8</v>
      </c>
      <c r="R13" s="106">
        <v>0.32</v>
      </c>
      <c r="T13" s="104">
        <v>8</v>
      </c>
      <c r="U13" s="106">
        <v>0.6</v>
      </c>
      <c r="W13" s="104">
        <v>8</v>
      </c>
      <c r="X13" s="106">
        <v>0.6</v>
      </c>
      <c r="Z13" s="104">
        <v>8</v>
      </c>
      <c r="AA13" s="106">
        <v>0.6</v>
      </c>
      <c r="AC13" s="104">
        <v>8</v>
      </c>
      <c r="AD13" s="106">
        <v>0.6</v>
      </c>
      <c r="AF13" s="104">
        <v>8</v>
      </c>
      <c r="AG13" s="106">
        <v>0.25</v>
      </c>
    </row>
    <row r="14" spans="1:36" x14ac:dyDescent="0.2">
      <c r="A14"/>
      <c r="B14" s="104">
        <v>9</v>
      </c>
      <c r="C14" s="105">
        <v>0.44</v>
      </c>
      <c r="D14" s="105"/>
      <c r="E14" s="104">
        <v>9</v>
      </c>
      <c r="F14" s="106">
        <v>0.48</v>
      </c>
      <c r="G14"/>
      <c r="H14" s="104">
        <v>9</v>
      </c>
      <c r="I14" s="106">
        <v>0.48</v>
      </c>
      <c r="K14" s="104">
        <v>9</v>
      </c>
      <c r="L14" s="106">
        <v>0.5</v>
      </c>
      <c r="N14" s="104">
        <v>9</v>
      </c>
      <c r="O14" s="106">
        <v>0.31</v>
      </c>
      <c r="Q14" s="104">
        <v>9</v>
      </c>
      <c r="R14" s="106">
        <v>0.31</v>
      </c>
      <c r="T14" s="104">
        <v>9</v>
      </c>
      <c r="U14" s="106">
        <v>0.54</v>
      </c>
      <c r="W14" s="104">
        <v>9</v>
      </c>
      <c r="X14" s="106">
        <v>0.54</v>
      </c>
      <c r="Z14" s="104">
        <v>9</v>
      </c>
      <c r="AA14" s="106">
        <v>0.54</v>
      </c>
      <c r="AC14" s="104">
        <v>9</v>
      </c>
      <c r="AD14" s="106">
        <v>0.54</v>
      </c>
      <c r="AF14" s="104">
        <v>9</v>
      </c>
      <c r="AG14" s="106">
        <v>0.25</v>
      </c>
    </row>
    <row r="15" spans="1:36" x14ac:dyDescent="0.2">
      <c r="A15"/>
      <c r="B15" s="104">
        <v>10</v>
      </c>
      <c r="C15" s="105">
        <v>0.4</v>
      </c>
      <c r="D15" s="105"/>
      <c r="E15" s="104">
        <v>10</v>
      </c>
      <c r="F15" s="106">
        <v>0.46</v>
      </c>
      <c r="G15"/>
      <c r="H15" s="104">
        <v>10</v>
      </c>
      <c r="I15" s="106">
        <v>0.46</v>
      </c>
      <c r="K15" s="104">
        <v>10</v>
      </c>
      <c r="L15" s="106">
        <v>0.5</v>
      </c>
      <c r="N15" s="104">
        <v>10</v>
      </c>
      <c r="O15" s="106">
        <v>0.3</v>
      </c>
      <c r="Q15" s="104">
        <v>10</v>
      </c>
      <c r="R15" s="106">
        <v>0.3</v>
      </c>
      <c r="T15" s="104">
        <v>10</v>
      </c>
      <c r="U15" s="106">
        <v>0.5</v>
      </c>
      <c r="W15" s="104">
        <v>10</v>
      </c>
      <c r="X15" s="106">
        <v>0.5</v>
      </c>
      <c r="Z15" s="104">
        <v>10</v>
      </c>
      <c r="AA15" s="106">
        <v>0.5</v>
      </c>
      <c r="AC15" s="104">
        <v>10</v>
      </c>
      <c r="AD15" s="106">
        <v>0.5</v>
      </c>
      <c r="AF15" s="104">
        <v>10</v>
      </c>
      <c r="AG15" s="106">
        <v>0.25</v>
      </c>
    </row>
    <row r="16" spans="1:36" x14ac:dyDescent="0.2">
      <c r="A16"/>
      <c r="B16" s="104">
        <v>11</v>
      </c>
      <c r="C16" s="105">
        <v>0.36</v>
      </c>
      <c r="D16" s="105"/>
      <c r="E16" s="104">
        <v>12</v>
      </c>
      <c r="F16" s="106">
        <v>0.44</v>
      </c>
      <c r="G16"/>
      <c r="H16" s="104">
        <v>12</v>
      </c>
      <c r="I16" s="106">
        <v>0.44</v>
      </c>
      <c r="K16" s="104">
        <v>12</v>
      </c>
      <c r="L16" s="106">
        <v>0.5</v>
      </c>
      <c r="N16" s="104">
        <v>12</v>
      </c>
      <c r="O16" s="106">
        <v>0.28000000000000003</v>
      </c>
      <c r="Q16" s="104">
        <v>12</v>
      </c>
      <c r="R16" s="106">
        <v>0.28000000000000003</v>
      </c>
      <c r="T16" s="104">
        <v>12</v>
      </c>
      <c r="U16" s="106">
        <v>0.46</v>
      </c>
      <c r="W16" s="104">
        <v>12</v>
      </c>
      <c r="X16" s="106">
        <v>0.46</v>
      </c>
      <c r="Z16" s="104">
        <v>12</v>
      </c>
      <c r="AA16" s="106">
        <v>0.46</v>
      </c>
      <c r="AC16" s="104">
        <v>12</v>
      </c>
      <c r="AD16" s="106">
        <v>0.46</v>
      </c>
      <c r="AF16" s="104">
        <v>12</v>
      </c>
      <c r="AG16" s="106">
        <v>0.2</v>
      </c>
    </row>
    <row r="17" spans="1:33" x14ac:dyDescent="0.2">
      <c r="A17"/>
      <c r="B17" s="104">
        <v>12</v>
      </c>
      <c r="C17" s="105">
        <v>0.32</v>
      </c>
      <c r="D17" s="105"/>
      <c r="E17" s="104">
        <v>16</v>
      </c>
      <c r="F17" s="106">
        <v>0.42</v>
      </c>
      <c r="G17"/>
      <c r="H17" s="104">
        <v>16</v>
      </c>
      <c r="I17" s="106">
        <v>0.42</v>
      </c>
      <c r="K17" s="104">
        <v>16</v>
      </c>
      <c r="L17" s="106">
        <v>0.5</v>
      </c>
      <c r="N17" s="104">
        <v>16</v>
      </c>
      <c r="O17" s="106">
        <v>0.26</v>
      </c>
      <c r="Q17" s="104">
        <v>16</v>
      </c>
      <c r="R17" s="106">
        <v>0.26</v>
      </c>
      <c r="T17" s="104">
        <v>16</v>
      </c>
      <c r="U17" s="106">
        <v>0.4</v>
      </c>
      <c r="W17" s="104">
        <v>16</v>
      </c>
      <c r="X17" s="106">
        <v>0.4</v>
      </c>
      <c r="Z17" s="104">
        <v>16</v>
      </c>
      <c r="AA17" s="106">
        <v>0.4</v>
      </c>
      <c r="AC17" s="104">
        <v>16</v>
      </c>
      <c r="AD17" s="106">
        <v>0.4</v>
      </c>
      <c r="AF17" s="104">
        <v>16</v>
      </c>
      <c r="AG17" s="106">
        <v>0.2</v>
      </c>
    </row>
    <row r="18" spans="1:33" x14ac:dyDescent="0.2">
      <c r="A18"/>
      <c r="B18" s="104">
        <v>13</v>
      </c>
      <c r="C18" s="105">
        <v>0.3</v>
      </c>
      <c r="D18" s="105"/>
      <c r="E18" s="104">
        <v>21</v>
      </c>
      <c r="F18" s="106">
        <v>0.4</v>
      </c>
      <c r="G18"/>
      <c r="H18" s="104">
        <v>21</v>
      </c>
      <c r="I18" s="106">
        <v>0.4</v>
      </c>
      <c r="K18" s="104">
        <v>21</v>
      </c>
      <c r="L18" s="106">
        <v>0.47</v>
      </c>
      <c r="N18" s="104">
        <v>21</v>
      </c>
      <c r="O18" s="106">
        <v>0.26</v>
      </c>
      <c r="Q18" s="104">
        <v>21</v>
      </c>
      <c r="R18" s="106">
        <v>0.26</v>
      </c>
      <c r="T18" s="104">
        <v>21</v>
      </c>
      <c r="U18" s="106">
        <v>0.36</v>
      </c>
      <c r="W18" s="104">
        <v>21</v>
      </c>
      <c r="X18" s="106">
        <v>0.36</v>
      </c>
      <c r="Z18" s="104">
        <v>21</v>
      </c>
      <c r="AA18" s="106">
        <v>0.36</v>
      </c>
      <c r="AC18" s="104">
        <v>21</v>
      </c>
      <c r="AD18" s="106">
        <v>0.36</v>
      </c>
      <c r="AF18" s="104">
        <v>21</v>
      </c>
      <c r="AG18" s="106">
        <v>0.18</v>
      </c>
    </row>
    <row r="19" spans="1:33" x14ac:dyDescent="0.2">
      <c r="A19"/>
      <c r="B19" s="104">
        <v>14</v>
      </c>
      <c r="C19" s="105">
        <v>0.28999999999999998</v>
      </c>
      <c r="D19" s="105"/>
      <c r="E19" s="104">
        <v>26</v>
      </c>
      <c r="F19" s="106">
        <v>0.38</v>
      </c>
      <c r="G19"/>
      <c r="H19" s="104">
        <v>26</v>
      </c>
      <c r="I19" s="106">
        <v>0.38</v>
      </c>
      <c r="K19" s="104">
        <v>26</v>
      </c>
      <c r="L19" s="106">
        <v>0.46</v>
      </c>
      <c r="N19" s="104">
        <v>26</v>
      </c>
      <c r="O19" s="106">
        <v>0.25</v>
      </c>
      <c r="Q19" s="104">
        <v>26</v>
      </c>
      <c r="R19" s="106">
        <v>0.25</v>
      </c>
      <c r="T19" s="104">
        <v>26</v>
      </c>
      <c r="U19" s="106">
        <v>0.32</v>
      </c>
      <c r="W19" s="104">
        <v>26</v>
      </c>
      <c r="X19" s="106">
        <v>0.32</v>
      </c>
      <c r="Z19" s="104">
        <v>26</v>
      </c>
      <c r="AA19" s="106">
        <v>0.32</v>
      </c>
      <c r="AC19" s="104">
        <v>26</v>
      </c>
      <c r="AD19" s="106">
        <v>0.32</v>
      </c>
      <c r="AF19" s="104">
        <v>26</v>
      </c>
      <c r="AG19" s="106">
        <v>0.18</v>
      </c>
    </row>
    <row r="20" spans="1:33" x14ac:dyDescent="0.2">
      <c r="A20"/>
      <c r="B20" s="104">
        <v>15</v>
      </c>
      <c r="C20" s="105">
        <v>0.28999999999999998</v>
      </c>
      <c r="D20" s="105"/>
      <c r="E20" s="104">
        <v>36</v>
      </c>
      <c r="F20" s="106">
        <v>0.36</v>
      </c>
      <c r="G20"/>
      <c r="H20" s="104">
        <v>36</v>
      </c>
      <c r="I20" s="106">
        <v>0.36</v>
      </c>
      <c r="K20" s="104">
        <v>36</v>
      </c>
      <c r="L20" s="106">
        <v>0.45</v>
      </c>
      <c r="N20" s="104">
        <v>36</v>
      </c>
      <c r="O20" s="106">
        <v>0.25</v>
      </c>
      <c r="Q20" s="104">
        <v>36</v>
      </c>
      <c r="R20" s="106">
        <v>0.25</v>
      </c>
      <c r="T20" s="104">
        <v>36</v>
      </c>
      <c r="U20" s="106">
        <v>0.26</v>
      </c>
      <c r="W20" s="104">
        <v>36</v>
      </c>
      <c r="X20" s="106">
        <v>0.26</v>
      </c>
      <c r="Z20" s="104">
        <v>36</v>
      </c>
      <c r="AA20" s="106">
        <v>0.26</v>
      </c>
      <c r="AC20" s="104">
        <v>36</v>
      </c>
      <c r="AD20" s="106">
        <v>0.26</v>
      </c>
      <c r="AF20" s="104">
        <v>36</v>
      </c>
      <c r="AG20" s="106">
        <v>0.15</v>
      </c>
    </row>
    <row r="21" spans="1:33" x14ac:dyDescent="0.2">
      <c r="A21"/>
      <c r="B21" s="104">
        <v>16</v>
      </c>
      <c r="C21" s="105">
        <v>0.28000000000000003</v>
      </c>
      <c r="D21" s="105"/>
      <c r="E21" s="104">
        <v>41</v>
      </c>
      <c r="F21" s="106">
        <v>0.35</v>
      </c>
      <c r="G21"/>
      <c r="H21" s="104">
        <v>41</v>
      </c>
      <c r="I21" s="106">
        <v>0.35</v>
      </c>
      <c r="K21" s="104">
        <v>41</v>
      </c>
      <c r="L21" s="106">
        <v>0.45</v>
      </c>
      <c r="N21" s="104">
        <v>41</v>
      </c>
      <c r="O21" s="106">
        <v>0.24</v>
      </c>
      <c r="Q21" s="104">
        <v>41</v>
      </c>
      <c r="R21" s="106">
        <v>0.24</v>
      </c>
      <c r="T21" s="104">
        <v>41</v>
      </c>
      <c r="U21" s="106">
        <v>0.25</v>
      </c>
      <c r="W21" s="104">
        <v>41</v>
      </c>
      <c r="X21" s="106">
        <v>0.25</v>
      </c>
      <c r="Z21" s="104">
        <v>41</v>
      </c>
      <c r="AA21" s="106">
        <v>0.25</v>
      </c>
      <c r="AC21" s="104">
        <v>41</v>
      </c>
      <c r="AD21" s="106">
        <v>0.25</v>
      </c>
      <c r="AF21" s="104">
        <v>41</v>
      </c>
      <c r="AG21" s="106">
        <v>0.15</v>
      </c>
    </row>
    <row r="22" spans="1:33" x14ac:dyDescent="0.2">
      <c r="A22"/>
      <c r="B22" s="104">
        <v>20</v>
      </c>
      <c r="C22" s="105">
        <v>0.28000000000000003</v>
      </c>
      <c r="D22" s="105"/>
      <c r="E22" s="104">
        <v>46</v>
      </c>
      <c r="F22" s="106">
        <v>0.34</v>
      </c>
      <c r="G22"/>
      <c r="H22" s="104">
        <v>46</v>
      </c>
      <c r="I22" s="106">
        <v>0.34</v>
      </c>
      <c r="K22" s="104">
        <v>46</v>
      </c>
      <c r="L22" s="106">
        <v>0.45</v>
      </c>
      <c r="N22" s="104">
        <v>46</v>
      </c>
      <c r="O22" s="106">
        <v>0.24</v>
      </c>
      <c r="Q22" s="104">
        <v>46</v>
      </c>
      <c r="R22" s="106">
        <v>0.24</v>
      </c>
      <c r="T22" s="104">
        <v>46</v>
      </c>
      <c r="U22" s="106">
        <v>0.25</v>
      </c>
      <c r="W22" s="104">
        <v>46</v>
      </c>
      <c r="X22" s="106">
        <v>0.25</v>
      </c>
      <c r="Z22" s="104">
        <v>46</v>
      </c>
      <c r="AA22" s="106">
        <v>0.25</v>
      </c>
      <c r="AC22" s="104">
        <v>46</v>
      </c>
      <c r="AD22" s="106">
        <v>0.25</v>
      </c>
      <c r="AF22" s="104">
        <v>46</v>
      </c>
      <c r="AG22" s="106">
        <v>0.15</v>
      </c>
    </row>
    <row r="23" spans="1:33" x14ac:dyDescent="0.2">
      <c r="A23"/>
      <c r="B23" s="104">
        <v>21</v>
      </c>
      <c r="C23" s="105">
        <v>0.26</v>
      </c>
      <c r="D23" s="105"/>
      <c r="E23" s="104">
        <v>56</v>
      </c>
      <c r="F23" s="106">
        <v>0.33</v>
      </c>
      <c r="G23"/>
      <c r="H23" s="104">
        <v>56</v>
      </c>
      <c r="I23" s="106">
        <v>0.33</v>
      </c>
      <c r="K23" s="104">
        <v>56</v>
      </c>
      <c r="L23" s="106">
        <v>0.45</v>
      </c>
      <c r="N23" s="104">
        <v>56</v>
      </c>
      <c r="O23" s="106">
        <v>0.24</v>
      </c>
      <c r="Q23" s="104">
        <v>56</v>
      </c>
      <c r="R23" s="106">
        <v>0.24</v>
      </c>
      <c r="T23" s="104">
        <v>56</v>
      </c>
      <c r="U23" s="106">
        <v>0.25</v>
      </c>
      <c r="W23" s="104">
        <v>56</v>
      </c>
      <c r="X23" s="106">
        <v>0.25</v>
      </c>
      <c r="Z23" s="104">
        <v>56</v>
      </c>
      <c r="AA23" s="106">
        <v>0.25</v>
      </c>
      <c r="AC23" s="104">
        <v>56</v>
      </c>
      <c r="AD23" s="106">
        <v>0.25</v>
      </c>
      <c r="AF23" s="104">
        <v>56</v>
      </c>
      <c r="AG23" s="106">
        <v>0.15</v>
      </c>
    </row>
    <row r="24" spans="1:33" x14ac:dyDescent="0.2">
      <c r="A24"/>
      <c r="B24" s="104">
        <v>40</v>
      </c>
      <c r="C24" s="105">
        <v>0.26</v>
      </c>
      <c r="D24" s="105"/>
      <c r="E24" s="104">
        <v>66</v>
      </c>
      <c r="F24" s="106">
        <v>0.32</v>
      </c>
      <c r="G24"/>
      <c r="H24" s="104">
        <v>66</v>
      </c>
      <c r="I24" s="106">
        <v>0.32</v>
      </c>
      <c r="K24" s="104">
        <v>66</v>
      </c>
      <c r="L24" s="106">
        <v>0.45</v>
      </c>
      <c r="N24" s="104">
        <v>66</v>
      </c>
      <c r="O24" s="106">
        <v>0.24</v>
      </c>
      <c r="Q24" s="104">
        <v>66</v>
      </c>
      <c r="R24" s="106">
        <v>0.24</v>
      </c>
      <c r="T24" s="104">
        <v>66</v>
      </c>
      <c r="U24" s="106">
        <v>0.25</v>
      </c>
      <c r="W24" s="104">
        <v>66</v>
      </c>
      <c r="X24" s="106">
        <v>0.25</v>
      </c>
      <c r="Z24" s="104">
        <v>66</v>
      </c>
      <c r="AA24" s="106">
        <v>0.25</v>
      </c>
      <c r="AC24" s="104">
        <v>66</v>
      </c>
      <c r="AD24" s="106">
        <v>0.25</v>
      </c>
      <c r="AF24" s="104">
        <v>66</v>
      </c>
      <c r="AG24" s="106">
        <v>0.15</v>
      </c>
    </row>
    <row r="25" spans="1:33" x14ac:dyDescent="0.2">
      <c r="A25"/>
      <c r="B25" s="104">
        <v>41</v>
      </c>
      <c r="C25" s="105">
        <v>0.25</v>
      </c>
      <c r="D25" s="105"/>
      <c r="E25" s="104">
        <v>76</v>
      </c>
      <c r="F25" s="106">
        <v>0.31</v>
      </c>
      <c r="G25"/>
      <c r="H25" s="104">
        <v>76</v>
      </c>
      <c r="I25" s="106">
        <v>0.31</v>
      </c>
      <c r="K25" s="104">
        <v>76</v>
      </c>
      <c r="L25" s="106">
        <v>0.45</v>
      </c>
      <c r="N25" s="104">
        <v>76</v>
      </c>
      <c r="O25" s="106">
        <v>0.23</v>
      </c>
      <c r="Q25" s="104">
        <v>76</v>
      </c>
      <c r="R25" s="106">
        <v>0.23</v>
      </c>
      <c r="T25" s="104">
        <v>76</v>
      </c>
      <c r="U25" s="106">
        <v>0.25</v>
      </c>
      <c r="W25" s="104">
        <v>76</v>
      </c>
      <c r="X25" s="106">
        <v>0.25</v>
      </c>
      <c r="Z25" s="104">
        <v>76</v>
      </c>
      <c r="AA25" s="106">
        <v>0.25</v>
      </c>
      <c r="AC25" s="104">
        <v>76</v>
      </c>
      <c r="AD25" s="106">
        <v>0.25</v>
      </c>
      <c r="AF25" s="104">
        <v>76</v>
      </c>
      <c r="AG25" s="106">
        <v>0.15</v>
      </c>
    </row>
    <row r="26" spans="1:33" x14ac:dyDescent="0.2">
      <c r="A26"/>
      <c r="B26" s="104">
        <v>55</v>
      </c>
      <c r="C26" s="105">
        <v>0.25</v>
      </c>
      <c r="D26" s="105"/>
      <c r="E26" s="104">
        <v>81</v>
      </c>
      <c r="F26" s="106">
        <v>0.31</v>
      </c>
      <c r="G26"/>
      <c r="H26" s="104">
        <v>81</v>
      </c>
      <c r="I26" s="106">
        <v>0.31</v>
      </c>
      <c r="K26" s="104">
        <v>81</v>
      </c>
      <c r="L26" s="106">
        <v>0.45</v>
      </c>
      <c r="N26" s="104">
        <v>81</v>
      </c>
      <c r="O26" s="106">
        <v>0.23</v>
      </c>
      <c r="Q26" s="104">
        <v>81</v>
      </c>
      <c r="R26" s="106">
        <v>0.23</v>
      </c>
      <c r="T26" s="104">
        <v>81</v>
      </c>
      <c r="U26" s="106">
        <v>0.25</v>
      </c>
      <c r="W26" s="104">
        <v>81</v>
      </c>
      <c r="X26" s="106">
        <v>0.25</v>
      </c>
      <c r="Z26" s="104">
        <v>81</v>
      </c>
      <c r="AA26" s="106">
        <v>0.25</v>
      </c>
      <c r="AC26" s="104">
        <v>81</v>
      </c>
      <c r="AD26" s="106">
        <v>0.25</v>
      </c>
      <c r="AF26" s="104">
        <v>81</v>
      </c>
      <c r="AG26" s="106">
        <v>0.15</v>
      </c>
    </row>
    <row r="27" spans="1:33" x14ac:dyDescent="0.2">
      <c r="A27"/>
      <c r="B27" s="104">
        <v>56</v>
      </c>
      <c r="C27" s="105">
        <v>0.24</v>
      </c>
      <c r="D27" s="105"/>
      <c r="E27" s="104">
        <v>91</v>
      </c>
      <c r="F27" s="106">
        <v>0.3</v>
      </c>
      <c r="G27"/>
      <c r="H27" s="104">
        <v>91</v>
      </c>
      <c r="I27" s="106">
        <v>0.3</v>
      </c>
      <c r="K27" s="104">
        <v>91</v>
      </c>
      <c r="L27" s="106">
        <v>0.45</v>
      </c>
      <c r="N27" s="104">
        <v>91</v>
      </c>
      <c r="O27" s="106">
        <v>0.23</v>
      </c>
      <c r="Q27" s="104">
        <v>91</v>
      </c>
      <c r="R27" s="106">
        <v>0.23</v>
      </c>
      <c r="T27" s="104">
        <v>91</v>
      </c>
      <c r="U27" s="106">
        <v>0.25</v>
      </c>
      <c r="W27" s="104">
        <v>91</v>
      </c>
      <c r="X27" s="106">
        <v>0.25</v>
      </c>
      <c r="Z27" s="104">
        <v>91</v>
      </c>
      <c r="AA27" s="106">
        <v>0.25</v>
      </c>
      <c r="AC27" s="104">
        <v>91</v>
      </c>
      <c r="AD27" s="106">
        <v>0.25</v>
      </c>
      <c r="AF27" s="104">
        <v>91</v>
      </c>
      <c r="AG27" s="106">
        <v>0.15</v>
      </c>
    </row>
    <row r="28" spans="1:33" x14ac:dyDescent="0.2">
      <c r="A28"/>
      <c r="B28" s="104">
        <v>80</v>
      </c>
      <c r="C28" s="105">
        <v>0.24</v>
      </c>
      <c r="D28" s="105"/>
      <c r="E28" s="104">
        <v>101</v>
      </c>
      <c r="F28" s="106">
        <v>0.28999999999999998</v>
      </c>
      <c r="G28"/>
      <c r="H28" s="104">
        <v>101</v>
      </c>
      <c r="I28" s="106">
        <v>0.28999999999999998</v>
      </c>
      <c r="K28" s="104">
        <v>101</v>
      </c>
      <c r="L28" s="106">
        <v>0.45</v>
      </c>
      <c r="N28" s="104">
        <v>101</v>
      </c>
      <c r="O28" s="106">
        <v>0.23</v>
      </c>
      <c r="Q28" s="104">
        <v>101</v>
      </c>
      <c r="R28" s="106">
        <v>0.23</v>
      </c>
      <c r="T28" s="104">
        <v>101</v>
      </c>
      <c r="U28" s="106">
        <v>0.25</v>
      </c>
      <c r="W28" s="104">
        <v>101</v>
      </c>
      <c r="X28" s="106">
        <v>0.25</v>
      </c>
      <c r="Z28" s="104">
        <v>101</v>
      </c>
      <c r="AA28" s="106">
        <v>0.25</v>
      </c>
      <c r="AC28" s="104">
        <v>101</v>
      </c>
      <c r="AD28" s="106">
        <v>0.25</v>
      </c>
      <c r="AF28" s="104">
        <v>101</v>
      </c>
      <c r="AG28" s="106">
        <v>0.15</v>
      </c>
    </row>
    <row r="29" spans="1:33" x14ac:dyDescent="0.2">
      <c r="A29"/>
      <c r="B29" s="104">
        <v>81</v>
      </c>
      <c r="C29" s="105">
        <v>0.23</v>
      </c>
      <c r="D29" s="105"/>
      <c r="E29" s="104">
        <v>121</v>
      </c>
      <c r="F29" s="106">
        <v>0.28999999999999998</v>
      </c>
      <c r="G29"/>
      <c r="H29" s="104">
        <v>121</v>
      </c>
      <c r="I29" s="106">
        <v>0.28999999999999998</v>
      </c>
      <c r="K29" s="104">
        <v>121</v>
      </c>
      <c r="L29" s="106">
        <v>0.45</v>
      </c>
      <c r="N29" s="104">
        <v>121</v>
      </c>
      <c r="O29" s="106">
        <v>0.23</v>
      </c>
      <c r="Q29" s="104">
        <v>121</v>
      </c>
      <c r="R29" s="106">
        <v>0.23</v>
      </c>
      <c r="T29" s="104">
        <v>121</v>
      </c>
      <c r="U29" s="106">
        <v>0.25</v>
      </c>
      <c r="W29" s="104">
        <v>121</v>
      </c>
      <c r="X29" s="106">
        <v>0.25</v>
      </c>
      <c r="Z29" s="104">
        <v>121</v>
      </c>
      <c r="AA29" s="106">
        <v>0.25</v>
      </c>
      <c r="AC29" s="104">
        <v>121</v>
      </c>
      <c r="AD29" s="106">
        <v>0.25</v>
      </c>
      <c r="AF29" s="104">
        <v>121</v>
      </c>
      <c r="AG29" s="106">
        <v>0.15</v>
      </c>
    </row>
    <row r="30" spans="1:33" x14ac:dyDescent="0.2">
      <c r="A30"/>
      <c r="B30" s="104">
        <v>100</v>
      </c>
      <c r="C30" s="105">
        <v>0.23</v>
      </c>
      <c r="D30" s="105"/>
      <c r="E30" s="104">
        <v>151</v>
      </c>
      <c r="F30" s="106">
        <v>0.28000000000000003</v>
      </c>
      <c r="G30"/>
      <c r="H30" s="104">
        <v>151</v>
      </c>
      <c r="I30" s="106">
        <v>0.28000000000000003</v>
      </c>
      <c r="K30" s="104">
        <v>151</v>
      </c>
      <c r="L30" s="106">
        <v>0.45</v>
      </c>
      <c r="N30" s="104">
        <v>151</v>
      </c>
      <c r="O30" s="106">
        <v>0.23</v>
      </c>
      <c r="Q30" s="104">
        <v>151</v>
      </c>
      <c r="R30" s="106">
        <v>0.23</v>
      </c>
      <c r="T30" s="104">
        <v>151</v>
      </c>
      <c r="U30" s="106">
        <v>0.25</v>
      </c>
      <c r="W30" s="104">
        <v>151</v>
      </c>
      <c r="X30" s="106">
        <v>0.25</v>
      </c>
      <c r="Z30" s="104">
        <v>151</v>
      </c>
      <c r="AA30" s="106">
        <v>0.25</v>
      </c>
      <c r="AC30" s="104">
        <v>151</v>
      </c>
      <c r="AD30" s="106">
        <v>0.25</v>
      </c>
      <c r="AF30" s="104">
        <v>151</v>
      </c>
      <c r="AG30" s="106">
        <v>0.15</v>
      </c>
    </row>
    <row r="31" spans="1:33" x14ac:dyDescent="0.2">
      <c r="A31"/>
      <c r="B31" s="104">
        <v>101</v>
      </c>
      <c r="C31" s="105">
        <v>0.22</v>
      </c>
      <c r="D31" s="105"/>
      <c r="E31" s="104">
        <v>201</v>
      </c>
      <c r="F31" s="106">
        <v>0.27</v>
      </c>
      <c r="G31"/>
      <c r="H31" s="104">
        <v>201</v>
      </c>
      <c r="I31" s="106">
        <v>0.27</v>
      </c>
      <c r="K31" s="104">
        <v>201</v>
      </c>
      <c r="L31" s="106">
        <v>0.45</v>
      </c>
      <c r="N31" s="104">
        <v>201</v>
      </c>
      <c r="O31" s="106">
        <v>0.23</v>
      </c>
      <c r="Q31" s="104">
        <v>201</v>
      </c>
      <c r="R31" s="106">
        <v>0.23</v>
      </c>
      <c r="T31" s="104">
        <v>201</v>
      </c>
      <c r="U31" s="106">
        <v>0.25</v>
      </c>
      <c r="W31" s="104">
        <v>201</v>
      </c>
      <c r="X31" s="106">
        <v>0.25</v>
      </c>
      <c r="Z31" s="104">
        <v>201</v>
      </c>
      <c r="AA31" s="106">
        <v>0.25</v>
      </c>
      <c r="AC31" s="104">
        <v>201</v>
      </c>
      <c r="AD31" s="106">
        <v>0.25</v>
      </c>
      <c r="AF31" s="104">
        <v>201</v>
      </c>
      <c r="AG31" s="106">
        <v>0.15</v>
      </c>
    </row>
    <row r="32" spans="1:33" x14ac:dyDescent="0.2">
      <c r="A32"/>
      <c r="B32" s="104">
        <v>150</v>
      </c>
      <c r="C32" s="105">
        <v>0.22</v>
      </c>
      <c r="D32" s="105"/>
      <c r="E32" s="104">
        <v>251</v>
      </c>
      <c r="F32" s="106">
        <v>0.26</v>
      </c>
      <c r="G32"/>
      <c r="H32" s="104">
        <v>251</v>
      </c>
      <c r="I32" s="106">
        <v>0.26</v>
      </c>
      <c r="K32" s="104">
        <v>251</v>
      </c>
      <c r="L32" s="106">
        <v>0.45</v>
      </c>
      <c r="N32" s="104">
        <v>251</v>
      </c>
      <c r="O32" s="106">
        <v>0.23</v>
      </c>
      <c r="Q32" s="104">
        <v>251</v>
      </c>
      <c r="R32" s="106">
        <v>0.23</v>
      </c>
      <c r="T32" s="104">
        <v>251</v>
      </c>
      <c r="U32" s="106">
        <v>0.25</v>
      </c>
      <c r="W32" s="104">
        <v>251</v>
      </c>
      <c r="X32" s="106">
        <v>0.25</v>
      </c>
      <c r="Z32" s="104">
        <v>251</v>
      </c>
      <c r="AA32" s="106">
        <v>0.25</v>
      </c>
      <c r="AC32" s="104">
        <v>251</v>
      </c>
      <c r="AD32" s="106">
        <v>0.25</v>
      </c>
      <c r="AF32" s="104">
        <v>251</v>
      </c>
      <c r="AG32" s="106">
        <v>0.15</v>
      </c>
    </row>
    <row r="33" spans="1:33" x14ac:dyDescent="0.2">
      <c r="A33"/>
      <c r="B33" s="104">
        <v>151</v>
      </c>
      <c r="C33" s="105">
        <v>0.21</v>
      </c>
      <c r="D33" s="105"/>
      <c r="E33" s="104">
        <v>351</v>
      </c>
      <c r="F33" s="106">
        <v>0.25</v>
      </c>
      <c r="G33"/>
      <c r="H33" s="104">
        <v>351</v>
      </c>
      <c r="I33" s="106">
        <v>0.25</v>
      </c>
      <c r="K33" s="104">
        <v>351</v>
      </c>
      <c r="L33" s="106">
        <v>0.45</v>
      </c>
      <c r="N33" s="104">
        <v>351</v>
      </c>
      <c r="O33" s="106">
        <v>0.23</v>
      </c>
      <c r="Q33" s="104">
        <v>351</v>
      </c>
      <c r="R33" s="106">
        <v>0.23</v>
      </c>
      <c r="T33" s="104">
        <v>351</v>
      </c>
      <c r="U33" s="106">
        <v>0.25</v>
      </c>
      <c r="W33" s="104">
        <v>351</v>
      </c>
      <c r="X33" s="106">
        <v>0.25</v>
      </c>
      <c r="Z33" s="104">
        <v>351</v>
      </c>
      <c r="AA33" s="106">
        <v>0.25</v>
      </c>
      <c r="AC33" s="104">
        <v>351</v>
      </c>
      <c r="AD33" s="106">
        <v>0.25</v>
      </c>
      <c r="AF33" s="104">
        <v>351</v>
      </c>
      <c r="AG33" s="106">
        <v>0.15</v>
      </c>
    </row>
    <row r="34" spans="1:33" x14ac:dyDescent="0.2">
      <c r="A34"/>
      <c r="B34" s="104">
        <v>250</v>
      </c>
      <c r="C34" s="105">
        <v>0.21</v>
      </c>
      <c r="D34" s="105"/>
      <c r="E34" s="104">
        <v>451</v>
      </c>
      <c r="F34" s="106">
        <v>0.24</v>
      </c>
      <c r="G34"/>
      <c r="H34" s="104">
        <v>451</v>
      </c>
      <c r="I34" s="106">
        <v>0.24</v>
      </c>
      <c r="K34" s="104">
        <v>451</v>
      </c>
      <c r="L34" s="106">
        <v>0.45</v>
      </c>
      <c r="N34" s="104">
        <v>451</v>
      </c>
      <c r="O34" s="106">
        <v>0.23</v>
      </c>
      <c r="Q34" s="104">
        <v>451</v>
      </c>
      <c r="R34" s="106">
        <v>0.23</v>
      </c>
      <c r="T34" s="104">
        <v>451</v>
      </c>
      <c r="U34" s="106">
        <v>0.25</v>
      </c>
      <c r="W34" s="104">
        <v>451</v>
      </c>
      <c r="X34" s="106">
        <v>0.25</v>
      </c>
      <c r="Z34" s="104">
        <v>451</v>
      </c>
      <c r="AA34" s="106">
        <v>0.25</v>
      </c>
      <c r="AC34" s="104">
        <v>451</v>
      </c>
      <c r="AD34" s="106">
        <v>0.25</v>
      </c>
      <c r="AF34" s="104">
        <v>451</v>
      </c>
      <c r="AG34" s="106">
        <v>0.15</v>
      </c>
    </row>
    <row r="35" spans="1:33" ht="13.5" thickBot="1" x14ac:dyDescent="0.25">
      <c r="A35"/>
      <c r="B35" s="108">
        <v>251</v>
      </c>
      <c r="C35" s="109">
        <v>0.2</v>
      </c>
      <c r="D35" s="109"/>
      <c r="E35" s="108">
        <v>801</v>
      </c>
      <c r="F35" s="110">
        <v>0.23</v>
      </c>
      <c r="G35"/>
      <c r="H35" s="108">
        <v>801</v>
      </c>
      <c r="I35" s="110">
        <v>0.23</v>
      </c>
      <c r="K35" s="108">
        <v>801</v>
      </c>
      <c r="L35" s="110">
        <v>0.45</v>
      </c>
      <c r="N35" s="108">
        <v>801</v>
      </c>
      <c r="O35" s="110">
        <v>0.23</v>
      </c>
      <c r="Q35" s="108">
        <v>801</v>
      </c>
      <c r="R35" s="110">
        <v>0.23</v>
      </c>
      <c r="T35" s="108">
        <v>801</v>
      </c>
      <c r="U35" s="110">
        <v>0.25</v>
      </c>
      <c r="W35" s="108">
        <v>801</v>
      </c>
      <c r="X35" s="110">
        <v>0.25</v>
      </c>
      <c r="Z35" s="108">
        <v>801</v>
      </c>
      <c r="AA35" s="110">
        <v>0.25</v>
      </c>
      <c r="AC35" s="108">
        <v>801</v>
      </c>
      <c r="AD35" s="110">
        <v>0.25</v>
      </c>
      <c r="AF35" s="108">
        <v>801</v>
      </c>
      <c r="AG35" s="110">
        <v>0.15</v>
      </c>
    </row>
    <row r="36" spans="1:33" x14ac:dyDescent="0.2">
      <c r="A36"/>
      <c r="B36"/>
      <c r="C36"/>
      <c r="D36"/>
      <c r="E36"/>
      <c r="F36"/>
      <c r="G36"/>
      <c r="H36"/>
    </row>
    <row r="37" spans="1:33" x14ac:dyDescent="0.2">
      <c r="A37"/>
      <c r="B37"/>
      <c r="C37"/>
      <c r="D37"/>
      <c r="E37"/>
      <c r="F37"/>
      <c r="G37"/>
      <c r="H37"/>
    </row>
    <row r="38" spans="1:33" x14ac:dyDescent="0.2">
      <c r="A38"/>
      <c r="B38"/>
      <c r="C38"/>
      <c r="D38"/>
      <c r="E38"/>
      <c r="F38"/>
      <c r="G38"/>
      <c r="H38"/>
    </row>
    <row r="39" spans="1:33" x14ac:dyDescent="0.2">
      <c r="A39"/>
      <c r="B39"/>
      <c r="C39"/>
      <c r="D39"/>
      <c r="E39"/>
      <c r="F39"/>
      <c r="G39"/>
      <c r="H39"/>
    </row>
    <row r="40" spans="1:33" x14ac:dyDescent="0.2">
      <c r="A40"/>
      <c r="B40"/>
      <c r="C40"/>
      <c r="D40"/>
      <c r="E40"/>
      <c r="F40"/>
      <c r="G40"/>
      <c r="H40"/>
    </row>
    <row r="41" spans="1:33" x14ac:dyDescent="0.2">
      <c r="A41"/>
      <c r="B41"/>
      <c r="C41"/>
      <c r="D41"/>
      <c r="E41"/>
      <c r="F41"/>
      <c r="G41"/>
      <c r="H41"/>
    </row>
    <row r="42" spans="1:33" x14ac:dyDescent="0.2">
      <c r="A42"/>
      <c r="B42"/>
      <c r="C42"/>
      <c r="D42"/>
      <c r="E42"/>
      <c r="F42"/>
      <c r="G42"/>
      <c r="H42"/>
    </row>
    <row r="43" spans="1:33" x14ac:dyDescent="0.2">
      <c r="A43"/>
      <c r="B43"/>
      <c r="C43"/>
      <c r="D43"/>
      <c r="E43"/>
      <c r="F43"/>
      <c r="G43"/>
      <c r="H43"/>
    </row>
    <row r="44" spans="1:33" x14ac:dyDescent="0.2">
      <c r="A44"/>
      <c r="B44"/>
      <c r="C44"/>
      <c r="D44"/>
      <c r="E44"/>
      <c r="F44"/>
      <c r="G44"/>
      <c r="H44"/>
    </row>
    <row r="45" spans="1:33" x14ac:dyDescent="0.2">
      <c r="A45"/>
      <c r="B45"/>
      <c r="C45"/>
      <c r="D45"/>
      <c r="E45"/>
      <c r="F45"/>
      <c r="G45"/>
      <c r="H45"/>
    </row>
    <row r="46" spans="1:33" x14ac:dyDescent="0.2">
      <c r="A46"/>
      <c r="B46"/>
      <c r="C46"/>
      <c r="D46"/>
      <c r="E46"/>
      <c r="F46"/>
      <c r="G46"/>
      <c r="H46"/>
    </row>
    <row r="47" spans="1:33" x14ac:dyDescent="0.2">
      <c r="A47"/>
      <c r="B47"/>
      <c r="C47"/>
      <c r="D47"/>
      <c r="E47"/>
      <c r="F47"/>
      <c r="G47"/>
      <c r="H47"/>
    </row>
    <row r="48" spans="1:33" x14ac:dyDescent="0.2">
      <c r="A48"/>
      <c r="B48"/>
      <c r="C48"/>
      <c r="D48"/>
      <c r="E48"/>
      <c r="F48"/>
      <c r="G48"/>
      <c r="H48"/>
    </row>
    <row r="49" spans="1:8" x14ac:dyDescent="0.2">
      <c r="A49"/>
      <c r="B49"/>
      <c r="C49"/>
      <c r="D49"/>
      <c r="E49"/>
      <c r="F49"/>
      <c r="G49"/>
      <c r="H49"/>
    </row>
    <row r="50" spans="1:8" x14ac:dyDescent="0.2">
      <c r="A50"/>
      <c r="B50"/>
      <c r="C50"/>
      <c r="D50"/>
      <c r="E50"/>
      <c r="F50"/>
      <c r="G50"/>
      <c r="H50"/>
    </row>
  </sheetData>
  <customSheetViews>
    <customSheetView guid="{3D0BF824-B70B-411D-8F8F-CCBEF08DF0BD}" state="hidden">
      <selection activeCell="D5" sqref="D5"/>
      <pageMargins left="0.511811024" right="0.511811024" top="0.78740157499999996" bottom="0.78740157499999996" header="0.31496062000000002" footer="0.31496062000000002"/>
      <pageSetup paperSize="9" orientation="portrait" r:id="rId1"/>
    </customSheetView>
  </customSheetViews>
  <pageMargins left="0.511811024" right="0.511811024" top="0.78740157499999996" bottom="0.78740157499999996" header="0.31496062000000002" footer="0.31496062000000002"/>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9"/>
  <dimension ref="A1:D9"/>
  <sheetViews>
    <sheetView workbookViewId="0">
      <selection activeCell="C4" sqref="C4"/>
    </sheetView>
  </sheetViews>
  <sheetFormatPr defaultRowHeight="12.75" x14ac:dyDescent="0.2"/>
  <sheetData>
    <row r="1" spans="1:4" x14ac:dyDescent="0.2">
      <c r="A1" s="671" t="s">
        <v>38</v>
      </c>
      <c r="B1" s="672"/>
      <c r="C1" s="100" t="s">
        <v>133</v>
      </c>
      <c r="D1" s="100" t="s">
        <v>134</v>
      </c>
    </row>
    <row r="2" spans="1:4" x14ac:dyDescent="0.2">
      <c r="A2" s="112">
        <v>0</v>
      </c>
      <c r="B2" s="114">
        <v>0</v>
      </c>
      <c r="C2" s="106">
        <v>1</v>
      </c>
      <c r="D2" s="106">
        <v>1</v>
      </c>
    </row>
    <row r="3" spans="1:4" x14ac:dyDescent="0.2">
      <c r="A3" s="112">
        <v>1</v>
      </c>
      <c r="B3" s="114">
        <v>10</v>
      </c>
      <c r="C3" s="106">
        <v>1</v>
      </c>
      <c r="D3" s="106">
        <v>1</v>
      </c>
    </row>
    <row r="4" spans="1:4" x14ac:dyDescent="0.2">
      <c r="A4" s="112">
        <v>11</v>
      </c>
      <c r="B4" s="114">
        <v>20</v>
      </c>
      <c r="C4" s="106">
        <v>0.9</v>
      </c>
      <c r="D4" s="106">
        <v>0.86</v>
      </c>
    </row>
    <row r="5" spans="1:4" x14ac:dyDescent="0.2">
      <c r="A5" s="112">
        <v>21</v>
      </c>
      <c r="B5" s="114">
        <v>30</v>
      </c>
      <c r="C5" s="106">
        <v>0.82</v>
      </c>
      <c r="D5" s="106">
        <v>0.8</v>
      </c>
    </row>
    <row r="6" spans="1:4" x14ac:dyDescent="0.2">
      <c r="A6" s="112">
        <v>31</v>
      </c>
      <c r="B6" s="114">
        <v>40</v>
      </c>
      <c r="C6" s="106">
        <v>0.8</v>
      </c>
      <c r="D6" s="106">
        <v>0.78</v>
      </c>
    </row>
    <row r="7" spans="1:4" x14ac:dyDescent="0.2">
      <c r="A7" s="112">
        <v>41</v>
      </c>
      <c r="B7" s="114">
        <v>50</v>
      </c>
      <c r="C7" s="106">
        <v>0.77</v>
      </c>
      <c r="D7" s="106">
        <v>0.75</v>
      </c>
    </row>
    <row r="8" spans="1:4" x14ac:dyDescent="0.2">
      <c r="A8" s="112">
        <v>51</v>
      </c>
      <c r="B8" s="114">
        <v>75</v>
      </c>
      <c r="C8" s="106">
        <v>0.75</v>
      </c>
      <c r="D8" s="106">
        <v>0.73</v>
      </c>
    </row>
    <row r="9" spans="1:4" ht="13.5" thickBot="1" x14ac:dyDescent="0.25">
      <c r="A9" s="113">
        <v>76</v>
      </c>
      <c r="B9" s="115">
        <v>1000</v>
      </c>
      <c r="C9" s="110">
        <v>0.75</v>
      </c>
      <c r="D9" s="110">
        <v>0.7</v>
      </c>
    </row>
  </sheetData>
  <customSheetViews>
    <customSheetView guid="{3D0BF824-B70B-411D-8F8F-CCBEF08DF0BD}" state="hidden">
      <selection activeCell="C4" sqref="C4"/>
      <pageMargins left="0.511811024" right="0.511811024" top="0.78740157499999996" bottom="0.78740157499999996" header="0.31496062000000002" footer="0.31496062000000002"/>
    </customSheetView>
  </customSheetViews>
  <mergeCells count="1">
    <mergeCell ref="A1:B1"/>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0"/>
  <dimension ref="B1:D41"/>
  <sheetViews>
    <sheetView workbookViewId="0">
      <selection activeCell="K36" sqref="K36"/>
    </sheetView>
  </sheetViews>
  <sheetFormatPr defaultRowHeight="12.75" x14ac:dyDescent="0.2"/>
  <sheetData>
    <row r="1" spans="2:4" ht="13.5" thickBot="1" x14ac:dyDescent="0.25"/>
    <row r="2" spans="2:4" x14ac:dyDescent="0.2">
      <c r="B2" s="99" t="s">
        <v>38</v>
      </c>
      <c r="C2" s="296"/>
      <c r="D2" s="100" t="s">
        <v>149</v>
      </c>
    </row>
    <row r="3" spans="2:4" x14ac:dyDescent="0.2">
      <c r="B3" s="125">
        <v>0</v>
      </c>
      <c r="C3" s="112">
        <v>1</v>
      </c>
      <c r="D3" s="126">
        <v>1</v>
      </c>
    </row>
    <row r="4" spans="2:4" x14ac:dyDescent="0.2">
      <c r="B4" s="112">
        <f>C3+0.0001</f>
        <v>1.0001</v>
      </c>
      <c r="C4" s="112">
        <v>3</v>
      </c>
      <c r="D4" s="106">
        <v>0.98</v>
      </c>
    </row>
    <row r="5" spans="2:4" x14ac:dyDescent="0.2">
      <c r="B5" s="112">
        <f t="shared" ref="B5:B41" si="0">C4+0.0001</f>
        <v>3.0001000000000002</v>
      </c>
      <c r="C5" s="112">
        <v>6</v>
      </c>
      <c r="D5" s="106">
        <v>0.97</v>
      </c>
    </row>
    <row r="6" spans="2:4" x14ac:dyDescent="0.2">
      <c r="B6" s="112">
        <f t="shared" si="0"/>
        <v>6.0000999999999998</v>
      </c>
      <c r="C6" s="112">
        <v>9</v>
      </c>
      <c r="D6" s="106">
        <v>0.96</v>
      </c>
    </row>
    <row r="7" spans="2:4" x14ac:dyDescent="0.2">
      <c r="B7" s="112">
        <f t="shared" si="0"/>
        <v>9.0000999999999998</v>
      </c>
      <c r="C7" s="112">
        <v>12</v>
      </c>
      <c r="D7" s="106">
        <v>0.95</v>
      </c>
    </row>
    <row r="8" spans="2:4" x14ac:dyDescent="0.2">
      <c r="B8" s="112">
        <f t="shared" si="0"/>
        <v>12.0001</v>
      </c>
      <c r="C8" s="112">
        <v>15</v>
      </c>
      <c r="D8" s="106">
        <v>0.91</v>
      </c>
    </row>
    <row r="9" spans="2:4" x14ac:dyDescent="0.2">
      <c r="B9" s="112">
        <f t="shared" si="0"/>
        <v>15.0001</v>
      </c>
      <c r="C9" s="112">
        <v>18</v>
      </c>
      <c r="D9" s="106">
        <v>0.89</v>
      </c>
    </row>
    <row r="10" spans="2:4" x14ac:dyDescent="0.2">
      <c r="B10" s="112">
        <f t="shared" si="0"/>
        <v>18.0001</v>
      </c>
      <c r="C10" s="112">
        <v>21</v>
      </c>
      <c r="D10" s="106">
        <v>0.87</v>
      </c>
    </row>
    <row r="11" spans="2:4" x14ac:dyDescent="0.2">
      <c r="B11" s="112">
        <f t="shared" si="0"/>
        <v>21.0001</v>
      </c>
      <c r="C11" s="112">
        <v>25</v>
      </c>
      <c r="D11" s="106">
        <v>0.84</v>
      </c>
    </row>
    <row r="12" spans="2:4" x14ac:dyDescent="0.2">
      <c r="B12" s="112">
        <f t="shared" si="0"/>
        <v>25.0001</v>
      </c>
      <c r="C12" s="112">
        <v>28</v>
      </c>
      <c r="D12" s="106">
        <v>0.81</v>
      </c>
    </row>
    <row r="13" spans="2:4" x14ac:dyDescent="0.2">
      <c r="B13" s="112">
        <f t="shared" si="0"/>
        <v>28.0001</v>
      </c>
      <c r="C13" s="112">
        <v>31</v>
      </c>
      <c r="D13" s="106">
        <v>0.79</v>
      </c>
    </row>
    <row r="14" spans="2:4" x14ac:dyDescent="0.2">
      <c r="B14" s="112">
        <f t="shared" si="0"/>
        <v>31.0001</v>
      </c>
      <c r="C14" s="112">
        <v>34</v>
      </c>
      <c r="D14" s="106">
        <v>0.77</v>
      </c>
    </row>
    <row r="15" spans="2:4" x14ac:dyDescent="0.2">
      <c r="B15" s="112">
        <f t="shared" si="0"/>
        <v>34.000100000000003</v>
      </c>
      <c r="C15" s="112">
        <v>37</v>
      </c>
      <c r="D15" s="106">
        <v>0.76</v>
      </c>
    </row>
    <row r="16" spans="2:4" x14ac:dyDescent="0.2">
      <c r="B16" s="112">
        <f t="shared" si="0"/>
        <v>37.000100000000003</v>
      </c>
      <c r="C16" s="112">
        <v>40</v>
      </c>
      <c r="D16" s="106">
        <v>0.75</v>
      </c>
    </row>
    <row r="17" spans="2:4" x14ac:dyDescent="0.2">
      <c r="B17" s="112">
        <f t="shared" si="0"/>
        <v>40.000100000000003</v>
      </c>
      <c r="C17" s="112">
        <v>43</v>
      </c>
      <c r="D17" s="106">
        <v>0.74</v>
      </c>
    </row>
    <row r="18" spans="2:4" x14ac:dyDescent="0.2">
      <c r="B18" s="112">
        <f t="shared" si="0"/>
        <v>43.000100000000003</v>
      </c>
      <c r="C18" s="112">
        <v>46</v>
      </c>
      <c r="D18" s="106">
        <v>0.73</v>
      </c>
    </row>
    <row r="19" spans="2:4" x14ac:dyDescent="0.2">
      <c r="B19" s="112">
        <f t="shared" si="0"/>
        <v>46.000100000000003</v>
      </c>
      <c r="C19" s="112">
        <v>49</v>
      </c>
      <c r="D19" s="106">
        <v>0.72</v>
      </c>
    </row>
    <row r="20" spans="2:4" x14ac:dyDescent="0.2">
      <c r="B20" s="112">
        <f t="shared" si="0"/>
        <v>49.000100000000003</v>
      </c>
      <c r="C20" s="112">
        <v>52</v>
      </c>
      <c r="D20" s="106">
        <v>0.71</v>
      </c>
    </row>
    <row r="21" spans="2:4" x14ac:dyDescent="0.2">
      <c r="B21" s="112">
        <f t="shared" si="0"/>
        <v>52.000100000000003</v>
      </c>
      <c r="C21" s="112">
        <v>55</v>
      </c>
      <c r="D21" s="106">
        <v>0.7</v>
      </c>
    </row>
    <row r="22" spans="2:4" x14ac:dyDescent="0.2">
      <c r="B22" s="112">
        <f t="shared" si="0"/>
        <v>55.000100000000003</v>
      </c>
      <c r="C22" s="112">
        <v>58</v>
      </c>
      <c r="D22" s="106">
        <v>0.69</v>
      </c>
    </row>
    <row r="23" spans="2:4" x14ac:dyDescent="0.2">
      <c r="B23" s="112">
        <f t="shared" si="0"/>
        <v>58.000100000000003</v>
      </c>
      <c r="C23" s="112">
        <v>64</v>
      </c>
      <c r="D23" s="106">
        <v>0.68</v>
      </c>
    </row>
    <row r="24" spans="2:4" x14ac:dyDescent="0.2">
      <c r="B24" s="112">
        <f t="shared" si="0"/>
        <v>64.000100000000003</v>
      </c>
      <c r="C24" s="112">
        <v>70</v>
      </c>
      <c r="D24" s="106">
        <v>0.67</v>
      </c>
    </row>
    <row r="25" spans="2:4" x14ac:dyDescent="0.2">
      <c r="B25" s="112">
        <f t="shared" si="0"/>
        <v>70.000100000000003</v>
      </c>
      <c r="C25" s="112">
        <v>79</v>
      </c>
      <c r="D25" s="106">
        <v>0.66</v>
      </c>
    </row>
    <row r="26" spans="2:4" x14ac:dyDescent="0.2">
      <c r="B26" s="112">
        <f t="shared" si="0"/>
        <v>79.000100000000003</v>
      </c>
      <c r="C26" s="112">
        <v>88</v>
      </c>
      <c r="D26" s="106">
        <v>0.65</v>
      </c>
    </row>
    <row r="27" spans="2:4" x14ac:dyDescent="0.2">
      <c r="B27" s="112">
        <f t="shared" si="0"/>
        <v>88.000100000000003</v>
      </c>
      <c r="C27" s="112">
        <v>97</v>
      </c>
      <c r="D27" s="106">
        <v>0.64</v>
      </c>
    </row>
    <row r="28" spans="2:4" x14ac:dyDescent="0.2">
      <c r="B28" s="112">
        <f t="shared" si="0"/>
        <v>97.000100000000003</v>
      </c>
      <c r="C28" s="112">
        <v>103</v>
      </c>
      <c r="D28" s="106">
        <v>0.63</v>
      </c>
    </row>
    <row r="29" spans="2:4" x14ac:dyDescent="0.2">
      <c r="B29" s="112">
        <f t="shared" si="0"/>
        <v>103.0001</v>
      </c>
      <c r="C29" s="112">
        <v>106</v>
      </c>
      <c r="D29" s="106">
        <v>0.62</v>
      </c>
    </row>
    <row r="30" spans="2:4" x14ac:dyDescent="0.2">
      <c r="B30" s="112">
        <f t="shared" si="0"/>
        <v>106.0001</v>
      </c>
      <c r="C30" s="112">
        <v>109</v>
      </c>
      <c r="D30" s="106">
        <v>0.61</v>
      </c>
    </row>
    <row r="31" spans="2:4" x14ac:dyDescent="0.2">
      <c r="B31" s="112">
        <f t="shared" si="0"/>
        <v>109.0001</v>
      </c>
      <c r="C31" s="112">
        <v>112</v>
      </c>
      <c r="D31" s="106">
        <v>0.6</v>
      </c>
    </row>
    <row r="32" spans="2:4" x14ac:dyDescent="0.2">
      <c r="B32" s="112">
        <f t="shared" si="0"/>
        <v>112.0001</v>
      </c>
      <c r="C32" s="112">
        <v>115</v>
      </c>
      <c r="D32" s="106">
        <v>0.59</v>
      </c>
    </row>
    <row r="33" spans="2:4" x14ac:dyDescent="0.2">
      <c r="B33" s="112">
        <f t="shared" si="0"/>
        <v>115.0001</v>
      </c>
      <c r="C33" s="112">
        <v>118</v>
      </c>
      <c r="D33" s="106">
        <v>0.57999999999999996</v>
      </c>
    </row>
    <row r="34" spans="2:4" x14ac:dyDescent="0.2">
      <c r="B34" s="112">
        <f t="shared" si="0"/>
        <v>118.0001</v>
      </c>
      <c r="C34" s="112">
        <v>121</v>
      </c>
      <c r="D34" s="106">
        <v>0.56999999999999995</v>
      </c>
    </row>
    <row r="35" spans="2:4" x14ac:dyDescent="0.2">
      <c r="B35" s="112">
        <f t="shared" si="0"/>
        <v>121.0001</v>
      </c>
      <c r="C35" s="112">
        <v>127</v>
      </c>
      <c r="D35" s="106">
        <v>0.56000000000000005</v>
      </c>
    </row>
    <row r="36" spans="2:4" x14ac:dyDescent="0.2">
      <c r="B36" s="112">
        <f t="shared" si="0"/>
        <v>127.0001</v>
      </c>
      <c r="C36" s="112">
        <v>130</v>
      </c>
      <c r="D36" s="106">
        <v>0.55000000000000004</v>
      </c>
    </row>
    <row r="37" spans="2:4" x14ac:dyDescent="0.2">
      <c r="B37" s="112">
        <f t="shared" si="0"/>
        <v>130.0001</v>
      </c>
      <c r="C37" s="112">
        <v>133</v>
      </c>
      <c r="D37" s="106">
        <v>0.54</v>
      </c>
    </row>
    <row r="38" spans="2:4" x14ac:dyDescent="0.2">
      <c r="B38" s="112">
        <f t="shared" si="0"/>
        <v>133.0001</v>
      </c>
      <c r="C38" s="112">
        <v>139</v>
      </c>
      <c r="D38" s="106">
        <v>0.53</v>
      </c>
    </row>
    <row r="39" spans="2:4" x14ac:dyDescent="0.2">
      <c r="B39" s="112">
        <f t="shared" si="0"/>
        <v>139.0001</v>
      </c>
      <c r="C39" s="112">
        <v>142</v>
      </c>
      <c r="D39" s="106">
        <v>0.52</v>
      </c>
    </row>
    <row r="40" spans="2:4" ht="13.5" thickBot="1" x14ac:dyDescent="0.25">
      <c r="B40" s="112">
        <f t="shared" si="0"/>
        <v>142.0001</v>
      </c>
      <c r="C40" s="113">
        <v>148</v>
      </c>
      <c r="D40" s="106">
        <v>0.51</v>
      </c>
    </row>
    <row r="41" spans="2:4" ht="13.5" thickBot="1" x14ac:dyDescent="0.25">
      <c r="B41" s="112">
        <f t="shared" si="0"/>
        <v>148.0001</v>
      </c>
      <c r="C41" s="115">
        <v>99999</v>
      </c>
      <c r="D41" s="110">
        <v>0.5</v>
      </c>
    </row>
  </sheetData>
  <customSheetViews>
    <customSheetView guid="{3D0BF824-B70B-411D-8F8F-CCBEF08DF0BD}" state="hidden">
      <selection activeCell="E36" sqref="E36"/>
      <pageMargins left="0.511811024" right="0.511811024" top="0.78740157499999996" bottom="0.78740157499999996" header="0.31496062000000002" footer="0.31496062000000002"/>
    </customSheetView>
  </customSheetView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4"/>
  <dimension ref="A1:B14"/>
  <sheetViews>
    <sheetView workbookViewId="0">
      <selection activeCell="A9" sqref="A9"/>
    </sheetView>
  </sheetViews>
  <sheetFormatPr defaultRowHeight="12.75" x14ac:dyDescent="0.2"/>
  <cols>
    <col min="1" max="1" width="36.85546875" bestFit="1" customWidth="1"/>
  </cols>
  <sheetData>
    <row r="1" spans="1:2" x14ac:dyDescent="0.2">
      <c r="A1" t="s">
        <v>105</v>
      </c>
      <c r="B1" t="s">
        <v>211</v>
      </c>
    </row>
    <row r="2" spans="1:2" x14ac:dyDescent="0.2">
      <c r="A2" s="51" t="s">
        <v>68</v>
      </c>
      <c r="B2">
        <v>0.2</v>
      </c>
    </row>
    <row r="3" spans="1:2" x14ac:dyDescent="0.2">
      <c r="A3" s="51" t="s">
        <v>1748</v>
      </c>
      <c r="B3">
        <v>0.2</v>
      </c>
    </row>
    <row r="4" spans="1:2" x14ac:dyDescent="0.2">
      <c r="A4" s="51" t="s">
        <v>115</v>
      </c>
      <c r="B4">
        <v>0.51</v>
      </c>
    </row>
    <row r="5" spans="1:2" x14ac:dyDescent="0.2">
      <c r="A5" s="51" t="s">
        <v>116</v>
      </c>
      <c r="B5">
        <v>0.42</v>
      </c>
    </row>
    <row r="6" spans="1:2" x14ac:dyDescent="0.2">
      <c r="A6" s="51" t="s">
        <v>117</v>
      </c>
      <c r="B6">
        <v>1</v>
      </c>
    </row>
    <row r="7" spans="1:2" x14ac:dyDescent="0.2">
      <c r="A7" s="51" t="s">
        <v>1837</v>
      </c>
      <c r="B7">
        <v>0.32</v>
      </c>
    </row>
    <row r="8" spans="1:2" x14ac:dyDescent="0.2">
      <c r="A8" s="52" t="s">
        <v>1586</v>
      </c>
      <c r="B8">
        <v>0</v>
      </c>
    </row>
    <row r="9" spans="1:2" x14ac:dyDescent="0.2">
      <c r="A9" s="51" t="s">
        <v>119</v>
      </c>
      <c r="B9">
        <v>0.42</v>
      </c>
    </row>
    <row r="10" spans="1:2" x14ac:dyDescent="0.2">
      <c r="A10" s="51" t="s">
        <v>120</v>
      </c>
      <c r="B10">
        <v>0.42</v>
      </c>
    </row>
    <row r="11" spans="1:2" x14ac:dyDescent="0.2">
      <c r="A11" s="52" t="s">
        <v>121</v>
      </c>
      <c r="B11">
        <v>0.42</v>
      </c>
    </row>
    <row r="12" spans="1:2" x14ac:dyDescent="0.2">
      <c r="A12" s="52" t="s">
        <v>122</v>
      </c>
      <c r="B12">
        <v>1</v>
      </c>
    </row>
    <row r="13" spans="1:2" x14ac:dyDescent="0.2">
      <c r="A13" s="51" t="s">
        <v>123</v>
      </c>
      <c r="B13">
        <v>0.39</v>
      </c>
    </row>
    <row r="14" spans="1:2" x14ac:dyDescent="0.2">
      <c r="A14" s="51" t="s">
        <v>69</v>
      </c>
      <c r="B14">
        <v>1</v>
      </c>
    </row>
  </sheetData>
  <customSheetViews>
    <customSheetView guid="{3D0BF824-B70B-411D-8F8F-CCBEF08DF0BD}" state="hidden">
      <selection activeCell="A4" sqref="A4"/>
      <pageMargins left="0.511811024" right="0.511811024" top="0.78740157499999996" bottom="0.78740157499999996" header="0.31496062000000002" footer="0.31496062000000002"/>
    </customSheetView>
  </customSheetView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5"/>
  <dimension ref="A1:IR344"/>
  <sheetViews>
    <sheetView zoomScale="70" zoomScaleNormal="70" workbookViewId="0">
      <selection activeCell="T17" sqref="T17"/>
    </sheetView>
  </sheetViews>
  <sheetFormatPr defaultRowHeight="12.75" x14ac:dyDescent="0.2"/>
  <cols>
    <col min="1" max="1" width="20.85546875" bestFit="1" customWidth="1"/>
    <col min="2" max="2" width="5" style="88" bestFit="1" customWidth="1"/>
    <col min="5" max="5" width="6.42578125" style="88" customWidth="1"/>
    <col min="8" max="8" width="7.140625" style="88" customWidth="1"/>
    <col min="11" max="11" width="5.5703125" style="88" bestFit="1" customWidth="1"/>
    <col min="14" max="14" width="6.5703125" customWidth="1"/>
    <col min="41" max="41" width="1.7109375" customWidth="1"/>
    <col min="42" max="42" width="10.28515625" customWidth="1"/>
    <col min="43" max="43" width="8.7109375" customWidth="1"/>
    <col min="45" max="45" width="10.42578125" bestFit="1" customWidth="1"/>
    <col min="49" max="49" width="10.42578125" bestFit="1" customWidth="1"/>
    <col min="52" max="52" width="9.140625" style="98"/>
    <col min="54" max="54" width="9.85546875" customWidth="1"/>
    <col min="57" max="58" width="12.5703125" customWidth="1"/>
    <col min="62" max="62" width="9.140625" style="179"/>
    <col min="67" max="67" width="10.42578125" bestFit="1" customWidth="1"/>
    <col min="68" max="68" width="12.28515625" bestFit="1" customWidth="1"/>
    <col min="69" max="69" width="19.85546875" customWidth="1"/>
    <col min="71" max="71" width="10.7109375" customWidth="1"/>
    <col min="79" max="79" width="10.7109375" customWidth="1"/>
    <col min="80" max="80" width="10.28515625" style="88" customWidth="1"/>
    <col min="81" max="81" width="10.28515625" style="98" customWidth="1"/>
    <col min="82" max="82" width="9.42578125" style="300" bestFit="1" customWidth="1"/>
    <col min="84" max="84" width="8.7109375" bestFit="1" customWidth="1"/>
    <col min="85" max="85" width="9.5703125" style="88" customWidth="1"/>
    <col min="86" max="87" width="8.7109375" bestFit="1" customWidth="1"/>
    <col min="88" max="88" width="8.7109375" customWidth="1"/>
    <col min="89" max="89" width="15.5703125" bestFit="1" customWidth="1"/>
    <col min="90" max="90" width="8.7109375" customWidth="1"/>
    <col min="91" max="91" width="8.85546875" customWidth="1"/>
    <col min="92" max="119" width="8.7109375" customWidth="1"/>
    <col min="120" max="123" width="8.7109375" style="292" customWidth="1"/>
    <col min="124" max="124" width="4.85546875" style="88" bestFit="1" customWidth="1"/>
    <col min="126" max="126" width="15.5703125" style="88" bestFit="1" customWidth="1"/>
    <col min="127" max="128" width="9.140625" style="98"/>
    <col min="129" max="129" width="9.5703125" style="88" customWidth="1"/>
    <col min="132" max="132" width="7.140625" style="88" customWidth="1"/>
    <col min="133" max="134" width="4.5703125" bestFit="1" customWidth="1"/>
    <col min="135" max="135" width="5.42578125" customWidth="1"/>
    <col min="136" max="136" width="4.5703125" bestFit="1" customWidth="1"/>
    <col min="137" max="137" width="5.140625" bestFit="1" customWidth="1"/>
    <col min="138" max="138" width="5.5703125" bestFit="1" customWidth="1"/>
    <col min="141" max="141" width="7.140625" customWidth="1"/>
    <col min="143" max="147" width="4.5703125" bestFit="1" customWidth="1"/>
    <col min="148" max="148" width="9.7109375" customWidth="1"/>
    <col min="149" max="149" width="7.28515625" bestFit="1" customWidth="1"/>
    <col min="150" max="150" width="6" bestFit="1" customWidth="1"/>
    <col min="151" max="151" width="4.5703125" bestFit="1" customWidth="1"/>
    <col min="153" max="154" width="5.5703125" bestFit="1" customWidth="1"/>
    <col min="155" max="156" width="6" bestFit="1" customWidth="1"/>
    <col min="157" max="158" width="4.5703125" bestFit="1" customWidth="1"/>
    <col min="159" max="159" width="5.5703125" bestFit="1" customWidth="1"/>
  </cols>
  <sheetData>
    <row r="1" spans="1:252" ht="12.75" customHeight="1" thickBot="1" x14ac:dyDescent="0.25">
      <c r="A1" s="676" t="s">
        <v>136</v>
      </c>
      <c r="B1" s="673">
        <f>IF(OR(C1=$DX$1,C1="Flat"),1,0)</f>
        <v>0</v>
      </c>
      <c r="C1" s="529" t="str">
        <f>IF(RELAÇÃO_DE_CARGA!C2="","Vazio",IF(RELAÇÃO_DE_CARGA!C2="Flat","Residência",RELAÇÃO_DE_CARGA!C2))</f>
        <v>Vazio</v>
      </c>
      <c r="D1" s="530"/>
      <c r="E1" s="673">
        <f>IF(OR(F1=$DX$1,F1="Flat"),1,0)</f>
        <v>0</v>
      </c>
      <c r="F1" s="529" t="str">
        <f>IF(RELAÇÃO_DE_CARGA!F2="","Vazio",IF(RELAÇÃO_DE_CARGA!F2="Flat","Residência",RELAÇÃO_DE_CARGA!F2))</f>
        <v>Vazio</v>
      </c>
      <c r="G1" s="530"/>
      <c r="H1" s="673">
        <f>IF(OR(I1=$DX$1,I1="Flat"),1,0)</f>
        <v>0</v>
      </c>
      <c r="I1" s="529" t="str">
        <f>IF(RELAÇÃO_DE_CARGA!I2="","Vazio",IF(RELAÇÃO_DE_CARGA!I2="Flat","Residência",RELAÇÃO_DE_CARGA!I2))</f>
        <v>Vazio</v>
      </c>
      <c r="J1" s="530"/>
      <c r="K1" s="673">
        <f>IF(OR(L1=$DX$1,L1="Flat"),1,0)</f>
        <v>0</v>
      </c>
      <c r="L1" s="529" t="str">
        <f>IF(RELAÇÃO_DE_CARGA!L2="","Vazio",IF(RELAÇÃO_DE_CARGA!L2="Flat","Residência",RELAÇÃO_DE_CARGA!L2))</f>
        <v>Vazio</v>
      </c>
      <c r="M1" s="530"/>
      <c r="N1" s="673">
        <f>IF(OR(O1=$DX$1,O1="Flat"),1,0)</f>
        <v>0</v>
      </c>
      <c r="O1" s="529" t="str">
        <f>IF(RELAÇÃO_DE_CARGA!O2="","Vazio",IF(RELAÇÃO_DE_CARGA!O2="Flat","Residência",RELAÇÃO_DE_CARGA!O2))</f>
        <v>Vazio</v>
      </c>
      <c r="P1" s="530"/>
      <c r="Q1" s="673">
        <f>IF(OR(R1=$DX$1,R1="Flat"),1,0)</f>
        <v>0</v>
      </c>
      <c r="R1" s="529" t="str">
        <f>IF(RELAÇÃO_DE_CARGA!R2="","Vazio",IF(RELAÇÃO_DE_CARGA!R2="Flat","Residência",RELAÇÃO_DE_CARGA!R2))</f>
        <v>Vazio</v>
      </c>
      <c r="S1" s="530"/>
      <c r="T1" s="673">
        <f>IF(OR(U1=$DX$1,U1="Flat"),1,0)</f>
        <v>0</v>
      </c>
      <c r="U1" s="529" t="str">
        <f>IF(RELAÇÃO_DE_CARGA!U2="","Vazio",IF(RELAÇÃO_DE_CARGA!U2="Flat","Residência",RELAÇÃO_DE_CARGA!U2))</f>
        <v>Vazio</v>
      </c>
      <c r="V1" s="530"/>
      <c r="W1" s="673">
        <f>IF(OR(X1=$DX$1,X1="Flat"),1,0)</f>
        <v>0</v>
      </c>
      <c r="X1" s="529" t="str">
        <f>IF(RELAÇÃO_DE_CARGA!X2="","Vazio",IF(RELAÇÃO_DE_CARGA!X2="Flat","Residência",RELAÇÃO_DE_CARGA!X2))</f>
        <v>Vazio</v>
      </c>
      <c r="Y1" s="530"/>
      <c r="Z1" s="673">
        <f>IF(OR(AA1=$DX$1,AA1="Flat"),1,0)</f>
        <v>0</v>
      </c>
      <c r="AA1" s="529" t="str">
        <f>IF(RELAÇÃO_DE_CARGA!AA2="","Vazio",IF(RELAÇÃO_DE_CARGA!AA2="Flat","Residência",RELAÇÃO_DE_CARGA!AA2))</f>
        <v>Vazio</v>
      </c>
      <c r="AB1" s="530"/>
      <c r="AC1" s="673">
        <f>IF(OR(AD1=$DX$1,AD1="Flat"),1,0)</f>
        <v>0</v>
      </c>
      <c r="AD1" s="529" t="str">
        <f>IF(RELAÇÃO_DE_CARGA!AD2="","Vazio",IF(RELAÇÃO_DE_CARGA!AD2="Flat","Residência",RELAÇÃO_DE_CARGA!AD2))</f>
        <v>Vazio</v>
      </c>
      <c r="AE1" s="530"/>
      <c r="AF1" s="673">
        <f>IF(OR(AG1=$DX$1,AG1="Flat"),1,0)</f>
        <v>0</v>
      </c>
      <c r="AG1" s="529" t="str">
        <f>IF(RELAÇÃO_DE_CARGA!AG2="","Vazio",IF(RELAÇÃO_DE_CARGA!AG2="Flat","Residência",RELAÇÃO_DE_CARGA!AG2))</f>
        <v>Vazio</v>
      </c>
      <c r="AH1" s="530"/>
      <c r="AI1" s="673">
        <f>IF(OR(AJ1=$DX$1,AJ1="Flat"),1,0)</f>
        <v>0</v>
      </c>
      <c r="AJ1" s="529" t="str">
        <f>IF(RELAÇÃO_DE_CARGA!AJ2="","Vazio",IF(RELAÇÃO_DE_CARGA!AJ2="Flat","Residência",RELAÇÃO_DE_CARGA!AJ2))</f>
        <v>Vazio</v>
      </c>
      <c r="AK1" s="530"/>
      <c r="AL1" s="190"/>
      <c r="AM1" s="190"/>
      <c r="AN1" s="190"/>
      <c r="AO1" s="190"/>
      <c r="AP1" s="190"/>
      <c r="AQ1" s="51" t="s">
        <v>170</v>
      </c>
      <c r="AR1" s="677" t="s">
        <v>130</v>
      </c>
      <c r="AS1" s="677"/>
      <c r="AT1" s="677"/>
      <c r="AU1" s="677"/>
      <c r="AV1" s="677"/>
      <c r="AW1" s="677"/>
      <c r="AX1" s="677"/>
      <c r="AY1" s="715"/>
      <c r="AZ1" s="70"/>
      <c r="BA1" s="70"/>
      <c r="BB1" s="70"/>
      <c r="BC1" s="70"/>
      <c r="BD1" s="70"/>
      <c r="BE1" s="70"/>
      <c r="BF1" s="70"/>
      <c r="BG1" s="70"/>
      <c r="BH1" s="70"/>
      <c r="BI1" s="70"/>
      <c r="BJ1" s="70"/>
      <c r="BK1" s="70"/>
      <c r="BL1" s="70"/>
      <c r="BM1" s="70"/>
      <c r="BN1" s="70"/>
      <c r="BO1" s="70"/>
      <c r="BP1" s="51"/>
      <c r="BQ1" s="697" t="s">
        <v>114</v>
      </c>
      <c r="BR1" s="697"/>
      <c r="BS1" s="697"/>
      <c r="BT1" s="697"/>
      <c r="BU1" s="697"/>
      <c r="BV1" s="270"/>
      <c r="BW1" s="270"/>
      <c r="BX1" s="270"/>
      <c r="BY1" s="270"/>
      <c r="BZ1" s="270"/>
      <c r="CA1" s="270"/>
      <c r="CB1" s="270"/>
      <c r="CC1" s="270"/>
      <c r="CD1" s="285"/>
      <c r="CE1" s="697" t="s">
        <v>114</v>
      </c>
      <c r="CF1" s="697"/>
      <c r="CG1" s="697"/>
      <c r="CH1" s="697"/>
      <c r="CI1" s="697"/>
      <c r="CJ1" s="270"/>
      <c r="CK1" s="676" t="s">
        <v>1561</v>
      </c>
      <c r="CL1" s="673" t="s">
        <v>102</v>
      </c>
      <c r="CM1" s="698" t="s">
        <v>68</v>
      </c>
      <c r="CN1" s="699"/>
      <c r="CO1" s="708" t="s">
        <v>102</v>
      </c>
      <c r="CP1" s="685" t="s">
        <v>115</v>
      </c>
      <c r="CQ1" s="686"/>
      <c r="CR1" s="708" t="s">
        <v>102</v>
      </c>
      <c r="CS1" s="685" t="s">
        <v>116</v>
      </c>
      <c r="CT1" s="686"/>
      <c r="CU1" s="673" t="s">
        <v>102</v>
      </c>
      <c r="CV1" s="685" t="s">
        <v>117</v>
      </c>
      <c r="CW1" s="686"/>
      <c r="CX1" s="673" t="s">
        <v>102</v>
      </c>
      <c r="CY1" s="685" t="s">
        <v>1837</v>
      </c>
      <c r="CZ1" s="686"/>
      <c r="DA1" s="673" t="s">
        <v>102</v>
      </c>
      <c r="DB1" s="685" t="s">
        <v>119</v>
      </c>
      <c r="DC1" s="686"/>
      <c r="DD1" s="673" t="s">
        <v>102</v>
      </c>
      <c r="DE1" s="685" t="s">
        <v>120</v>
      </c>
      <c r="DF1" s="686"/>
      <c r="DG1" s="673" t="s">
        <v>102</v>
      </c>
      <c r="DH1" s="685" t="s">
        <v>121</v>
      </c>
      <c r="DI1" s="686"/>
      <c r="DJ1" s="673" t="s">
        <v>102</v>
      </c>
      <c r="DK1" s="698" t="s">
        <v>122</v>
      </c>
      <c r="DL1" s="699"/>
      <c r="DM1" s="673" t="s">
        <v>102</v>
      </c>
      <c r="DN1" s="685" t="s">
        <v>123</v>
      </c>
      <c r="DO1" s="686"/>
      <c r="DP1" s="673" t="s">
        <v>102</v>
      </c>
      <c r="DQ1" s="685" t="s">
        <v>69</v>
      </c>
      <c r="DR1" s="686"/>
      <c r="DS1" s="288"/>
      <c r="DT1" s="51"/>
      <c r="DV1" s="676" t="s">
        <v>1556</v>
      </c>
      <c r="DW1" s="673" t="s">
        <v>102</v>
      </c>
      <c r="DX1" s="698" t="s">
        <v>68</v>
      </c>
      <c r="DY1" s="699"/>
      <c r="DZ1" s="708" t="s">
        <v>102</v>
      </c>
      <c r="EA1" s="685" t="s">
        <v>115</v>
      </c>
      <c r="EB1" s="686"/>
      <c r="EC1" s="708" t="s">
        <v>102</v>
      </c>
      <c r="ED1" s="685" t="s">
        <v>116</v>
      </c>
      <c r="EE1" s="686"/>
      <c r="EF1" s="673" t="s">
        <v>102</v>
      </c>
      <c r="EG1" s="685" t="s">
        <v>117</v>
      </c>
      <c r="EH1" s="686"/>
      <c r="EI1" s="673" t="s">
        <v>102</v>
      </c>
      <c r="EJ1" s="685" t="s">
        <v>1837</v>
      </c>
      <c r="EK1" s="686"/>
      <c r="EL1" s="673" t="s">
        <v>102</v>
      </c>
      <c r="EM1" s="685" t="s">
        <v>119</v>
      </c>
      <c r="EN1" s="686"/>
      <c r="EO1" s="673" t="s">
        <v>102</v>
      </c>
      <c r="EP1" s="685" t="s">
        <v>120</v>
      </c>
      <c r="EQ1" s="686"/>
      <c r="ER1" s="673" t="s">
        <v>102</v>
      </c>
      <c r="ES1" s="685" t="s">
        <v>121</v>
      </c>
      <c r="ET1" s="686"/>
      <c r="EU1" s="673" t="s">
        <v>102</v>
      </c>
      <c r="EV1" s="698" t="s">
        <v>122</v>
      </c>
      <c r="EW1" s="699"/>
      <c r="EX1" s="673" t="s">
        <v>102</v>
      </c>
      <c r="EY1" s="685" t="s">
        <v>123</v>
      </c>
      <c r="EZ1" s="686"/>
      <c r="FA1" s="673" t="s">
        <v>102</v>
      </c>
      <c r="FB1" s="685" t="s">
        <v>69</v>
      </c>
      <c r="FC1" s="686"/>
      <c r="FE1" s="51"/>
      <c r="FF1" s="697"/>
      <c r="FG1" s="697"/>
      <c r="FH1" s="697"/>
      <c r="FI1" s="697"/>
      <c r="FJ1" s="697"/>
      <c r="FK1" s="51"/>
      <c r="FM1" s="676" t="s">
        <v>1562</v>
      </c>
      <c r="FN1" s="673" t="s">
        <v>102</v>
      </c>
      <c r="FO1" s="698" t="s">
        <v>68</v>
      </c>
      <c r="FP1" s="699"/>
      <c r="FQ1" s="708" t="s">
        <v>102</v>
      </c>
      <c r="FR1" s="685" t="s">
        <v>115</v>
      </c>
      <c r="FS1" s="686"/>
      <c r="FT1" s="708" t="s">
        <v>102</v>
      </c>
      <c r="FU1" s="685" t="s">
        <v>116</v>
      </c>
      <c r="FV1" s="686"/>
      <c r="FW1" s="673" t="s">
        <v>102</v>
      </c>
      <c r="FX1" s="685" t="s">
        <v>117</v>
      </c>
      <c r="FY1" s="686"/>
      <c r="FZ1" s="673" t="s">
        <v>102</v>
      </c>
      <c r="GA1" s="685" t="s">
        <v>1837</v>
      </c>
      <c r="GB1" s="686"/>
      <c r="GC1" s="673" t="s">
        <v>102</v>
      </c>
      <c r="GD1" s="685" t="s">
        <v>119</v>
      </c>
      <c r="GE1" s="686"/>
      <c r="GF1" s="673" t="s">
        <v>102</v>
      </c>
      <c r="GG1" s="685" t="s">
        <v>120</v>
      </c>
      <c r="GH1" s="686"/>
      <c r="GI1" s="673" t="s">
        <v>102</v>
      </c>
      <c r="GJ1" s="685" t="s">
        <v>121</v>
      </c>
      <c r="GK1" s="686"/>
      <c r="GL1" s="673" t="s">
        <v>102</v>
      </c>
      <c r="GM1" s="698" t="s">
        <v>122</v>
      </c>
      <c r="GN1" s="699"/>
      <c r="GO1" s="673" t="s">
        <v>102</v>
      </c>
      <c r="GP1" s="685" t="s">
        <v>123</v>
      </c>
      <c r="GQ1" s="686"/>
      <c r="GR1" s="673" t="s">
        <v>102</v>
      </c>
      <c r="GS1" s="685" t="s">
        <v>69</v>
      </c>
      <c r="GT1" s="686"/>
      <c r="GV1" s="51"/>
      <c r="GW1" s="697"/>
      <c r="GX1" s="697"/>
      <c r="GY1" s="697"/>
      <c r="GZ1" s="697"/>
      <c r="HA1" s="697"/>
      <c r="HB1" s="51"/>
      <c r="HD1" s="676" t="s">
        <v>1563</v>
      </c>
      <c r="HE1" s="673" t="s">
        <v>102</v>
      </c>
      <c r="HF1" s="698" t="s">
        <v>68</v>
      </c>
      <c r="HG1" s="699"/>
      <c r="HH1" s="708" t="s">
        <v>102</v>
      </c>
      <c r="HI1" s="685" t="s">
        <v>115</v>
      </c>
      <c r="HJ1" s="686"/>
      <c r="HK1" s="708" t="s">
        <v>102</v>
      </c>
      <c r="HL1" s="685" t="s">
        <v>116</v>
      </c>
      <c r="HM1" s="686"/>
      <c r="HN1" s="673" t="s">
        <v>102</v>
      </c>
      <c r="HO1" s="685" t="s">
        <v>117</v>
      </c>
      <c r="HP1" s="686"/>
      <c r="HQ1" s="673" t="s">
        <v>102</v>
      </c>
      <c r="HR1" s="685" t="s">
        <v>1837</v>
      </c>
      <c r="HS1" s="686"/>
      <c r="HT1" s="673" t="s">
        <v>102</v>
      </c>
      <c r="HU1" s="685" t="s">
        <v>119</v>
      </c>
      <c r="HV1" s="686"/>
      <c r="HW1" s="673" t="s">
        <v>102</v>
      </c>
      <c r="HX1" s="685" t="s">
        <v>120</v>
      </c>
      <c r="HY1" s="686"/>
      <c r="HZ1" s="673" t="s">
        <v>102</v>
      </c>
      <c r="IA1" s="685" t="s">
        <v>121</v>
      </c>
      <c r="IB1" s="686"/>
      <c r="IC1" s="673" t="s">
        <v>102</v>
      </c>
      <c r="ID1" s="698" t="s">
        <v>122</v>
      </c>
      <c r="IE1" s="699"/>
      <c r="IF1" s="673" t="s">
        <v>102</v>
      </c>
      <c r="IG1" s="685" t="s">
        <v>123</v>
      </c>
      <c r="IH1" s="686"/>
      <c r="II1" s="673" t="s">
        <v>102</v>
      </c>
      <c r="IJ1" s="685" t="s">
        <v>69</v>
      </c>
      <c r="IK1" s="686"/>
      <c r="IM1" s="51"/>
      <c r="IN1" s="697"/>
      <c r="IO1" s="697"/>
      <c r="IP1" s="697"/>
      <c r="IQ1" s="697"/>
      <c r="IR1" s="697"/>
    </row>
    <row r="2" spans="1:252" ht="30" customHeight="1" thickBot="1" x14ac:dyDescent="0.35">
      <c r="A2" s="677"/>
      <c r="B2" s="674"/>
      <c r="C2" s="531"/>
      <c r="D2" s="532"/>
      <c r="E2" s="674"/>
      <c r="F2" s="531"/>
      <c r="G2" s="532"/>
      <c r="H2" s="674"/>
      <c r="I2" s="531"/>
      <c r="J2" s="532"/>
      <c r="K2" s="674"/>
      <c r="L2" s="531"/>
      <c r="M2" s="532"/>
      <c r="N2" s="674"/>
      <c r="O2" s="531"/>
      <c r="P2" s="532"/>
      <c r="Q2" s="674"/>
      <c r="R2" s="531"/>
      <c r="S2" s="532"/>
      <c r="T2" s="674"/>
      <c r="U2" s="531"/>
      <c r="V2" s="532"/>
      <c r="W2" s="674"/>
      <c r="X2" s="531"/>
      <c r="Y2" s="532"/>
      <c r="Z2" s="674"/>
      <c r="AA2" s="531"/>
      <c r="AB2" s="532"/>
      <c r="AC2" s="674"/>
      <c r="AD2" s="531"/>
      <c r="AE2" s="532"/>
      <c r="AF2" s="674"/>
      <c r="AG2" s="531"/>
      <c r="AH2" s="532"/>
      <c r="AI2" s="674"/>
      <c r="AJ2" s="531"/>
      <c r="AK2" s="532"/>
      <c r="AL2" s="190"/>
      <c r="AM2" s="190"/>
      <c r="AN2" s="190"/>
      <c r="AO2" s="190"/>
      <c r="AP2" s="190"/>
      <c r="AQ2" s="70"/>
      <c r="AR2" s="706" t="s">
        <v>31</v>
      </c>
      <c r="AS2" s="707"/>
      <c r="AT2" s="683" t="s">
        <v>32</v>
      </c>
      <c r="AU2" s="684"/>
      <c r="AV2" s="683" t="s">
        <v>33</v>
      </c>
      <c r="AW2" s="684"/>
      <c r="AX2" s="683" t="s">
        <v>34</v>
      </c>
      <c r="AY2" s="684"/>
      <c r="AZ2" s="706" t="s">
        <v>1544</v>
      </c>
      <c r="BA2" s="707"/>
      <c r="BB2" s="683" t="s">
        <v>35</v>
      </c>
      <c r="BC2" s="684"/>
      <c r="BD2" s="683" t="s">
        <v>36</v>
      </c>
      <c r="BE2" s="684"/>
      <c r="BF2" s="683" t="s">
        <v>37</v>
      </c>
      <c r="BG2" s="684"/>
      <c r="BH2" s="706" t="s">
        <v>64</v>
      </c>
      <c r="BI2" s="707"/>
      <c r="BJ2" s="683" t="s">
        <v>65</v>
      </c>
      <c r="BK2" s="684"/>
      <c r="BL2" s="683" t="s">
        <v>66</v>
      </c>
      <c r="BM2" s="684"/>
      <c r="BN2" s="683" t="s">
        <v>67</v>
      </c>
      <c r="BO2" s="684"/>
      <c r="BP2" s="51"/>
      <c r="BQ2" s="716" t="s">
        <v>104</v>
      </c>
      <c r="BR2" s="716"/>
      <c r="BS2" s="716"/>
      <c r="BT2" s="716"/>
      <c r="BU2" s="716"/>
      <c r="BV2" s="716"/>
      <c r="BW2" s="716"/>
      <c r="BX2" s="716"/>
      <c r="BY2" s="716"/>
      <c r="BZ2" s="716"/>
      <c r="CA2" s="716"/>
      <c r="CB2" s="716"/>
      <c r="CC2" s="716"/>
      <c r="CD2" s="286"/>
      <c r="CE2" s="696" t="s">
        <v>1555</v>
      </c>
      <c r="CF2" s="696"/>
      <c r="CG2" s="696"/>
      <c r="CH2" s="696"/>
      <c r="CI2" s="696"/>
      <c r="CJ2">
        <f>VLOOKUP(SUM(B1,E1),SIMULTANEIDADE!B3:D41,3,TRUE)</f>
        <v>1</v>
      </c>
      <c r="CK2" s="677"/>
      <c r="CL2" s="674"/>
      <c r="CM2" s="700"/>
      <c r="CN2" s="701"/>
      <c r="CO2" s="709"/>
      <c r="CP2" s="687"/>
      <c r="CQ2" s="688"/>
      <c r="CR2" s="709"/>
      <c r="CS2" s="687"/>
      <c r="CT2" s="688"/>
      <c r="CU2" s="674"/>
      <c r="CV2" s="687"/>
      <c r="CW2" s="688"/>
      <c r="CX2" s="674"/>
      <c r="CY2" s="687"/>
      <c r="CZ2" s="688"/>
      <c r="DA2" s="674"/>
      <c r="DB2" s="687"/>
      <c r="DC2" s="688"/>
      <c r="DD2" s="674"/>
      <c r="DE2" s="687"/>
      <c r="DF2" s="688"/>
      <c r="DG2" s="674"/>
      <c r="DH2" s="687"/>
      <c r="DI2" s="688"/>
      <c r="DJ2" s="674"/>
      <c r="DK2" s="700"/>
      <c r="DL2" s="701"/>
      <c r="DM2" s="674"/>
      <c r="DN2" s="687"/>
      <c r="DO2" s="688"/>
      <c r="DP2" s="674"/>
      <c r="DQ2" s="687"/>
      <c r="DR2" s="688"/>
      <c r="DS2" s="289"/>
      <c r="DT2" s="51"/>
      <c r="DU2">
        <f>VLOOKUP(SUM($B$1,$E$1,$H$1,$K$1),SIMULTANEIDADE!$B$3:$D$41,3,TRUE)</f>
        <v>1</v>
      </c>
      <c r="DV2" s="677"/>
      <c r="DW2" s="674"/>
      <c r="DX2" s="700"/>
      <c r="DY2" s="701"/>
      <c r="DZ2" s="709"/>
      <c r="EA2" s="687"/>
      <c r="EB2" s="688"/>
      <c r="EC2" s="709"/>
      <c r="ED2" s="687"/>
      <c r="EE2" s="688"/>
      <c r="EF2" s="674"/>
      <c r="EG2" s="687"/>
      <c r="EH2" s="688"/>
      <c r="EI2" s="674"/>
      <c r="EJ2" s="687"/>
      <c r="EK2" s="688"/>
      <c r="EL2" s="674"/>
      <c r="EM2" s="687"/>
      <c r="EN2" s="688"/>
      <c r="EO2" s="674"/>
      <c r="EP2" s="687"/>
      <c r="EQ2" s="688"/>
      <c r="ER2" s="674"/>
      <c r="ES2" s="687"/>
      <c r="ET2" s="688"/>
      <c r="EU2" s="674"/>
      <c r="EV2" s="700"/>
      <c r="EW2" s="701"/>
      <c r="EX2" s="674"/>
      <c r="EY2" s="687"/>
      <c r="EZ2" s="688"/>
      <c r="FA2" s="674"/>
      <c r="FB2" s="687"/>
      <c r="FC2" s="688"/>
      <c r="FD2" s="190"/>
      <c r="FF2" s="696"/>
      <c r="FG2" s="696"/>
      <c r="FH2" s="696"/>
      <c r="FI2" s="696"/>
      <c r="FJ2" s="696"/>
      <c r="FK2" s="51"/>
      <c r="FL2">
        <v>1</v>
      </c>
      <c r="FM2" s="677"/>
      <c r="FN2" s="674"/>
      <c r="FO2" s="700"/>
      <c r="FP2" s="701"/>
      <c r="FQ2" s="709"/>
      <c r="FR2" s="687"/>
      <c r="FS2" s="688"/>
      <c r="FT2" s="709"/>
      <c r="FU2" s="687"/>
      <c r="FV2" s="688"/>
      <c r="FW2" s="674"/>
      <c r="FX2" s="687"/>
      <c r="FY2" s="688"/>
      <c r="FZ2" s="674"/>
      <c r="GA2" s="687"/>
      <c r="GB2" s="688"/>
      <c r="GC2" s="674"/>
      <c r="GD2" s="687"/>
      <c r="GE2" s="688"/>
      <c r="GF2" s="674"/>
      <c r="GG2" s="687"/>
      <c r="GH2" s="688"/>
      <c r="GI2" s="674"/>
      <c r="GJ2" s="687"/>
      <c r="GK2" s="688"/>
      <c r="GL2" s="674"/>
      <c r="GM2" s="700"/>
      <c r="GN2" s="701"/>
      <c r="GO2" s="674"/>
      <c r="GP2" s="687"/>
      <c r="GQ2" s="688"/>
      <c r="GR2" s="674"/>
      <c r="GS2" s="687"/>
      <c r="GT2" s="688"/>
      <c r="GU2" s="190"/>
      <c r="GW2" s="696"/>
      <c r="GX2" s="696"/>
      <c r="GY2" s="696"/>
      <c r="GZ2" s="696"/>
      <c r="HA2" s="696"/>
      <c r="HB2" s="51"/>
      <c r="HC2">
        <v>1</v>
      </c>
      <c r="HD2" s="677"/>
      <c r="HE2" s="674"/>
      <c r="HF2" s="700"/>
      <c r="HG2" s="701"/>
      <c r="HH2" s="709"/>
      <c r="HI2" s="687"/>
      <c r="HJ2" s="688"/>
      <c r="HK2" s="709"/>
      <c r="HL2" s="687"/>
      <c r="HM2" s="688"/>
      <c r="HN2" s="674"/>
      <c r="HO2" s="687"/>
      <c r="HP2" s="688"/>
      <c r="HQ2" s="674"/>
      <c r="HR2" s="687"/>
      <c r="HS2" s="688"/>
      <c r="HT2" s="674"/>
      <c r="HU2" s="687"/>
      <c r="HV2" s="688"/>
      <c r="HW2" s="674"/>
      <c r="HX2" s="687"/>
      <c r="HY2" s="688"/>
      <c r="HZ2" s="674"/>
      <c r="IA2" s="687"/>
      <c r="IB2" s="688"/>
      <c r="IC2" s="674"/>
      <c r="ID2" s="700"/>
      <c r="IE2" s="701"/>
      <c r="IF2" s="674"/>
      <c r="IG2" s="687"/>
      <c r="IH2" s="688"/>
      <c r="II2" s="674"/>
      <c r="IJ2" s="687"/>
      <c r="IK2" s="688"/>
      <c r="IL2" s="190"/>
      <c r="IN2" s="696"/>
      <c r="IO2" s="696"/>
      <c r="IP2" s="696"/>
      <c r="IQ2" s="696"/>
      <c r="IR2" s="696"/>
    </row>
    <row r="3" spans="1:252" ht="13.5" customHeight="1" thickBot="1" x14ac:dyDescent="0.25">
      <c r="A3" s="678"/>
      <c r="B3" s="675"/>
      <c r="C3" s="706" t="s">
        <v>31</v>
      </c>
      <c r="D3" s="707"/>
      <c r="E3" s="675"/>
      <c r="F3" s="683" t="s">
        <v>32</v>
      </c>
      <c r="G3" s="684"/>
      <c r="H3" s="675"/>
      <c r="I3" s="683" t="s">
        <v>33</v>
      </c>
      <c r="J3" s="684"/>
      <c r="K3" s="675"/>
      <c r="L3" s="683" t="s">
        <v>34</v>
      </c>
      <c r="M3" s="684"/>
      <c r="N3" s="675"/>
      <c r="O3" s="706" t="s">
        <v>1544</v>
      </c>
      <c r="P3" s="707"/>
      <c r="Q3" s="675"/>
      <c r="R3" s="683" t="s">
        <v>35</v>
      </c>
      <c r="S3" s="684"/>
      <c r="T3" s="675"/>
      <c r="U3" s="683" t="s">
        <v>36</v>
      </c>
      <c r="V3" s="684"/>
      <c r="W3" s="675"/>
      <c r="X3" s="683" t="s">
        <v>37</v>
      </c>
      <c r="Y3" s="684"/>
      <c r="Z3" s="675"/>
      <c r="AA3" s="706" t="s">
        <v>64</v>
      </c>
      <c r="AB3" s="707"/>
      <c r="AC3" s="675"/>
      <c r="AD3" s="683" t="s">
        <v>65</v>
      </c>
      <c r="AE3" s="684"/>
      <c r="AF3" s="675"/>
      <c r="AG3" s="683" t="s">
        <v>66</v>
      </c>
      <c r="AH3" s="684"/>
      <c r="AI3" s="675"/>
      <c r="AJ3" s="683" t="s">
        <v>67</v>
      </c>
      <c r="AK3" s="684"/>
      <c r="AL3" s="191"/>
      <c r="AM3" s="191"/>
      <c r="AN3" s="191"/>
      <c r="AO3" s="191"/>
      <c r="AP3" s="191"/>
      <c r="AQ3" s="98"/>
      <c r="AR3" s="711" t="s">
        <v>103</v>
      </c>
      <c r="AS3" s="711"/>
      <c r="AT3" s="711"/>
      <c r="AU3" s="711"/>
      <c r="AV3" s="711"/>
      <c r="AW3" s="711"/>
      <c r="AX3" s="711"/>
      <c r="AY3" s="711"/>
      <c r="AZ3" s="711" t="s">
        <v>103</v>
      </c>
      <c r="BA3" s="711"/>
      <c r="BB3" s="711"/>
      <c r="BC3" s="711"/>
      <c r="BD3" s="711"/>
      <c r="BE3" s="711"/>
      <c r="BF3" s="711"/>
      <c r="BG3" s="711"/>
      <c r="BH3" s="711" t="s">
        <v>103</v>
      </c>
      <c r="BI3" s="711"/>
      <c r="BJ3" s="711"/>
      <c r="BK3" s="711"/>
      <c r="BL3" s="711"/>
      <c r="BM3" s="711"/>
      <c r="BN3" s="711"/>
      <c r="BO3" s="711"/>
      <c r="BQ3" s="20" t="s">
        <v>105</v>
      </c>
      <c r="BR3" s="20" t="s">
        <v>137</v>
      </c>
      <c r="BS3" s="20" t="s">
        <v>138</v>
      </c>
      <c r="BT3" s="72" t="s">
        <v>139</v>
      </c>
      <c r="BU3" s="72" t="s">
        <v>140</v>
      </c>
      <c r="BV3" s="72">
        <v>5</v>
      </c>
      <c r="BW3" s="72">
        <v>6</v>
      </c>
      <c r="BX3" s="72">
        <v>7</v>
      </c>
      <c r="BY3" s="72">
        <v>8</v>
      </c>
      <c r="BZ3" s="72">
        <v>9</v>
      </c>
      <c r="CA3" s="72">
        <v>10</v>
      </c>
      <c r="CB3" s="72">
        <v>11</v>
      </c>
      <c r="CC3" s="72">
        <v>12</v>
      </c>
      <c r="CD3" s="287"/>
      <c r="CE3" s="173" t="s">
        <v>105</v>
      </c>
      <c r="CF3" s="20" t="s">
        <v>137</v>
      </c>
      <c r="CG3" s="20" t="s">
        <v>138</v>
      </c>
      <c r="CH3" s="72" t="s">
        <v>139</v>
      </c>
      <c r="CI3" s="72" t="s">
        <v>140</v>
      </c>
      <c r="CJ3" s="72"/>
      <c r="CK3" s="678"/>
      <c r="CL3" s="675"/>
      <c r="CM3" s="704"/>
      <c r="CN3" s="705"/>
      <c r="CO3" s="710"/>
      <c r="CP3" s="706"/>
      <c r="CQ3" s="707"/>
      <c r="CR3" s="710"/>
      <c r="CS3" s="683"/>
      <c r="CT3" s="684"/>
      <c r="CU3" s="675"/>
      <c r="CV3" s="683"/>
      <c r="CW3" s="684"/>
      <c r="CX3" s="675"/>
      <c r="CY3" s="683"/>
      <c r="CZ3" s="684"/>
      <c r="DA3" s="675"/>
      <c r="DB3" s="683"/>
      <c r="DC3" s="684"/>
      <c r="DD3" s="675"/>
      <c r="DE3" s="683"/>
      <c r="DF3" s="684"/>
      <c r="DG3" s="675"/>
      <c r="DH3" s="683"/>
      <c r="DI3" s="684"/>
      <c r="DJ3" s="675"/>
      <c r="DK3" s="702"/>
      <c r="DL3" s="703"/>
      <c r="DM3" s="675"/>
      <c r="DN3" s="683"/>
      <c r="DO3" s="684"/>
      <c r="DP3" s="675"/>
      <c r="DQ3" s="683"/>
      <c r="DR3" s="684"/>
      <c r="DS3" s="72"/>
      <c r="DT3"/>
      <c r="DV3" s="678"/>
      <c r="DW3" s="675"/>
      <c r="DX3" s="704"/>
      <c r="DY3" s="705"/>
      <c r="DZ3" s="710"/>
      <c r="EA3" s="706"/>
      <c r="EB3" s="707"/>
      <c r="EC3" s="710"/>
      <c r="ED3" s="683"/>
      <c r="EE3" s="684"/>
      <c r="EF3" s="675"/>
      <c r="EG3" s="683"/>
      <c r="EH3" s="684"/>
      <c r="EI3" s="675"/>
      <c r="EJ3" s="683"/>
      <c r="EK3" s="684"/>
      <c r="EL3" s="675"/>
      <c r="EM3" s="683"/>
      <c r="EN3" s="684"/>
      <c r="EO3" s="675"/>
      <c r="EP3" s="683"/>
      <c r="EQ3" s="684"/>
      <c r="ER3" s="675"/>
      <c r="ES3" s="683"/>
      <c r="ET3" s="684"/>
      <c r="EU3" s="675"/>
      <c r="EV3" s="702"/>
      <c r="EW3" s="703"/>
      <c r="EX3" s="675"/>
      <c r="EY3" s="683"/>
      <c r="EZ3" s="684"/>
      <c r="FA3" s="675"/>
      <c r="FB3" s="683"/>
      <c r="FC3" s="684"/>
      <c r="FD3" s="191"/>
      <c r="FF3" s="20"/>
      <c r="FG3" s="20"/>
      <c r="FH3" s="20"/>
      <c r="FI3" s="72"/>
      <c r="FJ3" s="72"/>
      <c r="FM3" s="678"/>
      <c r="FN3" s="675"/>
      <c r="FO3" s="704"/>
      <c r="FP3" s="705"/>
      <c r="FQ3" s="710"/>
      <c r="FR3" s="706"/>
      <c r="FS3" s="707"/>
      <c r="FT3" s="710"/>
      <c r="FU3" s="683"/>
      <c r="FV3" s="684"/>
      <c r="FW3" s="675"/>
      <c r="FX3" s="683"/>
      <c r="FY3" s="684"/>
      <c r="FZ3" s="675"/>
      <c r="GA3" s="683"/>
      <c r="GB3" s="684"/>
      <c r="GC3" s="675"/>
      <c r="GD3" s="683"/>
      <c r="GE3" s="684"/>
      <c r="GF3" s="675"/>
      <c r="GG3" s="683"/>
      <c r="GH3" s="684"/>
      <c r="GI3" s="675"/>
      <c r="GJ3" s="683"/>
      <c r="GK3" s="684"/>
      <c r="GL3" s="675"/>
      <c r="GM3" s="702"/>
      <c r="GN3" s="703"/>
      <c r="GO3" s="675"/>
      <c r="GP3" s="683"/>
      <c r="GQ3" s="684"/>
      <c r="GR3" s="675"/>
      <c r="GS3" s="683"/>
      <c r="GT3" s="684"/>
      <c r="GU3" s="191"/>
      <c r="GW3" s="20"/>
      <c r="GX3" s="20"/>
      <c r="GY3" s="20"/>
      <c r="GZ3" s="72"/>
      <c r="HA3" s="72"/>
      <c r="HD3" s="678"/>
      <c r="HE3" s="675"/>
      <c r="HF3" s="704"/>
      <c r="HG3" s="705"/>
      <c r="HH3" s="710"/>
      <c r="HI3" s="706"/>
      <c r="HJ3" s="707"/>
      <c r="HK3" s="710"/>
      <c r="HL3" s="683"/>
      <c r="HM3" s="684"/>
      <c r="HN3" s="675"/>
      <c r="HO3" s="683"/>
      <c r="HP3" s="684"/>
      <c r="HQ3" s="675"/>
      <c r="HR3" s="683"/>
      <c r="HS3" s="684"/>
      <c r="HT3" s="675"/>
      <c r="HU3" s="683"/>
      <c r="HV3" s="684"/>
      <c r="HW3" s="675"/>
      <c r="HX3" s="683"/>
      <c r="HY3" s="684"/>
      <c r="HZ3" s="675"/>
      <c r="IA3" s="683"/>
      <c r="IB3" s="684"/>
      <c r="IC3" s="675"/>
      <c r="ID3" s="702"/>
      <c r="IE3" s="703"/>
      <c r="IF3" s="675"/>
      <c r="IG3" s="683"/>
      <c r="IH3" s="684"/>
      <c r="II3" s="675"/>
      <c r="IJ3" s="683"/>
      <c r="IK3" s="684"/>
      <c r="IL3" s="191"/>
      <c r="IN3" s="20"/>
      <c r="IO3" s="20"/>
      <c r="IP3" s="20"/>
      <c r="IQ3" s="72"/>
      <c r="IR3" s="72"/>
    </row>
    <row r="4" spans="1:252" ht="12.75" customHeight="1" x14ac:dyDescent="0.2">
      <c r="A4" s="27" t="str">
        <f>RELAÇÃO_DE_CARGA!A5</f>
        <v>Área (m²)</v>
      </c>
      <c r="B4" s="93"/>
      <c r="C4" s="681">
        <f>IF($C$1="Vazio",0,RELAÇÃO_DE_CARGA!C5:D5)</f>
        <v>0</v>
      </c>
      <c r="D4" s="682"/>
      <c r="E4" s="93"/>
      <c r="F4" s="681">
        <f>IF($F$1="Vazio",0,RELAÇÃO_DE_CARGA!F5:G5)</f>
        <v>0</v>
      </c>
      <c r="G4" s="682"/>
      <c r="H4" s="93"/>
      <c r="I4" s="681">
        <f>IF(OR($I$1="Vazio",RELAÇÃO_DE_CARGA!$I$1&lt;3),0,RELAÇÃO_DE_CARGA!I5:J5)</f>
        <v>0</v>
      </c>
      <c r="J4" s="682"/>
      <c r="K4" s="93"/>
      <c r="L4" s="681">
        <f>IF(OR($L$1="Vazio",RELAÇÃO_DE_CARGA!$I$1&lt;4),0,RELAÇÃO_DE_CARGA!L5:M5)</f>
        <v>0</v>
      </c>
      <c r="M4" s="682"/>
      <c r="N4" s="93"/>
      <c r="O4" s="681">
        <f>IF(OR($O$1="Vazio",RELAÇÃO_DE_CARGA!$I$1&lt;5),0,RELAÇÃO_DE_CARGA!O5)</f>
        <v>0</v>
      </c>
      <c r="P4" s="682"/>
      <c r="Q4" s="93"/>
      <c r="R4" s="681">
        <f>IF(OR($R$1="Vazio",RELAÇÃO_DE_CARGA!$I$1&lt;6),0,RELAÇÃO_DE_CARGA!R5)</f>
        <v>0</v>
      </c>
      <c r="S4" s="682"/>
      <c r="T4" s="93"/>
      <c r="U4" s="681">
        <f>IF(OR($U$1="Vazio",RELAÇÃO_DE_CARGA!$I$1&lt;7),0,RELAÇÃO_DE_CARGA!U5)</f>
        <v>0</v>
      </c>
      <c r="V4" s="682"/>
      <c r="W4" s="93"/>
      <c r="X4" s="681">
        <f>IF(OR($X$1="Vazio",RELAÇÃO_DE_CARGA!$I$1&lt;8),0,RELAÇÃO_DE_CARGA!X5)</f>
        <v>0</v>
      </c>
      <c r="Y4" s="682"/>
      <c r="Z4" s="93"/>
      <c r="AA4" s="681">
        <f>IF(OR($AA$1="Vazio",RELAÇÃO_DE_CARGA!$I$1&lt;9),0,RELAÇÃO_DE_CARGA!AA5)</f>
        <v>0</v>
      </c>
      <c r="AB4" s="682"/>
      <c r="AC4" s="93"/>
      <c r="AD4" s="681">
        <f>IF(OR($AD$1="Vazio",RELAÇÃO_DE_CARGA!$I$1&lt;10),0,RELAÇÃO_DE_CARGA!AD5)</f>
        <v>0</v>
      </c>
      <c r="AE4" s="682"/>
      <c r="AF4" s="93"/>
      <c r="AG4" s="681">
        <f>IF(OR($AG$1="Vazio",RELAÇÃO_DE_CARGA!$I$1&lt;11),0,RELAÇÃO_DE_CARGA!AG5)</f>
        <v>0</v>
      </c>
      <c r="AH4" s="682"/>
      <c r="AI4" s="93"/>
      <c r="AJ4" s="681">
        <f>IF(OR($AJ$1="Vazio",RELAÇÃO_DE_CARGA!$I$1&lt;12),0,RELAÇÃO_DE_CARGA!AJ5)</f>
        <v>0</v>
      </c>
      <c r="AK4" s="682"/>
      <c r="AL4" s="170"/>
      <c r="AM4" s="170"/>
      <c r="AN4" s="170"/>
      <c r="AO4" s="170"/>
      <c r="AP4" s="170"/>
      <c r="AQ4" s="70"/>
      <c r="AR4" s="71" t="s">
        <v>41</v>
      </c>
      <c r="AS4" s="71" t="s">
        <v>3</v>
      </c>
      <c r="AT4" s="71" t="s">
        <v>41</v>
      </c>
      <c r="AU4" s="71" t="s">
        <v>3</v>
      </c>
      <c r="AV4" s="71" t="s">
        <v>41</v>
      </c>
      <c r="AW4" s="71" t="s">
        <v>3</v>
      </c>
      <c r="AX4" s="71" t="s">
        <v>41</v>
      </c>
      <c r="AY4" s="71" t="s">
        <v>3</v>
      </c>
      <c r="AZ4" s="71" t="s">
        <v>41</v>
      </c>
      <c r="BA4" s="71" t="s">
        <v>3</v>
      </c>
      <c r="BB4" s="71" t="s">
        <v>41</v>
      </c>
      <c r="BC4" s="71" t="s">
        <v>3</v>
      </c>
      <c r="BD4" s="71" t="s">
        <v>41</v>
      </c>
      <c r="BE4" s="71" t="s">
        <v>3</v>
      </c>
      <c r="BF4" s="71" t="s">
        <v>41</v>
      </c>
      <c r="BG4" s="71" t="s">
        <v>3</v>
      </c>
      <c r="BH4" s="71" t="s">
        <v>41</v>
      </c>
      <c r="BI4" s="71" t="s">
        <v>3</v>
      </c>
      <c r="BJ4" s="71" t="s">
        <v>41</v>
      </c>
      <c r="BK4" s="71" t="s">
        <v>3</v>
      </c>
      <c r="BL4" s="71" t="s">
        <v>41</v>
      </c>
      <c r="BM4" s="71" t="s">
        <v>3</v>
      </c>
      <c r="BN4" s="71" t="s">
        <v>41</v>
      </c>
      <c r="BO4" s="71" t="s">
        <v>3</v>
      </c>
      <c r="BP4" s="51"/>
      <c r="BQ4" s="51" t="s">
        <v>68</v>
      </c>
      <c r="BR4" s="70">
        <f>VLOOKUP(AR5+AR6+AR7+AR8+AR9+AR10,'tab. ilum'!$B$2:$D$12,3,TRUE)*SUM(AR5:AR10)</f>
        <v>0</v>
      </c>
      <c r="BS4" s="51">
        <f>VLOOKUP(AT5+AT6+AT7+AT8+AT9+AT10,'tab. ilum'!$B$2:$D$12,3,TRUE)*SUM(AT5:AT10)</f>
        <v>0</v>
      </c>
      <c r="BT4" s="51">
        <f>VLOOKUP(AV5+AV6+AV7+AV8+AV9+AV10,'tab. ilum'!$B$2:$D$12,3,TRUE)*SUM(AV5:AV10)</f>
        <v>0</v>
      </c>
      <c r="BU4" s="51">
        <f>VLOOKUP(AX5+AX6+AX7+AX8+AX9+AX10,'tab. ilum'!$B$2:$D$12,3,TRUE)*SUM(AX5:AX10)</f>
        <v>0</v>
      </c>
      <c r="BV4" s="51">
        <f>VLOOKUP(SUM(AZ5:AZ10),'tab. ilum'!$B$2:$D$12,3,TRUE)*SUM(AZ5:AZ10)</f>
        <v>0</v>
      </c>
      <c r="BW4" s="51">
        <f>VLOOKUP(SUM(BB5:BB10),'tab. ilum'!$B$2:$D$12,3,TRUE)*SUM(BB5:BB10)</f>
        <v>0</v>
      </c>
      <c r="BX4" s="51">
        <f>VLOOKUP(SUM(BD5:BD10),'tab. ilum'!$B$2:$D$12,3,TRUE)*SUM($BD$5:$BD$10)</f>
        <v>0</v>
      </c>
      <c r="BY4" s="51">
        <f>VLOOKUP(SUM(BF5:BF10),'tab. ilum'!$B$2:$D$12,3,TRUE)*SUM(BF5:BF10)</f>
        <v>0</v>
      </c>
      <c r="BZ4" s="51">
        <f>VLOOKUP(SUM(BH5:BH10),'tab. ilum'!$B$2:$D$12,3,TRUE)*SUM(BH5:BH10)</f>
        <v>0</v>
      </c>
      <c r="CA4" s="51">
        <f>VLOOKUP(SUM(BJ5:BJ10),'tab. ilum'!$B$2:$D$12,3,TRUE)*SUM(BJ5:BJ10)</f>
        <v>0</v>
      </c>
      <c r="CB4" s="51">
        <f>VLOOKUP(SUM(BL5:BL10),'tab. ilum'!$B$2:$D$12,3,TRUE)*SUM(BL5:BL10)</f>
        <v>0</v>
      </c>
      <c r="CC4" s="51">
        <f>VLOOKUP(SUM(BN5:BN10),'tab. ilum'!$B$2:$D$12,3,TRUE)*SUM(BN5:BN10)</f>
        <v>0</v>
      </c>
      <c r="CD4" s="128"/>
      <c r="CE4" s="128" t="s">
        <v>68</v>
      </c>
      <c r="CF4" s="51">
        <f>VLOOKUP(IF($C$1=$I$1,SUM(AR5:AR10,AV5:AV10),SUM(AR5:AR10)),'tab. ilum'!$B$2:$D$12,3,TRUE)</f>
        <v>0.86</v>
      </c>
      <c r="CG4" s="51"/>
      <c r="CH4" s="51">
        <f>VLOOKUP(IF($C$1=$I$1,0,SUM(AV5:AV10)),'tab. ilum'!$B$2:$D$12,3,TRUE)</f>
        <v>0.86</v>
      </c>
      <c r="CI4" s="51"/>
      <c r="CJ4" s="51"/>
      <c r="CK4" s="27" t="s">
        <v>39</v>
      </c>
      <c r="CL4" s="93"/>
      <c r="CM4" s="681">
        <f>SUM(IF(OR($C$1=$DX$1,C1="Flat"),$C$4,0),IF(OR($F$1=$DX$1,F1="Flat"),$F$4,0))</f>
        <v>0</v>
      </c>
      <c r="CN4" s="682"/>
      <c r="CO4" s="93"/>
      <c r="CP4" s="689"/>
      <c r="CQ4" s="690"/>
      <c r="CR4" s="93"/>
      <c r="CS4" s="681"/>
      <c r="CT4" s="682"/>
      <c r="CU4" s="93"/>
      <c r="CV4" s="681"/>
      <c r="CW4" s="682"/>
      <c r="CX4" s="93"/>
      <c r="CY4" s="681"/>
      <c r="CZ4" s="682"/>
      <c r="DA4" s="93"/>
      <c r="DB4" s="681"/>
      <c r="DC4" s="682"/>
      <c r="DD4" s="93"/>
      <c r="DE4" s="681"/>
      <c r="DF4" s="682"/>
      <c r="DG4" s="93"/>
      <c r="DH4" s="681"/>
      <c r="DI4" s="682"/>
      <c r="DJ4" s="93"/>
      <c r="DK4" s="681"/>
      <c r="DL4" s="682"/>
      <c r="DM4" s="93"/>
      <c r="DN4" s="681"/>
      <c r="DO4" s="682"/>
      <c r="DP4" s="93"/>
      <c r="DQ4" s="681">
        <f>SUM(IF($C$1=$FB$1,$C$4,0),IF($F$1=$FB$1,$F$4,0))</f>
        <v>0</v>
      </c>
      <c r="DR4" s="682"/>
      <c r="DS4" s="290"/>
      <c r="DT4" s="51"/>
      <c r="DV4" s="27" t="s">
        <v>39</v>
      </c>
      <c r="DW4" s="93"/>
      <c r="DX4" s="681">
        <f>SUM(IF(OR($C$1=$DX$1,C1="Flat"),$C$4,0),IF(OR($F$1=$DX$1,F1="Flat"),$F$4,0),IF(OR($I$1=$DX$1,I1="Flat"),$I$4,0),IF(OR($L$1=$DX$1,L1="Flat"),$L$4,0))</f>
        <v>0</v>
      </c>
      <c r="DY4" s="682"/>
      <c r="DZ4" s="93"/>
      <c r="EA4" s="689"/>
      <c r="EB4" s="690"/>
      <c r="EC4" s="93"/>
      <c r="ED4" s="681"/>
      <c r="EE4" s="682"/>
      <c r="EF4" s="93"/>
      <c r="EG4" s="681"/>
      <c r="EH4" s="682"/>
      <c r="EI4" s="93"/>
      <c r="EJ4" s="681"/>
      <c r="EK4" s="682"/>
      <c r="EL4" s="93"/>
      <c r="EM4" s="681"/>
      <c r="EN4" s="682"/>
      <c r="EO4" s="93"/>
      <c r="EP4" s="681"/>
      <c r="EQ4" s="682"/>
      <c r="ER4" s="93"/>
      <c r="ES4" s="681"/>
      <c r="ET4" s="682"/>
      <c r="EU4" s="93"/>
      <c r="EV4" s="681"/>
      <c r="EW4" s="682"/>
      <c r="EX4" s="93"/>
      <c r="EY4" s="681"/>
      <c r="EZ4" s="682"/>
      <c r="FA4" s="93"/>
      <c r="FB4" s="681">
        <f>SUM(IF($C$1=$FB$1,$C$4,0),IF($F$1=$FB$1,$F$4,0),IF($I$1=$FB$1,$I$4,0),IF($L$1=$FB$1,$L$4,0))</f>
        <v>0</v>
      </c>
      <c r="FC4" s="682"/>
      <c r="FD4" s="170"/>
      <c r="FF4" s="51"/>
      <c r="FG4" s="70"/>
      <c r="FH4" s="51"/>
      <c r="FI4" s="51"/>
      <c r="FJ4" s="51"/>
      <c r="FK4" s="51"/>
      <c r="FM4" s="27" t="s">
        <v>39</v>
      </c>
      <c r="FN4" s="93"/>
      <c r="FO4" s="681">
        <f>SUM(IF(OR($C$1=$DX$1,C1="Flat"),$C$4,0),IF(OR($F$1=$DX$1,F1="Flat"),$F$4,0))</f>
        <v>0</v>
      </c>
      <c r="FP4" s="682"/>
      <c r="FQ4" s="93"/>
      <c r="FR4" s="689"/>
      <c r="FS4" s="690"/>
      <c r="FT4" s="93"/>
      <c r="FU4" s="681"/>
      <c r="FV4" s="682"/>
      <c r="FW4" s="93"/>
      <c r="FX4" s="681"/>
      <c r="FY4" s="682"/>
      <c r="FZ4" s="93"/>
      <c r="GA4" s="681"/>
      <c r="GB4" s="682"/>
      <c r="GC4" s="93"/>
      <c r="GD4" s="681"/>
      <c r="GE4" s="682"/>
      <c r="GF4" s="93"/>
      <c r="GG4" s="681"/>
      <c r="GH4" s="682"/>
      <c r="GI4" s="93"/>
      <c r="GJ4" s="681"/>
      <c r="GK4" s="682"/>
      <c r="GL4" s="93"/>
      <c r="GM4" s="681"/>
      <c r="GN4" s="682"/>
      <c r="GO4" s="93"/>
      <c r="GP4" s="681"/>
      <c r="GQ4" s="682"/>
      <c r="GR4" s="93"/>
      <c r="GS4" s="681">
        <f>SUM(IF($C$1=$FB$1,$C$4,0),IF($F$1=$FB$1,$F$4,0))</f>
        <v>0</v>
      </c>
      <c r="GT4" s="682"/>
      <c r="GU4" s="170"/>
      <c r="GW4" s="51"/>
      <c r="GX4" s="70"/>
      <c r="GY4" s="51"/>
      <c r="GZ4" s="51"/>
      <c r="HA4" s="51"/>
      <c r="HB4" s="51"/>
      <c r="HD4" s="27" t="s">
        <v>39</v>
      </c>
      <c r="HE4" s="93"/>
      <c r="HF4" s="681">
        <f>SUM(IF(OR($I$1=$DX$1,I1="Flat"),$I$4,0),IF(OR($L$1=$DX$1,L1="Flat"),$L$4,0))</f>
        <v>0</v>
      </c>
      <c r="HG4" s="682"/>
      <c r="HH4" s="93"/>
      <c r="HI4" s="689"/>
      <c r="HJ4" s="690"/>
      <c r="HK4" s="93"/>
      <c r="HL4" s="681"/>
      <c r="HM4" s="682"/>
      <c r="HN4" s="93"/>
      <c r="HO4" s="681"/>
      <c r="HP4" s="682"/>
      <c r="HQ4" s="93"/>
      <c r="HR4" s="681"/>
      <c r="HS4" s="682"/>
      <c r="HT4" s="93"/>
      <c r="HU4" s="681"/>
      <c r="HV4" s="682"/>
      <c r="HW4" s="93"/>
      <c r="HX4" s="681"/>
      <c r="HY4" s="682"/>
      <c r="HZ4" s="93"/>
      <c r="IA4" s="681"/>
      <c r="IB4" s="682"/>
      <c r="IC4" s="93"/>
      <c r="ID4" s="681"/>
      <c r="IE4" s="682"/>
      <c r="IF4" s="93"/>
      <c r="IG4" s="681"/>
      <c r="IH4" s="682"/>
      <c r="II4" s="93"/>
      <c r="IJ4" s="681">
        <f>SUM(IF($I$1=$FB$1,$I$4,0),IF($L$1=$FB$1,$L$4,0))</f>
        <v>0</v>
      </c>
      <c r="IK4" s="682"/>
      <c r="IL4" s="170"/>
      <c r="IN4" s="51"/>
      <c r="IO4" s="70"/>
      <c r="IP4" s="51"/>
      <c r="IQ4" s="51"/>
      <c r="IR4" s="51"/>
    </row>
    <row r="5" spans="1:252" ht="12.75" customHeight="1" x14ac:dyDescent="0.2">
      <c r="A5" s="27" t="s">
        <v>113</v>
      </c>
      <c r="B5" s="83">
        <f>RELAÇÃO_DE_CARGA!B6</f>
        <v>1</v>
      </c>
      <c r="C5" s="681">
        <f>IF($C$1="Vazio",0,RELAÇÃO_DE_CARGA!C6:D6)</f>
        <v>0</v>
      </c>
      <c r="D5" s="682"/>
      <c r="E5" s="83">
        <f>RELAÇÃO_DE_CARGA!E6</f>
        <v>1</v>
      </c>
      <c r="F5" s="681">
        <f>IF($F$1="Vazio",0,RELAÇÃO_DE_CARGA!F6:G6)</f>
        <v>0</v>
      </c>
      <c r="G5" s="682"/>
      <c r="H5" s="83">
        <f>RELAÇÃO_DE_CARGA!H6</f>
        <v>1</v>
      </c>
      <c r="I5" s="681">
        <f>IF(OR($I$1="Vazio",RELAÇÃO_DE_CARGA!$I$1&lt;3),0,RELAÇÃO_DE_CARGA!I6:J6)</f>
        <v>0</v>
      </c>
      <c r="J5" s="682"/>
      <c r="K5" s="83">
        <f>RELAÇÃO_DE_CARGA!K6</f>
        <v>1</v>
      </c>
      <c r="L5" s="681">
        <f>IF(OR($L$1="Vazio",RELAÇÃO_DE_CARGA!$I$1&lt;4),0,RELAÇÃO_DE_CARGA!L6:M6)</f>
        <v>0</v>
      </c>
      <c r="M5" s="682"/>
      <c r="N5" s="83">
        <f>RELAÇÃO_DE_CARGA!N6</f>
        <v>1</v>
      </c>
      <c r="O5" s="681">
        <f>IF(OR($O$1="Vazio",RELAÇÃO_DE_CARGA!$I$1&lt;5),0,RELAÇÃO_DE_CARGA!O6)</f>
        <v>0</v>
      </c>
      <c r="P5" s="682"/>
      <c r="Q5" s="83">
        <f>RELAÇÃO_DE_CARGA!Q6</f>
        <v>1</v>
      </c>
      <c r="R5" s="681">
        <f>IF(OR($R$1="Vazio",RELAÇÃO_DE_CARGA!$I$1&lt;6),0,RELAÇÃO_DE_CARGA!R6)</f>
        <v>0</v>
      </c>
      <c r="S5" s="682"/>
      <c r="T5" s="83">
        <f>RELAÇÃO_DE_CARGA!T6</f>
        <v>1</v>
      </c>
      <c r="U5" s="681">
        <f>IF(OR($U$1="Vazio",RELAÇÃO_DE_CARGA!$I$1&lt;7),0,RELAÇÃO_DE_CARGA!U6)</f>
        <v>0</v>
      </c>
      <c r="V5" s="682"/>
      <c r="W5" s="83">
        <f>RELAÇÃO_DE_CARGA!W6</f>
        <v>1</v>
      </c>
      <c r="X5" s="681">
        <f>IF(OR($X$1="Vazio",RELAÇÃO_DE_CARGA!$I$1&lt;8),0,RELAÇÃO_DE_CARGA!X6)</f>
        <v>0</v>
      </c>
      <c r="Y5" s="682"/>
      <c r="Z5" s="83">
        <f>RELAÇÃO_DE_CARGA!Z6</f>
        <v>1</v>
      </c>
      <c r="AA5" s="681">
        <f>IF(OR($AA$1="Vazio",RELAÇÃO_DE_CARGA!$I$1&lt;9),0,RELAÇÃO_DE_CARGA!AA6)</f>
        <v>0</v>
      </c>
      <c r="AB5" s="682"/>
      <c r="AC5" s="83">
        <f>RELAÇÃO_DE_CARGA!AC6</f>
        <v>1</v>
      </c>
      <c r="AD5" s="681">
        <f>IF(OR($AD$1="Vazio",RELAÇÃO_DE_CARGA!$I$1&lt;10),0,RELAÇÃO_DE_CARGA!AD6)</f>
        <v>0</v>
      </c>
      <c r="AE5" s="682"/>
      <c r="AF5" s="83">
        <f>RELAÇÃO_DE_CARGA!AF6</f>
        <v>1</v>
      </c>
      <c r="AG5" s="681">
        <f>IF(OR($AG$1="Vazio",RELAÇÃO_DE_CARGA!$I$1&lt;11),0,RELAÇÃO_DE_CARGA!AG6)</f>
        <v>0</v>
      </c>
      <c r="AH5" s="682"/>
      <c r="AI5" s="83">
        <f>RELAÇÃO_DE_CARGA!AI6</f>
        <v>1</v>
      </c>
      <c r="AJ5" s="681">
        <f>IF(OR($AJ$1="Vazio",RELAÇÃO_DE_CARGA!$I$1&lt;12),0,RELAÇÃO_DE_CARGA!AJ6)</f>
        <v>0</v>
      </c>
      <c r="AK5" s="682"/>
      <c r="AL5" s="170"/>
      <c r="AM5" s="170"/>
      <c r="AN5" s="170"/>
      <c r="AO5" s="170"/>
      <c r="AP5" s="170"/>
      <c r="AQ5" s="51"/>
      <c r="AR5" s="70">
        <f>C5/B5</f>
        <v>0</v>
      </c>
      <c r="AS5" s="712">
        <f>IF(C1="Administração",BR15,VLOOKUP($C$1,$BQ$4:$CC$16,2,FALSE))</f>
        <v>0</v>
      </c>
      <c r="AT5" s="70">
        <f>F5/E5</f>
        <v>0</v>
      </c>
      <c r="AU5" s="712">
        <f>IF(F1="Administração",BS15,VLOOKUP(F1,$BQ$4:$BZ$16,3,FALSE))</f>
        <v>0</v>
      </c>
      <c r="AV5" s="70">
        <f>I5/H5</f>
        <v>0</v>
      </c>
      <c r="AW5" s="712">
        <f>IF(I1="Administração",BT15,VLOOKUP($I$1,$BQ$4:$BZ$16,4,FALSE))</f>
        <v>0</v>
      </c>
      <c r="AX5" s="70">
        <f>L5/K5</f>
        <v>0</v>
      </c>
      <c r="AY5" s="712">
        <f>IF(L1="Administração",BU15,VLOOKUP(L1,$BQ$4:$BZ$16,5,FALSE))</f>
        <v>0</v>
      </c>
      <c r="AZ5" s="70">
        <f t="shared" ref="AZ5:AZ10" si="0">O5/N5</f>
        <v>0</v>
      </c>
      <c r="BA5" s="712">
        <f>IF(O1="Administração",BV15,VLOOKUP($O$1,$BQ$4:$CC$16,6,FALSE))</f>
        <v>0</v>
      </c>
      <c r="BB5" s="70">
        <f t="shared" ref="BB5:BB10" si="1">R5/Q5</f>
        <v>0</v>
      </c>
      <c r="BC5" s="712">
        <f>IF(R1="Administração",BW15,VLOOKUP(R1,$BQ$4:$CC$16,7,FALSE))</f>
        <v>0</v>
      </c>
      <c r="BD5" s="70">
        <f t="shared" ref="BD5:BD10" si="2">U5/T5</f>
        <v>0</v>
      </c>
      <c r="BE5" s="712">
        <f>IF(U1="Administração",BX15,VLOOKUP($U$1,$BQ$4:$CC$16,8,FALSE))</f>
        <v>0</v>
      </c>
      <c r="BF5" s="70">
        <f t="shared" ref="BF5:BF10" si="3">X5/W5</f>
        <v>0</v>
      </c>
      <c r="BG5" s="712">
        <f>IF(X1="Administração",BZ15,VLOOKUP(X1,$BQ$4:$CC$16,9,FALSE))</f>
        <v>0</v>
      </c>
      <c r="BH5" s="70">
        <f t="shared" ref="BH5:BH10" si="4">AA5/Z5</f>
        <v>0</v>
      </c>
      <c r="BI5" s="712">
        <f>IF(AA1="Administração",BZ15,VLOOKUP($AA$1,$BQ$4:$CC$16,10,FALSE))</f>
        <v>0</v>
      </c>
      <c r="BJ5" s="70">
        <f t="shared" ref="BJ5:BJ10" si="5">AD5/AC5</f>
        <v>0</v>
      </c>
      <c r="BK5" s="712">
        <f>IF(AD1="Administração",CA15,VLOOKUP(AD1,$BQ$4:$CC$16,11,FALSE))</f>
        <v>0</v>
      </c>
      <c r="BL5" s="70">
        <f t="shared" ref="BL5:BL10" si="6">AG5/AF5</f>
        <v>0</v>
      </c>
      <c r="BM5" s="712">
        <f>IF(AG1="Administração",CB15,VLOOKUP($AG$1,$BQ$4:$CC$16,12,FALSE))</f>
        <v>0</v>
      </c>
      <c r="BN5" s="70">
        <f t="shared" ref="BN5:BN10" si="7">AJ5/AI5</f>
        <v>0</v>
      </c>
      <c r="BO5" s="712">
        <f>IF(AJ1="Administração",CC15,VLOOKUP(AJ1,$BQ$4:$CC$16,13,FALSE))</f>
        <v>0</v>
      </c>
      <c r="BP5" s="51"/>
      <c r="BQ5" s="51" t="s">
        <v>1748</v>
      </c>
      <c r="BR5" s="70">
        <f>BR4</f>
        <v>0</v>
      </c>
      <c r="BS5" s="51">
        <f t="shared" ref="BS5:CC5" si="8">BS4</f>
        <v>0</v>
      </c>
      <c r="BT5" s="51">
        <f t="shared" si="8"/>
        <v>0</v>
      </c>
      <c r="BU5" s="51">
        <f t="shared" si="8"/>
        <v>0</v>
      </c>
      <c r="BV5" s="51">
        <f t="shared" si="8"/>
        <v>0</v>
      </c>
      <c r="BW5" s="51">
        <f>BW4</f>
        <v>0</v>
      </c>
      <c r="BX5" s="51">
        <f t="shared" si="8"/>
        <v>0</v>
      </c>
      <c r="BY5" s="51">
        <f t="shared" si="8"/>
        <v>0</v>
      </c>
      <c r="BZ5" s="51">
        <f>BZ4</f>
        <v>0</v>
      </c>
      <c r="CA5" s="51">
        <f t="shared" si="8"/>
        <v>0</v>
      </c>
      <c r="CB5" s="51">
        <f t="shared" si="8"/>
        <v>0</v>
      </c>
      <c r="CC5" s="51">
        <f t="shared" si="8"/>
        <v>0</v>
      </c>
      <c r="CD5" s="128"/>
      <c r="CE5" s="128" t="s">
        <v>115</v>
      </c>
      <c r="CF5" s="51">
        <f>IF(IF($C$1=I1,SUM($AR$5:$AR$10,$AV$5:$AV$10),SUM($AR$5:$AR$10))&lt;=12,IF($C$1=$I$1,SUM($AR$5:$AR$10,$AV$5:$AV$10),SUM($AR$5:$AR$10)),(((IF($C$1=$I$1,SUM($AR$5:$AR$10,$AV$5:$AV$10),SUM($AR$5:$AR$10))-12)*0.5)+12))</f>
        <v>0</v>
      </c>
      <c r="CG5" s="51"/>
      <c r="CH5" s="51">
        <f>IF(IF($C$1=I1,0,SUM($AV$5:$AV$10))&lt;=12,IF($C$1=$I$1,0,SUM($AV$5:$AV$10)),(((IF($C$1=$I$1,0,SUM($AV$5:$AV$10))-12)*0.5)+12))</f>
        <v>0</v>
      </c>
      <c r="CI5" s="51"/>
      <c r="CJ5" s="51"/>
      <c r="CK5" s="27" t="s">
        <v>168</v>
      </c>
      <c r="CL5" s="83"/>
      <c r="CM5" s="681"/>
      <c r="CN5" s="682"/>
      <c r="CO5" s="83">
        <f>RELAÇÃO_DE_CARGA!$AH$6</f>
        <v>0</v>
      </c>
      <c r="CP5" s="681">
        <f>IF($CP$1=$C$1,SUM($AR$5:$AR$10),0)+IF($CP$1=$F$1,SUM($AT$5:$AT$10),0)</f>
        <v>0</v>
      </c>
      <c r="CQ5" s="682"/>
      <c r="CR5" s="83">
        <f>RELAÇÃO_DE_CARGA!$AK$6</f>
        <v>0</v>
      </c>
      <c r="CS5" s="681">
        <f>IF($CS$1=$C$1,SUM($AR$5:$AR$10),0)+IF($CS$1=$F$1,SUM($AT$5:$AT$10),0)</f>
        <v>0</v>
      </c>
      <c r="CT5" s="682"/>
      <c r="CU5" s="83">
        <f>RELAÇÃO_DE_CARGA!$AN$6</f>
        <v>0</v>
      </c>
      <c r="CV5" s="681">
        <f>IF($CV$1=$C$1,SUM($AR$5:$AR$10),0)+IF($CV$1=$F$1,SUM($AT$5:$AT$10),0)</f>
        <v>0</v>
      </c>
      <c r="CW5" s="682"/>
      <c r="CX5" s="83">
        <f>RELAÇÃO_DE_CARGA!$AQ$6</f>
        <v>0</v>
      </c>
      <c r="CY5" s="681">
        <f>IF($CY$1=$C$1,SUM($AR$5:$AR$10),0)+IF($CY$1=$F$1,SUM($AT$5:$AT$10),0)</f>
        <v>0</v>
      </c>
      <c r="CZ5" s="682"/>
      <c r="DA5" s="83">
        <f>RELAÇÃO_DE_CARGA!$AT$6</f>
        <v>0</v>
      </c>
      <c r="DB5" s="681">
        <f>IF($DB$1=$C$1,SUM($AR$5:$AR$10),0)+IF($DB$1=$F$1,SUM($AT$5:$AT$10),0)</f>
        <v>0</v>
      </c>
      <c r="DC5" s="682"/>
      <c r="DD5" s="83">
        <f>RELAÇÃO_DE_CARGA!$AW$6</f>
        <v>0</v>
      </c>
      <c r="DE5" s="681">
        <f>IF($DE$1=$C$1,SUM($AR$5:$AR$10),0)+IF($DE$1=$F$1,SUM($AT$5:$AT$10),0)</f>
        <v>0</v>
      </c>
      <c r="DF5" s="682"/>
      <c r="DG5" s="83">
        <f>RELAÇÃO_DE_CARGA!$AZ$6</f>
        <v>0</v>
      </c>
      <c r="DH5" s="681">
        <f>IF($DH$1=$C$1,SUM($AR$5:$AR$10),0)+IF($DH$1=$F$1,SUM($AT$5:$AT$10),0)</f>
        <v>0</v>
      </c>
      <c r="DI5" s="682"/>
      <c r="DJ5" s="83">
        <f>RELAÇÃO_DE_CARGA!$BC$6</f>
        <v>0</v>
      </c>
      <c r="DK5" s="681">
        <f>IF($DK$1=$C$1,SUM($AR$5:$AR$10),0)+IF($DK$1=$F$1,SUM($AT$5:$AT$10),0)</f>
        <v>0</v>
      </c>
      <c r="DL5" s="682"/>
      <c r="DM5" s="83">
        <f>RELAÇÃO_DE_CARGA!$BF$6</f>
        <v>0</v>
      </c>
      <c r="DN5" s="681">
        <f>IF($DN$1=$C$1,SUM($AR$5:$AR$10),0)+IF($DN$1=$F$1,SUM($AT$5:$AT$10),0)</f>
        <v>0</v>
      </c>
      <c r="DO5" s="682"/>
      <c r="DP5" s="83">
        <f>RELAÇÃO_DE_CARGA!$AN$6</f>
        <v>0</v>
      </c>
      <c r="DQ5" s="681"/>
      <c r="DR5" s="682"/>
      <c r="DS5" s="290"/>
      <c r="DT5" s="681"/>
      <c r="DU5" s="682"/>
      <c r="DV5" s="27" t="s">
        <v>168</v>
      </c>
      <c r="DW5" s="83"/>
      <c r="DX5" s="681"/>
      <c r="DY5" s="682"/>
      <c r="DZ5" s="83"/>
      <c r="EA5" s="681">
        <f>SUM(IF($C$1=EA1,$C$5+($C$6/$B$6)+($C$7/$B$7)+($C$8/$B$8)+($C$9/$B$9)+$C$10,0),IF($F$1=EA1,$F$5+($F$6/$E$6)+($F$7/$E$7)+($F$8/$E$8)+($F$9/$E$9)+$F$10,0),IF($I$1=EA1,$I$5+($I$6/$H$6)+($I$7/$H$7)+($I$8/$H$8)+($I$9/$H$9)+$I$10,0),IF($L$1=EA1,$L$5+($L$6/$K$6)+($L$7/$K$7)+($L$8/$K$8)+($L$9/$K$9)+$L$10,0))</f>
        <v>0</v>
      </c>
      <c r="EB5" s="682"/>
      <c r="EC5" s="83"/>
      <c r="ED5" s="681">
        <f>SUM(IF($C$1=ED1,$C$5+($C$6/$B$6)+($C$7/$B$7)+($C$8/$B$8)+($C$9/$B$9)+$C$10,0),IF($F$1=ED1,$F$5+($F$6/$E$6)+($F$7/$E$7)+($F$8/$E$8)+($F$9/$E$9)+$F$10,0),IF($I$1=ED1,$I$5+($I$6/$H$6)+($I$7/$H$7)+($I$8/$H$8)+($I$9/$H$9)+$I$10,0),IF($L$1=ED1,$L$5+($L$6/$K$6)+($L$7/$K$7)+($L$8/$K$8)+($L$9/$K$9)+$L$10,0))</f>
        <v>0</v>
      </c>
      <c r="EE5" s="682"/>
      <c r="EF5" s="83"/>
      <c r="EG5" s="681">
        <f>SUM(IF($C$1=EG1,$C$5+($C$6/$B$6)+($C$7/$B$7)+($C$8/$B$8)+($C$9/$B$9)+$C$10,0),IF($F$1=EG1,$F$5+($F$6/$E$6)+($F$7/$E$7)+($F$8/$E$8)+($F$9/$E$9)+$F$10,0),IF($I$1=EG1,$I$5+($I$6/$H$6)+($I$7/$H$7)+($I$8/$H$8)+($I$9/$H$9)+$I$10,0),IF($L$1=EG1,$L$5+($L$6/$K$6)+($L$7/$K$7)+($L$8/$K$8)+($L$9/$K$9)+$L$10,0))</f>
        <v>0</v>
      </c>
      <c r="EH5" s="682"/>
      <c r="EI5" s="83"/>
      <c r="EJ5" s="681">
        <f>SUM(IF($C$1=EJ1,$C$5+($C$6/$B$6)+($C$7/$B$7)+($C$8/$B$8)+($C$9/$B$9)+$C$10,0),IF($F$1=EJ1,$F$5+($F$6/$E$6)+($F$7/$E$7)+($F$8/$E$8)+($F$9/$E$9)+$F$10,0),IF($I$1=EJ1,$I$5+($I$6/$H$6)+($I$7/$H$7)+($I$8/$H$8)+($I$9/$H$9)+$I$10,0),IF($L$1=EJ1,$L$5+($L$6/$K$6)+($L$7/$K$7)+($L$8/$K$8)+($L$9/$K$9)+$L$10,0))</f>
        <v>0</v>
      </c>
      <c r="EK5" s="682"/>
      <c r="EL5" s="83"/>
      <c r="EM5" s="681">
        <f>SUM(IF($C$1=EM1,$C$5+($C$6/$B$6)+($C$7/$B$7)+($C$8/$B$8)+($C$9/$B$9)+$C$10,0),IF($F$1=EM1,$F$5+($F$6/$E$6)+($F$7/$E$7)+($F$8/$E$8)+($F$9/$E$9)+$F$10,0),IF($I$1=EM1,$I$5+($I$6/$H$6)+($I$7/$H$7)+($I$8/$H$8)+($I$9/$H$9)+$I$10,0),IF($L$1=EM1,$L$5+($L$6/$K$6)+($L$7/$K$7)+($L$8/$K$8)+($L$9/$K$9)+$L$10,0))</f>
        <v>0</v>
      </c>
      <c r="EN5" s="682"/>
      <c r="EO5" s="83"/>
      <c r="EP5" s="681">
        <f>SUM(IF($C$1=EP1,$C$5+($C$6/$B$6)+($C$7/$B$7)+($C$8/$B$8)+($C$9/$B$9)+$C$10,0),IF($F$1=EP1,$F$5+($F$6/$E$6)+($F$7/$E$7)+($F$8/$E$8)+($F$9/$E$9)+$F$10,0),IF($I$1=EP1,$I$5+($I$6/$H$6)+($I$7/$H$7)+($I$8/$H$8)+($I$9/$H$9)+$I$10,0),IF($L$1=EP1,$L$5+($L$6/$K$6)+($L$7/$K$7)+($L$8/$K$8)+($L$9/$K$9)+$L$10,0))</f>
        <v>0</v>
      </c>
      <c r="EQ5" s="682"/>
      <c r="ER5" s="83"/>
      <c r="ES5" s="681">
        <f>SUM(IF($C$1=ES1,$C$5+($C$6/$B$6)+($C$7/$B$7)+($C$8/$B$8)+($C$9/$B$9)+$C$10,0),IF($F$1=ES1,$F$5+($F$6/$E$6)+($F$7/$E$7)+($F$8/$E$8)+($F$9/$E$9)+$F$10,0),IF($I$1=ES1,$I$5+($I$6/$H$6)+($I$7/$H$7)+($I$8/$H$8)+($I$9/$H$9)+$I$10,0),IF($L$1=ES1,$L$5+($L$6/$K$6)+($L$7/$K$7)+($L$8/$K$8)+($L$9/$K$9)+$L$10,0))</f>
        <v>0</v>
      </c>
      <c r="ET5" s="682"/>
      <c r="EU5" s="83"/>
      <c r="EV5" s="681">
        <f>SUM(IF($C$1=EV1,$C$5+($C$6/$B$6)+($C$7/$B$7)+($C$8/$B$8)+($C$9/$B$9)+$C$10,0),IF($F$1=EV1,$F$5+($F$6/$E$6)+($F$7/$E$7)+($F$8/$E$8)+($F$9/$E$9)+$F$10,0),IF($I$1=EV1,$I$5+($I$6/$H$6)+($I$7/$H$7)+($I$8/$H$8)+($I$9/$H$9)+$I$10,0),IF($L$1=EV1,$L$5+($L$6/$K$6)+($L$7/$K$7)+($L$8/$K$8)+($L$9/$K$9)+$L$10,0))</f>
        <v>0</v>
      </c>
      <c r="EW5" s="682"/>
      <c r="EX5" s="83"/>
      <c r="EY5" s="681">
        <f>SUM(IF($C$1=EY1,$C$5+($C$6/$B$6)+($C$7/$B$7)+($C$8/$B$8)+($C$9/$B$9)+$C$10,0),IF($F$1=EY1,$F$5+($F$6/$E$6)+($F$7/$E$7)+($F$8/$E$8)+($F$9/$E$9)+$F$10,0),IF($I$1=EY1,$I$5+($I$6/$H$6)+($I$7/$H$7)+($I$8/$H$8)+($I$9/$H$9)+$I$10,0),IF($L$1=EY1,$L$5+($L$6/$K$6)+($L$7/$K$7)+($L$8/$K$8)+($L$9/$K$9)+$L$10,0))</f>
        <v>0</v>
      </c>
      <c r="EZ5" s="682"/>
      <c r="FA5" s="83"/>
      <c r="FB5" s="681"/>
      <c r="FC5" s="682"/>
      <c r="FD5" s="681"/>
      <c r="FE5" s="682"/>
      <c r="FF5" s="697" t="s">
        <v>124</v>
      </c>
      <c r="FG5" s="697"/>
      <c r="FH5" s="697"/>
      <c r="FI5" s="697"/>
      <c r="FJ5" s="697"/>
      <c r="FK5" s="681"/>
      <c r="FL5" s="682"/>
      <c r="FM5" s="27" t="s">
        <v>168</v>
      </c>
      <c r="FN5" s="83"/>
      <c r="FO5" s="681"/>
      <c r="FP5" s="682"/>
      <c r="FQ5" s="83"/>
      <c r="FR5" s="681">
        <f>SUM(IF($C$1=FR1,$AR$5:$AR$10,0),IF($F$1=FR1,$AT$5:$AT$10,0))</f>
        <v>0</v>
      </c>
      <c r="FS5" s="682"/>
      <c r="FT5" s="83"/>
      <c r="FU5" s="681">
        <f>SUM(IF($C$1=FU1,$AR$5:$AR$10,0),IF($F$1=FU1,$AT$5:$AT$10,0))</f>
        <v>0</v>
      </c>
      <c r="FV5" s="682"/>
      <c r="FW5" s="83"/>
      <c r="FX5" s="681">
        <f>SUM(IF($C$1=FX1,$AR$5:$AR$10,0),IF($F$1=FX1,$AT$5:$AT$10,0))</f>
        <v>0</v>
      </c>
      <c r="FY5" s="682"/>
      <c r="FZ5" s="83"/>
      <c r="GA5" s="681">
        <f>SUM(IF($C$1=GA1,$AR$5:$AR$10,0),IF($F$1=GA1,$AT$5:$AT$10,0))</f>
        <v>0</v>
      </c>
      <c r="GB5" s="682"/>
      <c r="GC5" s="83"/>
      <c r="GD5" s="681">
        <f>SUM(IF($C$1=GD1,$AR$5:$AR$10,0),IF($F$1=GD1,$AT$5:$AT$10,0))</f>
        <v>0</v>
      </c>
      <c r="GE5" s="682"/>
      <c r="GF5" s="83"/>
      <c r="GG5" s="681">
        <f>SUM(IF($C$1=GG1,$AR$5:$AR$10,0),IF($F$1=GG1,$AT$5:$AT$10,0))</f>
        <v>0</v>
      </c>
      <c r="GH5" s="682"/>
      <c r="GI5" s="83"/>
      <c r="GJ5" s="681">
        <f>SUM(IF($C$1=GJ1,$AR$5:$AR$10,0),IF($F$1=GJ1,$AT$5:$AT$10,0))</f>
        <v>0</v>
      </c>
      <c r="GK5" s="682"/>
      <c r="GL5" s="83"/>
      <c r="GM5" s="681">
        <f>SUM(IF($C$1=GM1,$AR$5:$AR$10,0),IF($F$1=GM1,$AT$5:$AT$10,0))</f>
        <v>0</v>
      </c>
      <c r="GN5" s="682"/>
      <c r="GO5" s="83"/>
      <c r="GP5" s="681">
        <f>SUM(IF($C$1=GP1,$AR$5:$AR$10,0),IF($F$1=GP1,$AT$5:$AT$10,0))</f>
        <v>0</v>
      </c>
      <c r="GQ5" s="682"/>
      <c r="GR5" s="83"/>
      <c r="GS5" s="681"/>
      <c r="GT5" s="682"/>
      <c r="GU5" s="681"/>
      <c r="GV5" s="682"/>
      <c r="GW5" s="697" t="s">
        <v>124</v>
      </c>
      <c r="GX5" s="697"/>
      <c r="GY5" s="697"/>
      <c r="GZ5" s="697"/>
      <c r="HA5" s="697"/>
      <c r="HB5" s="681"/>
      <c r="HC5" s="682"/>
      <c r="HD5" s="27" t="s">
        <v>168</v>
      </c>
      <c r="HE5" s="83"/>
      <c r="HF5" s="681"/>
      <c r="HG5" s="682"/>
      <c r="HH5" s="83"/>
      <c r="HI5" s="681">
        <f>SUM(IF($I$1=HI1,$AV$5:$AV$10,0),IF($L$1=HI1,$AX$5:$AX$10,0))</f>
        <v>0</v>
      </c>
      <c r="HJ5" s="682"/>
      <c r="HK5" s="83"/>
      <c r="HL5" s="681">
        <f>SUM(IF($I$1=HL1,$AV$5:$AV$10,0),IF($L$1=HL1,$AX$5:$AX$10,0))</f>
        <v>0</v>
      </c>
      <c r="HM5" s="682"/>
      <c r="HN5" s="83"/>
      <c r="HO5" s="681">
        <f>SUM(IF($I$1=HO1,$AV$5:$AV$10,0),IF($L$1=HO1,$AX$5:$AX$10,0))</f>
        <v>0</v>
      </c>
      <c r="HP5" s="682"/>
      <c r="HQ5" s="83"/>
      <c r="HR5" s="681">
        <f>SUM(IF($I$1=HR1,$AV$5:$AV$10,0),IF($L$1=HR1,$AX$5:$AX$10,0))</f>
        <v>0</v>
      </c>
      <c r="HS5" s="682"/>
      <c r="HT5" s="83"/>
      <c r="HU5" s="681">
        <f>SUM(IF($I$1=HU1,$AV$5:$AV$10,0),IF($L$1=HU1,$AX$5:$AX$10,0))</f>
        <v>0</v>
      </c>
      <c r="HV5" s="682"/>
      <c r="HW5" s="83"/>
      <c r="HX5" s="681">
        <f>SUM(IF($I$1=HX1,$AV$5:$AV$10,0),IF($L$1=HX1,$AX$5:$AX$10,0))</f>
        <v>0</v>
      </c>
      <c r="HY5" s="682"/>
      <c r="HZ5" s="83"/>
      <c r="IA5" s="681">
        <f>SUM(IF($I$1=IA1,$AV$5:$AV$10,0),IF($L$1=IA1,$AX$5:$AX$10,0))</f>
        <v>0</v>
      </c>
      <c r="IB5" s="682"/>
      <c r="IC5" s="83"/>
      <c r="ID5" s="681">
        <f>SUM(IF($I$1=ID1,$AV$5:$AV$10,0),IF($L$1=ID1,$AX$5:$AX$10,0))</f>
        <v>0</v>
      </c>
      <c r="IE5" s="682"/>
      <c r="IF5" s="83"/>
      <c r="IG5" s="681">
        <f>SUM(IF($I$1=IG1,$AV$5:$AV$10,0),IF($L$1=IG1,$AX$5:$AX$10,0))</f>
        <v>0</v>
      </c>
      <c r="IH5" s="682"/>
      <c r="II5" s="83"/>
      <c r="IJ5" s="681"/>
      <c r="IK5" s="682"/>
      <c r="IL5" s="681"/>
      <c r="IM5" s="682"/>
      <c r="IN5" s="697" t="s">
        <v>124</v>
      </c>
      <c r="IO5" s="697"/>
      <c r="IP5" s="697"/>
      <c r="IQ5" s="697"/>
      <c r="IR5" s="697"/>
    </row>
    <row r="6" spans="1:252" ht="13.5" customHeight="1" thickBot="1" x14ac:dyDescent="0.25">
      <c r="A6" s="27" t="s">
        <v>141</v>
      </c>
      <c r="B6" s="83">
        <v>0.55000000000000004</v>
      </c>
      <c r="C6" s="681">
        <f>IF($C$1="Vazio",0,RELAÇÃO_DE_CARGA!C7:D7)</f>
        <v>0</v>
      </c>
      <c r="D6" s="682"/>
      <c r="E6" s="83">
        <v>0.55000000000000004</v>
      </c>
      <c r="F6" s="681">
        <f>IF($F$1="Vazio",0,RELAÇÃO_DE_CARGA!F7:G7)</f>
        <v>0</v>
      </c>
      <c r="G6" s="682"/>
      <c r="H6" s="83">
        <v>0.55000000000000004</v>
      </c>
      <c r="I6" s="681">
        <f>IF(OR($I$1="Vazio",RELAÇÃO_DE_CARGA!$I$1&lt;3),0,RELAÇÃO_DE_CARGA!I7:J7)</f>
        <v>0</v>
      </c>
      <c r="J6" s="682"/>
      <c r="K6" s="83">
        <v>0.55000000000000004</v>
      </c>
      <c r="L6" s="681">
        <f>IF(OR($L$1="Vazio",RELAÇÃO_DE_CARGA!$I$1&lt;4),0,RELAÇÃO_DE_CARGA!L7:M7)</f>
        <v>0</v>
      </c>
      <c r="M6" s="682"/>
      <c r="N6" s="83">
        <v>0.55000000000000004</v>
      </c>
      <c r="O6" s="681">
        <f>IF(OR($O$1="Vazio",RELAÇÃO_DE_CARGA!$I$1&lt;5),0,RELAÇÃO_DE_CARGA!O7)</f>
        <v>0</v>
      </c>
      <c r="P6" s="682"/>
      <c r="Q6" s="83">
        <v>0.55000000000000004</v>
      </c>
      <c r="R6" s="681">
        <f>IF(OR($R$1="Vazio",RELAÇÃO_DE_CARGA!$I$1&lt;6),0,RELAÇÃO_DE_CARGA!R7)</f>
        <v>0</v>
      </c>
      <c r="S6" s="682"/>
      <c r="T6" s="83">
        <v>0.55000000000000004</v>
      </c>
      <c r="U6" s="681">
        <f>IF(OR($U$1="Vazio",RELAÇÃO_DE_CARGA!$I$1&lt;7),0,RELAÇÃO_DE_CARGA!U7)</f>
        <v>0</v>
      </c>
      <c r="V6" s="682"/>
      <c r="W6" s="83">
        <v>0.55000000000000004</v>
      </c>
      <c r="X6" s="681">
        <f>IF(OR($X$1="Vazio",RELAÇÃO_DE_CARGA!$I$1&lt;8),0,RELAÇÃO_DE_CARGA!X7)</f>
        <v>0</v>
      </c>
      <c r="Y6" s="682"/>
      <c r="Z6" s="83">
        <v>0.55000000000000004</v>
      </c>
      <c r="AA6" s="681">
        <f>IF(OR($AA$1="Vazio",RELAÇÃO_DE_CARGA!$I$1&lt;9),0,RELAÇÃO_DE_CARGA!AA7)</f>
        <v>0</v>
      </c>
      <c r="AB6" s="682"/>
      <c r="AC6" s="83">
        <v>0.55000000000000004</v>
      </c>
      <c r="AD6" s="681">
        <f>IF(OR($AD$1="Vazio",RELAÇÃO_DE_CARGA!$I$1&lt;10),0,RELAÇÃO_DE_CARGA!AD7)</f>
        <v>0</v>
      </c>
      <c r="AE6" s="682"/>
      <c r="AF6" s="83">
        <v>0.55000000000000004</v>
      </c>
      <c r="AG6" s="681">
        <f>IF(OR($AG$1="Vazio",RELAÇÃO_DE_CARGA!$I$1&lt;11),0,RELAÇÃO_DE_CARGA!AG7)</f>
        <v>0</v>
      </c>
      <c r="AH6" s="682"/>
      <c r="AI6" s="83">
        <v>0.55000000000000004</v>
      </c>
      <c r="AJ6" s="681">
        <f>IF(OR($AJ$1="Vazio",RELAÇÃO_DE_CARGA!$I$1&lt;12),0,RELAÇÃO_DE_CARGA!AJ7)</f>
        <v>0</v>
      </c>
      <c r="AK6" s="682"/>
      <c r="AL6" s="170"/>
      <c r="AM6" s="170"/>
      <c r="AN6" s="170"/>
      <c r="AO6" s="170"/>
      <c r="AP6" s="170"/>
      <c r="AQ6" s="51"/>
      <c r="AR6" s="70">
        <f>IF(B6&lt;0.55,C6/B6,C6/0.55)</f>
        <v>0</v>
      </c>
      <c r="AS6" s="712"/>
      <c r="AT6" s="70">
        <f>IF(E6&lt;0.55,F6/E6,F6/0.55)</f>
        <v>0</v>
      </c>
      <c r="AU6" s="712"/>
      <c r="AV6" s="70">
        <f>IF(H6&lt;0.55,I6/H6,I6/0.55)</f>
        <v>0</v>
      </c>
      <c r="AW6" s="712"/>
      <c r="AX6" s="70">
        <f>IF(K6&lt;0.55,L6/K6,L6/0.55)</f>
        <v>0</v>
      </c>
      <c r="AY6" s="712"/>
      <c r="AZ6" s="70">
        <f t="shared" si="0"/>
        <v>0</v>
      </c>
      <c r="BA6" s="712"/>
      <c r="BB6" s="70">
        <f t="shared" si="1"/>
        <v>0</v>
      </c>
      <c r="BC6" s="712"/>
      <c r="BD6" s="70">
        <f t="shared" si="2"/>
        <v>0</v>
      </c>
      <c r="BE6" s="712"/>
      <c r="BF6" s="70">
        <f t="shared" si="3"/>
        <v>0</v>
      </c>
      <c r="BG6" s="712"/>
      <c r="BH6" s="70">
        <f t="shared" si="4"/>
        <v>0</v>
      </c>
      <c r="BI6" s="712"/>
      <c r="BJ6" s="70">
        <f t="shared" si="5"/>
        <v>0</v>
      </c>
      <c r="BK6" s="712"/>
      <c r="BL6" s="70">
        <f t="shared" si="6"/>
        <v>0</v>
      </c>
      <c r="BM6" s="712"/>
      <c r="BN6" s="70">
        <f t="shared" si="7"/>
        <v>0</v>
      </c>
      <c r="BO6" s="712"/>
      <c r="BP6" s="51"/>
      <c r="BQ6" s="51" t="s">
        <v>115</v>
      </c>
      <c r="BR6" s="51">
        <f>IF(SUM($AR$5:$AR$10)&lt;=12,SUM($AR$5:$AR$10),((SUM($AR$5:$AR$10)-12)*0.5)+12)</f>
        <v>0</v>
      </c>
      <c r="BS6" s="51">
        <f>IF(SUM($AT$5:$AT$10)&lt;=12,SUM($AT$5:$AT$10),((SUM($AT$5:$AT$10)-12)*0.5)+12)</f>
        <v>0</v>
      </c>
      <c r="BT6" s="51">
        <f>IF(SUM($AV$5:$AV$10)&lt;=12,SUM($AV$5:$AV$10),((SUM($AV$5:$AV$10)-12)*0.5)+12)</f>
        <v>0</v>
      </c>
      <c r="BU6" s="51">
        <f>IF(SUM($AX$5:$AX$10)&lt;=12,SUM($AX$5:$AX$10),((SUM($AX$5:$AX$10)-12)*0.5)+12)</f>
        <v>0</v>
      </c>
      <c r="BV6" s="51">
        <f>IF(SUM($AZ$5:$AZ$10)&lt;=12,SUM($AZ$5:$AZ$10),((SUM($AZ$5:$AZ$10)-12)*0.5)+12)</f>
        <v>0</v>
      </c>
      <c r="BW6" s="51">
        <f>IF(SUM($BB$5:$BB$10)&lt;=12,SUM($BB$5:$BB$10),((SUM($BB$5:$BB$10)-12)*0.5)+12)</f>
        <v>0</v>
      </c>
      <c r="BX6" s="51">
        <f>IF(SUM($BD$5:$BD$10)&lt;=12,SUM($BD$5:$BD$10),((SUM($BD$5:$BD$10)-12)*0.5)+12)</f>
        <v>0</v>
      </c>
      <c r="BY6" s="51">
        <f>IF(SUM($BF$5:$BF$10)&lt;=12,SUM($BF$5:$BF$10),((SUM($BF$5:$BF$10)-12)*0.5)+12)</f>
        <v>0</v>
      </c>
      <c r="BZ6" s="51">
        <f>IF(SUM($BH$5:$BH$10)&lt;=12,SUM($BH$5:$BH$10),((SUM($BH$5:$BH$10)-12)*0.5)+12)</f>
        <v>0</v>
      </c>
      <c r="CA6" s="51">
        <f>IF(SUM($BJ$5:$BJ$10)&lt;=12,SUM($BJ$5:$BJ$10),((SUM($BJ$5:$BJ$10)-12)*0.5)+12)</f>
        <v>0</v>
      </c>
      <c r="CB6" s="51">
        <f>IF(SUM(BL5:BL10)&lt;=12,SUM(BL5:BL10),((SUM(BL5:BL10)-12)*0.5)+12)</f>
        <v>0</v>
      </c>
      <c r="CC6" s="51">
        <f>IF(SUM($BN$5:$BN$10)&lt;=12,SUM($BN$5:$BN$10),((SUM($BN$5:$BN$10)-12)*0.5)+12)</f>
        <v>0</v>
      </c>
      <c r="CD6" s="128"/>
      <c r="CE6" s="128" t="s">
        <v>116</v>
      </c>
      <c r="CF6" s="128">
        <f>IF(IF($C$1=$I$1,SUM($AR$5:$AR$10,$AV$5:$AV$10),SUM($AR$5:$AR$10))&lt;=20,IF($C$1=$I$1,SUM($AR$5:$AR$10,$AV$5:$AV$10),SUM($AR$5:$AR$10)),(((IF($C$1=$I$1,SUM($AR$5:$AR$10,$AV$5:$AV$10),SUM($AR$5:$AR$10))-20)*0.7)+20))</f>
        <v>0</v>
      </c>
      <c r="CG6" s="128"/>
      <c r="CH6" s="51">
        <f>IF(IF($C$1=$I$1,0,SUM($AV$5:$AV$10))&lt;=20,IF($C$1=$I$1,0,SUM($AV$5:$AV$10)),(((IF($C$1=$I$1,0,SUM($AV$5:$AV$10))-20)*0.7)+20))</f>
        <v>0</v>
      </c>
      <c r="CI6" s="128"/>
      <c r="CJ6" s="290"/>
      <c r="CK6" s="195" t="s">
        <v>169</v>
      </c>
      <c r="CL6" s="196"/>
      <c r="CM6" s="197"/>
      <c r="CN6" s="198">
        <f>$CM$4*0.005</f>
        <v>0</v>
      </c>
      <c r="CO6" s="196"/>
      <c r="CP6" s="197"/>
      <c r="CQ6" s="198">
        <f>IF($CP$5&gt;12,(($CP$5-12)*0.5)+12,$CP$5)</f>
        <v>0</v>
      </c>
      <c r="CR6" s="196"/>
      <c r="CS6" s="197"/>
      <c r="CT6" s="198">
        <f>IF($CS$5&gt;20,(($CS$5-20)*0.7)+20,$CS$5)</f>
        <v>0</v>
      </c>
      <c r="CU6" s="196"/>
      <c r="CV6" s="197"/>
      <c r="CW6" s="198">
        <f>IF($CV$5&gt;50,(($CV$5-50)*0.2)+(50*0.4),$CV$5*0.4)</f>
        <v>0</v>
      </c>
      <c r="CX6" s="196"/>
      <c r="CY6" s="197">
        <v>1</v>
      </c>
      <c r="CZ6" s="198">
        <f>$CY$6*$CY$5</f>
        <v>0</v>
      </c>
      <c r="DA6" s="196"/>
      <c r="DB6" s="197">
        <v>1</v>
      </c>
      <c r="DC6" s="198">
        <f>$DB$6*$DB$5</f>
        <v>0</v>
      </c>
      <c r="DD6" s="196"/>
      <c r="DE6" s="197">
        <v>1</v>
      </c>
      <c r="DF6" s="198">
        <f>$DE$6*$DE$5</f>
        <v>0</v>
      </c>
      <c r="DG6" s="196"/>
      <c r="DH6" s="197">
        <v>1</v>
      </c>
      <c r="DI6" s="198">
        <f>$DH$6*$DH$5</f>
        <v>0</v>
      </c>
      <c r="DJ6" s="196"/>
      <c r="DK6" s="197">
        <v>1</v>
      </c>
      <c r="DL6" s="198">
        <f>$DK$6*$DK$5</f>
        <v>0</v>
      </c>
      <c r="DM6" s="196"/>
      <c r="DN6" s="197">
        <v>1</v>
      </c>
      <c r="DO6" s="198">
        <f>$DN$6*$DN$5</f>
        <v>0</v>
      </c>
      <c r="DP6" s="196"/>
      <c r="DQ6" s="197"/>
      <c r="DR6" s="198">
        <f>$DQ$4*0.005</f>
        <v>0</v>
      </c>
      <c r="DS6" s="290"/>
      <c r="DT6" s="51"/>
      <c r="DV6" s="195" t="s">
        <v>169</v>
      </c>
      <c r="DW6" s="196"/>
      <c r="DX6" s="197"/>
      <c r="DY6" s="198">
        <f>DX4*0.005</f>
        <v>0</v>
      </c>
      <c r="DZ6" s="196"/>
      <c r="EA6" s="197"/>
      <c r="EB6" s="198">
        <f>IF(EA5&gt;12,((EA5-12)*0.5)+12,EA5)</f>
        <v>0</v>
      </c>
      <c r="EC6" s="196"/>
      <c r="ED6" s="197"/>
      <c r="EE6" s="198">
        <f>IF(ED5&gt;20,((ED5-20)*0.7)+20,ED5)</f>
        <v>0</v>
      </c>
      <c r="EF6" s="196"/>
      <c r="EG6" s="197"/>
      <c r="EH6" s="198">
        <f>IF(EG5&gt;50,((EG5-50)*0.2)+(50*0.4),EG5*0.4)</f>
        <v>0</v>
      </c>
      <c r="EI6" s="196"/>
      <c r="EJ6" s="197">
        <v>1</v>
      </c>
      <c r="EK6" s="198">
        <f>EJ6*EJ5</f>
        <v>0</v>
      </c>
      <c r="EL6" s="196"/>
      <c r="EM6" s="197">
        <v>1</v>
      </c>
      <c r="EN6" s="198">
        <f>EM6*EM5</f>
        <v>0</v>
      </c>
      <c r="EO6" s="196"/>
      <c r="EP6" s="197">
        <v>1</v>
      </c>
      <c r="EQ6" s="198">
        <f>EP6*EP5</f>
        <v>0</v>
      </c>
      <c r="ER6" s="196"/>
      <c r="ES6" s="197">
        <v>1</v>
      </c>
      <c r="ET6" s="198">
        <f>ES6*ES5</f>
        <v>0</v>
      </c>
      <c r="EU6" s="196"/>
      <c r="EV6" s="197">
        <v>1</v>
      </c>
      <c r="EW6" s="198">
        <f>EV6*EV5</f>
        <v>0</v>
      </c>
      <c r="EX6" s="196"/>
      <c r="EY6" s="197">
        <v>1</v>
      </c>
      <c r="EZ6" s="198">
        <f>EY6*EY5</f>
        <v>0</v>
      </c>
      <c r="FA6" s="196"/>
      <c r="FB6" s="197"/>
      <c r="FC6" s="198">
        <f>FB4*0.005</f>
        <v>0</v>
      </c>
      <c r="FD6" s="192"/>
      <c r="FF6" s="696" t="s">
        <v>104</v>
      </c>
      <c r="FG6" s="696"/>
      <c r="FH6" s="696"/>
      <c r="FI6" s="696"/>
      <c r="FJ6" s="696"/>
      <c r="FK6" s="51"/>
      <c r="FM6" s="195" t="s">
        <v>169</v>
      </c>
      <c r="FN6" s="196"/>
      <c r="FO6" s="197"/>
      <c r="FP6" s="198">
        <f>FO4*0.005</f>
        <v>0</v>
      </c>
      <c r="FQ6" s="196"/>
      <c r="FR6" s="197"/>
      <c r="FS6" s="198">
        <f>IF(FR5&gt;12,((FR5-12)*0.5)+12,FR5)</f>
        <v>0</v>
      </c>
      <c r="FT6" s="196"/>
      <c r="FU6" s="197"/>
      <c r="FV6" s="198">
        <f>IF(FU5&gt;20,((FU5-20)*0.7)+20,FU5)</f>
        <v>0</v>
      </c>
      <c r="FW6" s="196"/>
      <c r="FX6" s="197"/>
      <c r="FY6" s="198">
        <f>IF(FX5&gt;50,((FX5-50)*0.2)+(50*0.4),FX5*0.4)</f>
        <v>0</v>
      </c>
      <c r="FZ6" s="196"/>
      <c r="GA6" s="197">
        <v>1</v>
      </c>
      <c r="GB6" s="198">
        <f>GA6*GA5</f>
        <v>0</v>
      </c>
      <c r="GC6" s="196"/>
      <c r="GD6" s="197">
        <v>1</v>
      </c>
      <c r="GE6" s="198">
        <f>GD6*GD5</f>
        <v>0</v>
      </c>
      <c r="GF6" s="196"/>
      <c r="GG6" s="197">
        <v>1</v>
      </c>
      <c r="GH6" s="198">
        <f>GG6*GG5</f>
        <v>0</v>
      </c>
      <c r="GI6" s="196"/>
      <c r="GJ6" s="197">
        <v>1</v>
      </c>
      <c r="GK6" s="198">
        <f>GJ6*GJ5</f>
        <v>0</v>
      </c>
      <c r="GL6" s="196"/>
      <c r="GM6" s="197">
        <v>1</v>
      </c>
      <c r="GN6" s="198">
        <f>GM6*GM5</f>
        <v>0</v>
      </c>
      <c r="GO6" s="196"/>
      <c r="GP6" s="197">
        <v>1</v>
      </c>
      <c r="GQ6" s="198">
        <f>GP6*GP5</f>
        <v>0</v>
      </c>
      <c r="GR6" s="196"/>
      <c r="GS6" s="197"/>
      <c r="GT6" s="198">
        <f>GS4*0.005</f>
        <v>0</v>
      </c>
      <c r="GU6" s="192"/>
      <c r="GW6" s="696" t="s">
        <v>104</v>
      </c>
      <c r="GX6" s="696"/>
      <c r="GY6" s="696"/>
      <c r="GZ6" s="696"/>
      <c r="HA6" s="696"/>
      <c r="HB6" s="51"/>
      <c r="HD6" s="195" t="s">
        <v>169</v>
      </c>
      <c r="HE6" s="196"/>
      <c r="HF6" s="197"/>
      <c r="HG6" s="198">
        <f>HF4*0.005</f>
        <v>0</v>
      </c>
      <c r="HH6" s="196"/>
      <c r="HI6" s="197"/>
      <c r="HJ6" s="198">
        <f>IF(HI5&gt;12,((HI5-12)*0.5)+12,HI5)</f>
        <v>0</v>
      </c>
      <c r="HK6" s="196"/>
      <c r="HL6" s="197"/>
      <c r="HM6" s="198">
        <f>IF(HL5&gt;20,((HL5-20)*0.7)+20,HL5)</f>
        <v>0</v>
      </c>
      <c r="HN6" s="196"/>
      <c r="HO6" s="197"/>
      <c r="HP6" s="198">
        <f>IF(HO5&gt;50,((HO5-50)*0.2)+(50*0.4),HO5*0.4)</f>
        <v>0</v>
      </c>
      <c r="HQ6" s="196"/>
      <c r="HR6" s="197">
        <v>1</v>
      </c>
      <c r="HS6" s="198">
        <f>HR6*HR5</f>
        <v>0</v>
      </c>
      <c r="HT6" s="196"/>
      <c r="HU6" s="197">
        <v>1</v>
      </c>
      <c r="HV6" s="198">
        <f>HU6*HU5</f>
        <v>0</v>
      </c>
      <c r="HW6" s="196"/>
      <c r="HX6" s="197">
        <v>1</v>
      </c>
      <c r="HY6" s="198">
        <f>HX6*HX5</f>
        <v>0</v>
      </c>
      <c r="HZ6" s="196"/>
      <c r="IA6" s="197">
        <v>1</v>
      </c>
      <c r="IB6" s="198">
        <f>IA6*IA5</f>
        <v>0</v>
      </c>
      <c r="IC6" s="196"/>
      <c r="ID6" s="197">
        <v>1</v>
      </c>
      <c r="IE6" s="198">
        <f>ID6*ID5</f>
        <v>0</v>
      </c>
      <c r="IF6" s="196"/>
      <c r="IG6" s="197">
        <v>1</v>
      </c>
      <c r="IH6" s="198">
        <f>IG6*IG5</f>
        <v>0</v>
      </c>
      <c r="II6" s="196"/>
      <c r="IJ6" s="197"/>
      <c r="IK6" s="198">
        <f>IJ4*0.005</f>
        <v>0</v>
      </c>
      <c r="IL6" s="192"/>
      <c r="IN6" s="696" t="s">
        <v>104</v>
      </c>
      <c r="IO6" s="696"/>
      <c r="IP6" s="696"/>
      <c r="IQ6" s="696"/>
      <c r="IR6" s="696"/>
    </row>
    <row r="7" spans="1:252" ht="13.5" customHeight="1" thickBot="1" x14ac:dyDescent="0.25">
      <c r="A7" s="27" t="s">
        <v>101</v>
      </c>
      <c r="B7" s="83">
        <f>RELAÇÃO_DE_CARGA!B8</f>
        <v>1</v>
      </c>
      <c r="C7" s="681">
        <f>IF($C$1="Vazio",0,RELAÇÃO_DE_CARGA!C8:D8)</f>
        <v>0</v>
      </c>
      <c r="D7" s="682"/>
      <c r="E7" s="83">
        <f>RELAÇÃO_DE_CARGA!E8</f>
        <v>1</v>
      </c>
      <c r="F7" s="681">
        <f>IF($F$1="Vazio",0,RELAÇÃO_DE_CARGA!F8:G8)</f>
        <v>0</v>
      </c>
      <c r="G7" s="682"/>
      <c r="H7" s="83">
        <f>RELAÇÃO_DE_CARGA!H8</f>
        <v>1</v>
      </c>
      <c r="I7" s="681">
        <f>IF(OR($I$1="Vazio",RELAÇÃO_DE_CARGA!$I$1&lt;3),0,RELAÇÃO_DE_CARGA!I8:J8)</f>
        <v>0</v>
      </c>
      <c r="J7" s="682"/>
      <c r="K7" s="83">
        <f>RELAÇÃO_DE_CARGA!K8</f>
        <v>1</v>
      </c>
      <c r="L7" s="681">
        <f>IF(OR($L$1="Vazio",RELAÇÃO_DE_CARGA!$I$1&lt;4),0,RELAÇÃO_DE_CARGA!L8:M8)</f>
        <v>0</v>
      </c>
      <c r="M7" s="682"/>
      <c r="N7" s="83">
        <f>RELAÇÃO_DE_CARGA!N8</f>
        <v>1</v>
      </c>
      <c r="O7" s="681">
        <f>IF(OR($O$1="Vazio",RELAÇÃO_DE_CARGA!$I$1&lt;5),0,RELAÇÃO_DE_CARGA!O8)</f>
        <v>0</v>
      </c>
      <c r="P7" s="682"/>
      <c r="Q7" s="83">
        <f>RELAÇÃO_DE_CARGA!Q8</f>
        <v>1</v>
      </c>
      <c r="R7" s="681">
        <f>IF(OR($R$1="Vazio",RELAÇÃO_DE_CARGA!$I$1&lt;6),0,RELAÇÃO_DE_CARGA!R8)</f>
        <v>0</v>
      </c>
      <c r="S7" s="682"/>
      <c r="T7" s="83">
        <f>RELAÇÃO_DE_CARGA!T8</f>
        <v>1</v>
      </c>
      <c r="U7" s="681">
        <f>IF(OR($U$1="Vazio",RELAÇÃO_DE_CARGA!$I$1&lt;7),0,RELAÇÃO_DE_CARGA!U8)</f>
        <v>0</v>
      </c>
      <c r="V7" s="682"/>
      <c r="W7" s="83">
        <f>RELAÇÃO_DE_CARGA!W8</f>
        <v>1</v>
      </c>
      <c r="X7" s="681">
        <f>IF(OR($X$1="Vazio",RELAÇÃO_DE_CARGA!$I$1&lt;8),0,RELAÇÃO_DE_CARGA!X8)</f>
        <v>0</v>
      </c>
      <c r="Y7" s="682"/>
      <c r="Z7" s="83">
        <f>RELAÇÃO_DE_CARGA!Z8</f>
        <v>1</v>
      </c>
      <c r="AA7" s="681">
        <f>IF(OR($AA$1="Vazio",RELAÇÃO_DE_CARGA!$I$1&lt;9),0,RELAÇÃO_DE_CARGA!AA8)</f>
        <v>0</v>
      </c>
      <c r="AB7" s="682"/>
      <c r="AC7" s="83">
        <f>RELAÇÃO_DE_CARGA!AC8</f>
        <v>1</v>
      </c>
      <c r="AD7" s="681">
        <f>IF(OR($AD$1="Vazio",RELAÇÃO_DE_CARGA!$I$1&lt;10),0,RELAÇÃO_DE_CARGA!AD8)</f>
        <v>0</v>
      </c>
      <c r="AE7" s="682"/>
      <c r="AF7" s="83">
        <f>RELAÇÃO_DE_CARGA!AF8</f>
        <v>1</v>
      </c>
      <c r="AG7" s="681">
        <f>IF(OR($AG$1="Vazio",RELAÇÃO_DE_CARGA!$I$1&lt;11),0,RELAÇÃO_DE_CARGA!AG8)</f>
        <v>0</v>
      </c>
      <c r="AH7" s="682"/>
      <c r="AI7" s="83">
        <f>RELAÇÃO_DE_CARGA!AI8</f>
        <v>1</v>
      </c>
      <c r="AJ7" s="681">
        <f>IF(OR($AJ$1="Vazio",RELAÇÃO_DE_CARGA!$I$1&lt;12),0,RELAÇÃO_DE_CARGA!AJ8)</f>
        <v>0</v>
      </c>
      <c r="AK7" s="682"/>
      <c r="AL7" s="170"/>
      <c r="AM7" s="170"/>
      <c r="AN7" s="170"/>
      <c r="AO7" s="170"/>
      <c r="AP7" s="170"/>
      <c r="AQ7" s="51"/>
      <c r="AR7" s="70">
        <f>C7/B7</f>
        <v>0</v>
      </c>
      <c r="AS7" s="712"/>
      <c r="AT7" s="70">
        <f>F7/E7</f>
        <v>0</v>
      </c>
      <c r="AU7" s="712"/>
      <c r="AV7" s="70">
        <f>I7/H7</f>
        <v>0</v>
      </c>
      <c r="AW7" s="712"/>
      <c r="AX7" s="70">
        <f>L7/K7</f>
        <v>0</v>
      </c>
      <c r="AY7" s="712"/>
      <c r="AZ7" s="70">
        <f t="shared" si="0"/>
        <v>0</v>
      </c>
      <c r="BA7" s="712"/>
      <c r="BB7" s="70">
        <f t="shared" si="1"/>
        <v>0</v>
      </c>
      <c r="BC7" s="712"/>
      <c r="BD7" s="70">
        <f t="shared" si="2"/>
        <v>0</v>
      </c>
      <c r="BE7" s="712"/>
      <c r="BF7" s="70">
        <f t="shared" si="3"/>
        <v>0</v>
      </c>
      <c r="BG7" s="712"/>
      <c r="BH7" s="70">
        <f t="shared" si="4"/>
        <v>0</v>
      </c>
      <c r="BI7" s="712"/>
      <c r="BJ7" s="70">
        <f t="shared" si="5"/>
        <v>0</v>
      </c>
      <c r="BK7" s="712"/>
      <c r="BL7" s="70">
        <f t="shared" si="6"/>
        <v>0</v>
      </c>
      <c r="BM7" s="712"/>
      <c r="BN7" s="70">
        <f t="shared" si="7"/>
        <v>0</v>
      </c>
      <c r="BO7" s="712"/>
      <c r="BP7" s="51"/>
      <c r="BQ7" s="51" t="s">
        <v>116</v>
      </c>
      <c r="BR7" s="51">
        <f>IF(SUM($AR$5:$AR$10)&lt;=20,SUM($AR$5:$AR$10),((SUM($AR$5:$AR$10)-20)*0.7)+20)</f>
        <v>0</v>
      </c>
      <c r="BS7" s="51">
        <f>IF(SUM($AT$5:$AT$10)&lt;=20,SUM($AT$5:$AT$10),((SUM($AT$5:$AT$10)-20)*0.7)+20)</f>
        <v>0</v>
      </c>
      <c r="BT7" s="51">
        <f>IF(SUM($AV$5:$AV$10)&lt;=20,SUM($AV$5:$AV$10),((SUM($AV$5:$AV$10)-20)*0.7)+20)</f>
        <v>0</v>
      </c>
      <c r="BU7" s="51">
        <f>IF(SUM($AX$5:$AX$10)&lt;=20,SUM($AX$5:$AX$10),((SUM($AX$5:$AX$10)-20)*0.7)+20)</f>
        <v>0</v>
      </c>
      <c r="BV7" s="51">
        <f>IF(SUM($AZ$5:$AZ$10)&lt;=20,SUM($AZ$5:$AZ$10),((SUM($AZ$5:$AZ$10)-20)*0.7)+20)</f>
        <v>0</v>
      </c>
      <c r="BW7" s="51">
        <f>IF(SUM($BB$5:$BB$10)&lt;=20,SUM($BB$5:$BB$10),((SUM($BB$5:$BB$10)-20)*0.7)+20)</f>
        <v>0</v>
      </c>
      <c r="BX7" s="51">
        <f>IF(SUM($BD$5:$BD$10)&lt;=20,SUM($BD$5:$BD$10),((SUM($BD$5:$BD$10)-20)*0.7)+20)</f>
        <v>0</v>
      </c>
      <c r="BY7" s="51">
        <f>IF(SUM($BF$5:$BF$10)&lt;=20,SUM($BF$5:$BF$10),((SUM($BF$5:$BF$10)-20)*0.7)+20)</f>
        <v>0</v>
      </c>
      <c r="BZ7" s="51">
        <f>IF(SUM($BH$5:$BH$10)&lt;=20,SUM($BH$5:$BH$10),((SUM($BH$5:$BH$10)-20)*0.7)+20)</f>
        <v>0</v>
      </c>
      <c r="CA7" s="51">
        <f>IF(SUM($BJ$5:$BJ$10)&lt;=20,SUM($BJ$5:$BJ$10),((SUM($BJ$5:$BJ$10)-20)*0.7)+20)</f>
        <v>0</v>
      </c>
      <c r="CB7" s="51">
        <f>IF(SUM(BL5:BL10)&lt;=20,SUM(BL5:BL10),((SUM(BL5:BL10)-20)*0.7)+20)</f>
        <v>0</v>
      </c>
      <c r="CC7" s="51">
        <f>IF(SUM($BN$5:$BN$10)&lt;=20,SUM($BN$5:$BN$10),((SUM($BN$5:$BN$10)-20)*0.7)+20)</f>
        <v>0</v>
      </c>
      <c r="CD7" s="128"/>
      <c r="CE7" s="128" t="s">
        <v>117</v>
      </c>
      <c r="CF7" s="51">
        <f>IF(IF($C$1=$I$1,SUM($AR$5:$AR$10,$AV$5:$AV$10),SUM($AR$5:$AR$10))&lt;=50,IF($C$1=$I$1,SUM($AR$5:$AR$10,$AV$5:$AV$10)*0.4,SUM($AR$5:$AR$10)*0.4),IF($C$1=$I$1,(((SUM($AR$5:$AR$10,$AV$5:$AV$10)-50)*0.2)+(50*0.4)),(((SUM($AR$5:$AR$10)-50)*0.2)+(50*0.4))))</f>
        <v>0</v>
      </c>
      <c r="CG7" s="51"/>
      <c r="CH7" s="51">
        <f>IF(IF($C$1=$I$1,0,SUM($AV$5:$AV$10))&lt;=50,IF($C$1=$I$1,0,SUM($AV$5:$AV$10)*0.4),IF($C$1=$I$1,0,(((SUM($AV$5:$AV$10)-50)*0.2)+(50*0.4))))</f>
        <v>0</v>
      </c>
      <c r="CI7" s="51"/>
      <c r="CJ7" s="51"/>
      <c r="CK7" s="21"/>
      <c r="CL7" s="85"/>
      <c r="CM7" s="200"/>
      <c r="CN7" s="201" t="s">
        <v>41</v>
      </c>
      <c r="CO7" s="90" t="s">
        <v>171</v>
      </c>
      <c r="CP7" s="57" t="s">
        <v>38</v>
      </c>
      <c r="CQ7" s="58" t="s">
        <v>41</v>
      </c>
      <c r="CR7" s="85"/>
      <c r="CS7" s="55" t="s">
        <v>38</v>
      </c>
      <c r="CT7" s="59" t="s">
        <v>41</v>
      </c>
      <c r="CU7" s="85"/>
      <c r="CV7" s="55" t="s">
        <v>38</v>
      </c>
      <c r="CW7" s="59" t="s">
        <v>41</v>
      </c>
      <c r="CX7" s="85"/>
      <c r="CY7" s="55" t="s">
        <v>38</v>
      </c>
      <c r="CZ7" s="59" t="s">
        <v>41</v>
      </c>
      <c r="DA7" s="85"/>
      <c r="DB7" s="55" t="s">
        <v>38</v>
      </c>
      <c r="DC7" s="59" t="s">
        <v>41</v>
      </c>
      <c r="DD7" s="85"/>
      <c r="DE7" s="55" t="s">
        <v>38</v>
      </c>
      <c r="DF7" s="59" t="s">
        <v>41</v>
      </c>
      <c r="DG7" s="85"/>
      <c r="DH7" s="55" t="s">
        <v>38</v>
      </c>
      <c r="DI7" s="59" t="s">
        <v>41</v>
      </c>
      <c r="DJ7" s="85"/>
      <c r="DK7" s="200" t="s">
        <v>38</v>
      </c>
      <c r="DL7" s="201" t="s">
        <v>41</v>
      </c>
      <c r="DM7" s="85" t="s">
        <v>171</v>
      </c>
      <c r="DN7" s="55" t="s">
        <v>38</v>
      </c>
      <c r="DO7" s="59" t="s">
        <v>41</v>
      </c>
      <c r="DP7" s="90"/>
      <c r="DQ7" s="60" t="s">
        <v>38</v>
      </c>
      <c r="DR7" s="58" t="s">
        <v>41</v>
      </c>
      <c r="DS7" s="290"/>
      <c r="DT7" s="51"/>
      <c r="DV7" s="21"/>
      <c r="DW7" s="85"/>
      <c r="DX7" s="200"/>
      <c r="DY7" s="201" t="s">
        <v>41</v>
      </c>
      <c r="DZ7" s="90" t="s">
        <v>171</v>
      </c>
      <c r="EA7" s="57" t="s">
        <v>38</v>
      </c>
      <c r="EB7" s="58" t="s">
        <v>41</v>
      </c>
      <c r="EC7" s="85"/>
      <c r="ED7" s="55" t="s">
        <v>38</v>
      </c>
      <c r="EE7" s="59" t="s">
        <v>41</v>
      </c>
      <c r="EF7" s="85"/>
      <c r="EG7" s="55" t="s">
        <v>38</v>
      </c>
      <c r="EH7" s="59" t="s">
        <v>41</v>
      </c>
      <c r="EI7" s="85"/>
      <c r="EJ7" s="55" t="s">
        <v>38</v>
      </c>
      <c r="EK7" s="59" t="s">
        <v>41</v>
      </c>
      <c r="EL7" s="85"/>
      <c r="EM7" s="55" t="s">
        <v>38</v>
      </c>
      <c r="EN7" s="59" t="s">
        <v>41</v>
      </c>
      <c r="EO7" s="85"/>
      <c r="EP7" s="55" t="s">
        <v>38</v>
      </c>
      <c r="EQ7" s="59" t="s">
        <v>41</v>
      </c>
      <c r="ER7" s="85"/>
      <c r="ES7" s="55" t="s">
        <v>38</v>
      </c>
      <c r="ET7" s="59" t="s">
        <v>41</v>
      </c>
      <c r="EU7" s="85"/>
      <c r="EV7" s="200" t="s">
        <v>38</v>
      </c>
      <c r="EW7" s="201" t="s">
        <v>41</v>
      </c>
      <c r="EX7" s="85" t="s">
        <v>171</v>
      </c>
      <c r="EY7" s="55" t="s">
        <v>38</v>
      </c>
      <c r="EZ7" s="59" t="s">
        <v>41</v>
      </c>
      <c r="FA7" s="90"/>
      <c r="FB7" s="60" t="s">
        <v>38</v>
      </c>
      <c r="FC7" s="58" t="s">
        <v>41</v>
      </c>
      <c r="FD7" s="35"/>
      <c r="FF7" s="20" t="s">
        <v>105</v>
      </c>
      <c r="FG7" s="20" t="s">
        <v>171</v>
      </c>
      <c r="FH7" s="20"/>
      <c r="FI7" s="72"/>
      <c r="FJ7" s="72"/>
      <c r="FK7" s="51"/>
      <c r="FM7" s="21"/>
      <c r="FN7" s="85"/>
      <c r="FO7" s="200"/>
      <c r="FP7" s="201" t="s">
        <v>41</v>
      </c>
      <c r="FQ7" s="90" t="s">
        <v>171</v>
      </c>
      <c r="FR7" s="57" t="s">
        <v>38</v>
      </c>
      <c r="FS7" s="58" t="s">
        <v>41</v>
      </c>
      <c r="FT7" s="85"/>
      <c r="FU7" s="55" t="s">
        <v>38</v>
      </c>
      <c r="FV7" s="59" t="s">
        <v>41</v>
      </c>
      <c r="FW7" s="85"/>
      <c r="FX7" s="55" t="s">
        <v>38</v>
      </c>
      <c r="FY7" s="59" t="s">
        <v>41</v>
      </c>
      <c r="FZ7" s="85"/>
      <c r="GA7" s="55" t="s">
        <v>38</v>
      </c>
      <c r="GB7" s="59" t="s">
        <v>41</v>
      </c>
      <c r="GC7" s="85"/>
      <c r="GD7" s="55" t="s">
        <v>38</v>
      </c>
      <c r="GE7" s="59" t="s">
        <v>41</v>
      </c>
      <c r="GF7" s="85"/>
      <c r="GG7" s="55" t="s">
        <v>38</v>
      </c>
      <c r="GH7" s="59" t="s">
        <v>41</v>
      </c>
      <c r="GI7" s="85"/>
      <c r="GJ7" s="55" t="s">
        <v>38</v>
      </c>
      <c r="GK7" s="59" t="s">
        <v>41</v>
      </c>
      <c r="GL7" s="85"/>
      <c r="GM7" s="200" t="s">
        <v>38</v>
      </c>
      <c r="GN7" s="201" t="s">
        <v>41</v>
      </c>
      <c r="GO7" s="85" t="s">
        <v>171</v>
      </c>
      <c r="GP7" s="55" t="s">
        <v>38</v>
      </c>
      <c r="GQ7" s="59" t="s">
        <v>41</v>
      </c>
      <c r="GR7" s="90"/>
      <c r="GS7" s="60" t="s">
        <v>38</v>
      </c>
      <c r="GT7" s="58" t="s">
        <v>41</v>
      </c>
      <c r="GU7" s="35"/>
      <c r="GW7" s="20" t="s">
        <v>105</v>
      </c>
      <c r="GX7" s="20" t="s">
        <v>171</v>
      </c>
      <c r="GY7" s="20"/>
      <c r="GZ7" s="72"/>
      <c r="HA7" s="72"/>
      <c r="HB7" s="51"/>
      <c r="HD7" s="21"/>
      <c r="HE7" s="85"/>
      <c r="HF7" s="200"/>
      <c r="HG7" s="201" t="s">
        <v>41</v>
      </c>
      <c r="HH7" s="90" t="s">
        <v>171</v>
      </c>
      <c r="HI7" s="57" t="s">
        <v>38</v>
      </c>
      <c r="HJ7" s="58" t="s">
        <v>41</v>
      </c>
      <c r="HK7" s="85"/>
      <c r="HL7" s="55" t="s">
        <v>38</v>
      </c>
      <c r="HM7" s="59" t="s">
        <v>41</v>
      </c>
      <c r="HN7" s="85"/>
      <c r="HO7" s="55" t="s">
        <v>38</v>
      </c>
      <c r="HP7" s="59" t="s">
        <v>41</v>
      </c>
      <c r="HQ7" s="85"/>
      <c r="HR7" s="55" t="s">
        <v>38</v>
      </c>
      <c r="HS7" s="59" t="s">
        <v>41</v>
      </c>
      <c r="HT7" s="85"/>
      <c r="HU7" s="55" t="s">
        <v>38</v>
      </c>
      <c r="HV7" s="59" t="s">
        <v>41</v>
      </c>
      <c r="HW7" s="85"/>
      <c r="HX7" s="55" t="s">
        <v>38</v>
      </c>
      <c r="HY7" s="59" t="s">
        <v>41</v>
      </c>
      <c r="HZ7" s="85"/>
      <c r="IA7" s="55" t="s">
        <v>38</v>
      </c>
      <c r="IB7" s="59" t="s">
        <v>41</v>
      </c>
      <c r="IC7" s="85"/>
      <c r="ID7" s="200" t="s">
        <v>38</v>
      </c>
      <c r="IE7" s="201" t="s">
        <v>41</v>
      </c>
      <c r="IF7" s="85" t="s">
        <v>171</v>
      </c>
      <c r="IG7" s="55" t="s">
        <v>38</v>
      </c>
      <c r="IH7" s="59" t="s">
        <v>41</v>
      </c>
      <c r="II7" s="90"/>
      <c r="IJ7" s="60" t="s">
        <v>38</v>
      </c>
      <c r="IK7" s="58" t="s">
        <v>41</v>
      </c>
      <c r="IL7" s="35"/>
      <c r="IN7" s="20" t="s">
        <v>105</v>
      </c>
      <c r="IO7" s="20" t="s">
        <v>171</v>
      </c>
      <c r="IP7" s="20"/>
      <c r="IQ7" s="72"/>
      <c r="IR7" s="72"/>
    </row>
    <row r="8" spans="1:252" ht="12.75" customHeight="1" x14ac:dyDescent="0.2">
      <c r="A8" s="27" t="s">
        <v>101</v>
      </c>
      <c r="B8" s="83">
        <f>RELAÇÃO_DE_CARGA!B9</f>
        <v>1</v>
      </c>
      <c r="C8" s="681">
        <f>IF($C$1="Vazio",0,RELAÇÃO_DE_CARGA!C9:D9)</f>
        <v>0</v>
      </c>
      <c r="D8" s="682"/>
      <c r="E8" s="83">
        <f>RELAÇÃO_DE_CARGA!E9</f>
        <v>1</v>
      </c>
      <c r="F8" s="681">
        <f>IF($F$1="Vazio",0,RELAÇÃO_DE_CARGA!F9:G9)</f>
        <v>0</v>
      </c>
      <c r="G8" s="682"/>
      <c r="H8" s="83">
        <f>RELAÇÃO_DE_CARGA!H9</f>
        <v>1</v>
      </c>
      <c r="I8" s="681">
        <f>IF(OR($I$1="Vazio",RELAÇÃO_DE_CARGA!$I$1&lt;3),0,RELAÇÃO_DE_CARGA!I9:J9)</f>
        <v>0</v>
      </c>
      <c r="J8" s="682"/>
      <c r="K8" s="83">
        <f>RELAÇÃO_DE_CARGA!K9</f>
        <v>1</v>
      </c>
      <c r="L8" s="681">
        <f>IF(OR($L$1="Vazio",RELAÇÃO_DE_CARGA!$I$1&lt;4),0,RELAÇÃO_DE_CARGA!L9:M9)</f>
        <v>0</v>
      </c>
      <c r="M8" s="682"/>
      <c r="N8" s="83">
        <f>RELAÇÃO_DE_CARGA!N9</f>
        <v>1</v>
      </c>
      <c r="O8" s="681">
        <f>IF(OR($O$1="Vazio",RELAÇÃO_DE_CARGA!$I$1&lt;5),0,RELAÇÃO_DE_CARGA!O9)</f>
        <v>0</v>
      </c>
      <c r="P8" s="682"/>
      <c r="Q8" s="83">
        <f>RELAÇÃO_DE_CARGA!Q9</f>
        <v>1</v>
      </c>
      <c r="R8" s="681">
        <f>IF(OR($R$1="Vazio",RELAÇÃO_DE_CARGA!$I$1&lt;6),0,RELAÇÃO_DE_CARGA!R9)</f>
        <v>0</v>
      </c>
      <c r="S8" s="682"/>
      <c r="T8" s="83">
        <f>RELAÇÃO_DE_CARGA!T9</f>
        <v>1</v>
      </c>
      <c r="U8" s="681">
        <f>IF(OR($U$1="Vazio",RELAÇÃO_DE_CARGA!$I$1&lt;7),0,RELAÇÃO_DE_CARGA!U9)</f>
        <v>0</v>
      </c>
      <c r="V8" s="682"/>
      <c r="W8" s="83">
        <f>RELAÇÃO_DE_CARGA!W9</f>
        <v>1</v>
      </c>
      <c r="X8" s="681">
        <f>IF(OR($X$1="Vazio",RELAÇÃO_DE_CARGA!$I$1&lt;8),0,RELAÇÃO_DE_CARGA!X9)</f>
        <v>0</v>
      </c>
      <c r="Y8" s="682"/>
      <c r="Z8" s="83">
        <f>RELAÇÃO_DE_CARGA!Z9</f>
        <v>1</v>
      </c>
      <c r="AA8" s="681">
        <f>IF(OR($AA$1="Vazio",RELAÇÃO_DE_CARGA!$I$1&lt;9),0,RELAÇÃO_DE_CARGA!AA9)</f>
        <v>0</v>
      </c>
      <c r="AB8" s="682"/>
      <c r="AC8" s="83">
        <f>RELAÇÃO_DE_CARGA!AC9</f>
        <v>1</v>
      </c>
      <c r="AD8" s="681">
        <f>IF(OR($AD$1="Vazio",RELAÇÃO_DE_CARGA!$I$1&lt;10),0,RELAÇÃO_DE_CARGA!AD9)</f>
        <v>0</v>
      </c>
      <c r="AE8" s="682"/>
      <c r="AF8" s="83">
        <f>RELAÇÃO_DE_CARGA!AF9</f>
        <v>1</v>
      </c>
      <c r="AG8" s="681">
        <f>IF(OR($AG$1="Vazio",RELAÇÃO_DE_CARGA!$I$1&lt;11),0,RELAÇÃO_DE_CARGA!AG9)</f>
        <v>0</v>
      </c>
      <c r="AH8" s="682"/>
      <c r="AI8" s="83">
        <f>RELAÇÃO_DE_CARGA!AI9</f>
        <v>1</v>
      </c>
      <c r="AJ8" s="681">
        <f>IF(OR($AJ$1="Vazio",RELAÇÃO_DE_CARGA!$I$1&lt;12),0,RELAÇÃO_DE_CARGA!AJ9)</f>
        <v>0</v>
      </c>
      <c r="AK8" s="682"/>
      <c r="AL8" s="170"/>
      <c r="AM8" s="170"/>
      <c r="AN8" s="170"/>
      <c r="AO8" s="170"/>
      <c r="AP8" s="170"/>
      <c r="AQ8" s="51"/>
      <c r="AR8" s="70">
        <f>C8/B8</f>
        <v>0</v>
      </c>
      <c r="AS8" s="712"/>
      <c r="AT8" s="70">
        <f>F8/E8</f>
        <v>0</v>
      </c>
      <c r="AU8" s="712"/>
      <c r="AV8" s="70">
        <f>I8/H8</f>
        <v>0</v>
      </c>
      <c r="AW8" s="712"/>
      <c r="AX8" s="70">
        <f>L8/K8</f>
        <v>0</v>
      </c>
      <c r="AY8" s="712"/>
      <c r="AZ8" s="70">
        <f t="shared" si="0"/>
        <v>0</v>
      </c>
      <c r="BA8" s="712"/>
      <c r="BB8" s="70">
        <f t="shared" si="1"/>
        <v>0</v>
      </c>
      <c r="BC8" s="712"/>
      <c r="BD8" s="70">
        <f t="shared" si="2"/>
        <v>0</v>
      </c>
      <c r="BE8" s="712"/>
      <c r="BF8" s="70">
        <f t="shared" si="3"/>
        <v>0</v>
      </c>
      <c r="BG8" s="712"/>
      <c r="BH8" s="70">
        <f t="shared" si="4"/>
        <v>0</v>
      </c>
      <c r="BI8" s="712"/>
      <c r="BJ8" s="70">
        <f t="shared" si="5"/>
        <v>0</v>
      </c>
      <c r="BK8" s="712"/>
      <c r="BL8" s="70">
        <f t="shared" si="6"/>
        <v>0</v>
      </c>
      <c r="BM8" s="712"/>
      <c r="BN8" s="70">
        <f t="shared" si="7"/>
        <v>0</v>
      </c>
      <c r="BO8" s="712"/>
      <c r="BP8" s="51"/>
      <c r="BQ8" s="51" t="s">
        <v>117</v>
      </c>
      <c r="BR8" s="51">
        <f>IF(SUM($AR$5:$AR$10)&lt;=50,SUM($AR$5:$AR$10)*0.4,((SUM($AR$5:$AR$10)-50)*0.2)+(50*0.4))</f>
        <v>0</v>
      </c>
      <c r="BS8" s="51">
        <f>IF(SUM($AT$5:$AT$10)&lt;=50,SUM($AT$5:$AT$10)*0.4,((SUM($AT$5:$AT$10)-50)*0.2)+(50*0.4))</f>
        <v>0</v>
      </c>
      <c r="BT8" s="51">
        <f>IF(SUM($AV$5:$AV$10)&lt;=50,SUM($AV$5:$AV$10)*0.4,((SUM($AV$5:$AV$10)-50)*0.2)+(50*0.4))</f>
        <v>0</v>
      </c>
      <c r="BU8" s="51">
        <f>IF(SUM($AX$5:$AX$10)&lt;=50,SUM($AX$5:$AX$10)*0.4,((SUM($AX$5:$AX$10)-50)*0.2)+(50*0.4))</f>
        <v>0</v>
      </c>
      <c r="BV8" s="51">
        <f>IF(SUM($AZ$5:$AZ$10)&lt;=50,SUM($AZ$5:$AZ$10)*0.4,((SUM($AZ$5:$AZ$10)-50)*0.2)+(50*0.4))</f>
        <v>0</v>
      </c>
      <c r="BW8" s="51">
        <f>IF(SUM($BB$5:$BB$10)&lt;=50,SUM($BB$5:$BB$10)*0.4,((SUM($BB$5:$BB$10)-50)*0.2)+(50*0.4))</f>
        <v>0</v>
      </c>
      <c r="BX8" s="51">
        <f>IF(SUM($BD$5:$BD$10)&lt;=50,SUM($BD$5:$BD$10)*0.4,((SUM($BD$5:$BD$10)-50)*0.2)+(50*0.4))</f>
        <v>0</v>
      </c>
      <c r="BY8" s="51">
        <f>IF(SUM($BF$5:$BF$10)&lt;=50,SUM($BF$5:$BF$10)*0.4,((SUM($BF$5:$BF$10)-50)*0.2)+(50*0.4))</f>
        <v>0</v>
      </c>
      <c r="BZ8" s="51">
        <f>IF(SUM($BH$5:$BH$10)&lt;=50,SUM($BH$5:$BH$10)*0.4,((SUM($BH$5:$BH$10)-50)*0.2)+(50*0.4))</f>
        <v>0</v>
      </c>
      <c r="CA8" s="51">
        <f>IF(SUM($BJ$5:$BJ$10)&lt;=50,SUM($BJ$5:$BJ$10)*0.4,((SUM($BJ$5:$BJ$10)-50)*0.2)+(50*0.4))</f>
        <v>0</v>
      </c>
      <c r="CB8" s="51">
        <f>IF(SUM(BL5:BL10)&lt;=50,SUM(BL5:BL10)*0.4,((SUM(BL5:BL10)-50)*0.2)+(50*0.4))</f>
        <v>0</v>
      </c>
      <c r="CC8" s="51">
        <f>IF(SUM($BN$5:$BN$10)&lt;=50,SUM($BN$5:$BN$10)*0.4,((SUM($BN$5:$BN$10)-50)*0.2)+(50*0.4))</f>
        <v>0</v>
      </c>
      <c r="CD8" s="128"/>
      <c r="CE8" s="128" t="s">
        <v>1837</v>
      </c>
      <c r="CF8" s="51">
        <v>1</v>
      </c>
      <c r="CG8" s="51"/>
      <c r="CH8" s="51">
        <v>1</v>
      </c>
      <c r="CI8" s="51"/>
      <c r="CJ8" s="51"/>
      <c r="CK8" s="26" t="s">
        <v>42</v>
      </c>
      <c r="CL8" s="51">
        <f>VLOOKUP(SUM($CM$8:$CM$10),'tab aparelhos'!$B$4:$C$35,2)</f>
        <v>0</v>
      </c>
      <c r="CM8" s="202">
        <f>SUM(IF($C$1=$DK$1,0,$C$13),IF($F$1=$DK$1,0,$F$13))</f>
        <v>0</v>
      </c>
      <c r="CN8" s="202">
        <f>SUM(IF($C$1=DK1,0,$D$13),IF($F$1=DK1,0,$G$13))</f>
        <v>0</v>
      </c>
      <c r="CO8" s="199">
        <f t="shared" ref="CO8:CO23" si="9">CN8*CL8</f>
        <v>0</v>
      </c>
      <c r="CP8" s="193"/>
      <c r="CQ8" s="199">
        <f>CN8</f>
        <v>0</v>
      </c>
      <c r="CR8" s="193"/>
      <c r="CS8" s="193"/>
      <c r="CT8" s="193"/>
      <c r="CU8" s="193"/>
      <c r="CV8" s="193"/>
      <c r="CW8" s="193"/>
      <c r="CX8" s="193"/>
      <c r="CY8" s="193"/>
      <c r="CZ8" s="193"/>
      <c r="DA8" s="193"/>
      <c r="DB8" s="193"/>
      <c r="DC8" s="193"/>
      <c r="DD8" s="193"/>
      <c r="DE8" s="193"/>
      <c r="DF8" s="193"/>
      <c r="DG8" s="193"/>
      <c r="DH8" s="193"/>
      <c r="DI8" s="193"/>
      <c r="DJ8" s="193"/>
      <c r="DK8" s="202">
        <f>SUM(IF($C$1=$EV$1,$C$13,0),IF($F$1=$EV$1,$F$13,0))</f>
        <v>0</v>
      </c>
      <c r="DL8" s="202">
        <f>SUM(IF($C$1=$EV$1,$D$13,0),IF($F$1=$EV$1,$G$13,0))</f>
        <v>0</v>
      </c>
      <c r="DM8" s="199">
        <f>$DL$8</f>
        <v>0</v>
      </c>
      <c r="DN8" s="193"/>
      <c r="DO8" s="193"/>
      <c r="DP8" s="193"/>
      <c r="DQ8" s="193"/>
      <c r="DR8" s="193"/>
      <c r="DS8" s="290"/>
      <c r="DT8" s="51"/>
      <c r="DV8" s="26" t="s">
        <v>42</v>
      </c>
      <c r="DW8" s="83"/>
      <c r="DX8" s="202">
        <f>SUM(IF($C$1=$DX$1,$C$13,0),IF($F$1=$DX$1,$F$13,0),IF($I$1=$DX$1,$I$13,0),IF($L$1=$DX$1,$L$13,0))</f>
        <v>0</v>
      </c>
      <c r="DY8" s="202">
        <f>SUM(IF($C$1=$DX$1,D13,0),IF($F$1=$DX$1,G13,0),IF($I$1=$DX$1,J13,0),IF($L$1=$DX$1,M13,0))</f>
        <v>0</v>
      </c>
      <c r="DZ8" s="199">
        <f>DY8*FG8</f>
        <v>0</v>
      </c>
      <c r="EA8" s="193"/>
      <c r="EB8" s="199">
        <f>SUM(DY8,EK8)</f>
        <v>0</v>
      </c>
      <c r="EC8" s="193"/>
      <c r="ED8" s="193"/>
      <c r="EE8" s="193"/>
      <c r="EF8" s="193"/>
      <c r="EG8" s="193"/>
      <c r="EH8" s="193"/>
      <c r="EI8" s="193"/>
      <c r="EJ8" s="199">
        <f>SUM(IF(OR($C$1=$DX$1,$C$1=$EV$1),0,C13),IF(OR($F$1=$DX$1,$F$1=$EV$1),0,F13),IF(OR($I$1=$DX$1,$I$1=$EV$1),0,I13),IF(OR($L$1=$DX$1,$L$1=$EV$1),0,L13))</f>
        <v>0</v>
      </c>
      <c r="EK8" s="199">
        <f>SUM(IF(OR($C$1=$DX$1,$C$1=$EV$1),0,D13),IF(OR($F$1=$DX$1,$F$1=$EV$1),0,G13),IF(OR($I$1=$DX$1,$I$1=$EV$1),0,J13),IF(OR($L$1=$DX$1,$L$1=$EV$1),0,M13))</f>
        <v>0</v>
      </c>
      <c r="EL8" s="199">
        <f>EK8*FG8</f>
        <v>0</v>
      </c>
      <c r="EM8" s="193"/>
      <c r="EN8" s="193"/>
      <c r="EO8" s="193"/>
      <c r="EP8" s="193"/>
      <c r="EQ8" s="193"/>
      <c r="ER8" s="193"/>
      <c r="ES8" s="193"/>
      <c r="ET8" s="193"/>
      <c r="EU8" s="193"/>
      <c r="EV8" s="202">
        <f>SUM(IF($C$1=$EV$1,$C13,0),IF($F$1=$EV$1,$F13,0),IF($I$1=$EV$1,$I13,0),IF($L$1=$EV$1,$L13,0))</f>
        <v>0</v>
      </c>
      <c r="EW8" s="202">
        <f>SUM(IF($C$1=$EV$1,$D13,0),IF($F$1=$EV$1,$G13,0),IF($I$1=$EV$1,$J13,0),IF($L$1=$EV$1,$M13,0))</f>
        <v>0</v>
      </c>
      <c r="EX8" s="199">
        <f>EW8</f>
        <v>0</v>
      </c>
      <c r="EY8" s="193"/>
      <c r="EZ8" s="193"/>
      <c r="FA8" s="193"/>
      <c r="FB8" s="193"/>
      <c r="FC8" s="193"/>
      <c r="FD8" s="35"/>
      <c r="FF8" s="51" t="s">
        <v>42</v>
      </c>
      <c r="FG8" s="51">
        <f>VLOOKUP(SUM(DX8:DX10,EJ8:EJ10),'tab aparelhos'!$B$4:$C$35,2)</f>
        <v>0</v>
      </c>
      <c r="FH8" s="51"/>
      <c r="FI8" s="51"/>
      <c r="FJ8" s="51"/>
      <c r="FK8" s="51"/>
      <c r="FM8" s="26" t="s">
        <v>42</v>
      </c>
      <c r="FN8" s="83"/>
      <c r="FO8" s="202">
        <f>SUM(IF($C$1=GM1,0,$C$13),IF($F$1=GM1,0,$F$13))</f>
        <v>0</v>
      </c>
      <c r="FP8" s="202">
        <f>SUM(IF($C$1=GM1,0,$D$13),IF($F$1=GM1,0,$G$13))</f>
        <v>0</v>
      </c>
      <c r="FQ8" s="199">
        <f t="shared" ref="FQ8:FQ23" si="10">FP8*GX8</f>
        <v>0</v>
      </c>
      <c r="FR8" s="193"/>
      <c r="FS8" s="199">
        <f>FP8</f>
        <v>0</v>
      </c>
      <c r="FT8" s="193"/>
      <c r="FU8" s="193"/>
      <c r="FV8" s="193"/>
      <c r="FW8" s="193"/>
      <c r="FX8" s="193"/>
      <c r="FY8" s="193"/>
      <c r="FZ8" s="193"/>
      <c r="GA8" s="193"/>
      <c r="GB8" s="193"/>
      <c r="GC8" s="193"/>
      <c r="GD8" s="193"/>
      <c r="GE8" s="193"/>
      <c r="GF8" s="193"/>
      <c r="GG8" s="193"/>
      <c r="GH8" s="193"/>
      <c r="GI8" s="193"/>
      <c r="GJ8" s="193"/>
      <c r="GK8" s="193"/>
      <c r="GL8" s="193"/>
      <c r="GM8" s="202">
        <f>SUM(IF($C$1=$EV$1,$C13,0),IF($F$1=$EV$1,$F13,0))</f>
        <v>0</v>
      </c>
      <c r="GN8" s="202">
        <f>SUM(IF($C$1=$EV$1,$D13,0),IF($F$1=$EV$1,$G13,0))</f>
        <v>0</v>
      </c>
      <c r="GO8" s="199">
        <f>GN8</f>
        <v>0</v>
      </c>
      <c r="GP8" s="193"/>
      <c r="GQ8" s="193"/>
      <c r="GR8" s="193"/>
      <c r="GS8" s="193"/>
      <c r="GT8" s="193"/>
      <c r="GU8" s="35"/>
      <c r="GW8" s="51" t="s">
        <v>42</v>
      </c>
      <c r="GX8" s="51">
        <f>VLOOKUP(SUM(FO8:FO10),'tab aparelhos'!$B$4:$C$35,2)</f>
        <v>0</v>
      </c>
      <c r="GY8" s="51"/>
      <c r="GZ8" s="51"/>
      <c r="HA8" s="51"/>
      <c r="HB8" s="51"/>
      <c r="HD8" s="26" t="s">
        <v>42</v>
      </c>
      <c r="HE8" s="83"/>
      <c r="HF8" s="202">
        <f>SUM(IF($I$1=ID1,0,$I$13),IF($L$1=ID1,0,$L$13))</f>
        <v>0</v>
      </c>
      <c r="HG8" s="202">
        <f>SUM(IF($I$1=ID1,0,$J$13),IF($L$1=ID1,0,$M$13))</f>
        <v>0</v>
      </c>
      <c r="HH8" s="199">
        <f>HG8*IO8</f>
        <v>0</v>
      </c>
      <c r="HI8" s="193"/>
      <c r="HJ8" s="199">
        <f>HG8</f>
        <v>0</v>
      </c>
      <c r="HK8" s="193"/>
      <c r="HL8" s="193"/>
      <c r="HM8" s="193"/>
      <c r="HN8" s="193"/>
      <c r="HO8" s="193"/>
      <c r="HP8" s="193"/>
      <c r="HQ8" s="193"/>
      <c r="HR8" s="193"/>
      <c r="HS8" s="193"/>
      <c r="HT8" s="193"/>
      <c r="HU8" s="193"/>
      <c r="HV8" s="193"/>
      <c r="HW8" s="193"/>
      <c r="HX8" s="193"/>
      <c r="HY8" s="193"/>
      <c r="HZ8" s="193"/>
      <c r="IA8" s="193"/>
      <c r="IB8" s="193"/>
      <c r="IC8" s="193"/>
      <c r="ID8" s="202">
        <f>SUM(IF($F$1=$EV$1,$F13,0),IF($L$1=$EV$1,$L13,0))</f>
        <v>0</v>
      </c>
      <c r="IE8" s="202">
        <f>SUM(IF($F$1=$EV$1,$G13,0),IF($L$1=$EV$1,$M13,0))</f>
        <v>0</v>
      </c>
      <c r="IF8" s="199">
        <f>IE8</f>
        <v>0</v>
      </c>
      <c r="IG8" s="193"/>
      <c r="IH8" s="193"/>
      <c r="II8" s="193"/>
      <c r="IJ8" s="193"/>
      <c r="IK8" s="193"/>
      <c r="IL8" s="35"/>
      <c r="IN8" s="51" t="s">
        <v>42</v>
      </c>
      <c r="IO8" s="51">
        <f>VLOOKUP(SUM(HF8:HF10),'tab aparelhos'!$B$4:$C$35,2)</f>
        <v>0</v>
      </c>
      <c r="IP8" s="51"/>
      <c r="IQ8" s="51"/>
      <c r="IR8" s="51"/>
    </row>
    <row r="9" spans="1:252" ht="12.75" customHeight="1" x14ac:dyDescent="0.2">
      <c r="A9" s="27" t="s">
        <v>101</v>
      </c>
      <c r="B9" s="83">
        <f>RELAÇÃO_DE_CARGA!B10</f>
        <v>1</v>
      </c>
      <c r="C9" s="681">
        <f>IF($C$1="Vazio",0,RELAÇÃO_DE_CARGA!C10:D10)</f>
        <v>0</v>
      </c>
      <c r="D9" s="682"/>
      <c r="E9" s="83">
        <f>RELAÇÃO_DE_CARGA!E10</f>
        <v>1</v>
      </c>
      <c r="F9" s="681">
        <f>IF($F$1="Vazio",0,RELAÇÃO_DE_CARGA!F10:G10)</f>
        <v>0</v>
      </c>
      <c r="G9" s="682"/>
      <c r="H9" s="83">
        <f>RELAÇÃO_DE_CARGA!H10</f>
        <v>1</v>
      </c>
      <c r="I9" s="681">
        <f>IF(OR($I$1="Vazio",RELAÇÃO_DE_CARGA!$I$1&lt;3),0,RELAÇÃO_DE_CARGA!I10:J10)</f>
        <v>0</v>
      </c>
      <c r="J9" s="682"/>
      <c r="K9" s="83">
        <f>RELAÇÃO_DE_CARGA!K10</f>
        <v>1</v>
      </c>
      <c r="L9" s="681">
        <f>IF(OR($L$1="Vazio",RELAÇÃO_DE_CARGA!$I$1&lt;4),0,RELAÇÃO_DE_CARGA!L10:M10)</f>
        <v>0</v>
      </c>
      <c r="M9" s="682"/>
      <c r="N9" s="83">
        <f>RELAÇÃO_DE_CARGA!N10</f>
        <v>1</v>
      </c>
      <c r="O9" s="681">
        <f>IF(OR($O$1="Vazio",RELAÇÃO_DE_CARGA!$I$1&lt;5),0,RELAÇÃO_DE_CARGA!O10)</f>
        <v>0</v>
      </c>
      <c r="P9" s="682"/>
      <c r="Q9" s="83">
        <f>RELAÇÃO_DE_CARGA!Q10</f>
        <v>1</v>
      </c>
      <c r="R9" s="681">
        <f>IF(OR($R$1="Vazio",RELAÇÃO_DE_CARGA!$I$1&lt;6),0,RELAÇÃO_DE_CARGA!R10)</f>
        <v>0</v>
      </c>
      <c r="S9" s="682"/>
      <c r="T9" s="83">
        <f>RELAÇÃO_DE_CARGA!T10</f>
        <v>1</v>
      </c>
      <c r="U9" s="681">
        <f>IF(OR($U$1="Vazio",RELAÇÃO_DE_CARGA!$I$1&lt;7),0,RELAÇÃO_DE_CARGA!U10)</f>
        <v>0</v>
      </c>
      <c r="V9" s="682"/>
      <c r="W9" s="83">
        <f>RELAÇÃO_DE_CARGA!W10</f>
        <v>1</v>
      </c>
      <c r="X9" s="681">
        <f>IF(OR($X$1="Vazio",RELAÇÃO_DE_CARGA!$I$1&lt;8),0,RELAÇÃO_DE_CARGA!X10)</f>
        <v>0</v>
      </c>
      <c r="Y9" s="682"/>
      <c r="Z9" s="83">
        <f>RELAÇÃO_DE_CARGA!Z10</f>
        <v>1</v>
      </c>
      <c r="AA9" s="681">
        <f>IF(OR($AA$1="Vazio",RELAÇÃO_DE_CARGA!$I$1&lt;9),0,RELAÇÃO_DE_CARGA!AA10)</f>
        <v>0</v>
      </c>
      <c r="AB9" s="682"/>
      <c r="AC9" s="83">
        <f>RELAÇÃO_DE_CARGA!AC10</f>
        <v>1</v>
      </c>
      <c r="AD9" s="681">
        <f>IF(OR($AD$1="Vazio",RELAÇÃO_DE_CARGA!$I$1&lt;10),0,RELAÇÃO_DE_CARGA!AD10)</f>
        <v>0</v>
      </c>
      <c r="AE9" s="682"/>
      <c r="AF9" s="83">
        <f>RELAÇÃO_DE_CARGA!AF10</f>
        <v>1</v>
      </c>
      <c r="AG9" s="681">
        <f>IF(OR($AG$1="Vazio",RELAÇÃO_DE_CARGA!$I$1&lt;11),0,RELAÇÃO_DE_CARGA!AG10)</f>
        <v>0</v>
      </c>
      <c r="AH9" s="682"/>
      <c r="AI9" s="83">
        <f>RELAÇÃO_DE_CARGA!AI10</f>
        <v>1</v>
      </c>
      <c r="AJ9" s="681">
        <f>IF(OR($AJ$1="Vazio",RELAÇÃO_DE_CARGA!$I$1&lt;12),0,RELAÇÃO_DE_CARGA!AJ10)</f>
        <v>0</v>
      </c>
      <c r="AK9" s="682"/>
      <c r="AL9" s="170"/>
      <c r="AM9" s="170"/>
      <c r="AN9" s="170"/>
      <c r="AO9" s="170"/>
      <c r="AP9" s="170"/>
      <c r="AQ9" s="51"/>
      <c r="AR9" s="70">
        <f>C9/B9</f>
        <v>0</v>
      </c>
      <c r="AS9" s="712"/>
      <c r="AT9" s="70">
        <f>F9/E9</f>
        <v>0</v>
      </c>
      <c r="AU9" s="712"/>
      <c r="AV9" s="70">
        <f>I9/H9</f>
        <v>0</v>
      </c>
      <c r="AW9" s="712"/>
      <c r="AX9" s="70">
        <f>L9/K9</f>
        <v>0</v>
      </c>
      <c r="AY9" s="712"/>
      <c r="AZ9" s="70">
        <f t="shared" si="0"/>
        <v>0</v>
      </c>
      <c r="BA9" s="712"/>
      <c r="BB9" s="70">
        <f t="shared" si="1"/>
        <v>0</v>
      </c>
      <c r="BC9" s="712"/>
      <c r="BD9" s="70">
        <f t="shared" si="2"/>
        <v>0</v>
      </c>
      <c r="BE9" s="712"/>
      <c r="BF9" s="70">
        <f t="shared" si="3"/>
        <v>0</v>
      </c>
      <c r="BG9" s="712"/>
      <c r="BH9" s="70">
        <f t="shared" si="4"/>
        <v>0</v>
      </c>
      <c r="BI9" s="712"/>
      <c r="BJ9" s="70">
        <f t="shared" si="5"/>
        <v>0</v>
      </c>
      <c r="BK9" s="712"/>
      <c r="BL9" s="70">
        <f t="shared" si="6"/>
        <v>0</v>
      </c>
      <c r="BM9" s="712"/>
      <c r="BN9" s="70">
        <f t="shared" si="7"/>
        <v>0</v>
      </c>
      <c r="BO9" s="712"/>
      <c r="BP9" s="51"/>
      <c r="BQ9" s="51" t="s">
        <v>1837</v>
      </c>
      <c r="BR9" s="70">
        <f>SUM(AR5:AR10)</f>
        <v>0</v>
      </c>
      <c r="BS9" s="70">
        <f>SUM(AT5:AT10)</f>
        <v>0</v>
      </c>
      <c r="BT9" s="70">
        <f>SUM(AV5:AV10)</f>
        <v>0</v>
      </c>
      <c r="BU9" s="70">
        <f>SUM(AX5:AX10)</f>
        <v>0</v>
      </c>
      <c r="BV9" s="70">
        <f>SUM(AZ5:AZ10)</f>
        <v>0</v>
      </c>
      <c r="BW9" s="70">
        <f>SUM(BB5:BB10)</f>
        <v>0</v>
      </c>
      <c r="BX9" s="70">
        <f t="shared" ref="BX9:BX14" si="11">SUM($BD$5:$BD$10)</f>
        <v>0</v>
      </c>
      <c r="BY9" s="70">
        <f>SUM(BF5:BF10)</f>
        <v>0</v>
      </c>
      <c r="BZ9" s="70">
        <f>SUM(BH5:BH10)</f>
        <v>0</v>
      </c>
      <c r="CA9" s="70">
        <f>SUM(BJ5:BJ10)</f>
        <v>0</v>
      </c>
      <c r="CB9" s="70">
        <f>SUM(BL5:BL10)</f>
        <v>0</v>
      </c>
      <c r="CC9" s="70">
        <f>SUM(BN5:BN10)</f>
        <v>0</v>
      </c>
      <c r="CD9" s="128"/>
      <c r="CE9" s="128" t="s">
        <v>119</v>
      </c>
      <c r="CF9" s="51">
        <v>1</v>
      </c>
      <c r="CG9" s="51"/>
      <c r="CH9" s="51">
        <v>1</v>
      </c>
      <c r="CI9" s="51"/>
      <c r="CJ9" s="51"/>
      <c r="CK9" s="27" t="s">
        <v>43</v>
      </c>
      <c r="CL9" s="51">
        <f>VLOOKUP(SUM($CM$8:$CM$10),'tab aparelhos'!$B$4:$C$35,2)</f>
        <v>0</v>
      </c>
      <c r="CM9" s="202">
        <f>SUM($C$14,$F$14)</f>
        <v>0</v>
      </c>
      <c r="CN9" s="202">
        <f>SUM($D$14,$G$14)</f>
        <v>0</v>
      </c>
      <c r="CO9" s="199">
        <f t="shared" si="9"/>
        <v>0</v>
      </c>
      <c r="CP9" s="193"/>
      <c r="CQ9" s="199">
        <f>CN9</f>
        <v>0</v>
      </c>
      <c r="CR9" s="193"/>
      <c r="CS9" s="193"/>
      <c r="CT9" s="193"/>
      <c r="CU9" s="193"/>
      <c r="CV9" s="193"/>
      <c r="CW9" s="193"/>
      <c r="CX9" s="193"/>
      <c r="CY9" s="193"/>
      <c r="CZ9" s="193"/>
      <c r="DA9" s="193"/>
      <c r="DB9" s="193"/>
      <c r="DC9" s="193"/>
      <c r="DD9" s="193"/>
      <c r="DE9" s="193"/>
      <c r="DF9" s="193"/>
      <c r="DG9" s="193"/>
      <c r="DH9" s="193"/>
      <c r="DI9" s="193"/>
      <c r="DJ9" s="193"/>
      <c r="DK9" s="199"/>
      <c r="DL9" s="199"/>
      <c r="DM9" s="199"/>
      <c r="DN9" s="193"/>
      <c r="DO9" s="193"/>
      <c r="DP9" s="193"/>
      <c r="DQ9" s="193"/>
      <c r="DR9" s="193"/>
      <c r="DS9" s="290"/>
      <c r="DT9" s="51"/>
      <c r="DV9" s="27" t="s">
        <v>43</v>
      </c>
      <c r="DW9" s="83"/>
      <c r="DX9" s="202">
        <f>SUM(IF($C$1=$DX$1,$C$14,0),IF($F$1=$DX$1,$F$14,0),IF($I$1=$DX$1,$I$14,0),IF($L$1=$DX$1,$L$14,0))</f>
        <v>0</v>
      </c>
      <c r="DY9" s="202">
        <f t="shared" ref="DY9:DY25" si="12">SUM(IF($C$1=$DX$1,D14,0),IF($F$1=$DX$1,G14,0),IF($I$1=$DX$1,J14,0),IF($L$1=$DX$1,M14,0))</f>
        <v>0</v>
      </c>
      <c r="DZ9" s="199">
        <f t="shared" ref="DZ9:DZ25" si="13">DY9*FG9</f>
        <v>0</v>
      </c>
      <c r="EA9" s="193"/>
      <c r="EB9" s="199">
        <f t="shared" ref="EB9:EB25" si="14">SUM(DY9,EK9)</f>
        <v>0</v>
      </c>
      <c r="EC9" s="193"/>
      <c r="ED9" s="193"/>
      <c r="EE9" s="193"/>
      <c r="EF9" s="193"/>
      <c r="EG9" s="193"/>
      <c r="EH9" s="193"/>
      <c r="EI9" s="193"/>
      <c r="EJ9" s="199">
        <f>SUM(IF($C$1=$DX$1,0,C14),IF($F$1=$DX$1,0,F14),IF($I$1=$DX$1,0,I14),IF($L$1=$DX$1,0,L14))</f>
        <v>0</v>
      </c>
      <c r="EK9" s="199">
        <f>SUM(IF($C$1=$DX$1,0,D14),IF($F$1=$DX$1,0,G14),IF($I$1=$DX$1,0,J14),IF($L$1=$DX$1,0,M14))</f>
        <v>0</v>
      </c>
      <c r="EL9" s="199">
        <f t="shared" ref="EL9:EL25" si="15">EK9*FG9</f>
        <v>0</v>
      </c>
      <c r="EM9" s="193"/>
      <c r="EN9" s="193"/>
      <c r="EO9" s="193"/>
      <c r="EP9" s="193"/>
      <c r="EQ9" s="193"/>
      <c r="ER9" s="193"/>
      <c r="ES9" s="193"/>
      <c r="ET9" s="193"/>
      <c r="EU9" s="193"/>
      <c r="EV9" s="199"/>
      <c r="EW9" s="199"/>
      <c r="EX9" s="199"/>
      <c r="EY9" s="193"/>
      <c r="EZ9" s="193"/>
      <c r="FA9" s="193"/>
      <c r="FB9" s="193"/>
      <c r="FC9" s="193"/>
      <c r="FD9" s="35"/>
      <c r="FF9" s="51" t="s">
        <v>43</v>
      </c>
      <c r="FG9" s="51">
        <f>VLOOKUP(SUM(DX8:DX10,EJ8:EJ10),'tab aparelhos'!$B$4:$C$35,2)</f>
        <v>0</v>
      </c>
      <c r="FH9" s="51"/>
      <c r="FI9" s="51"/>
      <c r="FJ9" s="51"/>
      <c r="FK9" s="51"/>
      <c r="FM9" s="27" t="s">
        <v>43</v>
      </c>
      <c r="FN9" s="83"/>
      <c r="FO9" s="202">
        <f>SUM($C$14,$F$14)</f>
        <v>0</v>
      </c>
      <c r="FP9" s="202">
        <f>SUM($D$14,$G$14)</f>
        <v>0</v>
      </c>
      <c r="FQ9" s="199">
        <f t="shared" si="10"/>
        <v>0</v>
      </c>
      <c r="FR9" s="193"/>
      <c r="FS9" s="199">
        <f t="shared" ref="FS9:FS25" si="16">FP9</f>
        <v>0</v>
      </c>
      <c r="FT9" s="193"/>
      <c r="FU9" s="193"/>
      <c r="FV9" s="193"/>
      <c r="FW9" s="193"/>
      <c r="FX9" s="193"/>
      <c r="FY9" s="193"/>
      <c r="FZ9" s="193"/>
      <c r="GA9" s="193"/>
      <c r="GB9" s="193"/>
      <c r="GC9" s="193"/>
      <c r="GD9" s="193"/>
      <c r="GE9" s="193"/>
      <c r="GF9" s="193"/>
      <c r="GG9" s="193"/>
      <c r="GH9" s="193"/>
      <c r="GI9" s="193"/>
      <c r="GJ9" s="193"/>
      <c r="GK9" s="193"/>
      <c r="GL9" s="193"/>
      <c r="GM9" s="199"/>
      <c r="GN9" s="199"/>
      <c r="GO9" s="199"/>
      <c r="GP9" s="193"/>
      <c r="GQ9" s="193"/>
      <c r="GR9" s="193"/>
      <c r="GS9" s="193"/>
      <c r="GT9" s="193"/>
      <c r="GU9" s="35"/>
      <c r="GW9" s="51" t="s">
        <v>43</v>
      </c>
      <c r="GX9" s="51">
        <f>VLOOKUP(SUM(FO8:FO10),'tab aparelhos'!$B$4:$C$35,2)</f>
        <v>0</v>
      </c>
      <c r="GY9" s="51"/>
      <c r="GZ9" s="51"/>
      <c r="HA9" s="51"/>
      <c r="HB9" s="51"/>
      <c r="HD9" s="27" t="s">
        <v>43</v>
      </c>
      <c r="HE9" s="83"/>
      <c r="HF9" s="202">
        <f>SUM($I$14,$L$14)</f>
        <v>0</v>
      </c>
      <c r="HG9" s="202">
        <f>SUM($J$14,$M$14)</f>
        <v>0</v>
      </c>
      <c r="HH9" s="199">
        <f t="shared" ref="HH9:HH25" si="17">HG9*IO9</f>
        <v>0</v>
      </c>
      <c r="HI9" s="193"/>
      <c r="HJ9" s="199">
        <f t="shared" ref="HJ9:HJ25" si="18">HG9</f>
        <v>0</v>
      </c>
      <c r="HK9" s="193"/>
      <c r="HL9" s="193"/>
      <c r="HM9" s="193"/>
      <c r="HN9" s="193"/>
      <c r="HO9" s="193"/>
      <c r="HP9" s="193"/>
      <c r="HQ9" s="193"/>
      <c r="HR9" s="193"/>
      <c r="HS9" s="193"/>
      <c r="HT9" s="193"/>
      <c r="HU9" s="193"/>
      <c r="HV9" s="193"/>
      <c r="HW9" s="193"/>
      <c r="HX9" s="193"/>
      <c r="HY9" s="193"/>
      <c r="HZ9" s="193"/>
      <c r="IA9" s="193"/>
      <c r="IB9" s="193"/>
      <c r="IC9" s="193"/>
      <c r="ID9" s="199"/>
      <c r="IE9" s="199"/>
      <c r="IF9" s="199"/>
      <c r="IG9" s="193"/>
      <c r="IH9" s="193"/>
      <c r="II9" s="193"/>
      <c r="IJ9" s="193"/>
      <c r="IK9" s="193"/>
      <c r="IL9" s="35"/>
      <c r="IN9" s="51" t="s">
        <v>43</v>
      </c>
      <c r="IO9" s="51">
        <f>VLOOKUP(SUM(HF8:HF10),'tab aparelhos'!$B$4:$C$35,2)</f>
        <v>0</v>
      </c>
      <c r="IP9" s="51"/>
      <c r="IQ9" s="51"/>
      <c r="IR9" s="51"/>
    </row>
    <row r="10" spans="1:252" ht="13.5" customHeight="1" thickBot="1" x14ac:dyDescent="0.25">
      <c r="A10" s="28" t="s">
        <v>40</v>
      </c>
      <c r="B10" s="83">
        <v>1</v>
      </c>
      <c r="C10" s="681">
        <f>IF($C$1="Vazio",0,RELAÇÃO_DE_CARGA!C11:D11)</f>
        <v>0</v>
      </c>
      <c r="D10" s="682"/>
      <c r="E10" s="83">
        <v>1</v>
      </c>
      <c r="F10" s="681">
        <f>IF($F$1="Vazio",0,RELAÇÃO_DE_CARGA!F11:G11)</f>
        <v>0</v>
      </c>
      <c r="G10" s="682"/>
      <c r="H10" s="83">
        <v>1</v>
      </c>
      <c r="I10" s="681">
        <f>IF(OR($I$1="Vazio",RELAÇÃO_DE_CARGA!$I$1&lt;3),0,RELAÇÃO_DE_CARGA!I11:J11)</f>
        <v>0</v>
      </c>
      <c r="J10" s="682"/>
      <c r="K10" s="83">
        <v>1</v>
      </c>
      <c r="L10" s="681">
        <f>IF(OR($L$1="Vazio",RELAÇÃO_DE_CARGA!$I$1&lt;4),0,RELAÇÃO_DE_CARGA!L11:M11)</f>
        <v>0</v>
      </c>
      <c r="M10" s="682"/>
      <c r="N10" s="83">
        <v>1</v>
      </c>
      <c r="O10" s="681">
        <f>IF(OR($O$1="Vazio",RELAÇÃO_DE_CARGA!$I$1&lt;5),0,RELAÇÃO_DE_CARGA!O11)</f>
        <v>0</v>
      </c>
      <c r="P10" s="682"/>
      <c r="Q10" s="83">
        <v>1</v>
      </c>
      <c r="R10" s="681">
        <f>IF(OR($R$1="Vazio",RELAÇÃO_DE_CARGA!$I$1&lt;6),0,RELAÇÃO_DE_CARGA!R11)</f>
        <v>0</v>
      </c>
      <c r="S10" s="682"/>
      <c r="T10" s="83">
        <v>1</v>
      </c>
      <c r="U10" s="681">
        <f>IF(OR($U$1="Vazio",RELAÇÃO_DE_CARGA!$I$1&lt;7),0,RELAÇÃO_DE_CARGA!U11)</f>
        <v>0</v>
      </c>
      <c r="V10" s="682"/>
      <c r="W10" s="83">
        <v>1</v>
      </c>
      <c r="X10" s="681">
        <f>IF(OR($X$1="Vazio",RELAÇÃO_DE_CARGA!$I$1&lt;8),0,RELAÇÃO_DE_CARGA!X11)</f>
        <v>0</v>
      </c>
      <c r="Y10" s="682"/>
      <c r="Z10" s="83">
        <v>1</v>
      </c>
      <c r="AA10" s="681">
        <f>IF(OR($AA$1="Vazio",RELAÇÃO_DE_CARGA!$I$1&lt;9),0,RELAÇÃO_DE_CARGA!AA11)</f>
        <v>0</v>
      </c>
      <c r="AB10" s="682"/>
      <c r="AC10" s="83">
        <v>1</v>
      </c>
      <c r="AD10" s="681">
        <f>IF(OR($AD$1="Vazio",RELAÇÃO_DE_CARGA!$I$1&lt;10),0,RELAÇÃO_DE_CARGA!AD11)</f>
        <v>0</v>
      </c>
      <c r="AE10" s="682"/>
      <c r="AF10" s="83">
        <v>1</v>
      </c>
      <c r="AG10" s="681">
        <f>IF(OR($AG$1="Vazio",RELAÇÃO_DE_CARGA!$I$1&lt;11),0,RELAÇÃO_DE_CARGA!AG11)</f>
        <v>0</v>
      </c>
      <c r="AH10" s="682"/>
      <c r="AI10" s="83">
        <v>1</v>
      </c>
      <c r="AJ10" s="681">
        <f>IF(OR($AJ$1="Vazio",RELAÇÃO_DE_CARGA!$I$1&lt;12),0,RELAÇÃO_DE_CARGA!AJ11)</f>
        <v>0</v>
      </c>
      <c r="AK10" s="682"/>
      <c r="AL10" s="170"/>
      <c r="AM10" s="170"/>
      <c r="AN10" s="170"/>
      <c r="AO10" s="170"/>
      <c r="AP10" s="170"/>
      <c r="AQ10" s="51"/>
      <c r="AR10" s="70">
        <f>C10/B10</f>
        <v>0</v>
      </c>
      <c r="AS10" s="712"/>
      <c r="AT10" s="70">
        <f>F10/E10</f>
        <v>0</v>
      </c>
      <c r="AU10" s="712"/>
      <c r="AV10" s="70">
        <f>I10/H10</f>
        <v>0</v>
      </c>
      <c r="AW10" s="712"/>
      <c r="AX10" s="70">
        <f>L10/K10</f>
        <v>0</v>
      </c>
      <c r="AY10" s="712"/>
      <c r="AZ10" s="70">
        <f t="shared" si="0"/>
        <v>0</v>
      </c>
      <c r="BA10" s="712"/>
      <c r="BB10" s="70">
        <f t="shared" si="1"/>
        <v>0</v>
      </c>
      <c r="BC10" s="712"/>
      <c r="BD10" s="70">
        <f t="shared" si="2"/>
        <v>0</v>
      </c>
      <c r="BE10" s="712"/>
      <c r="BF10" s="70">
        <f t="shared" si="3"/>
        <v>0</v>
      </c>
      <c r="BG10" s="712"/>
      <c r="BH10" s="70">
        <f t="shared" si="4"/>
        <v>0</v>
      </c>
      <c r="BI10" s="712"/>
      <c r="BJ10" s="70">
        <f t="shared" si="5"/>
        <v>0</v>
      </c>
      <c r="BK10" s="712"/>
      <c r="BL10" s="70">
        <f t="shared" si="6"/>
        <v>0</v>
      </c>
      <c r="BM10" s="712"/>
      <c r="BN10" s="70">
        <f t="shared" si="7"/>
        <v>0</v>
      </c>
      <c r="BO10" s="712"/>
      <c r="BP10" s="51"/>
      <c r="BQ10" s="51" t="s">
        <v>119</v>
      </c>
      <c r="BR10" s="70">
        <f>SUM(AR5:AR10)</f>
        <v>0</v>
      </c>
      <c r="BS10" s="70">
        <f>SUM(AT5:AT10)</f>
        <v>0</v>
      </c>
      <c r="BT10" s="70">
        <f>SUM(AV5:AV10)</f>
        <v>0</v>
      </c>
      <c r="BU10" s="70">
        <f>SUM(AX5:AX10)</f>
        <v>0</v>
      </c>
      <c r="BV10" s="70">
        <f>SUM(AZ5:AZ10)</f>
        <v>0</v>
      </c>
      <c r="BW10" s="70">
        <f>SUM(BB5:BB10)</f>
        <v>0</v>
      </c>
      <c r="BX10" s="70">
        <f t="shared" si="11"/>
        <v>0</v>
      </c>
      <c r="BY10" s="70">
        <f>SUM(BF5:BF10)</f>
        <v>0</v>
      </c>
      <c r="BZ10" s="70">
        <f>SUM(BH5:BH10)</f>
        <v>0</v>
      </c>
      <c r="CA10" s="70">
        <f>SUM(BJ5:BJ10)</f>
        <v>0</v>
      </c>
      <c r="CB10" s="70">
        <f>SUM(BL5:BL10)</f>
        <v>0</v>
      </c>
      <c r="CC10" s="70">
        <f>SUM(BN5:BN10)</f>
        <v>0</v>
      </c>
      <c r="CD10" s="128"/>
      <c r="CE10" s="128" t="s">
        <v>120</v>
      </c>
      <c r="CF10" s="51">
        <v>1</v>
      </c>
      <c r="CG10" s="51"/>
      <c r="CH10" s="51">
        <v>1</v>
      </c>
      <c r="CI10" s="51"/>
      <c r="CJ10" s="51"/>
      <c r="CK10" s="27" t="s">
        <v>44</v>
      </c>
      <c r="CL10" s="51">
        <f>VLOOKUP(SUM($CM$8:$CM$10),'tab aparelhos'!$B$4:$C$35,2)</f>
        <v>0</v>
      </c>
      <c r="CM10" s="202">
        <f>SUM($C$15,$F$15)</f>
        <v>0</v>
      </c>
      <c r="CN10" s="202">
        <f>SUM($D$15,$G$15)</f>
        <v>0</v>
      </c>
      <c r="CO10" s="199">
        <f t="shared" si="9"/>
        <v>0</v>
      </c>
      <c r="CP10" s="193"/>
      <c r="CQ10" s="199">
        <f t="shared" ref="CQ10:CQ25" si="19">CN10</f>
        <v>0</v>
      </c>
      <c r="CR10" s="193"/>
      <c r="CS10" s="193"/>
      <c r="CT10" s="193"/>
      <c r="CU10" s="193"/>
      <c r="CV10" s="193"/>
      <c r="CW10" s="193"/>
      <c r="CX10" s="193"/>
      <c r="CY10" s="193"/>
      <c r="CZ10" s="193"/>
      <c r="DA10" s="193"/>
      <c r="DB10" s="193"/>
      <c r="DC10" s="193"/>
      <c r="DD10" s="193"/>
      <c r="DE10" s="193"/>
      <c r="DF10" s="193"/>
      <c r="DG10" s="193"/>
      <c r="DH10" s="193"/>
      <c r="DI10" s="193"/>
      <c r="DJ10" s="193"/>
      <c r="DK10" s="199"/>
      <c r="DL10" s="199"/>
      <c r="DM10" s="199"/>
      <c r="DN10" s="193"/>
      <c r="DO10" s="193"/>
      <c r="DP10" s="193"/>
      <c r="DQ10" s="193"/>
      <c r="DR10" s="193"/>
      <c r="DS10" s="290"/>
      <c r="DT10" s="51"/>
      <c r="DV10" s="27" t="s">
        <v>44</v>
      </c>
      <c r="DW10" s="83"/>
      <c r="DX10" s="202">
        <f>SUM(IF($C$1=$DX$1,$C$15,0),IF($F$1=$DX$1,$F$15,0),IF($I$1=$DX$1,$I$15,0),IF($L$1=$DX$1,$L$15,0))</f>
        <v>0</v>
      </c>
      <c r="DY10" s="202">
        <f t="shared" si="12"/>
        <v>0</v>
      </c>
      <c r="DZ10" s="199">
        <f t="shared" si="13"/>
        <v>0</v>
      </c>
      <c r="EA10" s="193"/>
      <c r="EB10" s="199">
        <f t="shared" si="14"/>
        <v>0</v>
      </c>
      <c r="EC10" s="193"/>
      <c r="ED10" s="193"/>
      <c r="EE10" s="193"/>
      <c r="EF10" s="193"/>
      <c r="EG10" s="193"/>
      <c r="EH10" s="193"/>
      <c r="EI10" s="193"/>
      <c r="EJ10" s="199">
        <f t="shared" ref="EJ10:EJ25" si="20">SUM(IF($C$1=$DX$1,0,C15),IF($F$1=$DX$1,0,F15),IF($I$1=$DX$1,0,I15),IF($L$1=$DX$1,0,L15))</f>
        <v>0</v>
      </c>
      <c r="EK10" s="199">
        <f t="shared" ref="EK10:EK24" si="21">SUM(IF($C$1=$DX$1,0,D15),IF($F$1=$DX$1,0,G15),IF($I$1=$DX$1,0,J15),IF($L$1=$DX$1,0,M15))</f>
        <v>0</v>
      </c>
      <c r="EL10" s="199">
        <f t="shared" si="15"/>
        <v>0</v>
      </c>
      <c r="EM10" s="193"/>
      <c r="EN10" s="193"/>
      <c r="EO10" s="193"/>
      <c r="EP10" s="193"/>
      <c r="EQ10" s="193"/>
      <c r="ER10" s="193"/>
      <c r="ES10" s="193"/>
      <c r="ET10" s="193"/>
      <c r="EU10" s="193"/>
      <c r="EV10" s="199"/>
      <c r="EW10" s="199"/>
      <c r="EX10" s="199"/>
      <c r="EY10" s="193"/>
      <c r="EZ10" s="193"/>
      <c r="FA10" s="193"/>
      <c r="FB10" s="193"/>
      <c r="FC10" s="193"/>
      <c r="FD10" s="35"/>
      <c r="FF10" s="51" t="s">
        <v>44</v>
      </c>
      <c r="FG10" s="51">
        <f>VLOOKUP(SUM(DX8:DX10,EJ8:EJ10),'tab aparelhos'!$B$4:$C$35,2)</f>
        <v>0</v>
      </c>
      <c r="FH10" s="51"/>
      <c r="FI10" s="51"/>
      <c r="FJ10" s="51"/>
      <c r="FK10" s="51"/>
      <c r="FM10" s="27" t="s">
        <v>44</v>
      </c>
      <c r="FN10" s="83"/>
      <c r="FO10" s="202">
        <f>SUM($C$15,$F$15)</f>
        <v>0</v>
      </c>
      <c r="FP10" s="202">
        <f>SUM($D$15,$G$15)</f>
        <v>0</v>
      </c>
      <c r="FQ10" s="199">
        <f t="shared" si="10"/>
        <v>0</v>
      </c>
      <c r="FR10" s="193"/>
      <c r="FS10" s="199">
        <f t="shared" si="16"/>
        <v>0</v>
      </c>
      <c r="FT10" s="193"/>
      <c r="FU10" s="193"/>
      <c r="FV10" s="193"/>
      <c r="FW10" s="193"/>
      <c r="FX10" s="193"/>
      <c r="FY10" s="193"/>
      <c r="FZ10" s="193"/>
      <c r="GA10" s="193"/>
      <c r="GB10" s="193"/>
      <c r="GC10" s="193"/>
      <c r="GD10" s="193"/>
      <c r="GE10" s="193"/>
      <c r="GF10" s="193"/>
      <c r="GG10" s="193"/>
      <c r="GH10" s="193"/>
      <c r="GI10" s="193"/>
      <c r="GJ10" s="193"/>
      <c r="GK10" s="193"/>
      <c r="GL10" s="193"/>
      <c r="GM10" s="199"/>
      <c r="GN10" s="199"/>
      <c r="GO10" s="199"/>
      <c r="GP10" s="193"/>
      <c r="GQ10" s="193"/>
      <c r="GR10" s="193"/>
      <c r="GS10" s="193"/>
      <c r="GT10" s="193"/>
      <c r="GU10" s="35"/>
      <c r="GW10" s="51" t="s">
        <v>44</v>
      </c>
      <c r="GX10" s="51">
        <f>VLOOKUP(SUM(FO8:FO10),'tab aparelhos'!$B$4:$C$35,2)</f>
        <v>0</v>
      </c>
      <c r="GY10" s="51"/>
      <c r="GZ10" s="51"/>
      <c r="HA10" s="51"/>
      <c r="HB10" s="51"/>
      <c r="HD10" s="27" t="s">
        <v>44</v>
      </c>
      <c r="HE10" s="83"/>
      <c r="HF10" s="202">
        <f>SUM($I$15,$L$15)</f>
        <v>0</v>
      </c>
      <c r="HG10" s="202">
        <f>SUM($J$15,$M$15)</f>
        <v>0</v>
      </c>
      <c r="HH10" s="199">
        <f t="shared" si="17"/>
        <v>0</v>
      </c>
      <c r="HI10" s="193"/>
      <c r="HJ10" s="199">
        <f t="shared" si="18"/>
        <v>0</v>
      </c>
      <c r="HK10" s="193"/>
      <c r="HL10" s="193"/>
      <c r="HM10" s="193"/>
      <c r="HN10" s="193"/>
      <c r="HO10" s="193"/>
      <c r="HP10" s="193"/>
      <c r="HQ10" s="193"/>
      <c r="HR10" s="193"/>
      <c r="HS10" s="193"/>
      <c r="HT10" s="193"/>
      <c r="HU10" s="193"/>
      <c r="HV10" s="193"/>
      <c r="HW10" s="193"/>
      <c r="HX10" s="193"/>
      <c r="HY10" s="193"/>
      <c r="HZ10" s="193"/>
      <c r="IA10" s="193"/>
      <c r="IB10" s="193"/>
      <c r="IC10" s="193"/>
      <c r="ID10" s="199"/>
      <c r="IE10" s="199"/>
      <c r="IF10" s="199"/>
      <c r="IG10" s="193"/>
      <c r="IH10" s="193"/>
      <c r="II10" s="193"/>
      <c r="IJ10" s="193"/>
      <c r="IK10" s="193"/>
      <c r="IL10" s="35"/>
      <c r="IN10" s="51" t="s">
        <v>44</v>
      </c>
      <c r="IO10" s="51">
        <f>VLOOKUP(SUM(HF8:HF10),'tab aparelhos'!$B$4:$C$35,2)</f>
        <v>0</v>
      </c>
      <c r="IP10" s="51"/>
      <c r="IQ10" s="51"/>
      <c r="IR10" s="51"/>
    </row>
    <row r="11" spans="1:252" s="20" customFormat="1" ht="13.5" customHeight="1" thickBot="1" x14ac:dyDescent="0.25">
      <c r="A11" s="429"/>
      <c r="B11" s="84"/>
      <c r="C11" s="53"/>
      <c r="D11" s="53">
        <f>IF(AND(C10&lt;2.5,RELAÇÃO_DE_CARGA!C2="Residência"),1,0)</f>
        <v>0</v>
      </c>
      <c r="E11" s="428">
        <f>IF(AND(D14&lt;3,C14&gt;0),25,0)</f>
        <v>0</v>
      </c>
      <c r="F11" s="54"/>
      <c r="G11" s="53">
        <f>IF(AND(F10&lt;2.5,RELAÇÃO_DE_CARGA!F2="Residência"),2,0)</f>
        <v>0</v>
      </c>
      <c r="H11" s="428">
        <f>IF(AND(G14&lt;3,F14&gt;0),26,0)</f>
        <v>0</v>
      </c>
      <c r="I11" s="53"/>
      <c r="J11" s="53">
        <f>IF(AND(I10&lt;2.5,CENTRO_DE_MEDIÇÃO!H10&gt;2,RELAÇÃO_DE_CARGA!I2="Residência"),3,0)</f>
        <v>0</v>
      </c>
      <c r="K11" s="428">
        <f>IF(AND(J14&lt;3,I14&gt;0),27,0)</f>
        <v>0</v>
      </c>
      <c r="L11" s="54"/>
      <c r="M11" s="53">
        <f>IF(AND(L10&lt;2.5,CENTRO_DE_MEDIÇÃO!H10&gt;3,RELAÇÃO_DE_CARGA!L2="Residência"),4,0)</f>
        <v>0</v>
      </c>
      <c r="N11" s="428">
        <f>IF(AND(M14&lt;3,L14&gt;0),28,0)</f>
        <v>0</v>
      </c>
      <c r="O11" s="53"/>
      <c r="P11" s="53">
        <f>IF(AND(O10&lt;2.5,CENTRO_DE_MEDIÇÃO!H10&gt;4,RELAÇÃO_DE_CARGA!O2="Residência"),5,0)</f>
        <v>0</v>
      </c>
      <c r="Q11" s="428">
        <f>IF(AND(P14&lt;3,O14&gt;0),29,0)</f>
        <v>0</v>
      </c>
      <c r="R11" s="54"/>
      <c r="S11" s="53">
        <f>IF(AND(R10&lt;2.5,CENTRO_DE_MEDIÇÃO!H10&gt;5,RELAÇÃO_DE_CARGA!R2="Residência"),6,0)</f>
        <v>0</v>
      </c>
      <c r="T11" s="428">
        <f>IF(AND(S14&lt;3,R14&gt;0),30,0)</f>
        <v>0</v>
      </c>
      <c r="U11" s="53"/>
      <c r="V11" s="53">
        <f>IF(AND(U10&lt;2.5,CENTRO_DE_MEDIÇÃO!H10&gt;6,RELAÇÃO_DE_CARGA!U2="Residência"),7,0)</f>
        <v>0</v>
      </c>
      <c r="W11" s="428">
        <f>IF(AND(V14&lt;3,U14&gt;0),31,0)</f>
        <v>0</v>
      </c>
      <c r="X11" s="54"/>
      <c r="Y11" s="53">
        <f>IF(AND(X10&lt;2.5,CENTRO_DE_MEDIÇÃO!H10&gt;7,RELAÇÃO_DE_CARGA!X2="Residência"),8,0)</f>
        <v>0</v>
      </c>
      <c r="Z11" s="428">
        <f>IF(AND(Y14&lt;3,X14&gt;0),32,0)</f>
        <v>0</v>
      </c>
      <c r="AA11" s="53"/>
      <c r="AB11" s="53">
        <f>IF(AND(AA10&lt;2.5,CENTRO_DE_MEDIÇÃO!H10&gt;8,RELAÇÃO_DE_CARGA!AA2="Residência"),9,0)</f>
        <v>0</v>
      </c>
      <c r="AC11" s="428">
        <f>IF(AND(AB14&lt;3,AA14&gt;0),33,0)</f>
        <v>0</v>
      </c>
      <c r="AD11" s="54"/>
      <c r="AE11" s="53">
        <f>IF(AND(AD10&lt;2.5,CENTRO_DE_MEDIÇÃO!H10&gt;9,RELAÇÃO_DE_CARGA!AD2="Residência"),10,0)</f>
        <v>0</v>
      </c>
      <c r="AF11" s="428">
        <f>IF(AND(AE14&lt;3,AD14&gt;0),34,0)</f>
        <v>0</v>
      </c>
      <c r="AG11" s="53"/>
      <c r="AH11" s="53">
        <f>IF(AND(AG10&lt;2.5,CENTRO_DE_MEDIÇÃO!H10&gt;10,RELAÇÃO_DE_CARGA!AG2="Residência"),11,0)</f>
        <v>0</v>
      </c>
      <c r="AI11" s="428">
        <f>IF(AND(AH14&lt;3,AG14&gt;0),35,0)</f>
        <v>0</v>
      </c>
      <c r="AJ11" s="54"/>
      <c r="AK11" s="53">
        <f>IF(AND(AJ10&lt;2.5,CENTRO_DE_MEDIÇÃO!H10&gt;11,RELAÇÃO_DE_CARGA!AJ2="Residência"),12,0)</f>
        <v>0</v>
      </c>
      <c r="AL11" s="428">
        <f>IF(AND(AK14&lt;3,AJ14&gt;0),36,0)</f>
        <v>0</v>
      </c>
      <c r="AM11" s="54"/>
      <c r="AN11" s="54"/>
      <c r="AO11" s="54"/>
      <c r="AP11" s="54"/>
      <c r="AQ11" s="52"/>
      <c r="AR11" s="711" t="s">
        <v>124</v>
      </c>
      <c r="AS11" s="711"/>
      <c r="AT11" s="711"/>
      <c r="AU11" s="711"/>
      <c r="AV11" s="711"/>
      <c r="AW11" s="711"/>
      <c r="AX11" s="711"/>
      <c r="AY11" s="711"/>
      <c r="AZ11" s="711" t="s">
        <v>124</v>
      </c>
      <c r="BA11" s="711"/>
      <c r="BB11" s="711"/>
      <c r="BC11" s="711"/>
      <c r="BD11" s="711"/>
      <c r="BE11" s="711"/>
      <c r="BF11" s="711"/>
      <c r="BG11" s="711"/>
      <c r="BH11" s="711" t="s">
        <v>124</v>
      </c>
      <c r="BI11" s="711"/>
      <c r="BJ11" s="711"/>
      <c r="BK11" s="711"/>
      <c r="BL11" s="711"/>
      <c r="BM11" s="711"/>
      <c r="BN11" s="711"/>
      <c r="BO11" s="711"/>
      <c r="BP11" s="52"/>
      <c r="BQ11" s="52" t="s">
        <v>120</v>
      </c>
      <c r="BR11" s="122">
        <f>SUM(AR5:AR10)</f>
        <v>0</v>
      </c>
      <c r="BS11" s="122">
        <f>SUM(AT5:AT10)</f>
        <v>0</v>
      </c>
      <c r="BT11" s="122">
        <f>SUM(AV5:AV10)</f>
        <v>0</v>
      </c>
      <c r="BU11" s="122">
        <f>SUM(AX5:AX10)</f>
        <v>0</v>
      </c>
      <c r="BV11" s="122">
        <f>SUM(AZ5:AZ10)</f>
        <v>0</v>
      </c>
      <c r="BW11" s="122">
        <f>SUM(BB5:BB10)</f>
        <v>0</v>
      </c>
      <c r="BX11" s="122">
        <f t="shared" si="11"/>
        <v>0</v>
      </c>
      <c r="BY11" s="122">
        <f>SUM(BF5:BF10)</f>
        <v>0</v>
      </c>
      <c r="BZ11" s="122">
        <f>SUM(BH5:BH10)</f>
        <v>0</v>
      </c>
      <c r="CA11" s="122">
        <f>SUM(BJ5:BJ10)</f>
        <v>0</v>
      </c>
      <c r="CB11" s="122">
        <f>SUM(BL5:BL10)</f>
        <v>0</v>
      </c>
      <c r="CC11" s="122">
        <f>SUM(BN5:BN10)</f>
        <v>0</v>
      </c>
      <c r="CD11" s="174"/>
      <c r="CE11" s="174" t="s">
        <v>121</v>
      </c>
      <c r="CF11" s="52">
        <v>1</v>
      </c>
      <c r="CG11" s="52"/>
      <c r="CH11" s="52">
        <v>1</v>
      </c>
      <c r="CI11" s="52"/>
      <c r="CJ11" s="52"/>
      <c r="CK11" s="430" t="s">
        <v>45</v>
      </c>
      <c r="CL11" s="52">
        <f>VLOOKUP($CM$11+$CM$12,'tab aparelhos'!$E$4:$F$35,2)</f>
        <v>0</v>
      </c>
      <c r="CM11" s="202">
        <f>SUM($C$16,$F$16)</f>
        <v>0</v>
      </c>
      <c r="CN11" s="202">
        <f>SUM($D$16,$G$16)</f>
        <v>0</v>
      </c>
      <c r="CO11" s="199">
        <f t="shared" si="9"/>
        <v>0</v>
      </c>
      <c r="CP11" s="193"/>
      <c r="CQ11" s="199">
        <f t="shared" si="19"/>
        <v>0</v>
      </c>
      <c r="CR11" s="193"/>
      <c r="CS11" s="193"/>
      <c r="CT11" s="193"/>
      <c r="CU11" s="193"/>
      <c r="CV11" s="193"/>
      <c r="CW11" s="193"/>
      <c r="CX11" s="193"/>
      <c r="CY11" s="193"/>
      <c r="CZ11" s="193"/>
      <c r="DA11" s="193"/>
      <c r="DB11" s="193"/>
      <c r="DC11" s="193"/>
      <c r="DD11" s="193"/>
      <c r="DE11" s="193"/>
      <c r="DF11" s="193"/>
      <c r="DG11" s="193"/>
      <c r="DH11" s="193"/>
      <c r="DI11" s="193"/>
      <c r="DJ11" s="193"/>
      <c r="DK11" s="199"/>
      <c r="DL11" s="199"/>
      <c r="DM11" s="199"/>
      <c r="DN11" s="193"/>
      <c r="DO11" s="193"/>
      <c r="DP11" s="193"/>
      <c r="DQ11" s="193"/>
      <c r="DR11" s="193"/>
      <c r="DS11" s="431"/>
      <c r="DT11" s="52"/>
      <c r="DV11" s="430" t="s">
        <v>45</v>
      </c>
      <c r="DW11" s="83"/>
      <c r="DX11" s="202">
        <f t="shared" ref="DX11:DX25" si="22">SUM(IF($C$1=$DX$1,C16,0),IF($F$1=$DX$1,F16,0),IF($I$1=$DX$1,I16,0),IF($L$1=$DX$1,L16,0))</f>
        <v>0</v>
      </c>
      <c r="DY11" s="202">
        <f t="shared" si="12"/>
        <v>0</v>
      </c>
      <c r="DZ11" s="199">
        <f t="shared" si="13"/>
        <v>0</v>
      </c>
      <c r="EA11" s="193"/>
      <c r="EB11" s="199">
        <f t="shared" si="14"/>
        <v>0</v>
      </c>
      <c r="EC11" s="193"/>
      <c r="ED11" s="193"/>
      <c r="EE11" s="193"/>
      <c r="EF11" s="193"/>
      <c r="EG11" s="193"/>
      <c r="EH11" s="193"/>
      <c r="EI11" s="193"/>
      <c r="EJ11" s="199">
        <f t="shared" si="20"/>
        <v>0</v>
      </c>
      <c r="EK11" s="199">
        <f t="shared" si="21"/>
        <v>0</v>
      </c>
      <c r="EL11" s="199">
        <f t="shared" si="15"/>
        <v>0</v>
      </c>
      <c r="EM11" s="193"/>
      <c r="EN11" s="193"/>
      <c r="EO11" s="193"/>
      <c r="EP11" s="193"/>
      <c r="EQ11" s="193"/>
      <c r="ER11" s="193"/>
      <c r="ES11" s="193"/>
      <c r="ET11" s="193"/>
      <c r="EU11" s="193"/>
      <c r="EV11" s="199"/>
      <c r="EW11" s="199"/>
      <c r="EX11" s="199"/>
      <c r="EY11" s="193"/>
      <c r="EZ11" s="193"/>
      <c r="FA11" s="193"/>
      <c r="FB11" s="193"/>
      <c r="FC11" s="193"/>
      <c r="FD11" s="35"/>
      <c r="FF11" s="52" t="s">
        <v>45</v>
      </c>
      <c r="FG11" s="52">
        <f>VLOOKUP(DX11+DX12+EJ11+EJ12,'tab aparelhos'!$E$4:$F$35,2)</f>
        <v>0</v>
      </c>
      <c r="FH11" s="52"/>
      <c r="FI11" s="52"/>
      <c r="FJ11" s="52"/>
      <c r="FK11" s="52"/>
      <c r="FM11" s="430" t="s">
        <v>45</v>
      </c>
      <c r="FN11" s="83"/>
      <c r="FO11" s="202">
        <f>SUM($C$16,$F$16)</f>
        <v>0</v>
      </c>
      <c r="FP11" s="202">
        <f>SUM($D$16,$G$16)</f>
        <v>0</v>
      </c>
      <c r="FQ11" s="199">
        <f t="shared" si="10"/>
        <v>0</v>
      </c>
      <c r="FR11" s="193"/>
      <c r="FS11" s="199">
        <f t="shared" si="16"/>
        <v>0</v>
      </c>
      <c r="FT11" s="193"/>
      <c r="FU11" s="193"/>
      <c r="FV11" s="193"/>
      <c r="FW11" s="193"/>
      <c r="FX11" s="193"/>
      <c r="FY11" s="193"/>
      <c r="FZ11" s="193"/>
      <c r="GA11" s="193"/>
      <c r="GB11" s="193"/>
      <c r="GC11" s="193"/>
      <c r="GD11" s="193"/>
      <c r="GE11" s="193"/>
      <c r="GF11" s="193"/>
      <c r="GG11" s="193"/>
      <c r="GH11" s="193"/>
      <c r="GI11" s="193"/>
      <c r="GJ11" s="193"/>
      <c r="GK11" s="193"/>
      <c r="GL11" s="193"/>
      <c r="GM11" s="199"/>
      <c r="GN11" s="199"/>
      <c r="GO11" s="199"/>
      <c r="GP11" s="193"/>
      <c r="GQ11" s="193"/>
      <c r="GR11" s="193"/>
      <c r="GS11" s="193"/>
      <c r="GT11" s="193"/>
      <c r="GU11" s="35"/>
      <c r="GW11" s="52" t="s">
        <v>45</v>
      </c>
      <c r="GX11" s="52">
        <f>VLOOKUP(FO11+FO12,'tab aparelhos'!$E$4:$F$35,2)</f>
        <v>0</v>
      </c>
      <c r="GY11" s="52"/>
      <c r="GZ11" s="52"/>
      <c r="HA11" s="52"/>
      <c r="HB11" s="52"/>
      <c r="HD11" s="430" t="s">
        <v>45</v>
      </c>
      <c r="HE11" s="83"/>
      <c r="HF11" s="202">
        <f>SUM($I$16,$L$16)</f>
        <v>0</v>
      </c>
      <c r="HG11" s="202">
        <f>SUM($J$16,$M$16)</f>
        <v>0</v>
      </c>
      <c r="HH11" s="199">
        <f t="shared" si="17"/>
        <v>0</v>
      </c>
      <c r="HI11" s="193"/>
      <c r="HJ11" s="199">
        <f t="shared" si="18"/>
        <v>0</v>
      </c>
      <c r="HK11" s="193"/>
      <c r="HL11" s="193"/>
      <c r="HM11" s="193"/>
      <c r="HN11" s="193"/>
      <c r="HO11" s="193"/>
      <c r="HP11" s="193"/>
      <c r="HQ11" s="193"/>
      <c r="HR11" s="193"/>
      <c r="HS11" s="193"/>
      <c r="HT11" s="193"/>
      <c r="HU11" s="193"/>
      <c r="HV11" s="193"/>
      <c r="HW11" s="193"/>
      <c r="HX11" s="193"/>
      <c r="HY11" s="193"/>
      <c r="HZ11" s="193"/>
      <c r="IA11" s="193"/>
      <c r="IB11" s="193"/>
      <c r="IC11" s="193"/>
      <c r="ID11" s="199"/>
      <c r="IE11" s="199"/>
      <c r="IF11" s="199"/>
      <c r="IG11" s="193"/>
      <c r="IH11" s="193"/>
      <c r="II11" s="193"/>
      <c r="IJ11" s="193"/>
      <c r="IK11" s="193"/>
      <c r="IL11" s="35"/>
      <c r="IN11" s="52" t="s">
        <v>45</v>
      </c>
      <c r="IO11" s="52">
        <f>VLOOKUP(HF11+HF12,'tab aparelhos'!$E$4:$F$35,2)</f>
        <v>0</v>
      </c>
      <c r="IP11" s="52"/>
      <c r="IQ11" s="52"/>
      <c r="IR11" s="52"/>
    </row>
    <row r="12" spans="1:252" ht="13.5" customHeight="1" thickBot="1" x14ac:dyDescent="0.25">
      <c r="A12" s="21"/>
      <c r="B12" s="85"/>
      <c r="C12" s="55" t="s">
        <v>38</v>
      </c>
      <c r="D12" s="56" t="s">
        <v>41</v>
      </c>
      <c r="E12" s="265">
        <f>IF(AND(D13&lt;5.4,C13&gt;0),13,0)</f>
        <v>0</v>
      </c>
      <c r="F12" s="57" t="s">
        <v>38</v>
      </c>
      <c r="G12" s="58" t="s">
        <v>41</v>
      </c>
      <c r="H12" s="265">
        <f>IF(AND(G13&lt;5.4,F13&gt;0),14,0)</f>
        <v>0</v>
      </c>
      <c r="I12" s="55" t="s">
        <v>38</v>
      </c>
      <c r="J12" s="59" t="s">
        <v>41</v>
      </c>
      <c r="K12" s="265">
        <f>IF(AND(J13&lt;5.4,I13&gt;0),15,0)</f>
        <v>0</v>
      </c>
      <c r="L12" s="60" t="s">
        <v>38</v>
      </c>
      <c r="M12" s="58" t="s">
        <v>41</v>
      </c>
      <c r="N12" s="265">
        <f>IF(AND(M13&lt;5.4,L13&gt;0),16,0)</f>
        <v>0</v>
      </c>
      <c r="O12" s="55" t="s">
        <v>38</v>
      </c>
      <c r="P12" s="56" t="s">
        <v>41</v>
      </c>
      <c r="Q12" s="265">
        <f>IF(AND(P13&lt;5.4,O13&gt;0),17,0)</f>
        <v>0</v>
      </c>
      <c r="R12" s="57" t="s">
        <v>38</v>
      </c>
      <c r="S12" s="58" t="s">
        <v>41</v>
      </c>
      <c r="T12" s="265">
        <f>IF(AND(S13&lt;5.4,R13&gt;0),18,0)</f>
        <v>0</v>
      </c>
      <c r="U12" s="55" t="s">
        <v>38</v>
      </c>
      <c r="V12" s="59" t="s">
        <v>41</v>
      </c>
      <c r="W12" s="265">
        <f>IF(AND(V13&lt;5.4,U13&gt;0),19,0)</f>
        <v>0</v>
      </c>
      <c r="X12" s="60" t="s">
        <v>38</v>
      </c>
      <c r="Y12" s="58" t="s">
        <v>41</v>
      </c>
      <c r="Z12" s="265">
        <f>IF(AND(Y13&lt;5.4,X13&gt;0),20,0)</f>
        <v>0</v>
      </c>
      <c r="AA12" s="55" t="s">
        <v>38</v>
      </c>
      <c r="AB12" s="56" t="s">
        <v>41</v>
      </c>
      <c r="AC12" s="265">
        <f>IF(AND(AB13&lt;5.4,AA13&gt;0),21,0)</f>
        <v>0</v>
      </c>
      <c r="AD12" s="57" t="s">
        <v>38</v>
      </c>
      <c r="AE12" s="58" t="s">
        <v>41</v>
      </c>
      <c r="AF12" s="265">
        <f>IF(AND(AE13&lt;5.4,AD13&gt;0),22,0)</f>
        <v>0</v>
      </c>
      <c r="AG12" s="55" t="s">
        <v>38</v>
      </c>
      <c r="AH12" s="59" t="s">
        <v>41</v>
      </c>
      <c r="AI12" s="265">
        <f>IF(AND(AH13&lt;5.4,AG13&gt;0),23,0)</f>
        <v>0</v>
      </c>
      <c r="AJ12" s="60" t="s">
        <v>38</v>
      </c>
      <c r="AK12" s="58" t="s">
        <v>41</v>
      </c>
      <c r="AL12" s="265">
        <f>IF(AND(AK13&lt;5.4,AJ13&gt;0),24,0)</f>
        <v>0</v>
      </c>
      <c r="AM12" s="192"/>
      <c r="AN12" s="192"/>
      <c r="AO12" s="192"/>
      <c r="AP12" s="192"/>
      <c r="AQ12" s="51"/>
      <c r="AR12" s="71" t="s">
        <v>41</v>
      </c>
      <c r="AS12" s="71" t="s">
        <v>3</v>
      </c>
      <c r="AT12" s="71" t="s">
        <v>41</v>
      </c>
      <c r="AU12" s="71" t="s">
        <v>3</v>
      </c>
      <c r="AV12" s="71" t="s">
        <v>41</v>
      </c>
      <c r="AW12" s="71" t="s">
        <v>3</v>
      </c>
      <c r="AX12" s="71" t="s">
        <v>41</v>
      </c>
      <c r="AY12" s="71" t="s">
        <v>3</v>
      </c>
      <c r="AZ12" s="71" t="s">
        <v>41</v>
      </c>
      <c r="BA12" s="71" t="s">
        <v>3</v>
      </c>
      <c r="BB12" s="71" t="s">
        <v>41</v>
      </c>
      <c r="BC12" s="71" t="s">
        <v>3</v>
      </c>
      <c r="BD12" s="71" t="s">
        <v>41</v>
      </c>
      <c r="BE12" s="71" t="s">
        <v>3</v>
      </c>
      <c r="BF12" s="71" t="s">
        <v>41</v>
      </c>
      <c r="BG12" s="71" t="s">
        <v>3</v>
      </c>
      <c r="BH12" s="71" t="s">
        <v>41</v>
      </c>
      <c r="BI12" s="71" t="s">
        <v>3</v>
      </c>
      <c r="BJ12" s="71" t="s">
        <v>41</v>
      </c>
      <c r="BK12" s="71" t="s">
        <v>3</v>
      </c>
      <c r="BL12" s="71" t="s">
        <v>41</v>
      </c>
      <c r="BM12" s="71" t="s">
        <v>3</v>
      </c>
      <c r="BN12" s="71" t="s">
        <v>41</v>
      </c>
      <c r="BO12" s="71" t="s">
        <v>3</v>
      </c>
      <c r="BP12" s="51"/>
      <c r="BQ12" s="52" t="s">
        <v>121</v>
      </c>
      <c r="BR12" s="70">
        <f>SUM(AR5:AR10)</f>
        <v>0</v>
      </c>
      <c r="BS12" s="70">
        <f>SUM(AT5:AT10)</f>
        <v>0</v>
      </c>
      <c r="BT12" s="70">
        <f>SUM(AV5:AV10)</f>
        <v>0</v>
      </c>
      <c r="BU12" s="70">
        <f>SUM(AX5:AX10)</f>
        <v>0</v>
      </c>
      <c r="BV12" s="70">
        <f>SUM(AZ5:AZ10)</f>
        <v>0</v>
      </c>
      <c r="BW12" s="70">
        <f>SUM(BB5:BB10)</f>
        <v>0</v>
      </c>
      <c r="BX12" s="70">
        <f t="shared" si="11"/>
        <v>0</v>
      </c>
      <c r="BY12" s="70">
        <f>SUM(BF5:BF10)</f>
        <v>0</v>
      </c>
      <c r="BZ12" s="70">
        <f>SUM(BH5:BH10)</f>
        <v>0</v>
      </c>
      <c r="CA12" s="70">
        <f>SUM(BJ5:BJ10)</f>
        <v>0</v>
      </c>
      <c r="CB12" s="70">
        <f>SUM(BL5:BL10)</f>
        <v>0</v>
      </c>
      <c r="CC12" s="70">
        <f>SUM(BN5:BN10)</f>
        <v>0</v>
      </c>
      <c r="CD12" s="128"/>
      <c r="CE12" s="128" t="s">
        <v>122</v>
      </c>
      <c r="CF12" s="51">
        <v>1</v>
      </c>
      <c r="CG12" s="51"/>
      <c r="CH12" s="51">
        <v>1</v>
      </c>
      <c r="CI12" s="51"/>
      <c r="CJ12" s="51"/>
      <c r="CK12" s="27" t="s">
        <v>46</v>
      </c>
      <c r="CL12" s="51">
        <f>VLOOKUP($CM$12+$CM$11,'tab aparelhos'!$E$4:$F$35,2)</f>
        <v>0</v>
      </c>
      <c r="CM12" s="202">
        <f>SUM($C$17,$F$17)</f>
        <v>0</v>
      </c>
      <c r="CN12" s="202">
        <f>SUM($D$17,$G$17)</f>
        <v>0</v>
      </c>
      <c r="CO12" s="199">
        <f t="shared" si="9"/>
        <v>0</v>
      </c>
      <c r="CP12" s="193"/>
      <c r="CQ12" s="199">
        <f t="shared" si="19"/>
        <v>0</v>
      </c>
      <c r="CR12" s="193"/>
      <c r="CS12" s="193"/>
      <c r="CT12" s="193"/>
      <c r="CU12" s="193"/>
      <c r="CV12" s="193"/>
      <c r="CW12" s="193"/>
      <c r="CX12" s="193"/>
      <c r="CY12" s="193"/>
      <c r="CZ12" s="193"/>
      <c r="DA12" s="193"/>
      <c r="DB12" s="193"/>
      <c r="DC12" s="193"/>
      <c r="DD12" s="193"/>
      <c r="DE12" s="193"/>
      <c r="DF12" s="193"/>
      <c r="DG12" s="193"/>
      <c r="DH12" s="193"/>
      <c r="DI12" s="193"/>
      <c r="DJ12" s="193"/>
      <c r="DK12" s="199"/>
      <c r="DL12" s="199"/>
      <c r="DM12" s="199"/>
      <c r="DN12" s="193"/>
      <c r="DO12" s="193"/>
      <c r="DP12" s="193"/>
      <c r="DQ12" s="193"/>
      <c r="DR12" s="193"/>
      <c r="DS12" s="290"/>
      <c r="DT12" s="51"/>
      <c r="DV12" s="27" t="s">
        <v>46</v>
      </c>
      <c r="DW12" s="83"/>
      <c r="DX12" s="202">
        <f t="shared" si="22"/>
        <v>0</v>
      </c>
      <c r="DY12" s="202">
        <f t="shared" si="12"/>
        <v>0</v>
      </c>
      <c r="DZ12" s="199">
        <f t="shared" si="13"/>
        <v>0</v>
      </c>
      <c r="EA12" s="193"/>
      <c r="EB12" s="199">
        <f t="shared" si="14"/>
        <v>0</v>
      </c>
      <c r="EC12" s="193"/>
      <c r="ED12" s="193"/>
      <c r="EE12" s="193"/>
      <c r="EF12" s="193"/>
      <c r="EG12" s="193"/>
      <c r="EH12" s="193"/>
      <c r="EI12" s="193"/>
      <c r="EJ12" s="199">
        <f t="shared" si="20"/>
        <v>0</v>
      </c>
      <c r="EK12" s="199">
        <f t="shared" si="21"/>
        <v>0</v>
      </c>
      <c r="EL12" s="199">
        <f t="shared" si="15"/>
        <v>0</v>
      </c>
      <c r="EM12" s="193"/>
      <c r="EN12" s="193"/>
      <c r="EO12" s="193"/>
      <c r="EP12" s="193"/>
      <c r="EQ12" s="193"/>
      <c r="ER12" s="193"/>
      <c r="ES12" s="193"/>
      <c r="ET12" s="193"/>
      <c r="EU12" s="193"/>
      <c r="EV12" s="199"/>
      <c r="EW12" s="199"/>
      <c r="EX12" s="199"/>
      <c r="EY12" s="193"/>
      <c r="EZ12" s="193"/>
      <c r="FA12" s="193"/>
      <c r="FB12" s="193"/>
      <c r="FC12" s="193"/>
      <c r="FD12" s="35"/>
      <c r="FF12" s="51" t="s">
        <v>46</v>
      </c>
      <c r="FG12" s="51">
        <f>VLOOKUP(DX12+DX11+EJ11+EJ12,'tab aparelhos'!$E$4:$F$35,2)</f>
        <v>0</v>
      </c>
      <c r="FH12" s="51"/>
      <c r="FI12" s="51"/>
      <c r="FJ12" s="51"/>
      <c r="FK12" s="51"/>
      <c r="FM12" s="27" t="s">
        <v>46</v>
      </c>
      <c r="FN12" s="83"/>
      <c r="FO12" s="202">
        <f>SUM($C$17,$F$17)</f>
        <v>0</v>
      </c>
      <c r="FP12" s="202">
        <f>SUM($D$17,$G$17)</f>
        <v>0</v>
      </c>
      <c r="FQ12" s="199">
        <f t="shared" si="10"/>
        <v>0</v>
      </c>
      <c r="FR12" s="193"/>
      <c r="FS12" s="199">
        <f t="shared" si="16"/>
        <v>0</v>
      </c>
      <c r="FT12" s="193"/>
      <c r="FU12" s="193"/>
      <c r="FV12" s="193"/>
      <c r="FW12" s="193"/>
      <c r="FX12" s="193"/>
      <c r="FY12" s="193"/>
      <c r="FZ12" s="193"/>
      <c r="GA12" s="193"/>
      <c r="GB12" s="193"/>
      <c r="GC12" s="193"/>
      <c r="GD12" s="193"/>
      <c r="GE12" s="193"/>
      <c r="GF12" s="193"/>
      <c r="GG12" s="193"/>
      <c r="GH12" s="193"/>
      <c r="GI12" s="193"/>
      <c r="GJ12" s="193"/>
      <c r="GK12" s="193"/>
      <c r="GL12" s="193"/>
      <c r="GM12" s="199"/>
      <c r="GN12" s="199"/>
      <c r="GO12" s="199"/>
      <c r="GP12" s="193"/>
      <c r="GQ12" s="193"/>
      <c r="GR12" s="193"/>
      <c r="GS12" s="193"/>
      <c r="GT12" s="193"/>
      <c r="GU12" s="35"/>
      <c r="GW12" s="51" t="s">
        <v>46</v>
      </c>
      <c r="GX12" s="51">
        <f>VLOOKUP(FO12+FO11,'tab aparelhos'!$E$4:$F$35,2)</f>
        <v>0</v>
      </c>
      <c r="GY12" s="51"/>
      <c r="GZ12" s="51"/>
      <c r="HA12" s="51"/>
      <c r="HB12" s="51"/>
      <c r="HD12" s="27" t="s">
        <v>46</v>
      </c>
      <c r="HE12" s="83"/>
      <c r="HF12" s="202">
        <f>SUM($I$17,$L$17)</f>
        <v>0</v>
      </c>
      <c r="HG12" s="202">
        <f>SUM($J$17,$M$17)</f>
        <v>0</v>
      </c>
      <c r="HH12" s="199">
        <f t="shared" si="17"/>
        <v>0</v>
      </c>
      <c r="HI12" s="193"/>
      <c r="HJ12" s="199">
        <f t="shared" si="18"/>
        <v>0</v>
      </c>
      <c r="HK12" s="193"/>
      <c r="HL12" s="193"/>
      <c r="HM12" s="193"/>
      <c r="HN12" s="193"/>
      <c r="HO12" s="193"/>
      <c r="HP12" s="193"/>
      <c r="HQ12" s="193"/>
      <c r="HR12" s="193"/>
      <c r="HS12" s="193"/>
      <c r="HT12" s="193"/>
      <c r="HU12" s="193"/>
      <c r="HV12" s="193"/>
      <c r="HW12" s="193"/>
      <c r="HX12" s="193"/>
      <c r="HY12" s="193"/>
      <c r="HZ12" s="193"/>
      <c r="IA12" s="193"/>
      <c r="IB12" s="193"/>
      <c r="IC12" s="193"/>
      <c r="ID12" s="199"/>
      <c r="IE12" s="199"/>
      <c r="IF12" s="199"/>
      <c r="IG12" s="193"/>
      <c r="IH12" s="193"/>
      <c r="II12" s="193"/>
      <c r="IJ12" s="193"/>
      <c r="IK12" s="193"/>
      <c r="IL12" s="35"/>
      <c r="IN12" s="51" t="s">
        <v>46</v>
      </c>
      <c r="IO12" s="51">
        <f>VLOOKUP(HF12+HF11,'tab aparelhos'!$E$4:$F$35,2)</f>
        <v>0</v>
      </c>
      <c r="IP12" s="51"/>
      <c r="IQ12" s="51"/>
      <c r="IR12" s="51"/>
    </row>
    <row r="13" spans="1:252" ht="12.75" customHeight="1" x14ac:dyDescent="0.2">
      <c r="A13" s="26" t="s">
        <v>42</v>
      </c>
      <c r="B13" s="83">
        <v>1</v>
      </c>
      <c r="C13" s="34">
        <f>IF($C$1="Vazio",0,RELAÇÃO_DE_CARGA!C14)</f>
        <v>0</v>
      </c>
      <c r="D13" s="34">
        <f>IF($C$1="Vazio",0,RELAÇÃO_DE_CARGA!D14)*C13</f>
        <v>0</v>
      </c>
      <c r="E13" s="83">
        <v>1</v>
      </c>
      <c r="F13" s="34">
        <f>IF($F$1="Vazio",0,RELAÇÃO_DE_CARGA!F14)</f>
        <v>0</v>
      </c>
      <c r="G13" s="34">
        <f>IF($F$1="Vazio",0,RELAÇÃO_DE_CARGA!G14)*F13</f>
        <v>0</v>
      </c>
      <c r="H13" s="83">
        <v>1</v>
      </c>
      <c r="I13" s="34">
        <f>IF(OR($I$1="Vazio",RELAÇÃO_DE_CARGA!$I$1&lt;3),0,RELAÇÃO_DE_CARGA!I14)</f>
        <v>0</v>
      </c>
      <c r="J13" s="34">
        <f>IF(OR($I$1="Vazio",RELAÇÃO_DE_CARGA!$I$1&lt;3),0,RELAÇÃO_DE_CARGA!J14)*I13</f>
        <v>0</v>
      </c>
      <c r="K13" s="83">
        <v>1</v>
      </c>
      <c r="L13" s="34">
        <f>IF(OR($L$1="Vazio",RELAÇÃO_DE_CARGA!$I$1&lt;4),0,RELAÇÃO_DE_CARGA!L14)</f>
        <v>0</v>
      </c>
      <c r="M13" s="34">
        <f>IF(OR($L$1="Vazio",RELAÇÃO_DE_CARGA!$I$1&lt;4),0,RELAÇÃO_DE_CARGA!M14)*L13</f>
        <v>0</v>
      </c>
      <c r="N13" s="83">
        <v>1</v>
      </c>
      <c r="O13" s="34">
        <f>IF(OR($O$1="Vazio",RELAÇÃO_DE_CARGA!$I$1&lt;5),0,RELAÇÃO_DE_CARGA!O14)</f>
        <v>0</v>
      </c>
      <c r="P13" s="34">
        <f>IF(OR($O$1="Vazio",RELAÇÃO_DE_CARGA!$I$1&lt;5),0,RELAÇÃO_DE_CARGA!P14)*O13</f>
        <v>0</v>
      </c>
      <c r="Q13" s="83">
        <v>1</v>
      </c>
      <c r="R13" s="34">
        <f>IF(OR($R$1="Vazio",RELAÇÃO_DE_CARGA!$I$1&lt;6),0,RELAÇÃO_DE_CARGA!R14)</f>
        <v>0</v>
      </c>
      <c r="S13" s="34">
        <f>IF(OR($R$1="Vazio",RELAÇÃO_DE_CARGA!$I$1&lt;6),0,RELAÇÃO_DE_CARGA!S14)*R13</f>
        <v>0</v>
      </c>
      <c r="T13" s="83">
        <v>1</v>
      </c>
      <c r="U13" s="34">
        <f>IF(OR($U$1="Vazio",RELAÇÃO_DE_CARGA!$I$1&lt;7),0,RELAÇÃO_DE_CARGA!U14)</f>
        <v>0</v>
      </c>
      <c r="V13" s="34">
        <f>IF(OR($U$1="Vazio",RELAÇÃO_DE_CARGA!$I$1&lt;7),0,RELAÇÃO_DE_CARGA!V14)*U13</f>
        <v>0</v>
      </c>
      <c r="W13" s="83">
        <v>1</v>
      </c>
      <c r="X13" s="34">
        <f>IF(OR($X$1="Vazio",RELAÇÃO_DE_CARGA!$I$1&lt;8),0,RELAÇÃO_DE_CARGA!X14)</f>
        <v>0</v>
      </c>
      <c r="Y13" s="34">
        <f>IF(OR($X$1="Vazio",RELAÇÃO_DE_CARGA!$I$1&lt;8),0,RELAÇÃO_DE_CARGA!Y14)*X13</f>
        <v>0</v>
      </c>
      <c r="Z13" s="83">
        <v>1</v>
      </c>
      <c r="AA13" s="34">
        <f>IF(OR($AA$1="Vazio",RELAÇÃO_DE_CARGA!$I$1&lt;9),0,RELAÇÃO_DE_CARGA!AA14)</f>
        <v>0</v>
      </c>
      <c r="AB13" s="34">
        <f>IF(OR($AA$1="Vazio",RELAÇÃO_DE_CARGA!$I$1&lt;9),0,RELAÇÃO_DE_CARGA!AB14)*AA13</f>
        <v>0</v>
      </c>
      <c r="AC13" s="83">
        <v>1</v>
      </c>
      <c r="AD13" s="34">
        <f>IF(OR($AD$1="Vazio",RELAÇÃO_DE_CARGA!$I$1&lt;10),0,RELAÇÃO_DE_CARGA!AD14)</f>
        <v>0</v>
      </c>
      <c r="AE13" s="34">
        <f>IF(OR($AD$1="Vazio",RELAÇÃO_DE_CARGA!$I$1&lt;10),0,RELAÇÃO_DE_CARGA!AE14)*AD13</f>
        <v>0</v>
      </c>
      <c r="AF13" s="83">
        <v>1</v>
      </c>
      <c r="AG13" s="34">
        <f>IF(OR($AG$1="Vazio",RELAÇÃO_DE_CARGA!$I$1&lt;11),0,RELAÇÃO_DE_CARGA!AG14)</f>
        <v>0</v>
      </c>
      <c r="AH13" s="34">
        <f>IF(OR($AG$1="Vazio",RELAÇÃO_DE_CARGA!$I$1&lt;11),0,RELAÇÃO_DE_CARGA!AH14)*AG13</f>
        <v>0</v>
      </c>
      <c r="AI13" s="83">
        <v>1</v>
      </c>
      <c r="AJ13" s="34">
        <f>IF(OR($AJ$1="Vazio",RELAÇÃO_DE_CARGA!$I$1&lt;12),0,RELAÇÃO_DE_CARGA!AJ14)</f>
        <v>0</v>
      </c>
      <c r="AK13" s="34">
        <f>IF(OR($AJ$1="Vazio",RELAÇÃO_DE_CARGA!$I$1&lt;12),0,RELAÇÃO_DE_CARGA!AK14)*AJ13</f>
        <v>0</v>
      </c>
      <c r="AL13" s="35"/>
      <c r="AM13" s="35"/>
      <c r="AN13" s="35"/>
      <c r="AO13" s="35"/>
      <c r="AP13" s="35"/>
      <c r="AQ13" s="26" t="s">
        <v>42</v>
      </c>
      <c r="AR13" s="70">
        <f>D13</f>
        <v>0</v>
      </c>
      <c r="AS13" s="70">
        <f>D13*BR20</f>
        <v>0</v>
      </c>
      <c r="AT13" s="70">
        <f>G13</f>
        <v>0</v>
      </c>
      <c r="AU13" s="70">
        <f>G13*BS20</f>
        <v>0</v>
      </c>
      <c r="AV13" s="70">
        <f>J13</f>
        <v>0</v>
      </c>
      <c r="AW13" s="70">
        <f>J13*BT20</f>
        <v>0</v>
      </c>
      <c r="AX13" s="70">
        <f>M13</f>
        <v>0</v>
      </c>
      <c r="AY13" s="70">
        <f>M13*BU20</f>
        <v>0</v>
      </c>
      <c r="AZ13" s="70">
        <f>P13</f>
        <v>0</v>
      </c>
      <c r="BA13" s="70">
        <f>P13*BV20</f>
        <v>0</v>
      </c>
      <c r="BB13" s="70">
        <f>S13</f>
        <v>0</v>
      </c>
      <c r="BC13" s="70">
        <f>S13*BW20</f>
        <v>0</v>
      </c>
      <c r="BD13" s="70">
        <f>V13</f>
        <v>0</v>
      </c>
      <c r="BE13" s="70">
        <f>V13*BX20</f>
        <v>0</v>
      </c>
      <c r="BF13" s="70">
        <f>Y13</f>
        <v>0</v>
      </c>
      <c r="BG13" s="70">
        <f>Y13*BY20</f>
        <v>0</v>
      </c>
      <c r="BH13" s="70">
        <f>AB13</f>
        <v>0</v>
      </c>
      <c r="BI13" s="70">
        <f>AB13*BZ20</f>
        <v>0</v>
      </c>
      <c r="BJ13" s="70">
        <f>AE13</f>
        <v>0</v>
      </c>
      <c r="BK13" s="70">
        <f>AE13*CA20</f>
        <v>0</v>
      </c>
      <c r="BL13" s="70">
        <f>AH13</f>
        <v>0</v>
      </c>
      <c r="BM13" s="70">
        <f>AH13*CB20</f>
        <v>0</v>
      </c>
      <c r="BN13" s="70">
        <f>AK13</f>
        <v>0</v>
      </c>
      <c r="BO13" s="70">
        <f>AK13*CC20</f>
        <v>0</v>
      </c>
      <c r="BP13" s="51"/>
      <c r="BQ13" s="52" t="s">
        <v>122</v>
      </c>
      <c r="BR13" s="70">
        <f>SUM(AR5:AR10)</f>
        <v>0</v>
      </c>
      <c r="BS13" s="70">
        <f>SUM(AT5:AT10)</f>
        <v>0</v>
      </c>
      <c r="BT13" s="70">
        <f>SUM(AV5:AV10)</f>
        <v>0</v>
      </c>
      <c r="BU13" s="70">
        <f>SUM(AX5:AX10)</f>
        <v>0</v>
      </c>
      <c r="BV13" s="70">
        <f>SUM(AZ5:AZ10)</f>
        <v>0</v>
      </c>
      <c r="BW13" s="70">
        <f>SUM(BB5:BB10)</f>
        <v>0</v>
      </c>
      <c r="BX13" s="70">
        <f t="shared" si="11"/>
        <v>0</v>
      </c>
      <c r="BY13" s="70">
        <f>SUM(BF5:BF10)</f>
        <v>0</v>
      </c>
      <c r="BZ13" s="70">
        <f>SUM(BH5:BH10)</f>
        <v>0</v>
      </c>
      <c r="CA13" s="70">
        <f>SUM(BJ5:BJ10)</f>
        <v>0</v>
      </c>
      <c r="CB13" s="70">
        <f>SUM(BL5:BL10)</f>
        <v>0</v>
      </c>
      <c r="CC13" s="70">
        <f>SUM(BN5:BN10)</f>
        <v>0</v>
      </c>
      <c r="CD13" s="128"/>
      <c r="CE13" s="128" t="s">
        <v>123</v>
      </c>
      <c r="CF13" s="51">
        <v>1</v>
      </c>
      <c r="CG13" s="51"/>
      <c r="CH13" s="51">
        <v>1</v>
      </c>
      <c r="CI13" s="51"/>
      <c r="CJ13" s="51"/>
      <c r="CK13" s="27" t="s">
        <v>47</v>
      </c>
      <c r="CL13" s="51">
        <f>VLOOKUP($CM$13,'tab aparelhos'!$K$4:$L$35,2)</f>
        <v>0</v>
      </c>
      <c r="CM13" s="202">
        <f>SUM($C$18,$F$18)</f>
        <v>0</v>
      </c>
      <c r="CN13" s="202">
        <f>SUM($D$18,$G$18)</f>
        <v>0</v>
      </c>
      <c r="CO13" s="199">
        <f t="shared" si="9"/>
        <v>0</v>
      </c>
      <c r="CP13" s="193"/>
      <c r="CQ13" s="199">
        <f t="shared" si="19"/>
        <v>0</v>
      </c>
      <c r="CR13" s="193"/>
      <c r="CS13" s="193"/>
      <c r="CT13" s="193"/>
      <c r="CU13" s="193"/>
      <c r="CV13" s="193"/>
      <c r="CW13" s="193"/>
      <c r="CX13" s="193"/>
      <c r="CY13" s="193"/>
      <c r="CZ13" s="193"/>
      <c r="DA13" s="193"/>
      <c r="DB13" s="193"/>
      <c r="DC13" s="193"/>
      <c r="DD13" s="193"/>
      <c r="DE13" s="193"/>
      <c r="DF13" s="193"/>
      <c r="DG13" s="193"/>
      <c r="DH13" s="193"/>
      <c r="DI13" s="193"/>
      <c r="DJ13" s="193"/>
      <c r="DK13" s="199"/>
      <c r="DL13" s="199"/>
      <c r="DM13" s="199"/>
      <c r="DN13" s="193"/>
      <c r="DO13" s="193"/>
      <c r="DP13" s="193"/>
      <c r="DQ13" s="193"/>
      <c r="DR13" s="193"/>
      <c r="DS13" s="290"/>
      <c r="DT13" s="51"/>
      <c r="DV13" s="27" t="s">
        <v>47</v>
      </c>
      <c r="DW13" s="83"/>
      <c r="DX13" s="202">
        <f>SUM(IF($C$1=$DX$1,C18,0),IF($F$1=$DX$1,F18,0),IF($I$1=$DX$1,I18,0),IF($L$1=$DX$1,L18,0))</f>
        <v>0</v>
      </c>
      <c r="DY13" s="202">
        <f t="shared" si="12"/>
        <v>0</v>
      </c>
      <c r="DZ13" s="199">
        <f t="shared" si="13"/>
        <v>0</v>
      </c>
      <c r="EA13" s="193"/>
      <c r="EB13" s="199">
        <f t="shared" si="14"/>
        <v>0</v>
      </c>
      <c r="EC13" s="193"/>
      <c r="ED13" s="193"/>
      <c r="EE13" s="193"/>
      <c r="EF13" s="193"/>
      <c r="EG13" s="193"/>
      <c r="EH13" s="193"/>
      <c r="EI13" s="193"/>
      <c r="EJ13" s="199">
        <f t="shared" si="20"/>
        <v>0</v>
      </c>
      <c r="EK13" s="199">
        <f t="shared" si="21"/>
        <v>0</v>
      </c>
      <c r="EL13" s="199">
        <f t="shared" si="15"/>
        <v>0</v>
      </c>
      <c r="EM13" s="193"/>
      <c r="EN13" s="193"/>
      <c r="EO13" s="193"/>
      <c r="EP13" s="193"/>
      <c r="EQ13" s="193"/>
      <c r="ER13" s="193"/>
      <c r="ES13" s="193"/>
      <c r="ET13" s="193"/>
      <c r="EU13" s="193"/>
      <c r="EV13" s="199"/>
      <c r="EW13" s="199"/>
      <c r="EX13" s="199"/>
      <c r="EY13" s="193"/>
      <c r="EZ13" s="193"/>
      <c r="FA13" s="193"/>
      <c r="FB13" s="193"/>
      <c r="FC13" s="193"/>
      <c r="FD13" s="35"/>
      <c r="FF13" s="51" t="s">
        <v>47</v>
      </c>
      <c r="FG13" s="51">
        <f>VLOOKUP(DX13+EJ13,'tab aparelhos'!$K$4:$L$35,2)</f>
        <v>0</v>
      </c>
      <c r="FH13" s="51"/>
      <c r="FI13" s="51"/>
      <c r="FJ13" s="51"/>
      <c r="FK13" s="51"/>
      <c r="FM13" s="27" t="s">
        <v>47</v>
      </c>
      <c r="FN13" s="83"/>
      <c r="FO13" s="202">
        <f>SUM($C$18,$F$18)</f>
        <v>0</v>
      </c>
      <c r="FP13" s="202">
        <f>SUM($D$18,$G$18)</f>
        <v>0</v>
      </c>
      <c r="FQ13" s="199">
        <f t="shared" si="10"/>
        <v>0</v>
      </c>
      <c r="FR13" s="193"/>
      <c r="FS13" s="199">
        <f t="shared" si="16"/>
        <v>0</v>
      </c>
      <c r="FT13" s="193"/>
      <c r="FU13" s="193"/>
      <c r="FV13" s="193"/>
      <c r="FW13" s="193"/>
      <c r="FX13" s="193"/>
      <c r="FY13" s="193"/>
      <c r="FZ13" s="193"/>
      <c r="GA13" s="193"/>
      <c r="GB13" s="193"/>
      <c r="GC13" s="193"/>
      <c r="GD13" s="193"/>
      <c r="GE13" s="193"/>
      <c r="GF13" s="193"/>
      <c r="GG13" s="193"/>
      <c r="GH13" s="193"/>
      <c r="GI13" s="193"/>
      <c r="GJ13" s="193"/>
      <c r="GK13" s="193"/>
      <c r="GL13" s="193"/>
      <c r="GM13" s="199"/>
      <c r="GN13" s="199"/>
      <c r="GO13" s="199"/>
      <c r="GP13" s="193"/>
      <c r="GQ13" s="193"/>
      <c r="GR13" s="193"/>
      <c r="GS13" s="193"/>
      <c r="GT13" s="193"/>
      <c r="GU13" s="35"/>
      <c r="GW13" s="51" t="s">
        <v>47</v>
      </c>
      <c r="GX13" s="51">
        <f>VLOOKUP(FO13,'tab aparelhos'!$K$4:$L$35,2)</f>
        <v>0</v>
      </c>
      <c r="GY13" s="51"/>
      <c r="GZ13" s="51"/>
      <c r="HA13" s="51"/>
      <c r="HB13" s="51"/>
      <c r="HD13" s="27" t="s">
        <v>47</v>
      </c>
      <c r="HE13" s="83"/>
      <c r="HF13" s="202">
        <f>SUM($I$18,$L$18)</f>
        <v>0</v>
      </c>
      <c r="HG13" s="202">
        <f>SUM($J$18,$M$18)</f>
        <v>0</v>
      </c>
      <c r="HH13" s="199">
        <f t="shared" si="17"/>
        <v>0</v>
      </c>
      <c r="HI13" s="193"/>
      <c r="HJ13" s="199">
        <f t="shared" si="18"/>
        <v>0</v>
      </c>
      <c r="HK13" s="193"/>
      <c r="HL13" s="193"/>
      <c r="HM13" s="193"/>
      <c r="HN13" s="193"/>
      <c r="HO13" s="193"/>
      <c r="HP13" s="193"/>
      <c r="HQ13" s="193"/>
      <c r="HR13" s="193"/>
      <c r="HS13" s="193"/>
      <c r="HT13" s="193"/>
      <c r="HU13" s="193"/>
      <c r="HV13" s="193"/>
      <c r="HW13" s="193"/>
      <c r="HX13" s="193"/>
      <c r="HY13" s="193"/>
      <c r="HZ13" s="193"/>
      <c r="IA13" s="193"/>
      <c r="IB13" s="193"/>
      <c r="IC13" s="193"/>
      <c r="ID13" s="199"/>
      <c r="IE13" s="199"/>
      <c r="IF13" s="199"/>
      <c r="IG13" s="193"/>
      <c r="IH13" s="193"/>
      <c r="II13" s="193"/>
      <c r="IJ13" s="193"/>
      <c r="IK13" s="193"/>
      <c r="IL13" s="35"/>
      <c r="IN13" s="51" t="s">
        <v>47</v>
      </c>
      <c r="IO13" s="51">
        <f>VLOOKUP(HF13,'tab aparelhos'!$K$4:$L$35,2)</f>
        <v>0</v>
      </c>
      <c r="IP13" s="51"/>
      <c r="IQ13" s="51"/>
      <c r="IR13" s="51"/>
    </row>
    <row r="14" spans="1:252" ht="12.75" customHeight="1" x14ac:dyDescent="0.2">
      <c r="A14" s="27" t="s">
        <v>43</v>
      </c>
      <c r="B14" s="83">
        <v>1</v>
      </c>
      <c r="C14" s="34">
        <f>IF($C$1="Vazio",0,RELAÇÃO_DE_CARGA!C15)</f>
        <v>0</v>
      </c>
      <c r="D14" s="34">
        <f>IF($C$1="Vazio",0,RELAÇÃO_DE_CARGA!D15)*C14</f>
        <v>0</v>
      </c>
      <c r="E14" s="83">
        <v>1</v>
      </c>
      <c r="F14" s="34">
        <f>IF($F$1="Vazio",0,RELAÇÃO_DE_CARGA!F15)</f>
        <v>0</v>
      </c>
      <c r="G14" s="34">
        <f>IF($F$1="Vazio",0,RELAÇÃO_DE_CARGA!G15)*F14</f>
        <v>0</v>
      </c>
      <c r="H14" s="83">
        <v>1</v>
      </c>
      <c r="I14" s="34">
        <f>IF(OR($I$1="Vazio",RELAÇÃO_DE_CARGA!$I$1&lt;3),0,RELAÇÃO_DE_CARGA!I15)</f>
        <v>0</v>
      </c>
      <c r="J14" s="34">
        <f>IF(OR($I$1="Vazio",RELAÇÃO_DE_CARGA!$I$1&lt;3),0,RELAÇÃO_DE_CARGA!J15)*I14</f>
        <v>0</v>
      </c>
      <c r="K14" s="83">
        <v>1</v>
      </c>
      <c r="L14" s="34">
        <f>IF(OR($L$1="Vazio",RELAÇÃO_DE_CARGA!$I$1&lt;4),0,RELAÇÃO_DE_CARGA!L15)</f>
        <v>0</v>
      </c>
      <c r="M14" s="34">
        <f>IF(OR($L$1="Vazio",RELAÇÃO_DE_CARGA!$I$1&lt;4),0,RELAÇÃO_DE_CARGA!M15)*L14</f>
        <v>0</v>
      </c>
      <c r="N14" s="83">
        <v>1</v>
      </c>
      <c r="O14" s="34">
        <f>IF(OR($O$1="Vazio",RELAÇÃO_DE_CARGA!$I$1&lt;5),0,RELAÇÃO_DE_CARGA!O15)</f>
        <v>0</v>
      </c>
      <c r="P14" s="34">
        <f>IF(OR($O$1="Vazio",RELAÇÃO_DE_CARGA!$I$1&lt;5),0,RELAÇÃO_DE_CARGA!P15)*O14</f>
        <v>0</v>
      </c>
      <c r="Q14" s="83">
        <v>1</v>
      </c>
      <c r="R14" s="34">
        <f>IF(OR($R$1="Vazio",RELAÇÃO_DE_CARGA!$I$1&lt;6),0,RELAÇÃO_DE_CARGA!R15)</f>
        <v>0</v>
      </c>
      <c r="S14" s="34">
        <f>IF(OR($R$1="Vazio",RELAÇÃO_DE_CARGA!$I$1&lt;6),0,RELAÇÃO_DE_CARGA!S15)*R14</f>
        <v>0</v>
      </c>
      <c r="T14" s="83">
        <v>1</v>
      </c>
      <c r="U14" s="34">
        <f>IF(OR($U$1="Vazio",RELAÇÃO_DE_CARGA!$I$1&lt;7),0,RELAÇÃO_DE_CARGA!U15)</f>
        <v>0</v>
      </c>
      <c r="V14" s="34">
        <f>IF(OR($U$1="Vazio",RELAÇÃO_DE_CARGA!$I$1&lt;7),0,RELAÇÃO_DE_CARGA!V15)*U14</f>
        <v>0</v>
      </c>
      <c r="W14" s="83">
        <v>1</v>
      </c>
      <c r="X14" s="34">
        <f>IF(OR($X$1="Vazio",RELAÇÃO_DE_CARGA!$I$1&lt;8),0,RELAÇÃO_DE_CARGA!X15)</f>
        <v>0</v>
      </c>
      <c r="Y14" s="34">
        <f>IF(OR($X$1="Vazio",RELAÇÃO_DE_CARGA!$I$1&lt;8),0,RELAÇÃO_DE_CARGA!Y15)*X14</f>
        <v>0</v>
      </c>
      <c r="Z14" s="83">
        <v>1</v>
      </c>
      <c r="AA14" s="34">
        <f>IF(OR($AA$1="Vazio",RELAÇÃO_DE_CARGA!$I$1&lt;9),0,RELAÇÃO_DE_CARGA!AA15)</f>
        <v>0</v>
      </c>
      <c r="AB14" s="34">
        <f>IF(OR($AA$1="Vazio",RELAÇÃO_DE_CARGA!$I$1&lt;9),0,RELAÇÃO_DE_CARGA!AB15)*AA14</f>
        <v>0</v>
      </c>
      <c r="AC14" s="83">
        <v>1</v>
      </c>
      <c r="AD14" s="34">
        <f>IF(OR($AD$1="Vazio",RELAÇÃO_DE_CARGA!$I$1&lt;10),0,RELAÇÃO_DE_CARGA!AD15)</f>
        <v>0</v>
      </c>
      <c r="AE14" s="34">
        <f>IF(OR($AD$1="Vazio",RELAÇÃO_DE_CARGA!$I$1&lt;10),0,RELAÇÃO_DE_CARGA!AE15)*AD14</f>
        <v>0</v>
      </c>
      <c r="AF14" s="83">
        <v>1</v>
      </c>
      <c r="AG14" s="34">
        <f>IF(OR($AG$1="Vazio",RELAÇÃO_DE_CARGA!$I$1&lt;11),0,RELAÇÃO_DE_CARGA!AG15)</f>
        <v>0</v>
      </c>
      <c r="AH14" s="34">
        <f>IF(OR($AG$1="Vazio",RELAÇÃO_DE_CARGA!$I$1&lt;11),0,RELAÇÃO_DE_CARGA!AH15)*AG14</f>
        <v>0</v>
      </c>
      <c r="AI14" s="83">
        <v>1</v>
      </c>
      <c r="AJ14" s="34">
        <f>IF(OR($AJ$1="Vazio",RELAÇÃO_DE_CARGA!$I$1&lt;12),0,RELAÇÃO_DE_CARGA!AJ15)</f>
        <v>0</v>
      </c>
      <c r="AK14" s="34">
        <f>IF(OR($AJ$1="Vazio",RELAÇÃO_DE_CARGA!$I$1&lt;12),0,RELAÇÃO_DE_CARGA!AK15)*AJ14</f>
        <v>0</v>
      </c>
      <c r="AL14" s="35"/>
      <c r="AM14" s="35"/>
      <c r="AN14" s="35"/>
      <c r="AO14" s="35"/>
      <c r="AP14" s="35"/>
      <c r="AQ14" s="27" t="s">
        <v>43</v>
      </c>
      <c r="AR14" s="70">
        <f t="shared" ref="AR14:AR30" si="23">D14</f>
        <v>0</v>
      </c>
      <c r="AS14" s="70">
        <f t="shared" ref="AS14:AS30" si="24">D14*BR21</f>
        <v>0</v>
      </c>
      <c r="AT14" s="70">
        <f t="shared" ref="AT14:AT30" si="25">G14</f>
        <v>0</v>
      </c>
      <c r="AU14" s="70">
        <f t="shared" ref="AU14:AU30" si="26">G14*BS21</f>
        <v>0</v>
      </c>
      <c r="AV14" s="70">
        <f t="shared" ref="AV14:AV30" si="27">J14</f>
        <v>0</v>
      </c>
      <c r="AW14" s="70">
        <f t="shared" ref="AW14:AW30" si="28">J14*BT21</f>
        <v>0</v>
      </c>
      <c r="AX14" s="70">
        <f t="shared" ref="AX14:AX30" si="29">M14</f>
        <v>0</v>
      </c>
      <c r="AY14" s="70">
        <f t="shared" ref="AY14:AY30" si="30">M14*BU21</f>
        <v>0</v>
      </c>
      <c r="AZ14" s="70">
        <f t="shared" ref="AZ14:AZ30" si="31">P14</f>
        <v>0</v>
      </c>
      <c r="BA14" s="70">
        <f t="shared" ref="BA14:BA30" si="32">P14*BV21</f>
        <v>0</v>
      </c>
      <c r="BB14" s="70">
        <f t="shared" ref="BB14:BB30" si="33">S14</f>
        <v>0</v>
      </c>
      <c r="BC14" s="70">
        <f t="shared" ref="BC14:BC30" si="34">S14*BW21</f>
        <v>0</v>
      </c>
      <c r="BD14" s="70">
        <f t="shared" ref="BD14:BD30" si="35">V14</f>
        <v>0</v>
      </c>
      <c r="BE14" s="70">
        <f t="shared" ref="BE14:BE30" si="36">V14*BX21</f>
        <v>0</v>
      </c>
      <c r="BF14" s="70">
        <f t="shared" ref="BF14:BF30" si="37">Y14</f>
        <v>0</v>
      </c>
      <c r="BG14" s="70">
        <f t="shared" ref="BG14:BG30" si="38">Y14*BY21</f>
        <v>0</v>
      </c>
      <c r="BH14" s="70">
        <f t="shared" ref="BH14:BH30" si="39">AB14</f>
        <v>0</v>
      </c>
      <c r="BI14" s="70">
        <f t="shared" ref="BI14:BI30" si="40">AB14*BZ21</f>
        <v>0</v>
      </c>
      <c r="BJ14" s="70">
        <f t="shared" ref="BJ14:BJ30" si="41">AE14</f>
        <v>0</v>
      </c>
      <c r="BK14" s="70">
        <f t="shared" ref="BK14:BK30" si="42">AE14*CA21</f>
        <v>0</v>
      </c>
      <c r="BL14" s="70">
        <f t="shared" ref="BL14:BL30" si="43">AH14</f>
        <v>0</v>
      </c>
      <c r="BM14" s="70">
        <f t="shared" ref="BM14:BM30" si="44">AH14*CB21</f>
        <v>0</v>
      </c>
      <c r="BN14" s="70">
        <f t="shared" ref="BN14:BN30" si="45">AK14</f>
        <v>0</v>
      </c>
      <c r="BO14" s="70">
        <f t="shared" ref="BO14:BO30" si="46">AK14*CC21</f>
        <v>0</v>
      </c>
      <c r="BP14" s="51"/>
      <c r="BQ14" s="51" t="s">
        <v>123</v>
      </c>
      <c r="BR14" s="70">
        <f>SUM(AR5:AR10)</f>
        <v>0</v>
      </c>
      <c r="BS14" s="70">
        <f>SUM(AT5:AT10)</f>
        <v>0</v>
      </c>
      <c r="BT14" s="70">
        <f>SUM(AV5:AV10)</f>
        <v>0</v>
      </c>
      <c r="BU14" s="70">
        <f>SUM(AX5:AX10)</f>
        <v>0</v>
      </c>
      <c r="BV14" s="70">
        <f>SUM(AZ5:AZ10)</f>
        <v>0</v>
      </c>
      <c r="BW14" s="70">
        <f>SUM(BB5:BB10)</f>
        <v>0</v>
      </c>
      <c r="BX14" s="70">
        <f t="shared" si="11"/>
        <v>0</v>
      </c>
      <c r="BY14" s="70">
        <f>SUM(BF5:BF10)</f>
        <v>0</v>
      </c>
      <c r="BZ14" s="70">
        <f>SUM(BH5:BH10)</f>
        <v>0</v>
      </c>
      <c r="CA14" s="70">
        <f>SUM(BJ5:BJ10)</f>
        <v>0</v>
      </c>
      <c r="CB14" s="70">
        <f>SUM(BL5:BL10)</f>
        <v>0</v>
      </c>
      <c r="CC14" s="70">
        <f>SUM(BN5:BN10)</f>
        <v>0</v>
      </c>
      <c r="CD14" s="211"/>
      <c r="CE14" s="128" t="s">
        <v>69</v>
      </c>
      <c r="CF14" s="95">
        <f>BR15</f>
        <v>0</v>
      </c>
      <c r="CG14" s="95"/>
      <c r="CH14" s="94">
        <f>BT15</f>
        <v>0</v>
      </c>
      <c r="CI14" s="94"/>
      <c r="CJ14" s="94"/>
      <c r="CK14" s="27" t="s">
        <v>48</v>
      </c>
      <c r="CL14" s="51">
        <f>VLOOKUP($CM$14+$CM$15,'tab aparelhos'!$N$4:$O$35,2)</f>
        <v>0</v>
      </c>
      <c r="CM14" s="202">
        <f>SUM($C$19,$F$19)</f>
        <v>0</v>
      </c>
      <c r="CN14" s="202">
        <f>SUM($D$19,$G$19)</f>
        <v>0</v>
      </c>
      <c r="CO14" s="199">
        <f t="shared" si="9"/>
        <v>0</v>
      </c>
      <c r="CP14" s="193"/>
      <c r="CQ14" s="199">
        <f t="shared" si="19"/>
        <v>0</v>
      </c>
      <c r="CR14" s="193"/>
      <c r="CS14" s="193"/>
      <c r="CT14" s="193"/>
      <c r="CU14" s="193"/>
      <c r="CV14" s="193"/>
      <c r="CW14" s="193"/>
      <c r="CX14" s="193"/>
      <c r="CY14" s="193"/>
      <c r="CZ14" s="193"/>
      <c r="DA14" s="193"/>
      <c r="DB14" s="193"/>
      <c r="DC14" s="193"/>
      <c r="DD14" s="193"/>
      <c r="DE14" s="193"/>
      <c r="DF14" s="193"/>
      <c r="DG14" s="193"/>
      <c r="DH14" s="193"/>
      <c r="DI14" s="193"/>
      <c r="DJ14" s="193"/>
      <c r="DK14" s="199"/>
      <c r="DL14" s="199"/>
      <c r="DM14" s="199"/>
      <c r="DN14" s="193"/>
      <c r="DO14" s="193"/>
      <c r="DP14" s="193"/>
      <c r="DQ14" s="193"/>
      <c r="DR14" s="193"/>
      <c r="DS14" s="291"/>
      <c r="DT14" s="51"/>
      <c r="DV14" s="27" t="s">
        <v>48</v>
      </c>
      <c r="DW14" s="83"/>
      <c r="DX14" s="202">
        <f t="shared" si="22"/>
        <v>0</v>
      </c>
      <c r="DY14" s="202">
        <f t="shared" si="12"/>
        <v>0</v>
      </c>
      <c r="DZ14" s="199">
        <f t="shared" si="13"/>
        <v>0</v>
      </c>
      <c r="EA14" s="193"/>
      <c r="EB14" s="199">
        <f t="shared" si="14"/>
        <v>0</v>
      </c>
      <c r="EC14" s="193"/>
      <c r="ED14" s="193"/>
      <c r="EE14" s="193"/>
      <c r="EF14" s="193"/>
      <c r="EG14" s="193"/>
      <c r="EH14" s="193"/>
      <c r="EI14" s="193"/>
      <c r="EJ14" s="199">
        <f t="shared" si="20"/>
        <v>0</v>
      </c>
      <c r="EK14" s="199">
        <f t="shared" si="21"/>
        <v>0</v>
      </c>
      <c r="EL14" s="199">
        <f t="shared" si="15"/>
        <v>0</v>
      </c>
      <c r="EM14" s="193"/>
      <c r="EN14" s="193"/>
      <c r="EO14" s="193"/>
      <c r="EP14" s="193"/>
      <c r="EQ14" s="193"/>
      <c r="ER14" s="193"/>
      <c r="ES14" s="193"/>
      <c r="ET14" s="193"/>
      <c r="EU14" s="193"/>
      <c r="EV14" s="199"/>
      <c r="EW14" s="199"/>
      <c r="EX14" s="199"/>
      <c r="EY14" s="193"/>
      <c r="EZ14" s="193"/>
      <c r="FA14" s="193"/>
      <c r="FB14" s="193"/>
      <c r="FC14" s="193"/>
      <c r="FD14" s="35"/>
      <c r="FF14" s="51" t="s">
        <v>48</v>
      </c>
      <c r="FG14" s="51">
        <f>VLOOKUP(DX14+DX15+EJ14+EJ15,'tab aparelhos'!$N$4:$O$35,2)</f>
        <v>0</v>
      </c>
      <c r="FH14" s="51"/>
      <c r="FI14" s="51"/>
      <c r="FJ14" s="51"/>
      <c r="FK14" s="51"/>
      <c r="FM14" s="27" t="s">
        <v>48</v>
      </c>
      <c r="FN14" s="83"/>
      <c r="FO14" s="202">
        <f>SUM($C$19,$F$19)</f>
        <v>0</v>
      </c>
      <c r="FP14" s="202">
        <f>SUM($D$19,$G$19)</f>
        <v>0</v>
      </c>
      <c r="FQ14" s="199">
        <f t="shared" si="10"/>
        <v>0</v>
      </c>
      <c r="FR14" s="193"/>
      <c r="FS14" s="199">
        <f t="shared" si="16"/>
        <v>0</v>
      </c>
      <c r="FT14" s="193"/>
      <c r="FU14" s="193"/>
      <c r="FV14" s="193"/>
      <c r="FW14" s="193"/>
      <c r="FX14" s="193"/>
      <c r="FY14" s="193"/>
      <c r="FZ14" s="193"/>
      <c r="GA14" s="193"/>
      <c r="GB14" s="193"/>
      <c r="GC14" s="193"/>
      <c r="GD14" s="193"/>
      <c r="GE14" s="193"/>
      <c r="GF14" s="193"/>
      <c r="GG14" s="193"/>
      <c r="GH14" s="193"/>
      <c r="GI14" s="193"/>
      <c r="GJ14" s="193"/>
      <c r="GK14" s="193"/>
      <c r="GL14" s="193"/>
      <c r="GM14" s="199"/>
      <c r="GN14" s="199"/>
      <c r="GO14" s="199"/>
      <c r="GP14" s="193"/>
      <c r="GQ14" s="193"/>
      <c r="GR14" s="193"/>
      <c r="GS14" s="193"/>
      <c r="GT14" s="193"/>
      <c r="GU14" s="35"/>
      <c r="GW14" s="51" t="s">
        <v>48</v>
      </c>
      <c r="GX14" s="51">
        <f>VLOOKUP(FO14+FO15,'tab aparelhos'!$N$4:$O$35,2)</f>
        <v>0</v>
      </c>
      <c r="GY14" s="51"/>
      <c r="GZ14" s="51"/>
      <c r="HA14" s="51"/>
      <c r="HB14" s="51"/>
      <c r="HD14" s="27" t="s">
        <v>48</v>
      </c>
      <c r="HE14" s="83"/>
      <c r="HF14" s="202">
        <f>SUM($I$19,$L$19)</f>
        <v>0</v>
      </c>
      <c r="HG14" s="202">
        <f>SUM($J$19,$M$19)</f>
        <v>0</v>
      </c>
      <c r="HH14" s="199">
        <f t="shared" si="17"/>
        <v>0</v>
      </c>
      <c r="HI14" s="193"/>
      <c r="HJ14" s="199">
        <f t="shared" si="18"/>
        <v>0</v>
      </c>
      <c r="HK14" s="193"/>
      <c r="HL14" s="193"/>
      <c r="HM14" s="193"/>
      <c r="HN14" s="193"/>
      <c r="HO14" s="193"/>
      <c r="HP14" s="193"/>
      <c r="HQ14" s="193"/>
      <c r="HR14" s="193"/>
      <c r="HS14" s="193"/>
      <c r="HT14" s="193"/>
      <c r="HU14" s="193"/>
      <c r="HV14" s="193"/>
      <c r="HW14" s="193"/>
      <c r="HX14" s="193"/>
      <c r="HY14" s="193"/>
      <c r="HZ14" s="193"/>
      <c r="IA14" s="193"/>
      <c r="IB14" s="193"/>
      <c r="IC14" s="193"/>
      <c r="ID14" s="199"/>
      <c r="IE14" s="199"/>
      <c r="IF14" s="199"/>
      <c r="IG14" s="193"/>
      <c r="IH14" s="193"/>
      <c r="II14" s="193"/>
      <c r="IJ14" s="193"/>
      <c r="IK14" s="193"/>
      <c r="IL14" s="35"/>
      <c r="IN14" s="51" t="s">
        <v>48</v>
      </c>
      <c r="IO14" s="51">
        <f>VLOOKUP(HF14+HF15,'tab aparelhos'!$N$4:$O$35,2)</f>
        <v>0</v>
      </c>
      <c r="IP14" s="51"/>
      <c r="IQ14" s="51"/>
      <c r="IR14" s="51"/>
    </row>
    <row r="15" spans="1:252" x14ac:dyDescent="0.2">
      <c r="A15" s="27" t="s">
        <v>44</v>
      </c>
      <c r="B15" s="83">
        <v>1</v>
      </c>
      <c r="C15" s="34">
        <f>IF($C$1="Vazio",0,RELAÇÃO_DE_CARGA!C16)</f>
        <v>0</v>
      </c>
      <c r="D15" s="34">
        <f>IF($C$1="Vazio",0,RELAÇÃO_DE_CARGA!D16)*C15</f>
        <v>0</v>
      </c>
      <c r="E15" s="83">
        <v>1</v>
      </c>
      <c r="F15" s="34">
        <f>IF($F$1="Vazio",0,RELAÇÃO_DE_CARGA!F16)</f>
        <v>0</v>
      </c>
      <c r="G15" s="34">
        <f>IF($F$1="Vazio",0,RELAÇÃO_DE_CARGA!G16)*F15</f>
        <v>0</v>
      </c>
      <c r="H15" s="83">
        <v>1</v>
      </c>
      <c r="I15" s="34">
        <f>IF(OR($I$1="Vazio",RELAÇÃO_DE_CARGA!$I$1&lt;3),0,RELAÇÃO_DE_CARGA!I16)</f>
        <v>0</v>
      </c>
      <c r="J15" s="34">
        <f>IF(OR($I$1="Vazio",RELAÇÃO_DE_CARGA!$I$1&lt;3),0,RELAÇÃO_DE_CARGA!J16)*I15</f>
        <v>0</v>
      </c>
      <c r="K15" s="83">
        <v>1</v>
      </c>
      <c r="L15" s="34">
        <f>IF(OR($L$1="Vazio",RELAÇÃO_DE_CARGA!$I$1&lt;4),0,RELAÇÃO_DE_CARGA!L16)</f>
        <v>0</v>
      </c>
      <c r="M15" s="34">
        <f>IF(OR($L$1="Vazio",RELAÇÃO_DE_CARGA!$I$1&lt;4),0,RELAÇÃO_DE_CARGA!M16)*L15</f>
        <v>0</v>
      </c>
      <c r="N15" s="83">
        <v>1</v>
      </c>
      <c r="O15" s="34">
        <f>IF(OR($O$1="Vazio",RELAÇÃO_DE_CARGA!$I$1&lt;5),0,RELAÇÃO_DE_CARGA!O16)</f>
        <v>0</v>
      </c>
      <c r="P15" s="34">
        <f>IF(OR($O$1="Vazio",RELAÇÃO_DE_CARGA!$I$1&lt;5),0,RELAÇÃO_DE_CARGA!P16)*O15</f>
        <v>0</v>
      </c>
      <c r="Q15" s="83">
        <v>1</v>
      </c>
      <c r="R15" s="34">
        <f>IF(OR($R$1="Vazio",RELAÇÃO_DE_CARGA!$I$1&lt;6),0,RELAÇÃO_DE_CARGA!R16)</f>
        <v>0</v>
      </c>
      <c r="S15" s="34">
        <f>IF(OR($R$1="Vazio",RELAÇÃO_DE_CARGA!$I$1&lt;6),0,RELAÇÃO_DE_CARGA!S16)*R15</f>
        <v>0</v>
      </c>
      <c r="T15" s="83">
        <v>1</v>
      </c>
      <c r="U15" s="34">
        <f>IF(OR($U$1="Vazio",RELAÇÃO_DE_CARGA!$I$1&lt;7),0,RELAÇÃO_DE_CARGA!U16)</f>
        <v>0</v>
      </c>
      <c r="V15" s="34">
        <f>IF(OR($U$1="Vazio",RELAÇÃO_DE_CARGA!$I$1&lt;7),0,RELAÇÃO_DE_CARGA!V16)*U15</f>
        <v>0</v>
      </c>
      <c r="W15" s="83">
        <v>1</v>
      </c>
      <c r="X15" s="34">
        <f>IF(OR($X$1="Vazio",RELAÇÃO_DE_CARGA!$I$1&lt;8),0,RELAÇÃO_DE_CARGA!X16)</f>
        <v>0</v>
      </c>
      <c r="Y15" s="34">
        <f>IF(OR($X$1="Vazio",RELAÇÃO_DE_CARGA!$I$1&lt;8),0,RELAÇÃO_DE_CARGA!Y16)*X15</f>
        <v>0</v>
      </c>
      <c r="Z15" s="83">
        <v>1</v>
      </c>
      <c r="AA15" s="34">
        <f>IF(OR($AA$1="Vazio",RELAÇÃO_DE_CARGA!$I$1&lt;9),0,RELAÇÃO_DE_CARGA!AA16)</f>
        <v>0</v>
      </c>
      <c r="AB15" s="34">
        <f>IF(OR($AA$1="Vazio",RELAÇÃO_DE_CARGA!$I$1&lt;9),0,RELAÇÃO_DE_CARGA!AB16)*AA15</f>
        <v>0</v>
      </c>
      <c r="AC15" s="83">
        <v>1</v>
      </c>
      <c r="AD15" s="34">
        <f>IF(OR($AD$1="Vazio",RELAÇÃO_DE_CARGA!$I$1&lt;10),0,RELAÇÃO_DE_CARGA!AD16)</f>
        <v>0</v>
      </c>
      <c r="AE15" s="34">
        <f>IF(OR($AD$1="Vazio",RELAÇÃO_DE_CARGA!$I$1&lt;10),0,RELAÇÃO_DE_CARGA!AE16)*AD15</f>
        <v>0</v>
      </c>
      <c r="AF15" s="83">
        <v>1</v>
      </c>
      <c r="AG15" s="34">
        <f>IF(OR($AG$1="Vazio",RELAÇÃO_DE_CARGA!$I$1&lt;11),0,RELAÇÃO_DE_CARGA!AG16)</f>
        <v>0</v>
      </c>
      <c r="AH15" s="34">
        <f>IF(OR($AG$1="Vazio",RELAÇÃO_DE_CARGA!$I$1&lt;11),0,RELAÇÃO_DE_CARGA!AH16)*AG15</f>
        <v>0</v>
      </c>
      <c r="AI15" s="83">
        <v>1</v>
      </c>
      <c r="AJ15" s="34">
        <f>IF(OR($AJ$1="Vazio",RELAÇÃO_DE_CARGA!$I$1&lt;12),0,RELAÇÃO_DE_CARGA!AJ16)</f>
        <v>0</v>
      </c>
      <c r="AK15" s="34">
        <f>IF(OR($AJ$1="Vazio",RELAÇÃO_DE_CARGA!$I$1&lt;12),0,RELAÇÃO_DE_CARGA!AK16)*AJ15</f>
        <v>0</v>
      </c>
      <c r="AL15" s="35"/>
      <c r="AM15" s="35"/>
      <c r="AN15" s="35"/>
      <c r="AO15" s="35"/>
      <c r="AP15" s="35"/>
      <c r="AQ15" s="27" t="s">
        <v>44</v>
      </c>
      <c r="AR15" s="70">
        <f t="shared" si="23"/>
        <v>0</v>
      </c>
      <c r="AS15" s="70">
        <f t="shared" si="24"/>
        <v>0</v>
      </c>
      <c r="AT15" s="70">
        <f t="shared" si="25"/>
        <v>0</v>
      </c>
      <c r="AU15" s="70">
        <f t="shared" si="26"/>
        <v>0</v>
      </c>
      <c r="AV15" s="70">
        <f t="shared" si="27"/>
        <v>0</v>
      </c>
      <c r="AW15" s="70">
        <f t="shared" si="28"/>
        <v>0</v>
      </c>
      <c r="AX15" s="70">
        <f t="shared" si="29"/>
        <v>0</v>
      </c>
      <c r="AY15" s="70">
        <f t="shared" si="30"/>
        <v>0</v>
      </c>
      <c r="AZ15" s="70">
        <f t="shared" si="31"/>
        <v>0</v>
      </c>
      <c r="BA15" s="70">
        <f t="shared" si="32"/>
        <v>0</v>
      </c>
      <c r="BB15" s="70">
        <f t="shared" si="33"/>
        <v>0</v>
      </c>
      <c r="BC15" s="70">
        <f t="shared" si="34"/>
        <v>0</v>
      </c>
      <c r="BD15" s="70">
        <f t="shared" si="35"/>
        <v>0</v>
      </c>
      <c r="BE15" s="70">
        <f t="shared" si="36"/>
        <v>0</v>
      </c>
      <c r="BF15" s="70">
        <f t="shared" si="37"/>
        <v>0</v>
      </c>
      <c r="BG15" s="70">
        <f t="shared" si="38"/>
        <v>0</v>
      </c>
      <c r="BH15" s="70">
        <f t="shared" si="39"/>
        <v>0</v>
      </c>
      <c r="BI15" s="70">
        <f t="shared" si="40"/>
        <v>0</v>
      </c>
      <c r="BJ15" s="70">
        <f t="shared" si="41"/>
        <v>0</v>
      </c>
      <c r="BK15" s="70">
        <f t="shared" si="42"/>
        <v>0</v>
      </c>
      <c r="BL15" s="70">
        <f t="shared" si="43"/>
        <v>0</v>
      </c>
      <c r="BM15" s="70">
        <f t="shared" si="44"/>
        <v>0</v>
      </c>
      <c r="BN15" s="70">
        <f t="shared" si="45"/>
        <v>0</v>
      </c>
      <c r="BO15" s="70">
        <f t="shared" si="46"/>
        <v>0</v>
      </c>
      <c r="BP15" s="51"/>
      <c r="BQ15" s="51" t="s">
        <v>69</v>
      </c>
      <c r="BR15" s="95">
        <f>C4*5/1000</f>
        <v>0</v>
      </c>
      <c r="BS15" s="95">
        <f>F4*5/1000</f>
        <v>0</v>
      </c>
      <c r="BT15" s="94">
        <f>I4*5/1000</f>
        <v>0</v>
      </c>
      <c r="BU15" s="94">
        <f>L4*5/1000</f>
        <v>0</v>
      </c>
      <c r="BV15" s="94">
        <f>O4*5/1000</f>
        <v>0</v>
      </c>
      <c r="BW15" s="94">
        <f>R4*5/1000</f>
        <v>0</v>
      </c>
      <c r="BX15" s="94">
        <f>U4*5/1000</f>
        <v>0</v>
      </c>
      <c r="BY15" s="94">
        <f>X4*5/1000</f>
        <v>0</v>
      </c>
      <c r="BZ15" s="94">
        <f>AA4*5/1000</f>
        <v>0</v>
      </c>
      <c r="CA15" s="94">
        <f>AD4*5/1000</f>
        <v>0</v>
      </c>
      <c r="CB15" s="94">
        <f>AG4*5/1000</f>
        <v>0</v>
      </c>
      <c r="CC15" s="94">
        <f>AJ4*5/1000</f>
        <v>0</v>
      </c>
      <c r="CD15" s="128"/>
      <c r="CE15" s="128"/>
      <c r="CF15" s="51"/>
      <c r="CG15" s="51"/>
      <c r="CH15" s="51"/>
      <c r="CI15" s="51"/>
      <c r="CJ15" s="51"/>
      <c r="CK15" s="27" t="s">
        <v>49</v>
      </c>
      <c r="CL15" s="51">
        <f>VLOOKUP(CM15+CM14,'tab aparelhos'!$N$4:$O$35,2)</f>
        <v>0</v>
      </c>
      <c r="CM15" s="202">
        <f>SUM($C$20,$F$20)</f>
        <v>0</v>
      </c>
      <c r="CN15" s="202">
        <f>SUM($D$20,$G$20)</f>
        <v>0</v>
      </c>
      <c r="CO15" s="199">
        <f t="shared" si="9"/>
        <v>0</v>
      </c>
      <c r="CP15" s="193"/>
      <c r="CQ15" s="199">
        <f t="shared" si="19"/>
        <v>0</v>
      </c>
      <c r="CR15" s="193"/>
      <c r="CS15" s="193"/>
      <c r="CT15" s="193"/>
      <c r="CU15" s="193"/>
      <c r="CV15" s="193"/>
      <c r="CW15" s="193"/>
      <c r="CX15" s="193"/>
      <c r="CY15" s="193"/>
      <c r="CZ15" s="193"/>
      <c r="DA15" s="193"/>
      <c r="DB15" s="193"/>
      <c r="DC15" s="193"/>
      <c r="DD15" s="193"/>
      <c r="DE15" s="193"/>
      <c r="DF15" s="193"/>
      <c r="DG15" s="193"/>
      <c r="DH15" s="193"/>
      <c r="DI15" s="193"/>
      <c r="DJ15" s="193"/>
      <c r="DK15" s="199"/>
      <c r="DL15" s="199"/>
      <c r="DM15" s="199"/>
      <c r="DN15" s="193"/>
      <c r="DO15" s="193"/>
      <c r="DP15" s="193"/>
      <c r="DQ15" s="193"/>
      <c r="DR15" s="193"/>
      <c r="DS15" s="290"/>
      <c r="DT15" s="51"/>
      <c r="DV15" s="27" t="s">
        <v>49</v>
      </c>
      <c r="DW15" s="83"/>
      <c r="DX15" s="202">
        <f t="shared" si="22"/>
        <v>0</v>
      </c>
      <c r="DY15" s="202">
        <f t="shared" si="12"/>
        <v>0</v>
      </c>
      <c r="DZ15" s="199">
        <f t="shared" si="13"/>
        <v>0</v>
      </c>
      <c r="EA15" s="193"/>
      <c r="EB15" s="199">
        <f t="shared" si="14"/>
        <v>0</v>
      </c>
      <c r="EC15" s="193"/>
      <c r="ED15" s="193"/>
      <c r="EE15" s="193"/>
      <c r="EF15" s="193"/>
      <c r="EG15" s="193"/>
      <c r="EH15" s="193"/>
      <c r="EI15" s="193"/>
      <c r="EJ15" s="199">
        <f t="shared" si="20"/>
        <v>0</v>
      </c>
      <c r="EK15" s="199">
        <f t="shared" si="21"/>
        <v>0</v>
      </c>
      <c r="EL15" s="199">
        <f t="shared" si="15"/>
        <v>0</v>
      </c>
      <c r="EM15" s="193"/>
      <c r="EN15" s="193"/>
      <c r="EO15" s="193"/>
      <c r="EP15" s="193"/>
      <c r="EQ15" s="193"/>
      <c r="ER15" s="193"/>
      <c r="ES15" s="193"/>
      <c r="ET15" s="193"/>
      <c r="EU15" s="193"/>
      <c r="EV15" s="199"/>
      <c r="EW15" s="199"/>
      <c r="EX15" s="199"/>
      <c r="EY15" s="193"/>
      <c r="EZ15" s="193"/>
      <c r="FA15" s="193"/>
      <c r="FB15" s="193"/>
      <c r="FC15" s="193"/>
      <c r="FD15" s="35"/>
      <c r="FF15" s="51" t="s">
        <v>49</v>
      </c>
      <c r="FG15" s="51">
        <f>VLOOKUP(DX15+DX14+EJ14+EJ15,'tab aparelhos'!$N$4:$O$35,2)</f>
        <v>0</v>
      </c>
      <c r="FH15" s="51"/>
      <c r="FI15" s="51"/>
      <c r="FJ15" s="51"/>
      <c r="FK15" s="51"/>
      <c r="FM15" s="27" t="s">
        <v>49</v>
      </c>
      <c r="FN15" s="83"/>
      <c r="FO15" s="202">
        <f>SUM($C$20,$F$20)</f>
        <v>0</v>
      </c>
      <c r="FP15" s="202">
        <f>SUM($D$20,$G$20)</f>
        <v>0</v>
      </c>
      <c r="FQ15" s="199">
        <f t="shared" si="10"/>
        <v>0</v>
      </c>
      <c r="FR15" s="193"/>
      <c r="FS15" s="199">
        <f t="shared" si="16"/>
        <v>0</v>
      </c>
      <c r="FT15" s="193"/>
      <c r="FU15" s="193"/>
      <c r="FV15" s="193"/>
      <c r="FW15" s="193"/>
      <c r="FX15" s="193"/>
      <c r="FY15" s="193"/>
      <c r="FZ15" s="193"/>
      <c r="GA15" s="193"/>
      <c r="GB15" s="193"/>
      <c r="GC15" s="193"/>
      <c r="GD15" s="193"/>
      <c r="GE15" s="193"/>
      <c r="GF15" s="193"/>
      <c r="GG15" s="193"/>
      <c r="GH15" s="193"/>
      <c r="GI15" s="193"/>
      <c r="GJ15" s="193"/>
      <c r="GK15" s="193"/>
      <c r="GL15" s="193"/>
      <c r="GM15" s="199"/>
      <c r="GN15" s="199"/>
      <c r="GO15" s="199"/>
      <c r="GP15" s="193"/>
      <c r="GQ15" s="193"/>
      <c r="GR15" s="193"/>
      <c r="GS15" s="193"/>
      <c r="GT15" s="193"/>
      <c r="GU15" s="35"/>
      <c r="GW15" s="51" t="s">
        <v>49</v>
      </c>
      <c r="GX15" s="51">
        <f>VLOOKUP(FO15+FO14,'tab aparelhos'!$N$4:$O$35,2)</f>
        <v>0</v>
      </c>
      <c r="GY15" s="51"/>
      <c r="GZ15" s="51"/>
      <c r="HA15" s="51"/>
      <c r="HB15" s="51"/>
      <c r="HD15" s="27" t="s">
        <v>49</v>
      </c>
      <c r="HE15" s="83"/>
      <c r="HF15" s="202">
        <f>SUM($I$20,$L$20)</f>
        <v>0</v>
      </c>
      <c r="HG15" s="202">
        <f>SUM($J$20,$M$20)</f>
        <v>0</v>
      </c>
      <c r="HH15" s="199">
        <f t="shared" si="17"/>
        <v>0</v>
      </c>
      <c r="HI15" s="193"/>
      <c r="HJ15" s="199">
        <f t="shared" si="18"/>
        <v>0</v>
      </c>
      <c r="HK15" s="193"/>
      <c r="HL15" s="193"/>
      <c r="HM15" s="193"/>
      <c r="HN15" s="193"/>
      <c r="HO15" s="193"/>
      <c r="HP15" s="193"/>
      <c r="HQ15" s="193"/>
      <c r="HR15" s="193"/>
      <c r="HS15" s="193"/>
      <c r="HT15" s="193"/>
      <c r="HU15" s="193"/>
      <c r="HV15" s="193"/>
      <c r="HW15" s="193"/>
      <c r="HX15" s="193"/>
      <c r="HY15" s="193"/>
      <c r="HZ15" s="193"/>
      <c r="IA15" s="193"/>
      <c r="IB15" s="193"/>
      <c r="IC15" s="193"/>
      <c r="ID15" s="199"/>
      <c r="IE15" s="199"/>
      <c r="IF15" s="199"/>
      <c r="IG15" s="193"/>
      <c r="IH15" s="193"/>
      <c r="II15" s="193"/>
      <c r="IJ15" s="193"/>
      <c r="IK15" s="193"/>
      <c r="IL15" s="35"/>
      <c r="IN15" s="51" t="s">
        <v>49</v>
      </c>
      <c r="IO15" s="51">
        <f>VLOOKUP(HF15+HF14,'tab aparelhos'!$N$4:$O$35,2)</f>
        <v>0</v>
      </c>
      <c r="IP15" s="51"/>
      <c r="IQ15" s="51"/>
      <c r="IR15" s="51"/>
    </row>
    <row r="16" spans="1:252" x14ac:dyDescent="0.2">
      <c r="A16" s="27" t="s">
        <v>45</v>
      </c>
      <c r="B16" s="83">
        <v>1</v>
      </c>
      <c r="C16" s="34">
        <f>IF($C$1="Vazio",0,RELAÇÃO_DE_CARGA!C17)</f>
        <v>0</v>
      </c>
      <c r="D16" s="34">
        <f>IF($C$1="Vazio",0,RELAÇÃO_DE_CARGA!D17)*C16</f>
        <v>0</v>
      </c>
      <c r="E16" s="83">
        <v>1</v>
      </c>
      <c r="F16" s="34">
        <f>IF($F$1="Vazio",0,RELAÇÃO_DE_CARGA!F17)</f>
        <v>0</v>
      </c>
      <c r="G16" s="34">
        <f>IF($F$1="Vazio",0,RELAÇÃO_DE_CARGA!G17)*F16</f>
        <v>0</v>
      </c>
      <c r="H16" s="83">
        <v>1</v>
      </c>
      <c r="I16" s="34">
        <f>IF(OR($I$1="Vazio",RELAÇÃO_DE_CARGA!$I$1&lt;3),0,RELAÇÃO_DE_CARGA!I17)</f>
        <v>0</v>
      </c>
      <c r="J16" s="34">
        <f>IF(OR($I$1="Vazio",RELAÇÃO_DE_CARGA!$I$1&lt;3),0,RELAÇÃO_DE_CARGA!J17)*I16</f>
        <v>0</v>
      </c>
      <c r="K16" s="83">
        <v>1</v>
      </c>
      <c r="L16" s="34">
        <f>IF(OR($L$1="Vazio",RELAÇÃO_DE_CARGA!$I$1&lt;4),0,RELAÇÃO_DE_CARGA!L17)</f>
        <v>0</v>
      </c>
      <c r="M16" s="34">
        <f>IF(OR($L$1="Vazio",RELAÇÃO_DE_CARGA!$I$1&lt;4),0,RELAÇÃO_DE_CARGA!M17)*L16</f>
        <v>0</v>
      </c>
      <c r="N16" s="83">
        <v>1</v>
      </c>
      <c r="O16" s="34">
        <f>IF(OR($O$1="Vazio",RELAÇÃO_DE_CARGA!$I$1&lt;5),0,RELAÇÃO_DE_CARGA!O17)</f>
        <v>0</v>
      </c>
      <c r="P16" s="34">
        <f>IF(OR($O$1="Vazio",RELAÇÃO_DE_CARGA!$I$1&lt;5),0,RELAÇÃO_DE_CARGA!P17)*O16</f>
        <v>0</v>
      </c>
      <c r="Q16" s="83">
        <v>1</v>
      </c>
      <c r="R16" s="34">
        <f>IF(OR($R$1="Vazio",RELAÇÃO_DE_CARGA!$I$1&lt;6),0,RELAÇÃO_DE_CARGA!R17)</f>
        <v>0</v>
      </c>
      <c r="S16" s="34">
        <f>IF(OR($R$1="Vazio",RELAÇÃO_DE_CARGA!$I$1&lt;6),0,RELAÇÃO_DE_CARGA!S17)*R16</f>
        <v>0</v>
      </c>
      <c r="T16" s="83">
        <v>1</v>
      </c>
      <c r="U16" s="34">
        <f>IF(OR($U$1="Vazio",RELAÇÃO_DE_CARGA!$I$1&lt;7),0,RELAÇÃO_DE_CARGA!U17)</f>
        <v>0</v>
      </c>
      <c r="V16" s="34">
        <f>IF(OR($U$1="Vazio",RELAÇÃO_DE_CARGA!$I$1&lt;7),0,RELAÇÃO_DE_CARGA!V17)*U16</f>
        <v>0</v>
      </c>
      <c r="W16" s="83">
        <v>1</v>
      </c>
      <c r="X16" s="34">
        <f>IF(OR($X$1="Vazio",RELAÇÃO_DE_CARGA!$I$1&lt;8),0,RELAÇÃO_DE_CARGA!X17)</f>
        <v>0</v>
      </c>
      <c r="Y16" s="34">
        <f>IF(OR($X$1="Vazio",RELAÇÃO_DE_CARGA!$I$1&lt;8),0,RELAÇÃO_DE_CARGA!Y17)*X16</f>
        <v>0</v>
      </c>
      <c r="Z16" s="83">
        <v>1</v>
      </c>
      <c r="AA16" s="34">
        <f>IF(OR($AA$1="Vazio",RELAÇÃO_DE_CARGA!$I$1&lt;9),0,RELAÇÃO_DE_CARGA!AA17)</f>
        <v>0</v>
      </c>
      <c r="AB16" s="34">
        <f>IF(OR($AA$1="Vazio",RELAÇÃO_DE_CARGA!$I$1&lt;9),0,RELAÇÃO_DE_CARGA!AB17)*AA16</f>
        <v>0</v>
      </c>
      <c r="AC16" s="83">
        <v>1</v>
      </c>
      <c r="AD16" s="34">
        <f>IF(OR($AD$1="Vazio",RELAÇÃO_DE_CARGA!$I$1&lt;10),0,RELAÇÃO_DE_CARGA!AD17)</f>
        <v>0</v>
      </c>
      <c r="AE16" s="34">
        <f>IF(OR($AD$1="Vazio",RELAÇÃO_DE_CARGA!$I$1&lt;10),0,RELAÇÃO_DE_CARGA!AE17)*AD16</f>
        <v>0</v>
      </c>
      <c r="AF16" s="83">
        <v>1</v>
      </c>
      <c r="AG16" s="34">
        <f>IF(OR($AG$1="Vazio",RELAÇÃO_DE_CARGA!$I$1&lt;11),0,RELAÇÃO_DE_CARGA!AG17)</f>
        <v>0</v>
      </c>
      <c r="AH16" s="34">
        <f>IF(OR($AG$1="Vazio",RELAÇÃO_DE_CARGA!$I$1&lt;11),0,RELAÇÃO_DE_CARGA!AH17)*AG16</f>
        <v>0</v>
      </c>
      <c r="AI16" s="83">
        <v>1</v>
      </c>
      <c r="AJ16" s="34">
        <f>IF(OR($AJ$1="Vazio",RELAÇÃO_DE_CARGA!$I$1&lt;12),0,RELAÇÃO_DE_CARGA!AJ17)</f>
        <v>0</v>
      </c>
      <c r="AK16" s="34">
        <f>IF(OR($AJ$1="Vazio",RELAÇÃO_DE_CARGA!$I$1&lt;12),0,RELAÇÃO_DE_CARGA!AK17)*AJ16</f>
        <v>0</v>
      </c>
      <c r="AL16" s="35"/>
      <c r="AM16" s="35"/>
      <c r="AN16" s="35"/>
      <c r="AO16" s="35"/>
      <c r="AP16" s="35"/>
      <c r="AQ16" s="27" t="s">
        <v>45</v>
      </c>
      <c r="AR16" s="70">
        <f t="shared" si="23"/>
        <v>0</v>
      </c>
      <c r="AS16" s="70">
        <f t="shared" si="24"/>
        <v>0</v>
      </c>
      <c r="AT16" s="70">
        <f t="shared" si="25"/>
        <v>0</v>
      </c>
      <c r="AU16" s="70">
        <f t="shared" si="26"/>
        <v>0</v>
      </c>
      <c r="AV16" s="70">
        <f t="shared" si="27"/>
        <v>0</v>
      </c>
      <c r="AW16" s="70">
        <f t="shared" si="28"/>
        <v>0</v>
      </c>
      <c r="AX16" s="70">
        <f t="shared" si="29"/>
        <v>0</v>
      </c>
      <c r="AY16" s="70">
        <f t="shared" si="30"/>
        <v>0</v>
      </c>
      <c r="AZ16" s="70">
        <f t="shared" si="31"/>
        <v>0</v>
      </c>
      <c r="BA16" s="70">
        <f t="shared" si="32"/>
        <v>0</v>
      </c>
      <c r="BB16" s="70">
        <f t="shared" si="33"/>
        <v>0</v>
      </c>
      <c r="BC16" s="70">
        <f t="shared" si="34"/>
        <v>0</v>
      </c>
      <c r="BD16" s="70">
        <f t="shared" si="35"/>
        <v>0</v>
      </c>
      <c r="BE16" s="70">
        <f t="shared" si="36"/>
        <v>0</v>
      </c>
      <c r="BF16" s="70">
        <f t="shared" si="37"/>
        <v>0</v>
      </c>
      <c r="BG16" s="70">
        <f t="shared" si="38"/>
        <v>0</v>
      </c>
      <c r="BH16" s="70">
        <f t="shared" si="39"/>
        <v>0</v>
      </c>
      <c r="BI16" s="70">
        <f t="shared" si="40"/>
        <v>0</v>
      </c>
      <c r="BJ16" s="70">
        <f t="shared" si="41"/>
        <v>0</v>
      </c>
      <c r="BK16" s="70">
        <f t="shared" si="42"/>
        <v>0</v>
      </c>
      <c r="BL16" s="70">
        <f t="shared" si="43"/>
        <v>0</v>
      </c>
      <c r="BM16" s="70">
        <f t="shared" si="44"/>
        <v>0</v>
      </c>
      <c r="BN16" s="70">
        <f t="shared" si="45"/>
        <v>0</v>
      </c>
      <c r="BO16" s="70">
        <f t="shared" si="46"/>
        <v>0</v>
      </c>
      <c r="BP16" s="51"/>
      <c r="BQ16" s="51" t="s">
        <v>1586</v>
      </c>
      <c r="BR16" s="51">
        <v>0</v>
      </c>
      <c r="BS16" s="51">
        <v>0</v>
      </c>
      <c r="BT16" s="51">
        <v>0</v>
      </c>
      <c r="BU16" s="51">
        <v>0</v>
      </c>
      <c r="BV16" s="51">
        <v>0</v>
      </c>
      <c r="BW16" s="51">
        <v>0</v>
      </c>
      <c r="BX16" s="51">
        <v>0</v>
      </c>
      <c r="BY16" s="51">
        <v>0</v>
      </c>
      <c r="BZ16" s="51">
        <v>0</v>
      </c>
      <c r="CA16" s="51">
        <v>0</v>
      </c>
      <c r="CB16" s="51">
        <v>0</v>
      </c>
      <c r="CC16" s="51">
        <v>0</v>
      </c>
      <c r="CD16" s="285"/>
      <c r="CE16" s="697" t="s">
        <v>124</v>
      </c>
      <c r="CF16" s="697"/>
      <c r="CG16" s="697"/>
      <c r="CH16" s="697"/>
      <c r="CI16" s="697"/>
      <c r="CJ16" s="270"/>
      <c r="CK16" s="27" t="s">
        <v>50</v>
      </c>
      <c r="CL16" s="51">
        <f>VLOOKUP(SUM($CM$16:$CM$19),'tab aparelhos'!$T$4:$U$35,2)</f>
        <v>0</v>
      </c>
      <c r="CM16" s="202">
        <f>SUM($C$21,$F$21)</f>
        <v>0</v>
      </c>
      <c r="CN16" s="202">
        <f>SUM($D$21,$G$21)</f>
        <v>0</v>
      </c>
      <c r="CO16" s="199">
        <f t="shared" si="9"/>
        <v>0</v>
      </c>
      <c r="CP16" s="193"/>
      <c r="CQ16" s="199">
        <f t="shared" si="19"/>
        <v>0</v>
      </c>
      <c r="CR16" s="193"/>
      <c r="CS16" s="193"/>
      <c r="CT16" s="193"/>
      <c r="CU16" s="193"/>
      <c r="CV16" s="193"/>
      <c r="CW16" s="193"/>
      <c r="CX16" s="193"/>
      <c r="CY16" s="193"/>
      <c r="CZ16" s="193"/>
      <c r="DA16" s="193"/>
      <c r="DB16" s="193"/>
      <c r="DC16" s="193"/>
      <c r="DD16" s="193"/>
      <c r="DE16" s="193"/>
      <c r="DF16" s="193"/>
      <c r="DG16" s="193"/>
      <c r="DH16" s="193"/>
      <c r="DI16" s="193"/>
      <c r="DJ16" s="193"/>
      <c r="DK16" s="199"/>
      <c r="DL16" s="199"/>
      <c r="DM16" s="199"/>
      <c r="DN16" s="193"/>
      <c r="DO16" s="193"/>
      <c r="DP16" s="193"/>
      <c r="DQ16" s="193"/>
      <c r="DR16" s="193"/>
      <c r="DS16" s="288"/>
      <c r="DT16" s="51"/>
      <c r="DV16" s="27" t="s">
        <v>50</v>
      </c>
      <c r="DW16" s="83"/>
      <c r="DX16" s="202">
        <f t="shared" si="22"/>
        <v>0</v>
      </c>
      <c r="DY16" s="202">
        <f t="shared" si="12"/>
        <v>0</v>
      </c>
      <c r="DZ16" s="199">
        <f t="shared" si="13"/>
        <v>0</v>
      </c>
      <c r="EA16" s="193"/>
      <c r="EB16" s="199">
        <f t="shared" si="14"/>
        <v>0</v>
      </c>
      <c r="EC16" s="193"/>
      <c r="ED16" s="193"/>
      <c r="EE16" s="193"/>
      <c r="EF16" s="193"/>
      <c r="EG16" s="193"/>
      <c r="EH16" s="193"/>
      <c r="EI16" s="193"/>
      <c r="EJ16" s="199">
        <f t="shared" si="20"/>
        <v>0</v>
      </c>
      <c r="EK16" s="199">
        <f t="shared" si="21"/>
        <v>0</v>
      </c>
      <c r="EL16" s="199">
        <f t="shared" si="15"/>
        <v>0</v>
      </c>
      <c r="EM16" s="193"/>
      <c r="EN16" s="193"/>
      <c r="EO16" s="193"/>
      <c r="EP16" s="193"/>
      <c r="EQ16" s="193"/>
      <c r="ER16" s="193"/>
      <c r="ES16" s="193"/>
      <c r="ET16" s="193"/>
      <c r="EU16" s="193"/>
      <c r="EV16" s="199"/>
      <c r="EW16" s="199"/>
      <c r="EX16" s="199"/>
      <c r="EY16" s="193"/>
      <c r="EZ16" s="193"/>
      <c r="FA16" s="193"/>
      <c r="FB16" s="193"/>
      <c r="FC16" s="193"/>
      <c r="FD16" s="35"/>
      <c r="FF16" s="51" t="s">
        <v>50</v>
      </c>
      <c r="FG16" s="51">
        <f>VLOOKUP(SUM(DX16:DX19,EJ16:EJ19),'tab aparelhos'!$T$4:$U$35,2)</f>
        <v>0</v>
      </c>
      <c r="FH16" s="51"/>
      <c r="FI16" s="51"/>
      <c r="FJ16" s="51"/>
      <c r="FK16" s="51"/>
      <c r="FM16" s="27" t="s">
        <v>50</v>
      </c>
      <c r="FN16" s="83"/>
      <c r="FO16" s="202">
        <f>SUM($C$21,$F$21)</f>
        <v>0</v>
      </c>
      <c r="FP16" s="202">
        <f>SUM($D$21,$G$21)</f>
        <v>0</v>
      </c>
      <c r="FQ16" s="199">
        <f t="shared" si="10"/>
        <v>0</v>
      </c>
      <c r="FR16" s="193"/>
      <c r="FS16" s="199">
        <f t="shared" si="16"/>
        <v>0</v>
      </c>
      <c r="FT16" s="193"/>
      <c r="FU16" s="193"/>
      <c r="FV16" s="193"/>
      <c r="FW16" s="193"/>
      <c r="FX16" s="193"/>
      <c r="FY16" s="193"/>
      <c r="FZ16" s="193"/>
      <c r="GA16" s="193"/>
      <c r="GB16" s="193"/>
      <c r="GC16" s="193"/>
      <c r="GD16" s="193"/>
      <c r="GE16" s="193"/>
      <c r="GF16" s="193"/>
      <c r="GG16" s="193"/>
      <c r="GH16" s="193"/>
      <c r="GI16" s="193"/>
      <c r="GJ16" s="193"/>
      <c r="GK16" s="193"/>
      <c r="GL16" s="193"/>
      <c r="GM16" s="199"/>
      <c r="GN16" s="199"/>
      <c r="GO16" s="199"/>
      <c r="GP16" s="193"/>
      <c r="GQ16" s="193"/>
      <c r="GR16" s="193"/>
      <c r="GS16" s="193"/>
      <c r="GT16" s="193"/>
      <c r="GU16" s="35"/>
      <c r="GW16" s="51" t="s">
        <v>50</v>
      </c>
      <c r="GX16" s="51">
        <f>VLOOKUP(SUM(FO16:FO19),'tab aparelhos'!$T$4:$U$35,2)</f>
        <v>0</v>
      </c>
      <c r="GY16" s="51"/>
      <c r="GZ16" s="51"/>
      <c r="HA16" s="51"/>
      <c r="HB16" s="51"/>
      <c r="HD16" s="27" t="s">
        <v>50</v>
      </c>
      <c r="HE16" s="83"/>
      <c r="HF16" s="202">
        <f>SUM($I$21,$L$21)</f>
        <v>0</v>
      </c>
      <c r="HG16" s="202">
        <f>SUM($J$21,$M$21)</f>
        <v>0</v>
      </c>
      <c r="HH16" s="199">
        <f t="shared" si="17"/>
        <v>0</v>
      </c>
      <c r="HI16" s="193"/>
      <c r="HJ16" s="199">
        <f t="shared" si="18"/>
        <v>0</v>
      </c>
      <c r="HK16" s="193"/>
      <c r="HL16" s="193"/>
      <c r="HM16" s="193"/>
      <c r="HN16" s="193"/>
      <c r="HO16" s="193"/>
      <c r="HP16" s="193"/>
      <c r="HQ16" s="193"/>
      <c r="HR16" s="193"/>
      <c r="HS16" s="193"/>
      <c r="HT16" s="193"/>
      <c r="HU16" s="193"/>
      <c r="HV16" s="193"/>
      <c r="HW16" s="193"/>
      <c r="HX16" s="193"/>
      <c r="HY16" s="193"/>
      <c r="HZ16" s="193"/>
      <c r="IA16" s="193"/>
      <c r="IB16" s="193"/>
      <c r="IC16" s="193"/>
      <c r="ID16" s="199"/>
      <c r="IE16" s="199"/>
      <c r="IF16" s="199"/>
      <c r="IG16" s="193"/>
      <c r="IH16" s="193"/>
      <c r="II16" s="193"/>
      <c r="IJ16" s="193"/>
      <c r="IK16" s="193"/>
      <c r="IL16" s="35"/>
      <c r="IN16" s="51" t="s">
        <v>50</v>
      </c>
      <c r="IO16" s="51">
        <f>VLOOKUP(SUM(HF16:HF19),'tab aparelhos'!$T$4:$U$35,2)</f>
        <v>0</v>
      </c>
      <c r="IP16" s="51"/>
      <c r="IQ16" s="51"/>
      <c r="IR16" s="51"/>
    </row>
    <row r="17" spans="1:252" x14ac:dyDescent="0.2">
      <c r="A17" s="27" t="s">
        <v>46</v>
      </c>
      <c r="B17" s="83">
        <v>1</v>
      </c>
      <c r="C17" s="34">
        <f>IF($C$1="Vazio",0,RELAÇÃO_DE_CARGA!C18)</f>
        <v>0</v>
      </c>
      <c r="D17" s="34">
        <f>IF($C$1="Vazio",0,RELAÇÃO_DE_CARGA!D18)*C17</f>
        <v>0</v>
      </c>
      <c r="E17" s="83">
        <v>1</v>
      </c>
      <c r="F17" s="34">
        <f>IF($F$1="Vazio",0,RELAÇÃO_DE_CARGA!F18)</f>
        <v>0</v>
      </c>
      <c r="G17" s="34">
        <f>IF($F$1="Vazio",0,RELAÇÃO_DE_CARGA!G18)*F17</f>
        <v>0</v>
      </c>
      <c r="H17" s="83">
        <v>1</v>
      </c>
      <c r="I17" s="34">
        <f>IF(OR($I$1="Vazio",RELAÇÃO_DE_CARGA!$I$1&lt;3),0,RELAÇÃO_DE_CARGA!I18)</f>
        <v>0</v>
      </c>
      <c r="J17" s="34">
        <f>IF(OR($I$1="Vazio",RELAÇÃO_DE_CARGA!$I$1&lt;3),0,RELAÇÃO_DE_CARGA!J18)*I17</f>
        <v>0</v>
      </c>
      <c r="K17" s="83">
        <v>1</v>
      </c>
      <c r="L17" s="34">
        <f>IF(OR($L$1="Vazio",RELAÇÃO_DE_CARGA!$I$1&lt;4),0,RELAÇÃO_DE_CARGA!L18)</f>
        <v>0</v>
      </c>
      <c r="M17" s="34">
        <f>IF(OR($L$1="Vazio",RELAÇÃO_DE_CARGA!$I$1&lt;4),0,RELAÇÃO_DE_CARGA!M18)*L17</f>
        <v>0</v>
      </c>
      <c r="N17" s="83">
        <v>1</v>
      </c>
      <c r="O17" s="34">
        <f>IF(OR($O$1="Vazio",RELAÇÃO_DE_CARGA!$I$1&lt;5),0,RELAÇÃO_DE_CARGA!O18)</f>
        <v>0</v>
      </c>
      <c r="P17" s="34">
        <f>IF(OR($O$1="Vazio",RELAÇÃO_DE_CARGA!$I$1&lt;5),0,RELAÇÃO_DE_CARGA!P18)*O17</f>
        <v>0</v>
      </c>
      <c r="Q17" s="83">
        <v>1</v>
      </c>
      <c r="R17" s="34">
        <f>IF(OR($R$1="Vazio",RELAÇÃO_DE_CARGA!$I$1&lt;6),0,RELAÇÃO_DE_CARGA!R18)</f>
        <v>0</v>
      </c>
      <c r="S17" s="34">
        <f>IF(OR($R$1="Vazio",RELAÇÃO_DE_CARGA!$I$1&lt;6),0,RELAÇÃO_DE_CARGA!S18)*R17</f>
        <v>0</v>
      </c>
      <c r="T17" s="83">
        <v>1</v>
      </c>
      <c r="U17" s="34">
        <f>IF(OR($U$1="Vazio",RELAÇÃO_DE_CARGA!$I$1&lt;7),0,RELAÇÃO_DE_CARGA!U18)</f>
        <v>0</v>
      </c>
      <c r="V17" s="34">
        <f>IF(OR($U$1="Vazio",RELAÇÃO_DE_CARGA!$I$1&lt;7),0,RELAÇÃO_DE_CARGA!V18)*U17</f>
        <v>0</v>
      </c>
      <c r="W17" s="83">
        <v>1</v>
      </c>
      <c r="X17" s="34">
        <f>IF(OR($X$1="Vazio",RELAÇÃO_DE_CARGA!$I$1&lt;8),0,RELAÇÃO_DE_CARGA!X18)</f>
        <v>0</v>
      </c>
      <c r="Y17" s="34">
        <f>IF(OR($X$1="Vazio",RELAÇÃO_DE_CARGA!$I$1&lt;8),0,RELAÇÃO_DE_CARGA!Y18)*X17</f>
        <v>0</v>
      </c>
      <c r="Z17" s="83">
        <v>1</v>
      </c>
      <c r="AA17" s="34">
        <f>IF(OR($AA$1="Vazio",RELAÇÃO_DE_CARGA!$I$1&lt;9),0,RELAÇÃO_DE_CARGA!AA18)</f>
        <v>0</v>
      </c>
      <c r="AB17" s="34">
        <f>IF(OR($AA$1="Vazio",RELAÇÃO_DE_CARGA!$I$1&lt;9),0,RELAÇÃO_DE_CARGA!AB18)*AA17</f>
        <v>0</v>
      </c>
      <c r="AC17" s="83">
        <v>1</v>
      </c>
      <c r="AD17" s="34">
        <f>IF(OR($AD$1="Vazio",RELAÇÃO_DE_CARGA!$I$1&lt;10),0,RELAÇÃO_DE_CARGA!AD18)</f>
        <v>0</v>
      </c>
      <c r="AE17" s="34">
        <f>IF(OR($AD$1="Vazio",RELAÇÃO_DE_CARGA!$I$1&lt;10),0,RELAÇÃO_DE_CARGA!AE18)*AD17</f>
        <v>0</v>
      </c>
      <c r="AF17" s="83">
        <v>1</v>
      </c>
      <c r="AG17" s="34">
        <f>IF(OR($AG$1="Vazio",RELAÇÃO_DE_CARGA!$I$1&lt;11),0,RELAÇÃO_DE_CARGA!AG18)</f>
        <v>0</v>
      </c>
      <c r="AH17" s="34">
        <f>IF(OR($AG$1="Vazio",RELAÇÃO_DE_CARGA!$I$1&lt;11),0,RELAÇÃO_DE_CARGA!AH18)*AG17</f>
        <v>0</v>
      </c>
      <c r="AI17" s="83">
        <v>1</v>
      </c>
      <c r="AJ17" s="34">
        <f>IF(OR($AJ$1="Vazio",RELAÇÃO_DE_CARGA!$I$1&lt;12),0,RELAÇÃO_DE_CARGA!AJ18)</f>
        <v>0</v>
      </c>
      <c r="AK17" s="34">
        <f>IF(OR($AJ$1="Vazio",RELAÇÃO_DE_CARGA!$I$1&lt;12),0,RELAÇÃO_DE_CARGA!AK18)*AJ17</f>
        <v>0</v>
      </c>
      <c r="AL17" s="35"/>
      <c r="AM17" s="35"/>
      <c r="AN17" s="35"/>
      <c r="AO17" s="35"/>
      <c r="AP17" s="35"/>
      <c r="AQ17" s="27" t="s">
        <v>46</v>
      </c>
      <c r="AR17" s="70">
        <f t="shared" si="23"/>
        <v>0</v>
      </c>
      <c r="AS17" s="70">
        <f t="shared" si="24"/>
        <v>0</v>
      </c>
      <c r="AT17" s="70">
        <f t="shared" si="25"/>
        <v>0</v>
      </c>
      <c r="AU17" s="70">
        <f t="shared" si="26"/>
        <v>0</v>
      </c>
      <c r="AV17" s="70">
        <f t="shared" si="27"/>
        <v>0</v>
      </c>
      <c r="AW17" s="70">
        <f t="shared" si="28"/>
        <v>0</v>
      </c>
      <c r="AX17" s="70">
        <f t="shared" si="29"/>
        <v>0</v>
      </c>
      <c r="AY17" s="70">
        <f t="shared" si="30"/>
        <v>0</v>
      </c>
      <c r="AZ17" s="70">
        <f t="shared" si="31"/>
        <v>0</v>
      </c>
      <c r="BA17" s="70">
        <f t="shared" si="32"/>
        <v>0</v>
      </c>
      <c r="BB17" s="70">
        <f t="shared" si="33"/>
        <v>0</v>
      </c>
      <c r="BC17" s="70">
        <f t="shared" si="34"/>
        <v>0</v>
      </c>
      <c r="BD17" s="70">
        <f t="shared" si="35"/>
        <v>0</v>
      </c>
      <c r="BE17" s="70">
        <f t="shared" si="36"/>
        <v>0</v>
      </c>
      <c r="BF17" s="70">
        <f t="shared" si="37"/>
        <v>0</v>
      </c>
      <c r="BG17" s="70">
        <f t="shared" si="38"/>
        <v>0</v>
      </c>
      <c r="BH17" s="70">
        <f t="shared" si="39"/>
        <v>0</v>
      </c>
      <c r="BI17" s="70">
        <f t="shared" si="40"/>
        <v>0</v>
      </c>
      <c r="BJ17" s="70">
        <f t="shared" si="41"/>
        <v>0</v>
      </c>
      <c r="BK17" s="70">
        <f t="shared" si="42"/>
        <v>0</v>
      </c>
      <c r="BL17" s="70">
        <f t="shared" si="43"/>
        <v>0</v>
      </c>
      <c r="BM17" s="70">
        <f t="shared" si="44"/>
        <v>0</v>
      </c>
      <c r="BN17" s="70">
        <f t="shared" si="45"/>
        <v>0</v>
      </c>
      <c r="BO17" s="70">
        <f t="shared" si="46"/>
        <v>0</v>
      </c>
      <c r="BP17" s="51"/>
      <c r="BQ17" s="697" t="s">
        <v>124</v>
      </c>
      <c r="BR17" s="697"/>
      <c r="BS17" s="697"/>
      <c r="BT17" s="697"/>
      <c r="BU17" s="697"/>
      <c r="BV17" s="270"/>
      <c r="BW17" s="270"/>
      <c r="BX17" s="270"/>
      <c r="BY17" s="270"/>
      <c r="BZ17" s="270"/>
      <c r="CA17" s="270"/>
      <c r="CB17" s="270"/>
      <c r="CC17" s="270"/>
      <c r="CD17" s="286"/>
      <c r="CE17" s="696" t="s">
        <v>104</v>
      </c>
      <c r="CF17" s="696"/>
      <c r="CG17" s="696"/>
      <c r="CH17" s="696"/>
      <c r="CI17" s="696"/>
      <c r="CJ17" s="171"/>
      <c r="CK17" s="27" t="s">
        <v>51</v>
      </c>
      <c r="CL17" s="51">
        <f>VLOOKUP(SUM($CM$16:$CM$19),'tab aparelhos'!$T$4:$U$35,2)</f>
        <v>0</v>
      </c>
      <c r="CM17" s="202">
        <f>SUM($C$22,$F$22)</f>
        <v>0</v>
      </c>
      <c r="CN17" s="202">
        <f>SUM($D$22,$G$22)</f>
        <v>0</v>
      </c>
      <c r="CO17" s="199">
        <f t="shared" si="9"/>
        <v>0</v>
      </c>
      <c r="CP17" s="193"/>
      <c r="CQ17" s="199">
        <f t="shared" si="19"/>
        <v>0</v>
      </c>
      <c r="CR17" s="193"/>
      <c r="CS17" s="193"/>
      <c r="CT17" s="193"/>
      <c r="CU17" s="193"/>
      <c r="CV17" s="193"/>
      <c r="CW17" s="193"/>
      <c r="CX17" s="193"/>
      <c r="CY17" s="193"/>
      <c r="CZ17" s="193"/>
      <c r="DA17" s="193"/>
      <c r="DB17" s="193"/>
      <c r="DC17" s="193"/>
      <c r="DD17" s="193"/>
      <c r="DE17" s="193"/>
      <c r="DF17" s="193"/>
      <c r="DG17" s="193"/>
      <c r="DH17" s="193"/>
      <c r="DI17" s="193"/>
      <c r="DJ17" s="193"/>
      <c r="DK17" s="199"/>
      <c r="DL17" s="199"/>
      <c r="DM17" s="199"/>
      <c r="DN17" s="193"/>
      <c r="DO17" s="193"/>
      <c r="DP17" s="193"/>
      <c r="DQ17" s="193"/>
      <c r="DR17" s="193"/>
      <c r="DS17" s="289"/>
      <c r="DT17" s="51"/>
      <c r="DV17" s="27" t="s">
        <v>51</v>
      </c>
      <c r="DW17" s="83"/>
      <c r="DX17" s="202">
        <f t="shared" si="22"/>
        <v>0</v>
      </c>
      <c r="DY17" s="202">
        <f t="shared" si="12"/>
        <v>0</v>
      </c>
      <c r="DZ17" s="199">
        <f t="shared" si="13"/>
        <v>0</v>
      </c>
      <c r="EA17" s="193"/>
      <c r="EB17" s="199">
        <f t="shared" si="14"/>
        <v>0</v>
      </c>
      <c r="EC17" s="193"/>
      <c r="ED17" s="193"/>
      <c r="EE17" s="193"/>
      <c r="EF17" s="193"/>
      <c r="EG17" s="193"/>
      <c r="EH17" s="193"/>
      <c r="EI17" s="193"/>
      <c r="EJ17" s="199">
        <f t="shared" si="20"/>
        <v>0</v>
      </c>
      <c r="EK17" s="199">
        <f t="shared" si="21"/>
        <v>0</v>
      </c>
      <c r="EL17" s="199">
        <f t="shared" si="15"/>
        <v>0</v>
      </c>
      <c r="EM17" s="193"/>
      <c r="EN17" s="193"/>
      <c r="EO17" s="193"/>
      <c r="EP17" s="193"/>
      <c r="EQ17" s="193"/>
      <c r="ER17" s="193"/>
      <c r="ES17" s="193"/>
      <c r="ET17" s="193"/>
      <c r="EU17" s="193"/>
      <c r="EV17" s="199"/>
      <c r="EW17" s="199"/>
      <c r="EX17" s="199"/>
      <c r="EY17" s="193"/>
      <c r="EZ17" s="193"/>
      <c r="FA17" s="193"/>
      <c r="FB17" s="193"/>
      <c r="FC17" s="193"/>
      <c r="FD17" s="35"/>
      <c r="FF17" s="51" t="s">
        <v>51</v>
      </c>
      <c r="FG17" s="51">
        <f>VLOOKUP(SUM(DX16:DX19,EJ16:EJ19),'tab aparelhos'!$T$4:$U$35,2)</f>
        <v>0</v>
      </c>
      <c r="FH17" s="51"/>
      <c r="FI17" s="51"/>
      <c r="FJ17" s="51"/>
      <c r="FK17" s="51"/>
      <c r="FM17" s="27" t="s">
        <v>51</v>
      </c>
      <c r="FN17" s="83"/>
      <c r="FO17" s="202">
        <f>SUM($C$22,$F$22)</f>
        <v>0</v>
      </c>
      <c r="FP17" s="202">
        <f>SUM($D$22,$G$22)</f>
        <v>0</v>
      </c>
      <c r="FQ17" s="199">
        <f t="shared" si="10"/>
        <v>0</v>
      </c>
      <c r="FR17" s="193"/>
      <c r="FS17" s="199">
        <f t="shared" si="16"/>
        <v>0</v>
      </c>
      <c r="FT17" s="193"/>
      <c r="FU17" s="193"/>
      <c r="FV17" s="193"/>
      <c r="FW17" s="193"/>
      <c r="FX17" s="193"/>
      <c r="FY17" s="193"/>
      <c r="FZ17" s="193"/>
      <c r="GA17" s="193"/>
      <c r="GB17" s="193"/>
      <c r="GC17" s="193"/>
      <c r="GD17" s="193"/>
      <c r="GE17" s="193"/>
      <c r="GF17" s="193"/>
      <c r="GG17" s="193"/>
      <c r="GH17" s="193"/>
      <c r="GI17" s="193"/>
      <c r="GJ17" s="193"/>
      <c r="GK17" s="193"/>
      <c r="GL17" s="193"/>
      <c r="GM17" s="199"/>
      <c r="GN17" s="199"/>
      <c r="GO17" s="199"/>
      <c r="GP17" s="193"/>
      <c r="GQ17" s="193"/>
      <c r="GR17" s="193"/>
      <c r="GS17" s="193"/>
      <c r="GT17" s="193"/>
      <c r="GU17" s="35"/>
      <c r="GW17" s="51" t="s">
        <v>51</v>
      </c>
      <c r="GX17" s="51">
        <f>VLOOKUP(SUM(FO16:FO19),'tab aparelhos'!$T$4:$U$35,2)</f>
        <v>0</v>
      </c>
      <c r="GY17" s="51"/>
      <c r="GZ17" s="51"/>
      <c r="HA17" s="51"/>
      <c r="HB17" s="51"/>
      <c r="HD17" s="27" t="s">
        <v>51</v>
      </c>
      <c r="HE17" s="83"/>
      <c r="HF17" s="202">
        <f>SUM($I$22,$L$22)</f>
        <v>0</v>
      </c>
      <c r="HG17" s="202">
        <f>SUM($J$22,$M$22)</f>
        <v>0</v>
      </c>
      <c r="HH17" s="199">
        <f t="shared" si="17"/>
        <v>0</v>
      </c>
      <c r="HI17" s="193"/>
      <c r="HJ17" s="199">
        <f t="shared" si="18"/>
        <v>0</v>
      </c>
      <c r="HK17" s="193"/>
      <c r="HL17" s="193"/>
      <c r="HM17" s="193"/>
      <c r="HN17" s="193"/>
      <c r="HO17" s="193"/>
      <c r="HP17" s="193"/>
      <c r="HQ17" s="193"/>
      <c r="HR17" s="193"/>
      <c r="HS17" s="193"/>
      <c r="HT17" s="193"/>
      <c r="HU17" s="193"/>
      <c r="HV17" s="193"/>
      <c r="HW17" s="193"/>
      <c r="HX17" s="193"/>
      <c r="HY17" s="193"/>
      <c r="HZ17" s="193"/>
      <c r="IA17" s="193"/>
      <c r="IB17" s="193"/>
      <c r="IC17" s="193"/>
      <c r="ID17" s="199"/>
      <c r="IE17" s="199"/>
      <c r="IF17" s="199"/>
      <c r="IG17" s="193"/>
      <c r="IH17" s="193"/>
      <c r="II17" s="193"/>
      <c r="IJ17" s="193"/>
      <c r="IK17" s="193"/>
      <c r="IL17" s="35"/>
      <c r="IN17" s="51" t="s">
        <v>51</v>
      </c>
      <c r="IO17" s="51">
        <f>VLOOKUP(SUM(HF16:HF19),'tab aparelhos'!$T$4:$U$35,2)</f>
        <v>0</v>
      </c>
      <c r="IP17" s="51"/>
      <c r="IQ17" s="51"/>
      <c r="IR17" s="51"/>
    </row>
    <row r="18" spans="1:252" x14ac:dyDescent="0.2">
      <c r="A18" s="27" t="s">
        <v>47</v>
      </c>
      <c r="B18" s="83">
        <v>1</v>
      </c>
      <c r="C18" s="34">
        <f>IF($C$1="Vazio",0,RELAÇÃO_DE_CARGA!C19)</f>
        <v>0</v>
      </c>
      <c r="D18" s="34">
        <f>IF($C$1="Vazio",0,RELAÇÃO_DE_CARGA!D19)*C18</f>
        <v>0</v>
      </c>
      <c r="E18" s="83">
        <v>1</v>
      </c>
      <c r="F18" s="34">
        <f>IF($F$1="Vazio",0,RELAÇÃO_DE_CARGA!F19)</f>
        <v>0</v>
      </c>
      <c r="G18" s="34">
        <f>IF($F$1="Vazio",0,RELAÇÃO_DE_CARGA!G19)*F18</f>
        <v>0</v>
      </c>
      <c r="H18" s="83">
        <v>1</v>
      </c>
      <c r="I18" s="34">
        <f>IF(OR($I$1="Vazio",RELAÇÃO_DE_CARGA!$I$1&lt;3),0,RELAÇÃO_DE_CARGA!I19)</f>
        <v>0</v>
      </c>
      <c r="J18" s="34">
        <f>IF(OR($I$1="Vazio",RELAÇÃO_DE_CARGA!$I$1&lt;3),0,RELAÇÃO_DE_CARGA!J19)*I18</f>
        <v>0</v>
      </c>
      <c r="K18" s="83">
        <v>1</v>
      </c>
      <c r="L18" s="34">
        <f>IF(OR($L$1="Vazio",RELAÇÃO_DE_CARGA!$I$1&lt;4),0,RELAÇÃO_DE_CARGA!L19)</f>
        <v>0</v>
      </c>
      <c r="M18" s="34">
        <f>IF(OR($L$1="Vazio",RELAÇÃO_DE_CARGA!$I$1&lt;4),0,RELAÇÃO_DE_CARGA!M19)*L18</f>
        <v>0</v>
      </c>
      <c r="N18" s="83">
        <v>1</v>
      </c>
      <c r="O18" s="34">
        <f>IF(OR($O$1="Vazio",RELAÇÃO_DE_CARGA!$I$1&lt;5),0,RELAÇÃO_DE_CARGA!O19)</f>
        <v>0</v>
      </c>
      <c r="P18" s="34">
        <f>IF(OR($O$1="Vazio",RELAÇÃO_DE_CARGA!$I$1&lt;5),0,RELAÇÃO_DE_CARGA!P19)*O18</f>
        <v>0</v>
      </c>
      <c r="Q18" s="83">
        <v>1</v>
      </c>
      <c r="R18" s="34">
        <f>IF(OR($R$1="Vazio",RELAÇÃO_DE_CARGA!$I$1&lt;6),0,RELAÇÃO_DE_CARGA!R19)</f>
        <v>0</v>
      </c>
      <c r="S18" s="34">
        <f>IF(OR($R$1="Vazio",RELAÇÃO_DE_CARGA!$I$1&lt;6),0,RELAÇÃO_DE_CARGA!S19)*R18</f>
        <v>0</v>
      </c>
      <c r="T18" s="83">
        <v>1</v>
      </c>
      <c r="U18" s="34">
        <f>IF(OR($U$1="Vazio",RELAÇÃO_DE_CARGA!$I$1&lt;7),0,RELAÇÃO_DE_CARGA!U19)</f>
        <v>0</v>
      </c>
      <c r="V18" s="34">
        <f>IF(OR($U$1="Vazio",RELAÇÃO_DE_CARGA!$I$1&lt;7),0,RELAÇÃO_DE_CARGA!V19)*U18</f>
        <v>0</v>
      </c>
      <c r="W18" s="83">
        <v>1</v>
      </c>
      <c r="X18" s="34">
        <f>IF(OR($X$1="Vazio",RELAÇÃO_DE_CARGA!$I$1&lt;8),0,RELAÇÃO_DE_CARGA!X19)</f>
        <v>0</v>
      </c>
      <c r="Y18" s="34">
        <f>IF(OR($X$1="Vazio",RELAÇÃO_DE_CARGA!$I$1&lt;8),0,RELAÇÃO_DE_CARGA!Y19)*X18</f>
        <v>0</v>
      </c>
      <c r="Z18" s="83">
        <v>1</v>
      </c>
      <c r="AA18" s="34">
        <f>IF(OR($AA$1="Vazio",RELAÇÃO_DE_CARGA!$I$1&lt;9),0,RELAÇÃO_DE_CARGA!AA19)</f>
        <v>0</v>
      </c>
      <c r="AB18" s="34">
        <f>IF(OR($AA$1="Vazio",RELAÇÃO_DE_CARGA!$I$1&lt;9),0,RELAÇÃO_DE_CARGA!AB19)*AA18</f>
        <v>0</v>
      </c>
      <c r="AC18" s="83">
        <v>1</v>
      </c>
      <c r="AD18" s="34">
        <f>IF(OR($AD$1="Vazio",RELAÇÃO_DE_CARGA!$I$1&lt;10),0,RELAÇÃO_DE_CARGA!AD19)</f>
        <v>0</v>
      </c>
      <c r="AE18" s="34">
        <f>IF(OR($AD$1="Vazio",RELAÇÃO_DE_CARGA!$I$1&lt;10),0,RELAÇÃO_DE_CARGA!AE19)*AD18</f>
        <v>0</v>
      </c>
      <c r="AF18" s="83">
        <v>1</v>
      </c>
      <c r="AG18" s="34">
        <f>IF(OR($AG$1="Vazio",RELAÇÃO_DE_CARGA!$I$1&lt;11),0,RELAÇÃO_DE_CARGA!AG19)</f>
        <v>0</v>
      </c>
      <c r="AH18" s="34">
        <f>IF(OR($AG$1="Vazio",RELAÇÃO_DE_CARGA!$I$1&lt;11),0,RELAÇÃO_DE_CARGA!AH19)*AG18</f>
        <v>0</v>
      </c>
      <c r="AI18" s="83">
        <v>1</v>
      </c>
      <c r="AJ18" s="34">
        <f>IF(OR($AJ$1="Vazio",RELAÇÃO_DE_CARGA!$I$1&lt;12),0,RELAÇÃO_DE_CARGA!AJ19)</f>
        <v>0</v>
      </c>
      <c r="AK18" s="34">
        <f>IF(OR($AJ$1="Vazio",RELAÇÃO_DE_CARGA!$I$1&lt;12),0,RELAÇÃO_DE_CARGA!AK19)*AJ18</f>
        <v>0</v>
      </c>
      <c r="AL18" s="35"/>
      <c r="AM18" s="35"/>
      <c r="AN18" s="35"/>
      <c r="AO18" s="35"/>
      <c r="AP18" s="35"/>
      <c r="AQ18" s="27" t="s">
        <v>47</v>
      </c>
      <c r="AR18" s="70">
        <f t="shared" si="23"/>
        <v>0</v>
      </c>
      <c r="AS18" s="70">
        <f t="shared" si="24"/>
        <v>0</v>
      </c>
      <c r="AT18" s="70">
        <f t="shared" si="25"/>
        <v>0</v>
      </c>
      <c r="AU18" s="70">
        <f t="shared" si="26"/>
        <v>0</v>
      </c>
      <c r="AV18" s="70">
        <f t="shared" si="27"/>
        <v>0</v>
      </c>
      <c r="AW18" s="70">
        <f t="shared" si="28"/>
        <v>0</v>
      </c>
      <c r="AX18" s="70">
        <f t="shared" si="29"/>
        <v>0</v>
      </c>
      <c r="AY18" s="70">
        <f t="shared" si="30"/>
        <v>0</v>
      </c>
      <c r="AZ18" s="70">
        <f t="shared" si="31"/>
        <v>0</v>
      </c>
      <c r="BA18" s="70">
        <f t="shared" si="32"/>
        <v>0</v>
      </c>
      <c r="BB18" s="70">
        <f t="shared" si="33"/>
        <v>0</v>
      </c>
      <c r="BC18" s="70">
        <f t="shared" si="34"/>
        <v>0</v>
      </c>
      <c r="BD18" s="70">
        <f t="shared" si="35"/>
        <v>0</v>
      </c>
      <c r="BE18" s="70">
        <f t="shared" si="36"/>
        <v>0</v>
      </c>
      <c r="BF18" s="70">
        <f t="shared" si="37"/>
        <v>0</v>
      </c>
      <c r="BG18" s="70">
        <f t="shared" si="38"/>
        <v>0</v>
      </c>
      <c r="BH18" s="70">
        <f t="shared" si="39"/>
        <v>0</v>
      </c>
      <c r="BI18" s="70">
        <f t="shared" si="40"/>
        <v>0</v>
      </c>
      <c r="BJ18" s="70">
        <f t="shared" si="41"/>
        <v>0</v>
      </c>
      <c r="BK18" s="70">
        <f t="shared" si="42"/>
        <v>0</v>
      </c>
      <c r="BL18" s="70">
        <f t="shared" si="43"/>
        <v>0</v>
      </c>
      <c r="BM18" s="70">
        <f t="shared" si="44"/>
        <v>0</v>
      </c>
      <c r="BN18" s="70">
        <f t="shared" si="45"/>
        <v>0</v>
      </c>
      <c r="BO18" s="70">
        <f t="shared" si="46"/>
        <v>0</v>
      </c>
      <c r="BP18" s="51"/>
      <c r="BQ18" s="696" t="s">
        <v>104</v>
      </c>
      <c r="BR18" s="696"/>
      <c r="BS18" s="696"/>
      <c r="BT18" s="696"/>
      <c r="BU18" s="696"/>
      <c r="BV18" s="171"/>
      <c r="BW18" s="171"/>
      <c r="BX18" s="171"/>
      <c r="BY18" s="171"/>
      <c r="BZ18" s="171"/>
      <c r="CA18" s="171"/>
      <c r="CB18" s="171"/>
      <c r="CC18" s="171"/>
      <c r="CD18" s="287"/>
      <c r="CE18" s="173" t="s">
        <v>105</v>
      </c>
      <c r="CF18" s="20" t="s">
        <v>198</v>
      </c>
      <c r="CG18" s="20">
        <v>3</v>
      </c>
      <c r="CH18" s="72" t="s">
        <v>199</v>
      </c>
      <c r="CI18" s="72">
        <v>4</v>
      </c>
      <c r="CJ18" s="72"/>
      <c r="CK18" s="27" t="s">
        <v>52</v>
      </c>
      <c r="CL18" s="51">
        <f>VLOOKUP(SUM($CM$16:$CM$19),'tab aparelhos'!$T$4:$U$35,2)</f>
        <v>0</v>
      </c>
      <c r="CM18" s="202">
        <f>SUM($C$23,$F$23)</f>
        <v>0</v>
      </c>
      <c r="CN18" s="202">
        <f>SUM($D$23,$G$23)</f>
        <v>0</v>
      </c>
      <c r="CO18" s="199">
        <f t="shared" si="9"/>
        <v>0</v>
      </c>
      <c r="CP18" s="193"/>
      <c r="CQ18" s="199">
        <f t="shared" si="19"/>
        <v>0</v>
      </c>
      <c r="CR18" s="193"/>
      <c r="CS18" s="193"/>
      <c r="CT18" s="193"/>
      <c r="CU18" s="193"/>
      <c r="CV18" s="193"/>
      <c r="CW18" s="193"/>
      <c r="CX18" s="193"/>
      <c r="CY18" s="193"/>
      <c r="CZ18" s="193"/>
      <c r="DA18" s="193"/>
      <c r="DB18" s="193"/>
      <c r="DC18" s="193"/>
      <c r="DD18" s="193"/>
      <c r="DE18" s="193"/>
      <c r="DF18" s="193"/>
      <c r="DG18" s="193"/>
      <c r="DH18" s="193"/>
      <c r="DI18" s="193"/>
      <c r="DJ18" s="193"/>
      <c r="DK18" s="199"/>
      <c r="DL18" s="199"/>
      <c r="DM18" s="199"/>
      <c r="DN18" s="193"/>
      <c r="DO18" s="193"/>
      <c r="DP18" s="193"/>
      <c r="DQ18" s="193"/>
      <c r="DR18" s="193"/>
      <c r="DS18" s="72"/>
      <c r="DT18" s="51"/>
      <c r="DV18" s="27" t="s">
        <v>52</v>
      </c>
      <c r="DW18" s="83"/>
      <c r="DX18" s="202">
        <f t="shared" si="22"/>
        <v>0</v>
      </c>
      <c r="DY18" s="202">
        <f t="shared" si="12"/>
        <v>0</v>
      </c>
      <c r="DZ18" s="199">
        <f t="shared" si="13"/>
        <v>0</v>
      </c>
      <c r="EA18" s="193"/>
      <c r="EB18" s="199">
        <f t="shared" si="14"/>
        <v>0</v>
      </c>
      <c r="EC18" s="193"/>
      <c r="ED18" s="193"/>
      <c r="EE18" s="193"/>
      <c r="EF18" s="193"/>
      <c r="EG18" s="193"/>
      <c r="EH18" s="193"/>
      <c r="EI18" s="193"/>
      <c r="EJ18" s="199">
        <f t="shared" si="20"/>
        <v>0</v>
      </c>
      <c r="EK18" s="199">
        <f t="shared" si="21"/>
        <v>0</v>
      </c>
      <c r="EL18" s="199">
        <f t="shared" si="15"/>
        <v>0</v>
      </c>
      <c r="EM18" s="193"/>
      <c r="EN18" s="193"/>
      <c r="EO18" s="193"/>
      <c r="EP18" s="193"/>
      <c r="EQ18" s="193"/>
      <c r="ER18" s="193"/>
      <c r="ES18" s="193"/>
      <c r="ET18" s="193"/>
      <c r="EU18" s="193"/>
      <c r="EV18" s="199"/>
      <c r="EW18" s="199"/>
      <c r="EX18" s="199"/>
      <c r="EY18" s="193"/>
      <c r="EZ18" s="193"/>
      <c r="FA18" s="193"/>
      <c r="FB18" s="193"/>
      <c r="FC18" s="193"/>
      <c r="FD18" s="35"/>
      <c r="FF18" s="51" t="s">
        <v>52</v>
      </c>
      <c r="FG18" s="51">
        <f>VLOOKUP(SUM(DX16:DX19,EJ16:EJ19),'tab aparelhos'!$T$4:$U$35,2)</f>
        <v>0</v>
      </c>
      <c r="FH18" s="51"/>
      <c r="FI18" s="51"/>
      <c r="FJ18" s="51"/>
      <c r="FK18" s="51"/>
      <c r="FM18" s="27" t="s">
        <v>52</v>
      </c>
      <c r="FN18" s="83"/>
      <c r="FO18" s="202">
        <f>SUM($C$23,$F$23)</f>
        <v>0</v>
      </c>
      <c r="FP18" s="202">
        <f>SUM($D$23,$G$23)</f>
        <v>0</v>
      </c>
      <c r="FQ18" s="199">
        <f t="shared" si="10"/>
        <v>0</v>
      </c>
      <c r="FR18" s="193"/>
      <c r="FS18" s="199">
        <f t="shared" si="16"/>
        <v>0</v>
      </c>
      <c r="FT18" s="193"/>
      <c r="FU18" s="193"/>
      <c r="FV18" s="193"/>
      <c r="FW18" s="193"/>
      <c r="FX18" s="193"/>
      <c r="FY18" s="193"/>
      <c r="FZ18" s="193"/>
      <c r="GA18" s="193"/>
      <c r="GB18" s="193"/>
      <c r="GC18" s="193"/>
      <c r="GD18" s="193"/>
      <c r="GE18" s="193"/>
      <c r="GF18" s="193"/>
      <c r="GG18" s="193"/>
      <c r="GH18" s="193"/>
      <c r="GI18" s="193"/>
      <c r="GJ18" s="193"/>
      <c r="GK18" s="193"/>
      <c r="GL18" s="193"/>
      <c r="GM18" s="199"/>
      <c r="GN18" s="199"/>
      <c r="GO18" s="199"/>
      <c r="GP18" s="193"/>
      <c r="GQ18" s="193"/>
      <c r="GR18" s="193"/>
      <c r="GS18" s="193"/>
      <c r="GT18" s="193"/>
      <c r="GU18" s="35"/>
      <c r="GW18" s="51" t="s">
        <v>52</v>
      </c>
      <c r="GX18" s="51">
        <f>VLOOKUP(SUM(FO16:FO19),'tab aparelhos'!$T$4:$U$35,2)</f>
        <v>0</v>
      </c>
      <c r="GY18" s="51"/>
      <c r="GZ18" s="51"/>
      <c r="HA18" s="51"/>
      <c r="HB18" s="51"/>
      <c r="HD18" s="27" t="s">
        <v>52</v>
      </c>
      <c r="HE18" s="83"/>
      <c r="HF18" s="202">
        <f>SUM($I$23,$L$23)</f>
        <v>0</v>
      </c>
      <c r="HG18" s="202">
        <f>SUM($J$23,$M$23)</f>
        <v>0</v>
      </c>
      <c r="HH18" s="199">
        <f t="shared" si="17"/>
        <v>0</v>
      </c>
      <c r="HI18" s="193"/>
      <c r="HJ18" s="199">
        <f t="shared" si="18"/>
        <v>0</v>
      </c>
      <c r="HK18" s="193"/>
      <c r="HL18" s="193"/>
      <c r="HM18" s="193"/>
      <c r="HN18" s="193"/>
      <c r="HO18" s="193"/>
      <c r="HP18" s="193"/>
      <c r="HQ18" s="193"/>
      <c r="HR18" s="193"/>
      <c r="HS18" s="193"/>
      <c r="HT18" s="193"/>
      <c r="HU18" s="193"/>
      <c r="HV18" s="193"/>
      <c r="HW18" s="193"/>
      <c r="HX18" s="193"/>
      <c r="HY18" s="193"/>
      <c r="HZ18" s="193"/>
      <c r="IA18" s="193"/>
      <c r="IB18" s="193"/>
      <c r="IC18" s="193"/>
      <c r="ID18" s="199"/>
      <c r="IE18" s="199"/>
      <c r="IF18" s="199"/>
      <c r="IG18" s="193"/>
      <c r="IH18" s="193"/>
      <c r="II18" s="193"/>
      <c r="IJ18" s="193"/>
      <c r="IK18" s="193"/>
      <c r="IL18" s="35"/>
      <c r="IN18" s="51" t="s">
        <v>52</v>
      </c>
      <c r="IO18" s="51">
        <f>VLOOKUP(SUM(HF16:HF19),'tab aparelhos'!$T$4:$U$35,2)</f>
        <v>0</v>
      </c>
      <c r="IP18" s="51"/>
      <c r="IQ18" s="51"/>
      <c r="IR18" s="51"/>
    </row>
    <row r="19" spans="1:252" x14ac:dyDescent="0.2">
      <c r="A19" s="27" t="s">
        <v>48</v>
      </c>
      <c r="B19" s="83">
        <v>1</v>
      </c>
      <c r="C19" s="34">
        <f>IF($C$1="Vazio",0,RELAÇÃO_DE_CARGA!C20)</f>
        <v>0</v>
      </c>
      <c r="D19" s="34">
        <f>IF($C$1="Vazio",0,RELAÇÃO_DE_CARGA!D20)*C19</f>
        <v>0</v>
      </c>
      <c r="E19" s="83">
        <v>1</v>
      </c>
      <c r="F19" s="34">
        <f>IF($F$1="Vazio",0,RELAÇÃO_DE_CARGA!F20)</f>
        <v>0</v>
      </c>
      <c r="G19" s="34">
        <f>IF($F$1="Vazio",0,RELAÇÃO_DE_CARGA!G20)*F19</f>
        <v>0</v>
      </c>
      <c r="H19" s="83">
        <v>1</v>
      </c>
      <c r="I19" s="34">
        <f>IF(OR($I$1="Vazio",RELAÇÃO_DE_CARGA!$I$1&lt;3),0,RELAÇÃO_DE_CARGA!I20)</f>
        <v>0</v>
      </c>
      <c r="J19" s="34">
        <f>IF(OR($I$1="Vazio",RELAÇÃO_DE_CARGA!$I$1&lt;3),0,RELAÇÃO_DE_CARGA!J20)*I19</f>
        <v>0</v>
      </c>
      <c r="K19" s="83">
        <v>1</v>
      </c>
      <c r="L19" s="34">
        <f>IF(OR($L$1="Vazio",RELAÇÃO_DE_CARGA!$I$1&lt;4),0,RELAÇÃO_DE_CARGA!L20)</f>
        <v>0</v>
      </c>
      <c r="M19" s="34">
        <f>IF(OR($L$1="Vazio",RELAÇÃO_DE_CARGA!$I$1&lt;4),0,RELAÇÃO_DE_CARGA!M20)*L19</f>
        <v>0</v>
      </c>
      <c r="N19" s="83">
        <v>1</v>
      </c>
      <c r="O19" s="34">
        <f>IF(OR($O$1="Vazio",RELAÇÃO_DE_CARGA!$I$1&lt;5),0,RELAÇÃO_DE_CARGA!O20)</f>
        <v>0</v>
      </c>
      <c r="P19" s="34">
        <f>IF(OR($O$1="Vazio",RELAÇÃO_DE_CARGA!$I$1&lt;5),0,RELAÇÃO_DE_CARGA!P20)*O19</f>
        <v>0</v>
      </c>
      <c r="Q19" s="83">
        <v>1</v>
      </c>
      <c r="R19" s="34">
        <f>IF(OR($R$1="Vazio",RELAÇÃO_DE_CARGA!$I$1&lt;6),0,RELAÇÃO_DE_CARGA!R20)</f>
        <v>0</v>
      </c>
      <c r="S19" s="34">
        <f>IF(OR($R$1="Vazio",RELAÇÃO_DE_CARGA!$I$1&lt;6),0,RELAÇÃO_DE_CARGA!S20)*R19</f>
        <v>0</v>
      </c>
      <c r="T19" s="83">
        <v>1</v>
      </c>
      <c r="U19" s="34">
        <f>IF(OR($U$1="Vazio",RELAÇÃO_DE_CARGA!$I$1&lt;7),0,RELAÇÃO_DE_CARGA!U20)</f>
        <v>0</v>
      </c>
      <c r="V19" s="34">
        <f>IF(OR($U$1="Vazio",RELAÇÃO_DE_CARGA!$I$1&lt;7),0,RELAÇÃO_DE_CARGA!V20)*U19</f>
        <v>0</v>
      </c>
      <c r="W19" s="83">
        <v>1</v>
      </c>
      <c r="X19" s="34">
        <f>IF(OR($X$1="Vazio",RELAÇÃO_DE_CARGA!$I$1&lt;8),0,RELAÇÃO_DE_CARGA!X20)</f>
        <v>0</v>
      </c>
      <c r="Y19" s="34">
        <f>IF(OR($X$1="Vazio",RELAÇÃO_DE_CARGA!$I$1&lt;8),0,RELAÇÃO_DE_CARGA!Y20)*X19</f>
        <v>0</v>
      </c>
      <c r="Z19" s="83">
        <v>1</v>
      </c>
      <c r="AA19" s="34">
        <f>IF(OR($AA$1="Vazio",RELAÇÃO_DE_CARGA!$I$1&lt;9),0,RELAÇÃO_DE_CARGA!AA20)</f>
        <v>0</v>
      </c>
      <c r="AB19" s="34">
        <f>IF(OR($AA$1="Vazio",RELAÇÃO_DE_CARGA!$I$1&lt;9),0,RELAÇÃO_DE_CARGA!AB20)*AA19</f>
        <v>0</v>
      </c>
      <c r="AC19" s="83">
        <v>1</v>
      </c>
      <c r="AD19" s="34">
        <f>IF(OR($AD$1="Vazio",RELAÇÃO_DE_CARGA!$I$1&lt;10),0,RELAÇÃO_DE_CARGA!AD20)</f>
        <v>0</v>
      </c>
      <c r="AE19" s="34">
        <f>IF(OR($AD$1="Vazio",RELAÇÃO_DE_CARGA!$I$1&lt;10),0,RELAÇÃO_DE_CARGA!AE20)*AD19</f>
        <v>0</v>
      </c>
      <c r="AF19" s="83">
        <v>1</v>
      </c>
      <c r="AG19" s="34">
        <f>IF(OR($AG$1="Vazio",RELAÇÃO_DE_CARGA!$I$1&lt;11),0,RELAÇÃO_DE_CARGA!AG20)</f>
        <v>0</v>
      </c>
      <c r="AH19" s="34">
        <f>IF(OR($AG$1="Vazio",RELAÇÃO_DE_CARGA!$I$1&lt;11),0,RELAÇÃO_DE_CARGA!AH20)*AG19</f>
        <v>0</v>
      </c>
      <c r="AI19" s="83">
        <v>1</v>
      </c>
      <c r="AJ19" s="34">
        <f>IF(OR($AJ$1="Vazio",RELAÇÃO_DE_CARGA!$I$1&lt;12),0,RELAÇÃO_DE_CARGA!AJ20)</f>
        <v>0</v>
      </c>
      <c r="AK19" s="34">
        <f>IF(OR($AJ$1="Vazio",RELAÇÃO_DE_CARGA!$I$1&lt;12),0,RELAÇÃO_DE_CARGA!AK20)*AJ19</f>
        <v>0</v>
      </c>
      <c r="AL19" s="35"/>
      <c r="AM19" s="35"/>
      <c r="AN19" s="35"/>
      <c r="AO19" s="35"/>
      <c r="AP19" s="35"/>
      <c r="AQ19" s="27" t="s">
        <v>48</v>
      </c>
      <c r="AR19" s="70">
        <f t="shared" si="23"/>
        <v>0</v>
      </c>
      <c r="AS19" s="70">
        <f t="shared" si="24"/>
        <v>0</v>
      </c>
      <c r="AT19" s="70">
        <f t="shared" si="25"/>
        <v>0</v>
      </c>
      <c r="AU19" s="70">
        <f t="shared" si="26"/>
        <v>0</v>
      </c>
      <c r="AV19" s="70">
        <f t="shared" si="27"/>
        <v>0</v>
      </c>
      <c r="AW19" s="70">
        <f t="shared" si="28"/>
        <v>0</v>
      </c>
      <c r="AX19" s="70">
        <f t="shared" si="29"/>
        <v>0</v>
      </c>
      <c r="AY19" s="70">
        <f t="shared" si="30"/>
        <v>0</v>
      </c>
      <c r="AZ19" s="70">
        <f t="shared" si="31"/>
        <v>0</v>
      </c>
      <c r="BA19" s="70">
        <f t="shared" si="32"/>
        <v>0</v>
      </c>
      <c r="BB19" s="70">
        <f t="shared" si="33"/>
        <v>0</v>
      </c>
      <c r="BC19" s="70">
        <f t="shared" si="34"/>
        <v>0</v>
      </c>
      <c r="BD19" s="70">
        <f t="shared" si="35"/>
        <v>0</v>
      </c>
      <c r="BE19" s="70">
        <f t="shared" si="36"/>
        <v>0</v>
      </c>
      <c r="BF19" s="70">
        <f t="shared" si="37"/>
        <v>0</v>
      </c>
      <c r="BG19" s="70">
        <f t="shared" si="38"/>
        <v>0</v>
      </c>
      <c r="BH19" s="70">
        <f t="shared" si="39"/>
        <v>0</v>
      </c>
      <c r="BI19" s="70">
        <f t="shared" si="40"/>
        <v>0</v>
      </c>
      <c r="BJ19" s="70">
        <f t="shared" si="41"/>
        <v>0</v>
      </c>
      <c r="BK19" s="70">
        <f t="shared" si="42"/>
        <v>0</v>
      </c>
      <c r="BL19" s="70">
        <f t="shared" si="43"/>
        <v>0</v>
      </c>
      <c r="BM19" s="70">
        <f t="shared" si="44"/>
        <v>0</v>
      </c>
      <c r="BN19" s="70">
        <f t="shared" si="45"/>
        <v>0</v>
      </c>
      <c r="BO19" s="70">
        <f t="shared" si="46"/>
        <v>0</v>
      </c>
      <c r="BP19" s="51"/>
      <c r="BQ19" s="20" t="s">
        <v>105</v>
      </c>
      <c r="BR19" s="20" t="s">
        <v>106</v>
      </c>
      <c r="BS19" s="20" t="s">
        <v>107</v>
      </c>
      <c r="BT19" s="72" t="s">
        <v>108</v>
      </c>
      <c r="BU19" s="72" t="s">
        <v>109</v>
      </c>
      <c r="BV19" s="72">
        <v>5</v>
      </c>
      <c r="BW19" s="72">
        <v>6</v>
      </c>
      <c r="BX19" s="72">
        <v>7</v>
      </c>
      <c r="BY19" s="72">
        <v>8</v>
      </c>
      <c r="BZ19" s="72">
        <v>9</v>
      </c>
      <c r="CA19" s="72">
        <v>10</v>
      </c>
      <c r="CB19" s="72">
        <v>11</v>
      </c>
      <c r="CC19" s="72">
        <v>12</v>
      </c>
      <c r="CD19" s="128"/>
      <c r="CE19" s="128" t="s">
        <v>42</v>
      </c>
      <c r="CF19" s="51">
        <f>IF($C$1="Clube e semelhantes",1,IF($I$1="Clube e semelhantes",VLOOKUP($C$13+C14+C15,'tab aparelhos'!$B$5:$C$35,2,TRUE),VLOOKUP($C$13+C14+C15+I14+I15+$I$13,'tab aparelhos'!$B$5:$C$35,2,TRUE)))</f>
        <v>0</v>
      </c>
      <c r="CG19" s="51">
        <f>IF($F$1="Clube e semelhantes",1,IF($L$1="Clube e semelhantes",VLOOKUP($F$13+F14+F15,'tab aparelhos'!$B$5:$C$35,2,TRUE),VLOOKUP($F$13+$L$13+F14+F15+L14+L15,'tab aparelhos'!$B$5:$C$35,2,TRUE)))</f>
        <v>0</v>
      </c>
      <c r="CH19" s="51">
        <f>IF(C1=I1,0,IF($I$1="Clube e semelhantes",1,VLOOKUP($I$13+I14+I15,'tab aparelhos'!$B$5:$C$35,2,TRUE)))</f>
        <v>0</v>
      </c>
      <c r="CI19" s="51">
        <f>IF(F1=L1,0,IF($L$1="Clube e semelhantes",1,VLOOKUP($L$13+L14+L15,'tab aparelhos'!$B$5:$C$35,2,TRUE)))</f>
        <v>0</v>
      </c>
      <c r="CJ19" s="51"/>
      <c r="CK19" s="27" t="s">
        <v>125</v>
      </c>
      <c r="CL19" s="51">
        <f>VLOOKUP(SUM($CM$16:$CM$19),'tab aparelhos'!$T$4:$U$35,2)</f>
        <v>0</v>
      </c>
      <c r="CM19" s="202">
        <f>SUM($C$24,$F$24)</f>
        <v>0</v>
      </c>
      <c r="CN19" s="202">
        <f>SUM($D$24,$G$24)</f>
        <v>0</v>
      </c>
      <c r="CO19" s="199">
        <f t="shared" si="9"/>
        <v>0</v>
      </c>
      <c r="CP19" s="193"/>
      <c r="CQ19" s="199">
        <f t="shared" si="19"/>
        <v>0</v>
      </c>
      <c r="CR19" s="193"/>
      <c r="CS19" s="193"/>
      <c r="CT19" s="193"/>
      <c r="CU19" s="193"/>
      <c r="CV19" s="193"/>
      <c r="CW19" s="193"/>
      <c r="CX19" s="193"/>
      <c r="CY19" s="193"/>
      <c r="CZ19" s="193"/>
      <c r="DA19" s="193"/>
      <c r="DB19" s="193"/>
      <c r="DC19" s="193"/>
      <c r="DD19" s="193"/>
      <c r="DE19" s="193"/>
      <c r="DF19" s="193"/>
      <c r="DG19" s="193"/>
      <c r="DH19" s="193"/>
      <c r="DI19" s="193"/>
      <c r="DJ19" s="193"/>
      <c r="DK19" s="199"/>
      <c r="DL19" s="199"/>
      <c r="DM19" s="199"/>
      <c r="DN19" s="193"/>
      <c r="DO19" s="193"/>
      <c r="DP19" s="193"/>
      <c r="DQ19" s="193"/>
      <c r="DR19" s="193"/>
      <c r="DS19" s="290"/>
      <c r="DT19" s="51"/>
      <c r="DV19" s="27" t="s">
        <v>125</v>
      </c>
      <c r="DW19" s="83"/>
      <c r="DX19" s="202">
        <f t="shared" si="22"/>
        <v>0</v>
      </c>
      <c r="DY19" s="202">
        <f t="shared" si="12"/>
        <v>0</v>
      </c>
      <c r="DZ19" s="199">
        <f t="shared" si="13"/>
        <v>0</v>
      </c>
      <c r="EA19" s="193"/>
      <c r="EB19" s="199">
        <f t="shared" si="14"/>
        <v>0</v>
      </c>
      <c r="EC19" s="193"/>
      <c r="ED19" s="193"/>
      <c r="EE19" s="193"/>
      <c r="EF19" s="193"/>
      <c r="EG19" s="193"/>
      <c r="EH19" s="193"/>
      <c r="EI19" s="193"/>
      <c r="EJ19" s="199">
        <f t="shared" si="20"/>
        <v>0</v>
      </c>
      <c r="EK19" s="199">
        <f t="shared" si="21"/>
        <v>0</v>
      </c>
      <c r="EL19" s="199">
        <f t="shared" si="15"/>
        <v>0</v>
      </c>
      <c r="EM19" s="193"/>
      <c r="EN19" s="193"/>
      <c r="EO19" s="193"/>
      <c r="EP19" s="193"/>
      <c r="EQ19" s="193"/>
      <c r="ER19" s="193"/>
      <c r="ES19" s="193"/>
      <c r="ET19" s="193"/>
      <c r="EU19" s="193"/>
      <c r="EV19" s="199"/>
      <c r="EW19" s="199"/>
      <c r="EX19" s="199"/>
      <c r="EY19" s="193"/>
      <c r="EZ19" s="193"/>
      <c r="FA19" s="193"/>
      <c r="FB19" s="193"/>
      <c r="FC19" s="193"/>
      <c r="FD19" s="35"/>
      <c r="FF19" s="51" t="s">
        <v>53</v>
      </c>
      <c r="FG19" s="51">
        <f>VLOOKUP(SUM(DX16:DX19,EJ16:EJ19),'tab aparelhos'!$T$4:$U$35,2)</f>
        <v>0</v>
      </c>
      <c r="FH19" s="51"/>
      <c r="FI19" s="51"/>
      <c r="FJ19" s="51"/>
      <c r="FK19" s="51"/>
      <c r="FM19" s="27" t="s">
        <v>125</v>
      </c>
      <c r="FN19" s="83"/>
      <c r="FO19" s="202">
        <f>SUM($C$24,$F$24)</f>
        <v>0</v>
      </c>
      <c r="FP19" s="202">
        <f>SUM($D$24,$G$24)</f>
        <v>0</v>
      </c>
      <c r="FQ19" s="199">
        <f t="shared" si="10"/>
        <v>0</v>
      </c>
      <c r="FR19" s="193"/>
      <c r="FS19" s="199">
        <f t="shared" si="16"/>
        <v>0</v>
      </c>
      <c r="FT19" s="193"/>
      <c r="FU19" s="193"/>
      <c r="FV19" s="193"/>
      <c r="FW19" s="193"/>
      <c r="FX19" s="193"/>
      <c r="FY19" s="193"/>
      <c r="FZ19" s="193"/>
      <c r="GA19" s="193"/>
      <c r="GB19" s="193"/>
      <c r="GC19" s="193"/>
      <c r="GD19" s="193"/>
      <c r="GE19" s="193"/>
      <c r="GF19" s="193"/>
      <c r="GG19" s="193"/>
      <c r="GH19" s="193"/>
      <c r="GI19" s="193"/>
      <c r="GJ19" s="193"/>
      <c r="GK19" s="193"/>
      <c r="GL19" s="193"/>
      <c r="GM19" s="199"/>
      <c r="GN19" s="199"/>
      <c r="GO19" s="199"/>
      <c r="GP19" s="193"/>
      <c r="GQ19" s="193"/>
      <c r="GR19" s="193"/>
      <c r="GS19" s="193"/>
      <c r="GT19" s="193"/>
      <c r="GU19" s="35"/>
      <c r="GW19" s="51" t="s">
        <v>53</v>
      </c>
      <c r="GX19" s="51">
        <f>VLOOKUP(SUM(FO16:FO19),'tab aparelhos'!$T$4:$U$35,2)</f>
        <v>0</v>
      </c>
      <c r="GY19" s="51"/>
      <c r="GZ19" s="51"/>
      <c r="HA19" s="51"/>
      <c r="HB19" s="51"/>
      <c r="HD19" s="27" t="s">
        <v>125</v>
      </c>
      <c r="HE19" s="83"/>
      <c r="HF19" s="202">
        <f>SUM($I$24,$L$24)</f>
        <v>0</v>
      </c>
      <c r="HG19" s="202">
        <f>SUM($J$24,$M$24)</f>
        <v>0</v>
      </c>
      <c r="HH19" s="199">
        <f t="shared" si="17"/>
        <v>0</v>
      </c>
      <c r="HI19" s="193"/>
      <c r="HJ19" s="199">
        <f t="shared" si="18"/>
        <v>0</v>
      </c>
      <c r="HK19" s="193"/>
      <c r="HL19" s="193"/>
      <c r="HM19" s="193"/>
      <c r="HN19" s="193"/>
      <c r="HO19" s="193"/>
      <c r="HP19" s="193"/>
      <c r="HQ19" s="193"/>
      <c r="HR19" s="193"/>
      <c r="HS19" s="193"/>
      <c r="HT19" s="193"/>
      <c r="HU19" s="193"/>
      <c r="HV19" s="193"/>
      <c r="HW19" s="193"/>
      <c r="HX19" s="193"/>
      <c r="HY19" s="193"/>
      <c r="HZ19" s="193"/>
      <c r="IA19" s="193"/>
      <c r="IB19" s="193"/>
      <c r="IC19" s="193"/>
      <c r="ID19" s="199"/>
      <c r="IE19" s="199"/>
      <c r="IF19" s="199"/>
      <c r="IG19" s="193"/>
      <c r="IH19" s="193"/>
      <c r="II19" s="193"/>
      <c r="IJ19" s="193"/>
      <c r="IK19" s="193"/>
      <c r="IL19" s="35"/>
      <c r="IN19" s="51" t="s">
        <v>53</v>
      </c>
      <c r="IO19" s="51">
        <f>VLOOKUP(SUM(HF16:HF19),'tab aparelhos'!$T$4:$U$35,2)</f>
        <v>0</v>
      </c>
      <c r="IP19" s="51"/>
      <c r="IQ19" s="51"/>
      <c r="IR19" s="51"/>
    </row>
    <row r="20" spans="1:252" x14ac:dyDescent="0.2">
      <c r="A20" s="27" t="s">
        <v>1619</v>
      </c>
      <c r="B20" s="83">
        <v>1</v>
      </c>
      <c r="C20" s="34">
        <f>IF($C$1="Vazio",0,RELAÇÃO_DE_CARGA!C21)</f>
        <v>0</v>
      </c>
      <c r="D20" s="34">
        <f>IF($C$1="Vazio",0,RELAÇÃO_DE_CARGA!D21)*C20</f>
        <v>0</v>
      </c>
      <c r="E20" s="83">
        <v>1</v>
      </c>
      <c r="F20" s="34">
        <f>IF($F$1="Vazio",0,RELAÇÃO_DE_CARGA!F21)</f>
        <v>0</v>
      </c>
      <c r="G20" s="34">
        <f>IF($F$1="Vazio",0,RELAÇÃO_DE_CARGA!G21)*F20</f>
        <v>0</v>
      </c>
      <c r="H20" s="83">
        <v>1</v>
      </c>
      <c r="I20" s="34">
        <f>IF(OR($I$1="Vazio",RELAÇÃO_DE_CARGA!$I$1&lt;3),0,RELAÇÃO_DE_CARGA!I21)</f>
        <v>0</v>
      </c>
      <c r="J20" s="34">
        <f>IF(OR($I$1="Vazio",RELAÇÃO_DE_CARGA!$I$1&lt;3),0,RELAÇÃO_DE_CARGA!J21)*I20</f>
        <v>0</v>
      </c>
      <c r="K20" s="83">
        <v>1</v>
      </c>
      <c r="L20" s="34">
        <f>IF(OR($L$1="Vazio",RELAÇÃO_DE_CARGA!$I$1&lt;4),0,RELAÇÃO_DE_CARGA!L21)</f>
        <v>0</v>
      </c>
      <c r="M20" s="34">
        <f>IF(OR($L$1="Vazio",RELAÇÃO_DE_CARGA!$I$1&lt;4),0,RELAÇÃO_DE_CARGA!M21)*L20</f>
        <v>0</v>
      </c>
      <c r="N20" s="83">
        <v>1</v>
      </c>
      <c r="O20" s="34">
        <f>IF(OR($O$1="Vazio",RELAÇÃO_DE_CARGA!$I$1&lt;5),0,RELAÇÃO_DE_CARGA!O21)</f>
        <v>0</v>
      </c>
      <c r="P20" s="34">
        <f>IF(OR($O$1="Vazio",RELAÇÃO_DE_CARGA!$I$1&lt;5),0,RELAÇÃO_DE_CARGA!P21)*O20</f>
        <v>0</v>
      </c>
      <c r="Q20" s="83">
        <v>1</v>
      </c>
      <c r="R20" s="34">
        <f>IF(OR($R$1="Vazio",RELAÇÃO_DE_CARGA!$I$1&lt;6),0,RELAÇÃO_DE_CARGA!R21)</f>
        <v>0</v>
      </c>
      <c r="S20" s="34">
        <f>IF(OR($R$1="Vazio",RELAÇÃO_DE_CARGA!$I$1&lt;6),0,RELAÇÃO_DE_CARGA!S21)*R20</f>
        <v>0</v>
      </c>
      <c r="T20" s="83">
        <v>1</v>
      </c>
      <c r="U20" s="34">
        <f>IF(OR($U$1="Vazio",RELAÇÃO_DE_CARGA!$I$1&lt;7),0,RELAÇÃO_DE_CARGA!U21)</f>
        <v>0</v>
      </c>
      <c r="V20" s="34">
        <f>IF(OR($U$1="Vazio",RELAÇÃO_DE_CARGA!$I$1&lt;7),0,RELAÇÃO_DE_CARGA!V21)*U20</f>
        <v>0</v>
      </c>
      <c r="W20" s="83">
        <v>1</v>
      </c>
      <c r="X20" s="34">
        <f>IF(OR($X$1="Vazio",RELAÇÃO_DE_CARGA!$I$1&lt;8),0,RELAÇÃO_DE_CARGA!X21)</f>
        <v>0</v>
      </c>
      <c r="Y20" s="34">
        <f>IF(OR($X$1="Vazio",RELAÇÃO_DE_CARGA!$I$1&lt;8),0,RELAÇÃO_DE_CARGA!Y21)*X20</f>
        <v>0</v>
      </c>
      <c r="Z20" s="83">
        <v>1</v>
      </c>
      <c r="AA20" s="34">
        <f>IF(OR($AA$1="Vazio",RELAÇÃO_DE_CARGA!$I$1&lt;9),0,RELAÇÃO_DE_CARGA!AA21)</f>
        <v>0</v>
      </c>
      <c r="AB20" s="34">
        <f>IF(OR($AA$1="Vazio",RELAÇÃO_DE_CARGA!$I$1&lt;9),0,RELAÇÃO_DE_CARGA!AB21)*AA20</f>
        <v>0</v>
      </c>
      <c r="AC20" s="83">
        <v>1</v>
      </c>
      <c r="AD20" s="34">
        <f>IF(OR($AD$1="Vazio",RELAÇÃO_DE_CARGA!$I$1&lt;10),0,RELAÇÃO_DE_CARGA!AD21)</f>
        <v>0</v>
      </c>
      <c r="AE20" s="34">
        <f>IF(OR($AD$1="Vazio",RELAÇÃO_DE_CARGA!$I$1&lt;10),0,RELAÇÃO_DE_CARGA!AE21)*AD20</f>
        <v>0</v>
      </c>
      <c r="AF20" s="83">
        <v>1</v>
      </c>
      <c r="AG20" s="34">
        <f>IF(OR($AG$1="Vazio",RELAÇÃO_DE_CARGA!$I$1&lt;11),0,RELAÇÃO_DE_CARGA!AG21)</f>
        <v>0</v>
      </c>
      <c r="AH20" s="34">
        <f>IF(OR($AG$1="Vazio",RELAÇÃO_DE_CARGA!$I$1&lt;11),0,RELAÇÃO_DE_CARGA!AH21)*AG20</f>
        <v>0</v>
      </c>
      <c r="AI20" s="83">
        <v>1</v>
      </c>
      <c r="AJ20" s="34">
        <f>IF(OR($AJ$1="Vazio",RELAÇÃO_DE_CARGA!$I$1&lt;12),0,RELAÇÃO_DE_CARGA!AJ21)</f>
        <v>0</v>
      </c>
      <c r="AK20" s="34">
        <f>IF(OR($AJ$1="Vazio",RELAÇÃO_DE_CARGA!$I$1&lt;12),0,RELAÇÃO_DE_CARGA!AK21)*AJ20</f>
        <v>0</v>
      </c>
      <c r="AL20" s="35"/>
      <c r="AM20" s="35"/>
      <c r="AN20" s="35"/>
      <c r="AO20" s="35"/>
      <c r="AP20" s="35"/>
      <c r="AQ20" s="27" t="s">
        <v>49</v>
      </c>
      <c r="AR20" s="70">
        <f t="shared" si="23"/>
        <v>0</v>
      </c>
      <c r="AS20" s="70">
        <f>D20*BR26</f>
        <v>0</v>
      </c>
      <c r="AT20" s="70">
        <f t="shared" si="25"/>
        <v>0</v>
      </c>
      <c r="AU20" s="70">
        <f>G20*BS26</f>
        <v>0</v>
      </c>
      <c r="AV20" s="70">
        <f t="shared" si="27"/>
        <v>0</v>
      </c>
      <c r="AW20" s="70">
        <f>J20*BT26</f>
        <v>0</v>
      </c>
      <c r="AX20" s="70">
        <f t="shared" si="29"/>
        <v>0</v>
      </c>
      <c r="AY20" s="70">
        <f>M20*BU26</f>
        <v>0</v>
      </c>
      <c r="AZ20" s="70">
        <f t="shared" si="31"/>
        <v>0</v>
      </c>
      <c r="BA20" s="70">
        <f>P20*BV26</f>
        <v>0</v>
      </c>
      <c r="BB20" s="70">
        <f t="shared" si="33"/>
        <v>0</v>
      </c>
      <c r="BC20" s="70">
        <f>S20*BW26</f>
        <v>0</v>
      </c>
      <c r="BD20" s="70">
        <f t="shared" si="35"/>
        <v>0</v>
      </c>
      <c r="BE20" s="70">
        <f>V20*BX26</f>
        <v>0</v>
      </c>
      <c r="BF20" s="70">
        <f t="shared" si="37"/>
        <v>0</v>
      </c>
      <c r="BG20" s="70">
        <f>Y20*BY26</f>
        <v>0</v>
      </c>
      <c r="BH20" s="70">
        <f t="shared" si="39"/>
        <v>0</v>
      </c>
      <c r="BI20" s="70">
        <f>AB20*BZ26</f>
        <v>0</v>
      </c>
      <c r="BJ20" s="70">
        <f t="shared" si="41"/>
        <v>0</v>
      </c>
      <c r="BK20" s="70">
        <f>AE20*CA26</f>
        <v>0</v>
      </c>
      <c r="BL20" s="70">
        <f t="shared" si="43"/>
        <v>0</v>
      </c>
      <c r="BM20" s="70">
        <f>AH20*CB26</f>
        <v>0</v>
      </c>
      <c r="BN20" s="70">
        <f t="shared" si="45"/>
        <v>0</v>
      </c>
      <c r="BO20" s="70">
        <f>AK20*CC26</f>
        <v>0</v>
      </c>
      <c r="BP20" s="51"/>
      <c r="BQ20" s="51" t="s">
        <v>42</v>
      </c>
      <c r="BR20" s="51">
        <f>IF($C$1="Clube e semelhantes",1,VLOOKUP(C13+C14+C15,'tab aparelhos'!$B$5:$C$35,2,TRUE))</f>
        <v>0</v>
      </c>
      <c r="BS20" s="51">
        <f>IF($F$1="Clube e semelhantes",1,VLOOKUP(F13+F14+F15,'tab aparelhos'!$B$5:$C$35,2,TRUE))</f>
        <v>0</v>
      </c>
      <c r="BT20" s="51">
        <f>IF($I$1="Clube e semelhantes",1,VLOOKUP(I13+I14+I15,'tab aparelhos'!$B$5:$C$35,2,TRUE))</f>
        <v>0</v>
      </c>
      <c r="BU20" s="51">
        <f>IF($L$1="Clube e semelhantes",1,VLOOKUP(L13+L14+L15,'tab aparelhos'!$B$5:$C$35,2,TRUE))</f>
        <v>0</v>
      </c>
      <c r="BV20" s="51">
        <f>IF($O$1="Clube e semelhantes",1,VLOOKUP(O13+O14+O15,'tab aparelhos'!$B$5:$C$35,2,TRUE))</f>
        <v>0</v>
      </c>
      <c r="BW20" s="51">
        <f>IF($R$1="Clube e semelhantes",1,VLOOKUP(R13+R14+R15,'tab aparelhos'!$B$5:$C$35,2,TRUE))</f>
        <v>0</v>
      </c>
      <c r="BX20" s="51">
        <f>IF($U$1="Clube e semelhantes",1,VLOOKUP(U13+U14+U15,'tab aparelhos'!$B$5:$C$35,2,TRUE))</f>
        <v>0</v>
      </c>
      <c r="BY20" s="51">
        <f>IF($X$1="Clube e semelhantes",1,VLOOKUP(X13+X14+X15,'tab aparelhos'!$B$5:$C$35,2,TRUE))</f>
        <v>0</v>
      </c>
      <c r="BZ20" s="51">
        <f>IF($AA$1="Clube e semelhantes",1,VLOOKUP(AA13+AA14+AA15,'tab aparelhos'!$B$5:$C$35,2,TRUE))</f>
        <v>0</v>
      </c>
      <c r="CA20" s="51">
        <f>IF($AD$1="Clube e semelhantes",1,VLOOKUP(AD13+AD14+AD15,'tab aparelhos'!$B$5:$C$35,2,TRUE))</f>
        <v>0</v>
      </c>
      <c r="CB20" s="51">
        <f>IF($AG$1="Clube e semelhantes",1,VLOOKUP(AG13+AG14+AG15,'tab aparelhos'!$B$5:$C$35,2,TRUE))</f>
        <v>0</v>
      </c>
      <c r="CC20" s="51">
        <f>IF($AJ$1="Clube e semelhantes",1,VLOOKUP(AJ13+AJ14+AJ15,'tab aparelhos'!$B$5:$C$35,2,TRUE))</f>
        <v>0</v>
      </c>
      <c r="CD20" s="128"/>
      <c r="CE20" s="128" t="s">
        <v>43</v>
      </c>
      <c r="CF20" s="51">
        <f>VLOOKUP(IF($C$1=$EV$1,$C$14+$C$15,0)+IF($I$1=$EV$1,$I$14+$I$15,0),'tab aparelhos'!$B$5:$C$35,2,TRUE)</f>
        <v>0</v>
      </c>
      <c r="CG20" s="51"/>
      <c r="CH20" s="51">
        <f>VLOOKUP(IF($F$1=$EV$1,$F$14+$F$15,0)+IF($L$1=$EV$1,$L$14+$L$15,0),'tab aparelhos'!$B$5:$C$35,2,TRUE)</f>
        <v>0</v>
      </c>
      <c r="CI20" s="51"/>
      <c r="CJ20" s="51"/>
      <c r="CK20" s="27" t="s">
        <v>54</v>
      </c>
      <c r="CL20" s="51">
        <f>VLOOKUP(CM20,'tab aparelhos'!$AF$4:$AG$35,2)</f>
        <v>0</v>
      </c>
      <c r="CM20" s="202">
        <f>SUM($C$25,$F$25)</f>
        <v>0</v>
      </c>
      <c r="CN20" s="202">
        <f>SUM($D$25,$G$25)</f>
        <v>0</v>
      </c>
      <c r="CO20" s="199">
        <f t="shared" si="9"/>
        <v>0</v>
      </c>
      <c r="CP20" s="193"/>
      <c r="CQ20" s="199">
        <f t="shared" si="19"/>
        <v>0</v>
      </c>
      <c r="CR20" s="193"/>
      <c r="CS20" s="193"/>
      <c r="CT20" s="193"/>
      <c r="CU20" s="193"/>
      <c r="CV20" s="193"/>
      <c r="CW20" s="193"/>
      <c r="CX20" s="193"/>
      <c r="CY20" s="193"/>
      <c r="CZ20" s="193"/>
      <c r="DA20" s="193"/>
      <c r="DB20" s="193"/>
      <c r="DC20" s="193"/>
      <c r="DD20" s="193"/>
      <c r="DE20" s="193"/>
      <c r="DF20" s="193"/>
      <c r="DG20" s="193"/>
      <c r="DH20" s="193"/>
      <c r="DI20" s="193"/>
      <c r="DJ20" s="193"/>
      <c r="DK20" s="199"/>
      <c r="DL20" s="199"/>
      <c r="DM20" s="199"/>
      <c r="DN20" s="193"/>
      <c r="DO20" s="193"/>
      <c r="DP20" s="193"/>
      <c r="DQ20" s="193"/>
      <c r="DR20" s="193"/>
      <c r="DS20" s="290"/>
      <c r="DT20" s="51"/>
      <c r="DV20" s="27" t="s">
        <v>54</v>
      </c>
      <c r="DW20" s="83"/>
      <c r="DX20" s="202">
        <f t="shared" si="22"/>
        <v>0</v>
      </c>
      <c r="DY20" s="202">
        <f t="shared" si="12"/>
        <v>0</v>
      </c>
      <c r="DZ20" s="199">
        <f t="shared" si="13"/>
        <v>0</v>
      </c>
      <c r="EA20" s="193"/>
      <c r="EB20" s="199">
        <f t="shared" si="14"/>
        <v>0</v>
      </c>
      <c r="EC20" s="193"/>
      <c r="ED20" s="193"/>
      <c r="EE20" s="193"/>
      <c r="EF20" s="193"/>
      <c r="EG20" s="193"/>
      <c r="EH20" s="193"/>
      <c r="EI20" s="193"/>
      <c r="EJ20" s="199">
        <f t="shared" si="20"/>
        <v>0</v>
      </c>
      <c r="EK20" s="199">
        <f t="shared" si="21"/>
        <v>0</v>
      </c>
      <c r="EL20" s="199">
        <f t="shared" si="15"/>
        <v>0</v>
      </c>
      <c r="EM20" s="193"/>
      <c r="EN20" s="193"/>
      <c r="EO20" s="193"/>
      <c r="EP20" s="193"/>
      <c r="EQ20" s="193"/>
      <c r="ER20" s="193"/>
      <c r="ES20" s="193"/>
      <c r="ET20" s="193"/>
      <c r="EU20" s="193"/>
      <c r="EV20" s="199"/>
      <c r="EW20" s="199"/>
      <c r="EX20" s="199"/>
      <c r="EY20" s="193"/>
      <c r="EZ20" s="193"/>
      <c r="FA20" s="193"/>
      <c r="FB20" s="193"/>
      <c r="FC20" s="193"/>
      <c r="FD20" s="35"/>
      <c r="FF20" s="51" t="s">
        <v>54</v>
      </c>
      <c r="FG20" s="51">
        <f>VLOOKUP(DX20+EJ20,'tab aparelhos'!$AF$4:$AG$35,2)</f>
        <v>0</v>
      </c>
      <c r="FH20" s="51"/>
      <c r="FI20" s="51"/>
      <c r="FJ20" s="51"/>
      <c r="FK20" s="51"/>
      <c r="FM20" s="27" t="s">
        <v>54</v>
      </c>
      <c r="FN20" s="83"/>
      <c r="FO20" s="202">
        <f>SUM($C$25,$F$25)</f>
        <v>0</v>
      </c>
      <c r="FP20" s="202">
        <f>SUM($D$25,$G$25)</f>
        <v>0</v>
      </c>
      <c r="FQ20" s="199">
        <f t="shared" si="10"/>
        <v>0</v>
      </c>
      <c r="FR20" s="193"/>
      <c r="FS20" s="199">
        <f t="shared" si="16"/>
        <v>0</v>
      </c>
      <c r="FT20" s="193"/>
      <c r="FU20" s="193"/>
      <c r="FV20" s="193"/>
      <c r="FW20" s="193"/>
      <c r="FX20" s="193"/>
      <c r="FY20" s="193"/>
      <c r="FZ20" s="193"/>
      <c r="GA20" s="193"/>
      <c r="GB20" s="193"/>
      <c r="GC20" s="193"/>
      <c r="GD20" s="193"/>
      <c r="GE20" s="193"/>
      <c r="GF20" s="193"/>
      <c r="GG20" s="193"/>
      <c r="GH20" s="193"/>
      <c r="GI20" s="193"/>
      <c r="GJ20" s="193"/>
      <c r="GK20" s="193"/>
      <c r="GL20" s="193"/>
      <c r="GM20" s="199"/>
      <c r="GN20" s="199"/>
      <c r="GO20" s="199"/>
      <c r="GP20" s="193"/>
      <c r="GQ20" s="193"/>
      <c r="GR20" s="193"/>
      <c r="GS20" s="193"/>
      <c r="GT20" s="193"/>
      <c r="GU20" s="35"/>
      <c r="GW20" s="51" t="s">
        <v>54</v>
      </c>
      <c r="GX20" s="51">
        <f>VLOOKUP(FO20,'tab aparelhos'!$AF$4:$AG$35,2)</f>
        <v>0</v>
      </c>
      <c r="GY20" s="51"/>
      <c r="GZ20" s="51"/>
      <c r="HA20" s="51"/>
      <c r="HB20" s="51"/>
      <c r="HD20" s="27" t="s">
        <v>54</v>
      </c>
      <c r="HE20" s="83"/>
      <c r="HF20" s="202">
        <f>SUM($I$25,$L$25)</f>
        <v>0</v>
      </c>
      <c r="HG20" s="202">
        <f>SUM($J$25,$M$25)</f>
        <v>0</v>
      </c>
      <c r="HH20" s="199">
        <f t="shared" si="17"/>
        <v>0</v>
      </c>
      <c r="HI20" s="193"/>
      <c r="HJ20" s="199">
        <f t="shared" si="18"/>
        <v>0</v>
      </c>
      <c r="HK20" s="193"/>
      <c r="HL20" s="193"/>
      <c r="HM20" s="193"/>
      <c r="HN20" s="193"/>
      <c r="HO20" s="193"/>
      <c r="HP20" s="193"/>
      <c r="HQ20" s="193"/>
      <c r="HR20" s="193"/>
      <c r="HS20" s="193"/>
      <c r="HT20" s="193"/>
      <c r="HU20" s="193"/>
      <c r="HV20" s="193"/>
      <c r="HW20" s="193"/>
      <c r="HX20" s="193"/>
      <c r="HY20" s="193"/>
      <c r="HZ20" s="193"/>
      <c r="IA20" s="193"/>
      <c r="IB20" s="193"/>
      <c r="IC20" s="193"/>
      <c r="ID20" s="199"/>
      <c r="IE20" s="199"/>
      <c r="IF20" s="199"/>
      <c r="IG20" s="193"/>
      <c r="IH20" s="193"/>
      <c r="II20" s="193"/>
      <c r="IJ20" s="193"/>
      <c r="IK20" s="193"/>
      <c r="IL20" s="35"/>
      <c r="IN20" s="51" t="s">
        <v>54</v>
      </c>
      <c r="IO20" s="51">
        <f>VLOOKUP(HF20,'tab aparelhos'!$AF$4:$AG$35,2)</f>
        <v>0</v>
      </c>
      <c r="IP20" s="51"/>
      <c r="IQ20" s="51"/>
      <c r="IR20" s="51"/>
    </row>
    <row r="21" spans="1:252" x14ac:dyDescent="0.2">
      <c r="A21" s="27" t="s">
        <v>50</v>
      </c>
      <c r="B21" s="83">
        <v>1</v>
      </c>
      <c r="C21" s="34">
        <f>IF($C$1="Vazio",0,RELAÇÃO_DE_CARGA!C22)</f>
        <v>0</v>
      </c>
      <c r="D21" s="34">
        <f>IF($C$1="Vazio",0,RELAÇÃO_DE_CARGA!D22)*C21</f>
        <v>0</v>
      </c>
      <c r="E21" s="83">
        <v>1</v>
      </c>
      <c r="F21" s="34">
        <f>IF($F$1="Vazio",0,RELAÇÃO_DE_CARGA!F22)</f>
        <v>0</v>
      </c>
      <c r="G21" s="34">
        <f>IF($F$1="Vazio",0,RELAÇÃO_DE_CARGA!G22)*F21</f>
        <v>0</v>
      </c>
      <c r="H21" s="83">
        <v>1</v>
      </c>
      <c r="I21" s="34">
        <f>IF(OR($I$1="Vazio",RELAÇÃO_DE_CARGA!$I$1&lt;3),0,RELAÇÃO_DE_CARGA!I22)</f>
        <v>0</v>
      </c>
      <c r="J21" s="34">
        <f>IF(OR($I$1="Vazio",RELAÇÃO_DE_CARGA!$I$1&lt;3),0,RELAÇÃO_DE_CARGA!J22)*I21</f>
        <v>0</v>
      </c>
      <c r="K21" s="83">
        <v>1</v>
      </c>
      <c r="L21" s="34">
        <f>IF(OR($L$1="Vazio",RELAÇÃO_DE_CARGA!$I$1&lt;4),0,RELAÇÃO_DE_CARGA!L22)</f>
        <v>0</v>
      </c>
      <c r="M21" s="34">
        <f>IF(OR($L$1="Vazio",RELAÇÃO_DE_CARGA!$I$1&lt;4),0,RELAÇÃO_DE_CARGA!M22)*L21</f>
        <v>0</v>
      </c>
      <c r="N21" s="83">
        <v>1</v>
      </c>
      <c r="O21" s="34">
        <f>IF(OR($O$1="Vazio",RELAÇÃO_DE_CARGA!$I$1&lt;5),0,RELAÇÃO_DE_CARGA!O22)</f>
        <v>0</v>
      </c>
      <c r="P21" s="34">
        <f>IF(OR($O$1="Vazio",RELAÇÃO_DE_CARGA!$I$1&lt;5),0,RELAÇÃO_DE_CARGA!P22)*O21</f>
        <v>0</v>
      </c>
      <c r="Q21" s="83">
        <v>1</v>
      </c>
      <c r="R21" s="34">
        <f>IF(OR($R$1="Vazio",RELAÇÃO_DE_CARGA!$I$1&lt;6),0,RELAÇÃO_DE_CARGA!R22)</f>
        <v>0</v>
      </c>
      <c r="S21" s="34">
        <f>IF(OR($R$1="Vazio",RELAÇÃO_DE_CARGA!$I$1&lt;6),0,RELAÇÃO_DE_CARGA!S22)*R21</f>
        <v>0</v>
      </c>
      <c r="T21" s="83">
        <v>1</v>
      </c>
      <c r="U21" s="34">
        <f>IF(OR($U$1="Vazio",RELAÇÃO_DE_CARGA!$I$1&lt;7),0,RELAÇÃO_DE_CARGA!U22)</f>
        <v>0</v>
      </c>
      <c r="V21" s="34">
        <f>IF(OR($U$1="Vazio",RELAÇÃO_DE_CARGA!$I$1&lt;7),0,RELAÇÃO_DE_CARGA!V22)*U21</f>
        <v>0</v>
      </c>
      <c r="W21" s="83">
        <v>1</v>
      </c>
      <c r="X21" s="34">
        <f>IF(OR($X$1="Vazio",RELAÇÃO_DE_CARGA!$I$1&lt;8),0,RELAÇÃO_DE_CARGA!X22)</f>
        <v>0</v>
      </c>
      <c r="Y21" s="34">
        <f>IF(OR($X$1="Vazio",RELAÇÃO_DE_CARGA!$I$1&lt;8),0,RELAÇÃO_DE_CARGA!Y22)*X21</f>
        <v>0</v>
      </c>
      <c r="Z21" s="83">
        <v>1</v>
      </c>
      <c r="AA21" s="34">
        <f>IF(OR($AA$1="Vazio",RELAÇÃO_DE_CARGA!$I$1&lt;9),0,RELAÇÃO_DE_CARGA!AA22)</f>
        <v>0</v>
      </c>
      <c r="AB21" s="34">
        <f>IF(OR($AA$1="Vazio",RELAÇÃO_DE_CARGA!$I$1&lt;9),0,RELAÇÃO_DE_CARGA!AB22)*AA21</f>
        <v>0</v>
      </c>
      <c r="AC21" s="83">
        <v>1</v>
      </c>
      <c r="AD21" s="34">
        <f>IF(OR($AD$1="Vazio",RELAÇÃO_DE_CARGA!$I$1&lt;10),0,RELAÇÃO_DE_CARGA!AD22)</f>
        <v>0</v>
      </c>
      <c r="AE21" s="34">
        <f>IF(OR($AD$1="Vazio",RELAÇÃO_DE_CARGA!$I$1&lt;10),0,RELAÇÃO_DE_CARGA!AE22)*AD21</f>
        <v>0</v>
      </c>
      <c r="AF21" s="83">
        <v>1</v>
      </c>
      <c r="AG21" s="34">
        <f>IF(OR($AG$1="Vazio",RELAÇÃO_DE_CARGA!$I$1&lt;11),0,RELAÇÃO_DE_CARGA!AG22)</f>
        <v>0</v>
      </c>
      <c r="AH21" s="34">
        <f>IF(OR($AG$1="Vazio",RELAÇÃO_DE_CARGA!$I$1&lt;11),0,RELAÇÃO_DE_CARGA!AH22)*AG21</f>
        <v>0</v>
      </c>
      <c r="AI21" s="83">
        <v>1</v>
      </c>
      <c r="AJ21" s="34">
        <f>IF(OR($AJ$1="Vazio",RELAÇÃO_DE_CARGA!$I$1&lt;12),0,RELAÇÃO_DE_CARGA!AJ22)</f>
        <v>0</v>
      </c>
      <c r="AK21" s="34">
        <f>IF(OR($AJ$1="Vazio",RELAÇÃO_DE_CARGA!$I$1&lt;12),0,RELAÇÃO_DE_CARGA!AK22)*AJ21</f>
        <v>0</v>
      </c>
      <c r="AL21" s="35"/>
      <c r="AM21" s="35"/>
      <c r="AN21" s="35"/>
      <c r="AO21" s="35"/>
      <c r="AP21" s="35"/>
      <c r="AQ21" s="27" t="s">
        <v>50</v>
      </c>
      <c r="AR21" s="70">
        <f t="shared" si="23"/>
        <v>0</v>
      </c>
      <c r="AS21" s="70">
        <f t="shared" si="24"/>
        <v>0</v>
      </c>
      <c r="AT21" s="70">
        <f t="shared" si="25"/>
        <v>0</v>
      </c>
      <c r="AU21" s="70">
        <f t="shared" si="26"/>
        <v>0</v>
      </c>
      <c r="AV21" s="70">
        <f t="shared" si="27"/>
        <v>0</v>
      </c>
      <c r="AW21" s="70">
        <f t="shared" si="28"/>
        <v>0</v>
      </c>
      <c r="AX21" s="70">
        <f t="shared" si="29"/>
        <v>0</v>
      </c>
      <c r="AY21" s="70">
        <f t="shared" si="30"/>
        <v>0</v>
      </c>
      <c r="AZ21" s="70">
        <f t="shared" si="31"/>
        <v>0</v>
      </c>
      <c r="BA21" s="70">
        <f t="shared" si="32"/>
        <v>0</v>
      </c>
      <c r="BB21" s="70">
        <f t="shared" si="33"/>
        <v>0</v>
      </c>
      <c r="BC21" s="70">
        <f t="shared" si="34"/>
        <v>0</v>
      </c>
      <c r="BD21" s="70">
        <f t="shared" si="35"/>
        <v>0</v>
      </c>
      <c r="BE21" s="70">
        <f t="shared" si="36"/>
        <v>0</v>
      </c>
      <c r="BF21" s="70">
        <f t="shared" si="37"/>
        <v>0</v>
      </c>
      <c r="BG21" s="70">
        <f t="shared" si="38"/>
        <v>0</v>
      </c>
      <c r="BH21" s="70">
        <f t="shared" si="39"/>
        <v>0</v>
      </c>
      <c r="BI21" s="70">
        <f t="shared" si="40"/>
        <v>0</v>
      </c>
      <c r="BJ21" s="70">
        <f t="shared" si="41"/>
        <v>0</v>
      </c>
      <c r="BK21" s="70">
        <f t="shared" si="42"/>
        <v>0</v>
      </c>
      <c r="BL21" s="70">
        <f t="shared" si="43"/>
        <v>0</v>
      </c>
      <c r="BM21" s="70">
        <f t="shared" si="44"/>
        <v>0</v>
      </c>
      <c r="BN21" s="70">
        <f t="shared" si="45"/>
        <v>0</v>
      </c>
      <c r="BO21" s="70">
        <f t="shared" si="46"/>
        <v>0</v>
      </c>
      <c r="BP21" s="51"/>
      <c r="BQ21" s="51" t="s">
        <v>1545</v>
      </c>
      <c r="BR21" s="51">
        <f>IF($C$1="Clube e semelhantes",VLOOKUP(C14+C15,'tab aparelhos'!$B$5:$C$35,2,TRUE),VLOOKUP(C13+C14+C15,'tab aparelhos'!$B$5:$C$35,2,TRUE))</f>
        <v>0</v>
      </c>
      <c r="BS21" s="51">
        <f>IF($F$1="Clube e semelhantes",VLOOKUP(F14+F15,'tab aparelhos'!$B$5:$C$35,2,TRUE),VLOOKUP(F13+F14+F15,'tab aparelhos'!$B$5:$C$35,2,TRUE))</f>
        <v>0</v>
      </c>
      <c r="BT21" s="51">
        <f>IF($I$1="Clube e semelhantes",VLOOKUP(I14+I15,'tab aparelhos'!$B$5:$C$35,2,TRUE),VLOOKUP(I13+I14+I15,'tab aparelhos'!$B$5:$C$35,2,TRUE))</f>
        <v>0</v>
      </c>
      <c r="BU21" s="51">
        <f>IF($L$1="Clube e semelhantes",VLOOKUP(L14+L15,'tab aparelhos'!$B$5:$C$35,2,TRUE),VLOOKUP(L13+L14+L15,'tab aparelhos'!$B$5:$C$35,2,TRUE))</f>
        <v>0</v>
      </c>
      <c r="BV21" s="51">
        <f>IF($O$1="Clube e semelhantes",VLOOKUP(O14+O15,'tab aparelhos'!$B$5:$C$35,2,TRUE),VLOOKUP(O13+O14+O15,'tab aparelhos'!$B$5:$C$35,2,TRUE))</f>
        <v>0</v>
      </c>
      <c r="BW21" s="51">
        <f>IF($R$1="Clube e semelhantes",VLOOKUP(R14+R15,'tab aparelhos'!$B$5:$C$35,2,TRUE),VLOOKUP(R13+R14+R15,'tab aparelhos'!$B$5:$C$35,2,TRUE))</f>
        <v>0</v>
      </c>
      <c r="BX21" s="51">
        <f>IF($U$1="Clube e semelhantes",VLOOKUP(U14+U15,'tab aparelhos'!$B$5:$C$35,2,TRUE),VLOOKUP(U13+U14+U15,'tab aparelhos'!$B$5:$C$35,2,TRUE))</f>
        <v>0</v>
      </c>
      <c r="BY21" s="51">
        <f>IF($X$1="Clube e semelhantes",VLOOKUP(X14+X15,'tab aparelhos'!$B$5:$C$35,2,TRUE),VLOOKUP(X13+X14+X15,'tab aparelhos'!$B$5:$C$35,2,TRUE))</f>
        <v>0</v>
      </c>
      <c r="BZ21" s="51">
        <f>IF($AA$1="Clube e semelhantes",VLOOKUP(AA14+AA15,'tab aparelhos'!$B$5:$C$35,2,TRUE),VLOOKUP(AA13+AA14+AA15,'tab aparelhos'!$B$5:$C$35,2,TRUE))</f>
        <v>0</v>
      </c>
      <c r="CA21" s="51">
        <f>IF($AD$1="Clube e semelhantes",VLOOKUP(AD14+AD15,'tab aparelhos'!$B$5:$C$35,2,TRUE),VLOOKUP(AD13+AD14+AD15,'tab aparelhos'!$B$5:$C$35,2,TRUE))</f>
        <v>0</v>
      </c>
      <c r="CB21" s="51">
        <f>IF($AG$1="Clube e semelhantes",VLOOKUP(AG14+AG15,'tab aparelhos'!$B$5:$C$35,2,TRUE),VLOOKUP(AG13+AG14+AG15,'tab aparelhos'!$B$5:$C$35,2,TRUE))</f>
        <v>0</v>
      </c>
      <c r="CC21" s="51">
        <f>IF($AJ$1="Clube e semelhantes",VLOOKUP(AJ14+AJ15,'tab aparelhos'!$B$5:$C$35,2,TRUE),VLOOKUP(AJ13+AJ14+AJ15,'tab aparelhos'!$B$5:$C$35,2,TRUE))</f>
        <v>0</v>
      </c>
      <c r="CD21" s="128"/>
      <c r="CE21" s="128" t="s">
        <v>44</v>
      </c>
      <c r="CF21" s="51">
        <f>VLOOKUP(IF($C$1=$EV$1,$C$14+$C$15,0)+IF($I$1=$EV$1,$I$14+$I$15,0),'tab aparelhos'!$B$5:$C$35,2,TRUE)</f>
        <v>0</v>
      </c>
      <c r="CG21" s="51"/>
      <c r="CH21" s="51">
        <f>VLOOKUP(IF($F$1=$EV$1,$F$14+$F$15,0)+IF($L$1=$EV$1,$L$14+$L$15,0),'tab aparelhos'!$B$5:$C$35,2,TRUE)</f>
        <v>0</v>
      </c>
      <c r="CI21" s="51"/>
      <c r="CJ21" s="51"/>
      <c r="CK21" s="27" t="s">
        <v>55</v>
      </c>
      <c r="CL21" s="51">
        <v>1</v>
      </c>
      <c r="CM21" s="202">
        <f>SUM($C$26,$F$26)</f>
        <v>0</v>
      </c>
      <c r="CN21" s="202">
        <f>SUM($D$26,$G$26)</f>
        <v>0</v>
      </c>
      <c r="CO21" s="199">
        <f t="shared" si="9"/>
        <v>0</v>
      </c>
      <c r="CP21" s="193"/>
      <c r="CQ21" s="199">
        <f t="shared" si="19"/>
        <v>0</v>
      </c>
      <c r="CR21" s="193"/>
      <c r="CS21" s="193"/>
      <c r="CT21" s="193"/>
      <c r="CU21" s="193"/>
      <c r="CV21" s="193"/>
      <c r="CW21" s="193"/>
      <c r="CX21" s="193"/>
      <c r="CY21" s="193"/>
      <c r="CZ21" s="193"/>
      <c r="DA21" s="193"/>
      <c r="DB21" s="193"/>
      <c r="DC21" s="193"/>
      <c r="DD21" s="193"/>
      <c r="DE21" s="193"/>
      <c r="DF21" s="193"/>
      <c r="DG21" s="193"/>
      <c r="DH21" s="193"/>
      <c r="DI21" s="193"/>
      <c r="DJ21" s="193"/>
      <c r="DK21" s="199"/>
      <c r="DL21" s="199"/>
      <c r="DM21" s="199"/>
      <c r="DN21" s="193"/>
      <c r="DO21" s="193"/>
      <c r="DP21" s="193"/>
      <c r="DQ21" s="193"/>
      <c r="DR21" s="193"/>
      <c r="DS21" s="290"/>
      <c r="DT21" s="51"/>
      <c r="DV21" s="27" t="s">
        <v>55</v>
      </c>
      <c r="DW21" s="83"/>
      <c r="DX21" s="202">
        <f t="shared" si="22"/>
        <v>0</v>
      </c>
      <c r="DY21" s="202">
        <f t="shared" si="12"/>
        <v>0</v>
      </c>
      <c r="DZ21" s="199">
        <f t="shared" si="13"/>
        <v>0</v>
      </c>
      <c r="EA21" s="193"/>
      <c r="EB21" s="199">
        <f t="shared" si="14"/>
        <v>0</v>
      </c>
      <c r="EC21" s="193"/>
      <c r="ED21" s="193"/>
      <c r="EE21" s="193"/>
      <c r="EF21" s="193"/>
      <c r="EG21" s="193"/>
      <c r="EH21" s="193"/>
      <c r="EI21" s="193"/>
      <c r="EJ21" s="199">
        <f t="shared" si="20"/>
        <v>0</v>
      </c>
      <c r="EK21" s="199">
        <f t="shared" si="21"/>
        <v>0</v>
      </c>
      <c r="EL21" s="199">
        <f t="shared" si="15"/>
        <v>0</v>
      </c>
      <c r="EM21" s="193"/>
      <c r="EN21" s="193"/>
      <c r="EO21" s="193"/>
      <c r="EP21" s="193"/>
      <c r="EQ21" s="193"/>
      <c r="ER21" s="193"/>
      <c r="ES21" s="193"/>
      <c r="ET21" s="193"/>
      <c r="EU21" s="193"/>
      <c r="EV21" s="199"/>
      <c r="EW21" s="199"/>
      <c r="EX21" s="199"/>
      <c r="EY21" s="193"/>
      <c r="EZ21" s="193"/>
      <c r="FA21" s="193"/>
      <c r="FB21" s="193"/>
      <c r="FC21" s="193"/>
      <c r="FD21" s="35"/>
      <c r="FF21" s="51" t="s">
        <v>55</v>
      </c>
      <c r="FG21" s="51">
        <v>1</v>
      </c>
      <c r="FH21" s="51"/>
      <c r="FI21" s="51"/>
      <c r="FJ21" s="51"/>
      <c r="FK21" s="51"/>
      <c r="FM21" s="27" t="s">
        <v>55</v>
      </c>
      <c r="FN21" s="83"/>
      <c r="FO21" s="202">
        <f>SUM($C$26,$F$26)</f>
        <v>0</v>
      </c>
      <c r="FP21" s="202">
        <f>SUM($D$26,$G$26)</f>
        <v>0</v>
      </c>
      <c r="FQ21" s="199">
        <f t="shared" si="10"/>
        <v>0</v>
      </c>
      <c r="FR21" s="193"/>
      <c r="FS21" s="199">
        <f t="shared" si="16"/>
        <v>0</v>
      </c>
      <c r="FT21" s="193"/>
      <c r="FU21" s="193"/>
      <c r="FV21" s="193"/>
      <c r="FW21" s="193"/>
      <c r="FX21" s="193"/>
      <c r="FY21" s="193"/>
      <c r="FZ21" s="193"/>
      <c r="GA21" s="193"/>
      <c r="GB21" s="193"/>
      <c r="GC21" s="193"/>
      <c r="GD21" s="193"/>
      <c r="GE21" s="193"/>
      <c r="GF21" s="193"/>
      <c r="GG21" s="193"/>
      <c r="GH21" s="193"/>
      <c r="GI21" s="193"/>
      <c r="GJ21" s="193"/>
      <c r="GK21" s="193"/>
      <c r="GL21" s="193"/>
      <c r="GM21" s="199"/>
      <c r="GN21" s="199"/>
      <c r="GO21" s="199"/>
      <c r="GP21" s="193"/>
      <c r="GQ21" s="193"/>
      <c r="GR21" s="193"/>
      <c r="GS21" s="193"/>
      <c r="GT21" s="193"/>
      <c r="GU21" s="35"/>
      <c r="GW21" s="51" t="s">
        <v>55</v>
      </c>
      <c r="GX21" s="51">
        <v>1</v>
      </c>
      <c r="GY21" s="51"/>
      <c r="GZ21" s="51"/>
      <c r="HA21" s="51"/>
      <c r="HB21" s="51"/>
      <c r="HD21" s="27" t="s">
        <v>55</v>
      </c>
      <c r="HE21" s="83"/>
      <c r="HF21" s="202">
        <f>SUM($I$26,$L$26)</f>
        <v>0</v>
      </c>
      <c r="HG21" s="202">
        <f>SUM($J$26,$M$26)</f>
        <v>0</v>
      </c>
      <c r="HH21" s="199">
        <f t="shared" si="17"/>
        <v>0</v>
      </c>
      <c r="HI21" s="193"/>
      <c r="HJ21" s="199">
        <f t="shared" si="18"/>
        <v>0</v>
      </c>
      <c r="HK21" s="193"/>
      <c r="HL21" s="193"/>
      <c r="HM21" s="193"/>
      <c r="HN21" s="193"/>
      <c r="HO21" s="193"/>
      <c r="HP21" s="193"/>
      <c r="HQ21" s="193"/>
      <c r="HR21" s="193"/>
      <c r="HS21" s="193"/>
      <c r="HT21" s="193"/>
      <c r="HU21" s="193"/>
      <c r="HV21" s="193"/>
      <c r="HW21" s="193"/>
      <c r="HX21" s="193"/>
      <c r="HY21" s="193"/>
      <c r="HZ21" s="193"/>
      <c r="IA21" s="193"/>
      <c r="IB21" s="193"/>
      <c r="IC21" s="193"/>
      <c r="ID21" s="199"/>
      <c r="IE21" s="199"/>
      <c r="IF21" s="199"/>
      <c r="IG21" s="193"/>
      <c r="IH21" s="193"/>
      <c r="II21" s="193"/>
      <c r="IJ21" s="193"/>
      <c r="IK21" s="193"/>
      <c r="IL21" s="35"/>
      <c r="IN21" s="51" t="s">
        <v>55</v>
      </c>
      <c r="IO21" s="51">
        <v>1</v>
      </c>
      <c r="IP21" s="51"/>
      <c r="IQ21" s="51"/>
      <c r="IR21" s="51"/>
    </row>
    <row r="22" spans="1:252" x14ac:dyDescent="0.2">
      <c r="A22" s="27" t="s">
        <v>51</v>
      </c>
      <c r="B22" s="83">
        <v>1</v>
      </c>
      <c r="C22" s="34">
        <f>IF($C$1="Vazio",0,RELAÇÃO_DE_CARGA!C23)</f>
        <v>0</v>
      </c>
      <c r="D22" s="34">
        <f>IF($C$1="Vazio",0,RELAÇÃO_DE_CARGA!D23)*C22</f>
        <v>0</v>
      </c>
      <c r="E22" s="83">
        <v>1</v>
      </c>
      <c r="F22" s="34">
        <f>IF($F$1="Vazio",0,RELAÇÃO_DE_CARGA!F23)</f>
        <v>0</v>
      </c>
      <c r="G22" s="34">
        <f>IF($F$1="Vazio",0,RELAÇÃO_DE_CARGA!G23)*F22</f>
        <v>0</v>
      </c>
      <c r="H22" s="83">
        <v>1</v>
      </c>
      <c r="I22" s="34">
        <f>IF(OR($I$1="Vazio",RELAÇÃO_DE_CARGA!$I$1&lt;3),0,RELAÇÃO_DE_CARGA!I23)</f>
        <v>0</v>
      </c>
      <c r="J22" s="34">
        <f>IF(OR($I$1="Vazio",RELAÇÃO_DE_CARGA!$I$1&lt;3),0,RELAÇÃO_DE_CARGA!J23)*I22</f>
        <v>0</v>
      </c>
      <c r="K22" s="83">
        <v>1</v>
      </c>
      <c r="L22" s="34">
        <f>IF(OR($L$1="Vazio",RELAÇÃO_DE_CARGA!$I$1&lt;4),0,RELAÇÃO_DE_CARGA!L23)</f>
        <v>0</v>
      </c>
      <c r="M22" s="34">
        <f>IF(OR($L$1="Vazio",RELAÇÃO_DE_CARGA!$I$1&lt;4),0,RELAÇÃO_DE_CARGA!M23)*L22</f>
        <v>0</v>
      </c>
      <c r="N22" s="83">
        <v>1</v>
      </c>
      <c r="O22" s="34">
        <f>IF(OR($O$1="Vazio",RELAÇÃO_DE_CARGA!$I$1&lt;5),0,RELAÇÃO_DE_CARGA!O23)</f>
        <v>0</v>
      </c>
      <c r="P22" s="34">
        <f>IF(OR($O$1="Vazio",RELAÇÃO_DE_CARGA!$I$1&lt;5),0,RELAÇÃO_DE_CARGA!P23)*O22</f>
        <v>0</v>
      </c>
      <c r="Q22" s="83">
        <v>1</v>
      </c>
      <c r="R22" s="34">
        <f>IF(OR($R$1="Vazio",RELAÇÃO_DE_CARGA!$I$1&lt;6),0,RELAÇÃO_DE_CARGA!R23)</f>
        <v>0</v>
      </c>
      <c r="S22" s="34">
        <f>IF(OR($R$1="Vazio",RELAÇÃO_DE_CARGA!$I$1&lt;6),0,RELAÇÃO_DE_CARGA!S23)*R22</f>
        <v>0</v>
      </c>
      <c r="T22" s="83">
        <v>1</v>
      </c>
      <c r="U22" s="34">
        <f>IF(OR($U$1="Vazio",RELAÇÃO_DE_CARGA!$I$1&lt;7),0,RELAÇÃO_DE_CARGA!U23)</f>
        <v>0</v>
      </c>
      <c r="V22" s="34">
        <f>IF(OR($U$1="Vazio",RELAÇÃO_DE_CARGA!$I$1&lt;7),0,RELAÇÃO_DE_CARGA!V23)*U22</f>
        <v>0</v>
      </c>
      <c r="W22" s="83">
        <v>1</v>
      </c>
      <c r="X22" s="34">
        <f>IF(OR($X$1="Vazio",RELAÇÃO_DE_CARGA!$I$1&lt;8),0,RELAÇÃO_DE_CARGA!X23)</f>
        <v>0</v>
      </c>
      <c r="Y22" s="34">
        <f>IF(OR($X$1="Vazio",RELAÇÃO_DE_CARGA!$I$1&lt;8),0,RELAÇÃO_DE_CARGA!Y23)*X22</f>
        <v>0</v>
      </c>
      <c r="Z22" s="83">
        <v>1</v>
      </c>
      <c r="AA22" s="34">
        <f>IF(OR($AA$1="Vazio",RELAÇÃO_DE_CARGA!$I$1&lt;9),0,RELAÇÃO_DE_CARGA!AA23)</f>
        <v>0</v>
      </c>
      <c r="AB22" s="34">
        <f>IF(OR($AA$1="Vazio",RELAÇÃO_DE_CARGA!$I$1&lt;9),0,RELAÇÃO_DE_CARGA!AB23)*AA22</f>
        <v>0</v>
      </c>
      <c r="AC22" s="83">
        <v>1</v>
      </c>
      <c r="AD22" s="34">
        <f>IF(OR($AD$1="Vazio",RELAÇÃO_DE_CARGA!$I$1&lt;10),0,RELAÇÃO_DE_CARGA!AD23)</f>
        <v>0</v>
      </c>
      <c r="AE22" s="34">
        <f>IF(OR($AD$1="Vazio",RELAÇÃO_DE_CARGA!$I$1&lt;10),0,RELAÇÃO_DE_CARGA!AE23)*AD22</f>
        <v>0</v>
      </c>
      <c r="AF22" s="83">
        <v>1</v>
      </c>
      <c r="AG22" s="34">
        <f>IF(OR($AG$1="Vazio",RELAÇÃO_DE_CARGA!$I$1&lt;11),0,RELAÇÃO_DE_CARGA!AG23)</f>
        <v>0</v>
      </c>
      <c r="AH22" s="34">
        <f>IF(OR($AG$1="Vazio",RELAÇÃO_DE_CARGA!$I$1&lt;11),0,RELAÇÃO_DE_CARGA!AH23)*AG22</f>
        <v>0</v>
      </c>
      <c r="AI22" s="83">
        <v>1</v>
      </c>
      <c r="AJ22" s="34">
        <f>IF(OR($AJ$1="Vazio",RELAÇÃO_DE_CARGA!$I$1&lt;12),0,RELAÇÃO_DE_CARGA!AJ23)</f>
        <v>0</v>
      </c>
      <c r="AK22" s="34">
        <f>IF(OR($AJ$1="Vazio",RELAÇÃO_DE_CARGA!$I$1&lt;12),0,RELAÇÃO_DE_CARGA!AK23)*AJ22</f>
        <v>0</v>
      </c>
      <c r="AL22" s="35"/>
      <c r="AM22" s="35"/>
      <c r="AN22" s="35"/>
      <c r="AO22" s="35"/>
      <c r="AP22" s="35"/>
      <c r="AQ22" s="27" t="s">
        <v>51</v>
      </c>
      <c r="AR22" s="70">
        <f t="shared" si="23"/>
        <v>0</v>
      </c>
      <c r="AS22" s="70">
        <f t="shared" si="24"/>
        <v>0</v>
      </c>
      <c r="AT22" s="70">
        <f t="shared" si="25"/>
        <v>0</v>
      </c>
      <c r="AU22" s="70">
        <f t="shared" si="26"/>
        <v>0</v>
      </c>
      <c r="AV22" s="70">
        <f t="shared" si="27"/>
        <v>0</v>
      </c>
      <c r="AW22" s="70">
        <f t="shared" si="28"/>
        <v>0</v>
      </c>
      <c r="AX22" s="70">
        <f t="shared" si="29"/>
        <v>0</v>
      </c>
      <c r="AY22" s="70">
        <f t="shared" si="30"/>
        <v>0</v>
      </c>
      <c r="AZ22" s="70">
        <f t="shared" si="31"/>
        <v>0</v>
      </c>
      <c r="BA22" s="70">
        <f t="shared" si="32"/>
        <v>0</v>
      </c>
      <c r="BB22" s="70">
        <f t="shared" si="33"/>
        <v>0</v>
      </c>
      <c r="BC22" s="70">
        <f t="shared" si="34"/>
        <v>0</v>
      </c>
      <c r="BD22" s="70">
        <f t="shared" si="35"/>
        <v>0</v>
      </c>
      <c r="BE22" s="70">
        <f t="shared" si="36"/>
        <v>0</v>
      </c>
      <c r="BF22" s="70">
        <f t="shared" si="37"/>
        <v>0</v>
      </c>
      <c r="BG22" s="70">
        <f t="shared" si="38"/>
        <v>0</v>
      </c>
      <c r="BH22" s="70">
        <f t="shared" si="39"/>
        <v>0</v>
      </c>
      <c r="BI22" s="70">
        <f t="shared" si="40"/>
        <v>0</v>
      </c>
      <c r="BJ22" s="70">
        <f t="shared" si="41"/>
        <v>0</v>
      </c>
      <c r="BK22" s="70">
        <f t="shared" si="42"/>
        <v>0</v>
      </c>
      <c r="BL22" s="70">
        <f t="shared" si="43"/>
        <v>0</v>
      </c>
      <c r="BM22" s="70">
        <f t="shared" si="44"/>
        <v>0</v>
      </c>
      <c r="BN22" s="70">
        <f t="shared" si="45"/>
        <v>0</v>
      </c>
      <c r="BO22" s="70">
        <f t="shared" si="46"/>
        <v>0</v>
      </c>
      <c r="BP22" s="51"/>
      <c r="BQ22" s="51"/>
      <c r="BR22" s="51"/>
      <c r="BS22" s="51"/>
      <c r="BT22" s="51"/>
      <c r="BU22" s="51"/>
      <c r="BV22" s="51"/>
      <c r="BW22" s="51"/>
      <c r="BX22" s="51"/>
      <c r="BY22" s="51"/>
      <c r="BZ22" s="51"/>
      <c r="CA22" s="51"/>
      <c r="CB22" s="51"/>
      <c r="CC22" s="51"/>
      <c r="CD22" s="128"/>
      <c r="CE22" s="128" t="s">
        <v>45</v>
      </c>
      <c r="CF22" s="51">
        <f>VLOOKUP($C$16+$I$16+$C$17+$I$17,'tab aparelhos'!$E$5:$F$35,2,TRUE)</f>
        <v>0</v>
      </c>
      <c r="CG22" s="51"/>
      <c r="CH22" s="51">
        <f>VLOOKUP($F$16+$L$16+$F$17+$L$17,'tab aparelhos'!$E$5:$F$35,2,TRUE)</f>
        <v>0</v>
      </c>
      <c r="CI22" s="51"/>
      <c r="CJ22" s="51"/>
      <c r="CK22" s="27" t="s">
        <v>56</v>
      </c>
      <c r="CL22" s="51">
        <f>VLOOKUP(CM22,'tab ar'!$A$1:$D$9,3,TRUE)</f>
        <v>1</v>
      </c>
      <c r="CM22" s="202">
        <f>SUM($C$27,$F$27)</f>
        <v>0</v>
      </c>
      <c r="CN22" s="202">
        <f>SUM($D$27,$G$27)</f>
        <v>0</v>
      </c>
      <c r="CO22" s="199">
        <f t="shared" si="9"/>
        <v>0</v>
      </c>
      <c r="CP22" s="193"/>
      <c r="CQ22" s="199">
        <f t="shared" si="19"/>
        <v>0</v>
      </c>
      <c r="CR22" s="193"/>
      <c r="CS22" s="193"/>
      <c r="CT22" s="193"/>
      <c r="CU22" s="193"/>
      <c r="CV22" s="193"/>
      <c r="CW22" s="193"/>
      <c r="CX22" s="193"/>
      <c r="CY22" s="193"/>
      <c r="CZ22" s="193"/>
      <c r="DA22" s="193"/>
      <c r="DB22" s="193"/>
      <c r="DC22" s="193"/>
      <c r="DD22" s="193"/>
      <c r="DE22" s="193"/>
      <c r="DF22" s="193"/>
      <c r="DG22" s="193"/>
      <c r="DH22" s="193"/>
      <c r="DI22" s="193"/>
      <c r="DJ22" s="193"/>
      <c r="DK22" s="199"/>
      <c r="DL22" s="199"/>
      <c r="DM22" s="199"/>
      <c r="DN22" s="193"/>
      <c r="DO22" s="193"/>
      <c r="DP22" s="193"/>
      <c r="DQ22" s="193"/>
      <c r="DR22" s="193"/>
      <c r="DS22" s="290"/>
      <c r="DT22" s="51"/>
      <c r="DV22" s="27" t="s">
        <v>56</v>
      </c>
      <c r="DW22" s="83"/>
      <c r="DX22" s="202">
        <f t="shared" si="22"/>
        <v>0</v>
      </c>
      <c r="DY22" s="202">
        <f t="shared" si="12"/>
        <v>0</v>
      </c>
      <c r="DZ22" s="199">
        <f t="shared" si="13"/>
        <v>0</v>
      </c>
      <c r="EA22" s="193"/>
      <c r="EB22" s="199">
        <f t="shared" si="14"/>
        <v>0</v>
      </c>
      <c r="EC22" s="193"/>
      <c r="ED22" s="193"/>
      <c r="EE22" s="193"/>
      <c r="EF22" s="193"/>
      <c r="EG22" s="193"/>
      <c r="EH22" s="193"/>
      <c r="EI22" s="193"/>
      <c r="EJ22" s="199">
        <f t="shared" si="20"/>
        <v>0</v>
      </c>
      <c r="EK22" s="199">
        <f t="shared" si="21"/>
        <v>0</v>
      </c>
      <c r="EL22" s="199">
        <f t="shared" si="15"/>
        <v>0</v>
      </c>
      <c r="EM22" s="193"/>
      <c r="EN22" s="193"/>
      <c r="EO22" s="193"/>
      <c r="EP22" s="193"/>
      <c r="EQ22" s="193"/>
      <c r="ER22" s="193"/>
      <c r="ES22" s="193"/>
      <c r="ET22" s="193"/>
      <c r="EU22" s="193"/>
      <c r="EV22" s="199"/>
      <c r="EW22" s="199"/>
      <c r="EX22" s="199"/>
      <c r="EY22" s="193"/>
      <c r="EZ22" s="193"/>
      <c r="FA22" s="193"/>
      <c r="FB22" s="193"/>
      <c r="FC22" s="193"/>
      <c r="FE22" s="51"/>
      <c r="FF22" s="51" t="s">
        <v>56</v>
      </c>
      <c r="FG22" s="51">
        <f>VLOOKUP(DX22+EJ22,'tab ar'!$A$1:$D$9,3,TRUE)</f>
        <v>1</v>
      </c>
      <c r="FH22" s="51"/>
      <c r="FI22" s="51"/>
      <c r="FJ22" s="51"/>
      <c r="FK22" s="51"/>
      <c r="FM22" s="27" t="s">
        <v>56</v>
      </c>
      <c r="FN22" s="83"/>
      <c r="FO22" s="202">
        <f>SUM($C$27,$F$27)</f>
        <v>0</v>
      </c>
      <c r="FP22" s="202">
        <f>SUM($D$27,$G$27)</f>
        <v>0</v>
      </c>
      <c r="FQ22" s="199">
        <f t="shared" si="10"/>
        <v>0</v>
      </c>
      <c r="FR22" s="193"/>
      <c r="FS22" s="199">
        <f t="shared" si="16"/>
        <v>0</v>
      </c>
      <c r="FT22" s="193"/>
      <c r="FU22" s="193"/>
      <c r="FV22" s="193"/>
      <c r="FW22" s="193"/>
      <c r="FX22" s="193"/>
      <c r="FY22" s="193"/>
      <c r="FZ22" s="193"/>
      <c r="GA22" s="193"/>
      <c r="GB22" s="193"/>
      <c r="GC22" s="193"/>
      <c r="GD22" s="193"/>
      <c r="GE22" s="193"/>
      <c r="GF22" s="193"/>
      <c r="GG22" s="193"/>
      <c r="GH22" s="193"/>
      <c r="GI22" s="193"/>
      <c r="GJ22" s="193"/>
      <c r="GK22" s="193"/>
      <c r="GL22" s="193"/>
      <c r="GM22" s="199"/>
      <c r="GN22" s="199"/>
      <c r="GO22" s="199"/>
      <c r="GP22" s="193"/>
      <c r="GQ22" s="193"/>
      <c r="GR22" s="193"/>
      <c r="GS22" s="193"/>
      <c r="GT22" s="193"/>
      <c r="GV22" s="51"/>
      <c r="GW22" s="51" t="s">
        <v>56</v>
      </c>
      <c r="GX22" s="51">
        <f>VLOOKUP(FO22,'tab ar'!$A$1:$D$9,3,TRUE)</f>
        <v>1</v>
      </c>
      <c r="GY22" s="51"/>
      <c r="GZ22" s="51"/>
      <c r="HA22" s="51"/>
      <c r="HB22" s="51"/>
      <c r="HD22" s="27" t="s">
        <v>56</v>
      </c>
      <c r="HE22" s="83"/>
      <c r="HF22" s="202">
        <f>SUM($I$27,$L$27)</f>
        <v>0</v>
      </c>
      <c r="HG22" s="202">
        <f>SUM($J$27,$M$27)</f>
        <v>0</v>
      </c>
      <c r="HH22" s="199">
        <f t="shared" si="17"/>
        <v>0</v>
      </c>
      <c r="HI22" s="193"/>
      <c r="HJ22" s="199">
        <f t="shared" si="18"/>
        <v>0</v>
      </c>
      <c r="HK22" s="193"/>
      <c r="HL22" s="193"/>
      <c r="HM22" s="193"/>
      <c r="HN22" s="193"/>
      <c r="HO22" s="193"/>
      <c r="HP22" s="193"/>
      <c r="HQ22" s="193"/>
      <c r="HR22" s="193"/>
      <c r="HS22" s="193"/>
      <c r="HT22" s="193"/>
      <c r="HU22" s="193"/>
      <c r="HV22" s="193"/>
      <c r="HW22" s="193"/>
      <c r="HX22" s="193"/>
      <c r="HY22" s="193"/>
      <c r="HZ22" s="193"/>
      <c r="IA22" s="193"/>
      <c r="IB22" s="193"/>
      <c r="IC22" s="193"/>
      <c r="ID22" s="199"/>
      <c r="IE22" s="199"/>
      <c r="IF22" s="199"/>
      <c r="IG22" s="193"/>
      <c r="IH22" s="193"/>
      <c r="II22" s="193"/>
      <c r="IJ22" s="193"/>
      <c r="IK22" s="193"/>
      <c r="IM22" s="51"/>
      <c r="IN22" s="51" t="s">
        <v>56</v>
      </c>
      <c r="IO22" s="51">
        <f>VLOOKUP(HF22,'tab ar'!$A$1:$D$9,3,TRUE)</f>
        <v>1</v>
      </c>
      <c r="IP22" s="51"/>
      <c r="IQ22" s="51"/>
      <c r="IR22" s="51"/>
    </row>
    <row r="23" spans="1:252" x14ac:dyDescent="0.2">
      <c r="A23" s="27" t="s">
        <v>197</v>
      </c>
      <c r="B23" s="83">
        <v>1</v>
      </c>
      <c r="C23" s="34">
        <f>IF($C$1="Vazio",0,RELAÇÃO_DE_CARGA!C24)</f>
        <v>0</v>
      </c>
      <c r="D23" s="34">
        <f>IF($C$1="Vazio",0,RELAÇÃO_DE_CARGA!D24)*C23</f>
        <v>0</v>
      </c>
      <c r="E23" s="83">
        <v>1</v>
      </c>
      <c r="F23" s="34">
        <f>IF($F$1="Vazio",0,RELAÇÃO_DE_CARGA!F24)</f>
        <v>0</v>
      </c>
      <c r="G23" s="34">
        <f>IF($F$1="Vazio",0,RELAÇÃO_DE_CARGA!G24)*F23</f>
        <v>0</v>
      </c>
      <c r="H23" s="83">
        <v>1</v>
      </c>
      <c r="I23" s="34">
        <f>IF(OR($I$1="Vazio",RELAÇÃO_DE_CARGA!$I$1&lt;3),0,RELAÇÃO_DE_CARGA!I24)</f>
        <v>0</v>
      </c>
      <c r="J23" s="34">
        <f>IF(OR($I$1="Vazio",RELAÇÃO_DE_CARGA!$I$1&lt;3),0,RELAÇÃO_DE_CARGA!J24)*I23</f>
        <v>0</v>
      </c>
      <c r="K23" s="83">
        <v>1</v>
      </c>
      <c r="L23" s="34">
        <f>IF(OR($L$1="Vazio",RELAÇÃO_DE_CARGA!$I$1&lt;4),0,RELAÇÃO_DE_CARGA!L24)</f>
        <v>0</v>
      </c>
      <c r="M23" s="34">
        <f>IF(OR($L$1="Vazio",RELAÇÃO_DE_CARGA!$I$1&lt;4),0,RELAÇÃO_DE_CARGA!M24)*L23</f>
        <v>0</v>
      </c>
      <c r="N23" s="83">
        <v>1</v>
      </c>
      <c r="O23" s="34">
        <f>IF(OR($O$1="Vazio",RELAÇÃO_DE_CARGA!$I$1&lt;5),0,RELAÇÃO_DE_CARGA!O24)</f>
        <v>0</v>
      </c>
      <c r="P23" s="34">
        <f>IF(OR($O$1="Vazio",RELAÇÃO_DE_CARGA!$I$1&lt;5),0,RELAÇÃO_DE_CARGA!P24)*O23</f>
        <v>0</v>
      </c>
      <c r="Q23" s="83">
        <v>1</v>
      </c>
      <c r="R23" s="34">
        <f>IF(OR($R$1="Vazio",RELAÇÃO_DE_CARGA!$I$1&lt;6),0,RELAÇÃO_DE_CARGA!R24)</f>
        <v>0</v>
      </c>
      <c r="S23" s="34">
        <f>IF(OR($R$1="Vazio",RELAÇÃO_DE_CARGA!$I$1&lt;6),0,RELAÇÃO_DE_CARGA!S24)*R23</f>
        <v>0</v>
      </c>
      <c r="T23" s="83">
        <v>1</v>
      </c>
      <c r="U23" s="34">
        <f>IF(OR($U$1="Vazio",RELAÇÃO_DE_CARGA!$I$1&lt;7),0,RELAÇÃO_DE_CARGA!U24)</f>
        <v>0</v>
      </c>
      <c r="V23" s="34">
        <f>IF(OR($U$1="Vazio",RELAÇÃO_DE_CARGA!$I$1&lt;7),0,RELAÇÃO_DE_CARGA!V24)*U23</f>
        <v>0</v>
      </c>
      <c r="W23" s="83">
        <v>1</v>
      </c>
      <c r="X23" s="34">
        <f>IF(OR($X$1="Vazio",RELAÇÃO_DE_CARGA!$I$1&lt;8),0,RELAÇÃO_DE_CARGA!X24)</f>
        <v>0</v>
      </c>
      <c r="Y23" s="34">
        <f>IF(OR($X$1="Vazio",RELAÇÃO_DE_CARGA!$I$1&lt;8),0,RELAÇÃO_DE_CARGA!Y24)*X23</f>
        <v>0</v>
      </c>
      <c r="Z23" s="83">
        <v>1</v>
      </c>
      <c r="AA23" s="34">
        <f>IF(OR($AA$1="Vazio",RELAÇÃO_DE_CARGA!$I$1&lt;9),0,RELAÇÃO_DE_CARGA!AA24)</f>
        <v>0</v>
      </c>
      <c r="AB23" s="34">
        <f>IF(OR($AA$1="Vazio",RELAÇÃO_DE_CARGA!$I$1&lt;9),0,RELAÇÃO_DE_CARGA!AB24)*AA23</f>
        <v>0</v>
      </c>
      <c r="AC23" s="83">
        <v>1</v>
      </c>
      <c r="AD23" s="34">
        <f>IF(OR($AD$1="Vazio",RELAÇÃO_DE_CARGA!$I$1&lt;10),0,RELAÇÃO_DE_CARGA!AD24)</f>
        <v>0</v>
      </c>
      <c r="AE23" s="34">
        <f>IF(OR($AD$1="Vazio",RELAÇÃO_DE_CARGA!$I$1&lt;10),0,RELAÇÃO_DE_CARGA!AE24)*AD23</f>
        <v>0</v>
      </c>
      <c r="AF23" s="83">
        <v>1</v>
      </c>
      <c r="AG23" s="34">
        <f>IF(OR($AG$1="Vazio",RELAÇÃO_DE_CARGA!$I$1&lt;11),0,RELAÇÃO_DE_CARGA!AG24)</f>
        <v>0</v>
      </c>
      <c r="AH23" s="34">
        <f>IF(OR($AG$1="Vazio",RELAÇÃO_DE_CARGA!$I$1&lt;11),0,RELAÇÃO_DE_CARGA!AH24)*AG23</f>
        <v>0</v>
      </c>
      <c r="AI23" s="83">
        <v>1</v>
      </c>
      <c r="AJ23" s="34">
        <f>IF(OR($AJ$1="Vazio",RELAÇÃO_DE_CARGA!$I$1&lt;12),0,RELAÇÃO_DE_CARGA!AJ24)</f>
        <v>0</v>
      </c>
      <c r="AK23" s="34">
        <f>IF(OR($AJ$1="Vazio",RELAÇÃO_DE_CARGA!$I$1&lt;12),0,RELAÇÃO_DE_CARGA!AK24)*AJ23</f>
        <v>0</v>
      </c>
      <c r="AL23" s="35"/>
      <c r="AM23" s="35"/>
      <c r="AN23" s="35"/>
      <c r="AO23" s="35"/>
      <c r="AP23" s="35"/>
      <c r="AQ23" s="27" t="s">
        <v>197</v>
      </c>
      <c r="AR23" s="70">
        <f t="shared" si="23"/>
        <v>0</v>
      </c>
      <c r="AS23" s="70">
        <f t="shared" si="24"/>
        <v>0</v>
      </c>
      <c r="AT23" s="70">
        <f t="shared" si="25"/>
        <v>0</v>
      </c>
      <c r="AU23" s="70">
        <f t="shared" si="26"/>
        <v>0</v>
      </c>
      <c r="AV23" s="70">
        <f t="shared" si="27"/>
        <v>0</v>
      </c>
      <c r="AW23" s="70">
        <f t="shared" si="28"/>
        <v>0</v>
      </c>
      <c r="AX23" s="70">
        <f t="shared" si="29"/>
        <v>0</v>
      </c>
      <c r="AY23" s="70">
        <f t="shared" si="30"/>
        <v>0</v>
      </c>
      <c r="AZ23" s="70">
        <f t="shared" si="31"/>
        <v>0</v>
      </c>
      <c r="BA23" s="70">
        <f t="shared" si="32"/>
        <v>0</v>
      </c>
      <c r="BB23" s="70">
        <f t="shared" si="33"/>
        <v>0</v>
      </c>
      <c r="BC23" s="70">
        <f t="shared" si="34"/>
        <v>0</v>
      </c>
      <c r="BD23" s="70">
        <f t="shared" si="35"/>
        <v>0</v>
      </c>
      <c r="BE23" s="70">
        <f t="shared" si="36"/>
        <v>0</v>
      </c>
      <c r="BF23" s="70">
        <f t="shared" si="37"/>
        <v>0</v>
      </c>
      <c r="BG23" s="70">
        <f t="shared" si="38"/>
        <v>0</v>
      </c>
      <c r="BH23" s="70">
        <f t="shared" si="39"/>
        <v>0</v>
      </c>
      <c r="BI23" s="70">
        <f t="shared" si="40"/>
        <v>0</v>
      </c>
      <c r="BJ23" s="70">
        <f t="shared" si="41"/>
        <v>0</v>
      </c>
      <c r="BK23" s="70">
        <f t="shared" si="42"/>
        <v>0</v>
      </c>
      <c r="BL23" s="70">
        <f t="shared" si="43"/>
        <v>0</v>
      </c>
      <c r="BM23" s="70">
        <f t="shared" si="44"/>
        <v>0</v>
      </c>
      <c r="BN23" s="70">
        <f t="shared" si="45"/>
        <v>0</v>
      </c>
      <c r="BO23" s="70">
        <f t="shared" si="46"/>
        <v>0</v>
      </c>
      <c r="BP23" s="51"/>
      <c r="BQ23" s="51" t="s">
        <v>45</v>
      </c>
      <c r="BR23" s="51">
        <f>VLOOKUP(C16+C17,'tab aparelhos'!$E$5:$F$35,2,TRUE)</f>
        <v>0</v>
      </c>
      <c r="BS23" s="51">
        <f>VLOOKUP(F16+F17,'tab aparelhos'!$E$5:$F$35,2,TRUE)</f>
        <v>0</v>
      </c>
      <c r="BT23" s="51">
        <f>VLOOKUP(I16+I17,'tab aparelhos'!$E$5:$F$35,2,TRUE)</f>
        <v>0</v>
      </c>
      <c r="BU23" s="51">
        <f>VLOOKUP(L16+L17,'tab aparelhos'!$E$5:$F$35,2,TRUE)</f>
        <v>0</v>
      </c>
      <c r="BV23" s="51">
        <f>VLOOKUP(O16+O17,'tab aparelhos'!$E$5:$F$35,2,TRUE)</f>
        <v>0</v>
      </c>
      <c r="BW23" s="51">
        <f>VLOOKUP(R16+R17,'tab aparelhos'!$E$5:$F$35,2,TRUE)</f>
        <v>0</v>
      </c>
      <c r="BX23" s="51">
        <f>VLOOKUP(U16+U17,'tab aparelhos'!$E$5:$F$35,2,TRUE)</f>
        <v>0</v>
      </c>
      <c r="BY23" s="51">
        <f>VLOOKUP(X16+X17,'tab aparelhos'!$E$5:$F$35,2,TRUE)</f>
        <v>0</v>
      </c>
      <c r="BZ23" s="51">
        <f>VLOOKUP(AA16+AA17,'tab aparelhos'!$E$5:$F$35,2,TRUE)</f>
        <v>0</v>
      </c>
      <c r="CA23" s="51">
        <f>VLOOKUP(AD16+AD17,'tab aparelhos'!$E$5:$F$35,2,TRUE)</f>
        <v>0</v>
      </c>
      <c r="CB23" s="51">
        <f>VLOOKUP(AG16+AG17,'tab aparelhos'!$E$5:$F$35,2,TRUE)</f>
        <v>0</v>
      </c>
      <c r="CC23" s="51">
        <f>VLOOKUP(AJ16+AJ17,'tab aparelhos'!$E$5:$F$35,2,TRUE)</f>
        <v>0</v>
      </c>
      <c r="CD23" s="128"/>
      <c r="CE23" s="128" t="s">
        <v>46</v>
      </c>
      <c r="CF23" s="51">
        <f>VLOOKUP($C$16+$I$16+$C$17+$I$17,'tab aparelhos'!$E$5:$F$35,2,TRUE)</f>
        <v>0</v>
      </c>
      <c r="CG23" s="51"/>
      <c r="CH23" s="51">
        <f>VLOOKUP($F$16+$L$16+$F$17+$L$17,'tab aparelhos'!$E$5:$F$35,2,TRUE)</f>
        <v>0</v>
      </c>
      <c r="CI23" s="51"/>
      <c r="CJ23" s="51"/>
      <c r="CK23" s="29" t="s">
        <v>57</v>
      </c>
      <c r="CL23" s="51">
        <f>VLOOKUP(CM23,'tab ar'!$A$1:$D$9,4,TRUE)</f>
        <v>1</v>
      </c>
      <c r="CM23" s="202">
        <f>SUM($C$28,$F$28)</f>
        <v>0</v>
      </c>
      <c r="CN23" s="202">
        <f>SUM($D$28,$G$28)</f>
        <v>0</v>
      </c>
      <c r="CO23" s="199">
        <f t="shared" si="9"/>
        <v>0</v>
      </c>
      <c r="CP23" s="193"/>
      <c r="CQ23" s="199">
        <f t="shared" si="19"/>
        <v>0</v>
      </c>
      <c r="CR23" s="193"/>
      <c r="CS23" s="193"/>
      <c r="CT23" s="193"/>
      <c r="CU23" s="193"/>
      <c r="CV23" s="193"/>
      <c r="CW23" s="193"/>
      <c r="CX23" s="193"/>
      <c r="CY23" s="193"/>
      <c r="CZ23" s="193"/>
      <c r="DA23" s="193"/>
      <c r="DB23" s="193"/>
      <c r="DC23" s="193"/>
      <c r="DD23" s="193"/>
      <c r="DE23" s="193"/>
      <c r="DF23" s="193"/>
      <c r="DG23" s="193"/>
      <c r="DH23" s="193"/>
      <c r="DI23" s="193"/>
      <c r="DJ23" s="193"/>
      <c r="DK23" s="199"/>
      <c r="DL23" s="199"/>
      <c r="DM23" s="199"/>
      <c r="DN23" s="193"/>
      <c r="DO23" s="193"/>
      <c r="DP23" s="193"/>
      <c r="DQ23" s="193"/>
      <c r="DR23" s="193"/>
      <c r="DS23" s="290"/>
      <c r="DT23" s="51"/>
      <c r="DV23" s="29" t="s">
        <v>57</v>
      </c>
      <c r="DW23" s="83"/>
      <c r="DX23" s="202">
        <f t="shared" si="22"/>
        <v>0</v>
      </c>
      <c r="DY23" s="202">
        <f t="shared" si="12"/>
        <v>0</v>
      </c>
      <c r="DZ23" s="199">
        <f t="shared" si="13"/>
        <v>0</v>
      </c>
      <c r="EA23" s="193"/>
      <c r="EB23" s="199">
        <f t="shared" si="14"/>
        <v>0</v>
      </c>
      <c r="EC23" s="193"/>
      <c r="ED23" s="193"/>
      <c r="EE23" s="193"/>
      <c r="EF23" s="193"/>
      <c r="EG23" s="193"/>
      <c r="EH23" s="193"/>
      <c r="EI23" s="193"/>
      <c r="EJ23" s="199">
        <f t="shared" si="20"/>
        <v>0</v>
      </c>
      <c r="EK23" s="199">
        <f t="shared" si="21"/>
        <v>0</v>
      </c>
      <c r="EL23" s="199">
        <f t="shared" si="15"/>
        <v>0</v>
      </c>
      <c r="EM23" s="193"/>
      <c r="EN23" s="193"/>
      <c r="EO23" s="193"/>
      <c r="EP23" s="193"/>
      <c r="EQ23" s="193"/>
      <c r="ER23" s="193"/>
      <c r="ES23" s="193"/>
      <c r="ET23" s="193"/>
      <c r="EU23" s="193"/>
      <c r="EV23" s="199"/>
      <c r="EW23" s="199"/>
      <c r="EX23" s="199"/>
      <c r="EY23" s="193"/>
      <c r="EZ23" s="193"/>
      <c r="FA23" s="193"/>
      <c r="FB23" s="193"/>
      <c r="FC23" s="193"/>
      <c r="FE23" s="51"/>
      <c r="FF23" s="51" t="s">
        <v>57</v>
      </c>
      <c r="FG23" s="51">
        <f>VLOOKUP(DX23+EJ23,'tab ar'!$A$1:$D$9,4,TRUE)</f>
        <v>1</v>
      </c>
      <c r="FH23" s="51"/>
      <c r="FI23" s="51"/>
      <c r="FJ23" s="51"/>
      <c r="FK23" s="51"/>
      <c r="FM23" s="29" t="s">
        <v>57</v>
      </c>
      <c r="FN23" s="83"/>
      <c r="FO23" s="202">
        <f>SUM($C$28,$F$28)</f>
        <v>0</v>
      </c>
      <c r="FP23" s="202">
        <f>SUM($D$28,$G$28)</f>
        <v>0</v>
      </c>
      <c r="FQ23" s="199">
        <f t="shared" si="10"/>
        <v>0</v>
      </c>
      <c r="FR23" s="193"/>
      <c r="FS23" s="199">
        <f t="shared" si="16"/>
        <v>0</v>
      </c>
      <c r="FT23" s="193"/>
      <c r="FU23" s="193"/>
      <c r="FV23" s="193"/>
      <c r="FW23" s="193"/>
      <c r="FX23" s="193"/>
      <c r="FY23" s="193"/>
      <c r="FZ23" s="193"/>
      <c r="GA23" s="193"/>
      <c r="GB23" s="193"/>
      <c r="GC23" s="193"/>
      <c r="GD23" s="193"/>
      <c r="GE23" s="193"/>
      <c r="GF23" s="193"/>
      <c r="GG23" s="193"/>
      <c r="GH23" s="193"/>
      <c r="GI23" s="193"/>
      <c r="GJ23" s="193"/>
      <c r="GK23" s="193"/>
      <c r="GL23" s="193"/>
      <c r="GM23" s="199"/>
      <c r="GN23" s="199"/>
      <c r="GO23" s="199"/>
      <c r="GP23" s="193"/>
      <c r="GQ23" s="193"/>
      <c r="GR23" s="193"/>
      <c r="GS23" s="193"/>
      <c r="GT23" s="193"/>
      <c r="GV23" s="51"/>
      <c r="GW23" s="51" t="s">
        <v>57</v>
      </c>
      <c r="GX23" s="51">
        <f>VLOOKUP(FO23,'tab ar'!$A$1:$D$9,4,TRUE)</f>
        <v>1</v>
      </c>
      <c r="GY23" s="51"/>
      <c r="GZ23" s="51"/>
      <c r="HA23" s="51"/>
      <c r="HB23" s="51"/>
      <c r="HD23" s="29" t="s">
        <v>57</v>
      </c>
      <c r="HE23" s="83"/>
      <c r="HF23" s="202">
        <f>SUM($I$28,$L$28)</f>
        <v>0</v>
      </c>
      <c r="HG23" s="202">
        <f>SUM($J$28,$M$28)</f>
        <v>0</v>
      </c>
      <c r="HH23" s="199">
        <f t="shared" si="17"/>
        <v>0</v>
      </c>
      <c r="HI23" s="193"/>
      <c r="HJ23" s="199">
        <f t="shared" si="18"/>
        <v>0</v>
      </c>
      <c r="HK23" s="193"/>
      <c r="HL23" s="193"/>
      <c r="HM23" s="193"/>
      <c r="HN23" s="193"/>
      <c r="HO23" s="193"/>
      <c r="HP23" s="193"/>
      <c r="HQ23" s="193"/>
      <c r="HR23" s="193"/>
      <c r="HS23" s="193"/>
      <c r="HT23" s="193"/>
      <c r="HU23" s="193"/>
      <c r="HV23" s="193"/>
      <c r="HW23" s="193"/>
      <c r="HX23" s="193"/>
      <c r="HY23" s="193"/>
      <c r="HZ23" s="193"/>
      <c r="IA23" s="193"/>
      <c r="IB23" s="193"/>
      <c r="IC23" s="193"/>
      <c r="ID23" s="199"/>
      <c r="IE23" s="199"/>
      <c r="IF23" s="199"/>
      <c r="IG23" s="193"/>
      <c r="IH23" s="193"/>
      <c r="II23" s="193"/>
      <c r="IJ23" s="193"/>
      <c r="IK23" s="193"/>
      <c r="IM23" s="51"/>
      <c r="IN23" s="51" t="s">
        <v>57</v>
      </c>
      <c r="IO23" s="51">
        <f>VLOOKUP(HF23,'tab ar'!$A$1:$D$9,4,TRUE)</f>
        <v>1</v>
      </c>
      <c r="IP23" s="51"/>
      <c r="IQ23" s="51"/>
      <c r="IR23" s="51"/>
    </row>
    <row r="24" spans="1:252" x14ac:dyDescent="0.2">
      <c r="A24" s="27" t="s">
        <v>125</v>
      </c>
      <c r="B24" s="83">
        <v>1</v>
      </c>
      <c r="C24" s="34">
        <f>IF($C$1="Vazio",0,RELAÇÃO_DE_CARGA!C25)</f>
        <v>0</v>
      </c>
      <c r="D24" s="34">
        <f>IF($C$1="Vazio",0,RELAÇÃO_DE_CARGA!D25)*C24</f>
        <v>0</v>
      </c>
      <c r="E24" s="83">
        <v>1</v>
      </c>
      <c r="F24" s="34">
        <f>IF($F$1="Vazio",0,RELAÇÃO_DE_CARGA!F25)</f>
        <v>0</v>
      </c>
      <c r="G24" s="34">
        <f>IF($F$1="Vazio",0,RELAÇÃO_DE_CARGA!G25)*F24</f>
        <v>0</v>
      </c>
      <c r="H24" s="83">
        <v>1</v>
      </c>
      <c r="I24" s="34">
        <f>IF(OR($I$1="Vazio",RELAÇÃO_DE_CARGA!$I$1&lt;3),0,RELAÇÃO_DE_CARGA!I25)</f>
        <v>0</v>
      </c>
      <c r="J24" s="34">
        <f>IF(OR($I$1="Vazio",RELAÇÃO_DE_CARGA!$I$1&lt;3),0,RELAÇÃO_DE_CARGA!J25)*I24</f>
        <v>0</v>
      </c>
      <c r="K24" s="83">
        <v>1</v>
      </c>
      <c r="L24" s="34">
        <f>IF(OR($L$1="Vazio",RELAÇÃO_DE_CARGA!$I$1&lt;4),0,RELAÇÃO_DE_CARGA!L25)</f>
        <v>0</v>
      </c>
      <c r="M24" s="34">
        <f>IF(OR($L$1="Vazio",RELAÇÃO_DE_CARGA!$I$1&lt;4),0,RELAÇÃO_DE_CARGA!M25)*L24</f>
        <v>0</v>
      </c>
      <c r="N24" s="83">
        <v>1</v>
      </c>
      <c r="O24" s="34">
        <f>IF(OR($O$1="Vazio",RELAÇÃO_DE_CARGA!$I$1&lt;5),0,RELAÇÃO_DE_CARGA!O25)</f>
        <v>0</v>
      </c>
      <c r="P24" s="34">
        <f>IF(OR($O$1="Vazio",RELAÇÃO_DE_CARGA!$I$1&lt;5),0,RELAÇÃO_DE_CARGA!P25)*O24</f>
        <v>0</v>
      </c>
      <c r="Q24" s="83">
        <v>1</v>
      </c>
      <c r="R24" s="34">
        <f>IF(OR($R$1="Vazio",RELAÇÃO_DE_CARGA!$I$1&lt;6),0,RELAÇÃO_DE_CARGA!R25)</f>
        <v>0</v>
      </c>
      <c r="S24" s="34">
        <f>IF(OR($R$1="Vazio",RELAÇÃO_DE_CARGA!$I$1&lt;6),0,RELAÇÃO_DE_CARGA!S25)*R24</f>
        <v>0</v>
      </c>
      <c r="T24" s="83">
        <v>1</v>
      </c>
      <c r="U24" s="34">
        <f>IF(OR($U$1="Vazio",RELAÇÃO_DE_CARGA!$I$1&lt;7),0,RELAÇÃO_DE_CARGA!U25)</f>
        <v>0</v>
      </c>
      <c r="V24" s="34">
        <f>IF(OR($U$1="Vazio",RELAÇÃO_DE_CARGA!$I$1&lt;7),0,RELAÇÃO_DE_CARGA!V25)*U24</f>
        <v>0</v>
      </c>
      <c r="W24" s="83">
        <v>1</v>
      </c>
      <c r="X24" s="34">
        <f>IF(OR($X$1="Vazio",RELAÇÃO_DE_CARGA!$I$1&lt;8),0,RELAÇÃO_DE_CARGA!X25)</f>
        <v>0</v>
      </c>
      <c r="Y24" s="34">
        <f>IF(OR($X$1="Vazio",RELAÇÃO_DE_CARGA!$I$1&lt;8),0,RELAÇÃO_DE_CARGA!Y25)*X24</f>
        <v>0</v>
      </c>
      <c r="Z24" s="83">
        <v>1</v>
      </c>
      <c r="AA24" s="34">
        <f>IF(OR($AA$1="Vazio",RELAÇÃO_DE_CARGA!$I$1&lt;9),0,RELAÇÃO_DE_CARGA!AA25)</f>
        <v>0</v>
      </c>
      <c r="AB24" s="34">
        <f>IF(OR($AA$1="Vazio",RELAÇÃO_DE_CARGA!$I$1&lt;9),0,RELAÇÃO_DE_CARGA!AB25)*AA24</f>
        <v>0</v>
      </c>
      <c r="AC24" s="83">
        <v>1</v>
      </c>
      <c r="AD24" s="34">
        <f>IF(OR($AD$1="Vazio",RELAÇÃO_DE_CARGA!$I$1&lt;10),0,RELAÇÃO_DE_CARGA!AD25)</f>
        <v>0</v>
      </c>
      <c r="AE24" s="34">
        <f>IF(OR($AD$1="Vazio",RELAÇÃO_DE_CARGA!$I$1&lt;10),0,RELAÇÃO_DE_CARGA!AE25)*AD24</f>
        <v>0</v>
      </c>
      <c r="AF24" s="83">
        <v>1</v>
      </c>
      <c r="AG24" s="34">
        <f>IF(OR($AG$1="Vazio",RELAÇÃO_DE_CARGA!$I$1&lt;11),0,RELAÇÃO_DE_CARGA!AG25)</f>
        <v>0</v>
      </c>
      <c r="AH24" s="34">
        <f>IF(OR($AG$1="Vazio",RELAÇÃO_DE_CARGA!$I$1&lt;11),0,RELAÇÃO_DE_CARGA!AH25)*AG24</f>
        <v>0</v>
      </c>
      <c r="AI24" s="83">
        <v>1</v>
      </c>
      <c r="AJ24" s="34">
        <f>IF(OR($AJ$1="Vazio",RELAÇÃO_DE_CARGA!$I$1&lt;12),0,RELAÇÃO_DE_CARGA!AJ25)</f>
        <v>0</v>
      </c>
      <c r="AK24" s="34">
        <f>IF(OR($AJ$1="Vazio",RELAÇÃO_DE_CARGA!$I$1&lt;12),0,RELAÇÃO_DE_CARGA!AK25)*AJ24</f>
        <v>0</v>
      </c>
      <c r="AL24" s="35"/>
      <c r="AM24" s="35"/>
      <c r="AN24" s="35"/>
      <c r="AO24" s="35"/>
      <c r="AP24" s="35"/>
      <c r="AQ24" s="27" t="s">
        <v>125</v>
      </c>
      <c r="AR24" s="70">
        <f t="shared" si="23"/>
        <v>0</v>
      </c>
      <c r="AS24" s="70">
        <f>D24*BR28</f>
        <v>0</v>
      </c>
      <c r="AT24" s="70">
        <f t="shared" si="25"/>
        <v>0</v>
      </c>
      <c r="AU24" s="70">
        <f>G24*BS28</f>
        <v>0</v>
      </c>
      <c r="AV24" s="70">
        <f t="shared" si="27"/>
        <v>0</v>
      </c>
      <c r="AW24" s="70">
        <f>J24*BT28</f>
        <v>0</v>
      </c>
      <c r="AX24" s="70">
        <f t="shared" si="29"/>
        <v>0</v>
      </c>
      <c r="AY24" s="70">
        <f>M24*BU28</f>
        <v>0</v>
      </c>
      <c r="AZ24" s="70">
        <f t="shared" si="31"/>
        <v>0</v>
      </c>
      <c r="BA24" s="70">
        <f>P24*BV28</f>
        <v>0</v>
      </c>
      <c r="BB24" s="70">
        <f t="shared" si="33"/>
        <v>0</v>
      </c>
      <c r="BC24" s="70">
        <f>S24*BW28</f>
        <v>0</v>
      </c>
      <c r="BD24" s="70">
        <f t="shared" si="35"/>
        <v>0</v>
      </c>
      <c r="BE24" s="70">
        <f>V24*BX28</f>
        <v>0</v>
      </c>
      <c r="BF24" s="70">
        <f t="shared" si="37"/>
        <v>0</v>
      </c>
      <c r="BG24" s="70">
        <f>Y24*BY28</f>
        <v>0</v>
      </c>
      <c r="BH24" s="70">
        <f t="shared" si="39"/>
        <v>0</v>
      </c>
      <c r="BI24" s="70">
        <f>AB24*BZ28</f>
        <v>0</v>
      </c>
      <c r="BJ24" s="70">
        <f t="shared" si="41"/>
        <v>0</v>
      </c>
      <c r="BK24" s="70">
        <f>AE24*CA28</f>
        <v>0</v>
      </c>
      <c r="BL24" s="70">
        <f t="shared" si="43"/>
        <v>0</v>
      </c>
      <c r="BM24" s="70">
        <f>AH24*CB28</f>
        <v>0</v>
      </c>
      <c r="BN24" s="70">
        <f t="shared" si="45"/>
        <v>0</v>
      </c>
      <c r="BO24" s="70">
        <f>AK24*CC28</f>
        <v>0</v>
      </c>
      <c r="BP24" s="51"/>
      <c r="BQ24" s="51" t="s">
        <v>46</v>
      </c>
      <c r="BR24" s="51"/>
      <c r="BS24" s="51"/>
      <c r="BT24" s="51"/>
      <c r="BU24" s="51"/>
      <c r="BV24" s="51"/>
      <c r="BW24" s="51"/>
      <c r="BX24" s="51"/>
      <c r="BY24" s="51"/>
      <c r="BZ24" s="51"/>
      <c r="CA24" s="51"/>
      <c r="CB24" s="51"/>
      <c r="CC24" s="51"/>
      <c r="CD24" s="128"/>
      <c r="CE24" s="128" t="s">
        <v>47</v>
      </c>
      <c r="CF24" s="51">
        <f>VLOOKUP(C18+I18,'tab aparelhos'!$K$5:$L$35,2,TRUE)</f>
        <v>0</v>
      </c>
      <c r="CG24" s="51"/>
      <c r="CH24" s="51">
        <f>VLOOKUP(F18+L18,'tab aparelhos'!$K$5:$L$35,2,TRUE)</f>
        <v>0</v>
      </c>
      <c r="CI24" s="51"/>
      <c r="CJ24" s="51"/>
      <c r="CK24" s="29" t="s">
        <v>58</v>
      </c>
      <c r="CL24" s="51">
        <f>IF($CM$24=0,0,IF($CM$24=1,$CN$24,(($CM$24-1)*CN24*0.6/CM24)+$CN$24/CM24))</f>
        <v>0</v>
      </c>
      <c r="CM24" s="202">
        <f>SUM($C$29,$F$29)</f>
        <v>0</v>
      </c>
      <c r="CN24" s="202">
        <f>SUM($D$29,$G$29)</f>
        <v>0</v>
      </c>
      <c r="CO24" s="199">
        <f>CL24</f>
        <v>0</v>
      </c>
      <c r="CP24" s="193"/>
      <c r="CQ24" s="199">
        <f>CN24*CM24</f>
        <v>0</v>
      </c>
      <c r="CR24" s="193"/>
      <c r="CS24" s="193"/>
      <c r="CT24" s="193"/>
      <c r="CU24" s="193"/>
      <c r="CV24" s="193"/>
      <c r="CW24" s="193"/>
      <c r="CX24" s="193"/>
      <c r="CY24" s="193"/>
      <c r="CZ24" s="193"/>
      <c r="DA24" s="193"/>
      <c r="DB24" s="193"/>
      <c r="DC24" s="193"/>
      <c r="DD24" s="193"/>
      <c r="DE24" s="193"/>
      <c r="DF24" s="193"/>
      <c r="DG24" s="193"/>
      <c r="DH24" s="193"/>
      <c r="DI24" s="193"/>
      <c r="DJ24" s="193"/>
      <c r="DK24" s="199"/>
      <c r="DL24" s="199"/>
      <c r="DM24" s="199"/>
      <c r="DN24" s="193"/>
      <c r="DO24" s="193"/>
      <c r="DP24" s="193"/>
      <c r="DQ24" s="193"/>
      <c r="DR24" s="193"/>
      <c r="DS24" s="290"/>
      <c r="DT24" s="51"/>
      <c r="DV24" s="29" t="s">
        <v>58</v>
      </c>
      <c r="DW24" s="83"/>
      <c r="DX24" s="202">
        <f t="shared" si="22"/>
        <v>0</v>
      </c>
      <c r="DY24" s="202">
        <f t="shared" si="12"/>
        <v>0</v>
      </c>
      <c r="DZ24" s="199">
        <f>IF(DX24=0,0,IF(DY24=1,DY24,((DX24-1)*DY24*0.6/DX24)+DY24/DX24))</f>
        <v>0</v>
      </c>
      <c r="EA24" s="193"/>
      <c r="EB24" s="199">
        <f>SUM(DY24*DX24,EK24*EJ24)</f>
        <v>0</v>
      </c>
      <c r="EC24" s="193"/>
      <c r="ED24" s="193"/>
      <c r="EE24" s="193"/>
      <c r="EF24" s="193"/>
      <c r="EG24" s="193"/>
      <c r="EH24" s="193"/>
      <c r="EI24" s="193"/>
      <c r="EJ24" s="199">
        <f t="shared" si="20"/>
        <v>0</v>
      </c>
      <c r="EK24" s="199">
        <f t="shared" si="21"/>
        <v>0</v>
      </c>
      <c r="EL24" s="199">
        <f>IF(EJ24=0,0,IF(EK24=1,EK24,((EJ24-1)*EK24*0.6/EJ24)+EK24/EJ24))</f>
        <v>0</v>
      </c>
      <c r="EM24" s="193"/>
      <c r="EN24" s="193"/>
      <c r="EO24" s="193"/>
      <c r="EP24" s="193"/>
      <c r="EQ24" s="193"/>
      <c r="ER24" s="193"/>
      <c r="ES24" s="193"/>
      <c r="ET24" s="193"/>
      <c r="EU24" s="193"/>
      <c r="EV24" s="199"/>
      <c r="EW24" s="199"/>
      <c r="EX24" s="199"/>
      <c r="EY24" s="193"/>
      <c r="EZ24" s="193"/>
      <c r="FA24" s="193"/>
      <c r="FB24" s="193"/>
      <c r="FC24" s="193"/>
      <c r="FE24" s="51"/>
      <c r="FF24" s="51" t="s">
        <v>58</v>
      </c>
      <c r="FG24" s="51">
        <f>IF(EJ24=0,0,IF(EJ24=1,EK24,((EJ24-1)*EK24*0.6)+EK24))</f>
        <v>0</v>
      </c>
      <c r="FH24" s="51"/>
      <c r="FI24" s="51"/>
      <c r="FJ24" s="51"/>
      <c r="FK24" s="51"/>
      <c r="FM24" s="29" t="s">
        <v>58</v>
      </c>
      <c r="FN24" s="83"/>
      <c r="FO24" s="202">
        <f>SUM($C$29,$F$29)</f>
        <v>0</v>
      </c>
      <c r="FP24" s="202">
        <f>SUM($D$29,$G$29)</f>
        <v>0</v>
      </c>
      <c r="FQ24" s="199">
        <f>GX24</f>
        <v>0</v>
      </c>
      <c r="FR24" s="193"/>
      <c r="FS24" s="199">
        <f>FP24*FO24</f>
        <v>0</v>
      </c>
      <c r="FT24" s="193"/>
      <c r="FU24" s="193"/>
      <c r="FV24" s="193"/>
      <c r="FW24" s="193"/>
      <c r="FX24" s="193"/>
      <c r="FY24" s="193"/>
      <c r="FZ24" s="193"/>
      <c r="GA24" s="193"/>
      <c r="GB24" s="193"/>
      <c r="GC24" s="193"/>
      <c r="GD24" s="193"/>
      <c r="GE24" s="193"/>
      <c r="GF24" s="193"/>
      <c r="GG24" s="193"/>
      <c r="GH24" s="193"/>
      <c r="GI24" s="193"/>
      <c r="GJ24" s="193"/>
      <c r="GK24" s="193"/>
      <c r="GL24" s="193"/>
      <c r="GM24" s="199"/>
      <c r="GN24" s="199"/>
      <c r="GO24" s="199"/>
      <c r="GP24" s="193"/>
      <c r="GQ24" s="193"/>
      <c r="GR24" s="193"/>
      <c r="GS24" s="193"/>
      <c r="GT24" s="193"/>
      <c r="GV24" s="51"/>
      <c r="GW24" s="51" t="s">
        <v>58</v>
      </c>
      <c r="GX24" s="51">
        <f>IF(FO24=0,0,IF(FO24=1,FP24,((FO24-1)*FP24*0.6/FO24)+FP24/FO24))</f>
        <v>0</v>
      </c>
      <c r="GY24" s="51"/>
      <c r="GZ24" s="51"/>
      <c r="HA24" s="51"/>
      <c r="HB24" s="51"/>
      <c r="HD24" s="29" t="s">
        <v>58</v>
      </c>
      <c r="HE24" s="83"/>
      <c r="HF24" s="202">
        <f>SUM($I$29,$L$29)</f>
        <v>0</v>
      </c>
      <c r="HG24" s="202">
        <f>SUM($J$29,$M$29)</f>
        <v>0</v>
      </c>
      <c r="HH24" s="199">
        <f>IO24</f>
        <v>0</v>
      </c>
      <c r="HI24" s="193"/>
      <c r="HJ24" s="199">
        <f>HG24*HF24</f>
        <v>0</v>
      </c>
      <c r="HK24" s="193"/>
      <c r="HL24" s="193"/>
      <c r="HM24" s="193"/>
      <c r="HN24" s="193"/>
      <c r="HO24" s="193"/>
      <c r="HP24" s="193"/>
      <c r="HQ24" s="193"/>
      <c r="HR24" s="193"/>
      <c r="HS24" s="193"/>
      <c r="HT24" s="193"/>
      <c r="HU24" s="193"/>
      <c r="HV24" s="193"/>
      <c r="HW24" s="193"/>
      <c r="HX24" s="193"/>
      <c r="HY24" s="193"/>
      <c r="HZ24" s="193"/>
      <c r="IA24" s="193"/>
      <c r="IB24" s="193"/>
      <c r="IC24" s="193"/>
      <c r="ID24" s="199"/>
      <c r="IE24" s="199"/>
      <c r="IF24" s="199"/>
      <c r="IG24" s="193"/>
      <c r="IH24" s="193"/>
      <c r="II24" s="193"/>
      <c r="IJ24" s="193"/>
      <c r="IK24" s="193"/>
      <c r="IM24" s="51"/>
      <c r="IN24" s="51" t="s">
        <v>58</v>
      </c>
      <c r="IO24" s="51">
        <f>IF(HF24=0,0,IF(HF24=1,HG24,((HF24-1)*HG24*0.6/HF24)+HG24/HF24))</f>
        <v>0</v>
      </c>
      <c r="IP24" s="51"/>
      <c r="IQ24" s="51"/>
      <c r="IR24" s="51"/>
    </row>
    <row r="25" spans="1:252" x14ac:dyDescent="0.2">
      <c r="A25" s="27" t="s">
        <v>54</v>
      </c>
      <c r="B25" s="83">
        <v>1</v>
      </c>
      <c r="C25" s="34">
        <f>IF($C$1="Vazio",0,RELAÇÃO_DE_CARGA!C26)</f>
        <v>0</v>
      </c>
      <c r="D25" s="34">
        <f>IF($C$1="Vazio",0,RELAÇÃO_DE_CARGA!D26)*C25</f>
        <v>0</v>
      </c>
      <c r="E25" s="83">
        <v>1</v>
      </c>
      <c r="F25" s="34">
        <f>IF($F$1="Vazio",0,RELAÇÃO_DE_CARGA!F26)</f>
        <v>0</v>
      </c>
      <c r="G25" s="34">
        <f>IF($F$1="Vazio",0,RELAÇÃO_DE_CARGA!G26)*F25</f>
        <v>0</v>
      </c>
      <c r="H25" s="83">
        <v>1</v>
      </c>
      <c r="I25" s="34">
        <f>IF(OR($I$1="Vazio",RELAÇÃO_DE_CARGA!$I$1&lt;3),0,RELAÇÃO_DE_CARGA!I26)</f>
        <v>0</v>
      </c>
      <c r="J25" s="34">
        <f>IF(OR($I$1="Vazio",RELAÇÃO_DE_CARGA!$I$1&lt;3),0,RELAÇÃO_DE_CARGA!J26)*I25</f>
        <v>0</v>
      </c>
      <c r="K25" s="83">
        <v>1</v>
      </c>
      <c r="L25" s="34">
        <f>IF(OR($L$1="Vazio",RELAÇÃO_DE_CARGA!$I$1&lt;4),0,RELAÇÃO_DE_CARGA!L26)</f>
        <v>0</v>
      </c>
      <c r="M25" s="34">
        <f>IF(OR($L$1="Vazio",RELAÇÃO_DE_CARGA!$I$1&lt;4),0,RELAÇÃO_DE_CARGA!M26)*L25</f>
        <v>0</v>
      </c>
      <c r="N25" s="83">
        <v>1</v>
      </c>
      <c r="O25" s="34">
        <f>IF(OR($O$1="Vazio",RELAÇÃO_DE_CARGA!$I$1&lt;5),0,RELAÇÃO_DE_CARGA!O26)</f>
        <v>0</v>
      </c>
      <c r="P25" s="34">
        <f>IF(OR($O$1="Vazio",RELAÇÃO_DE_CARGA!$I$1&lt;5),0,RELAÇÃO_DE_CARGA!P26)*O25</f>
        <v>0</v>
      </c>
      <c r="Q25" s="83">
        <v>1</v>
      </c>
      <c r="R25" s="34">
        <f>IF(OR($R$1="Vazio",RELAÇÃO_DE_CARGA!$I$1&lt;6),0,RELAÇÃO_DE_CARGA!R26)</f>
        <v>0</v>
      </c>
      <c r="S25" s="34">
        <f>IF(OR($R$1="Vazio",RELAÇÃO_DE_CARGA!$I$1&lt;6),0,RELAÇÃO_DE_CARGA!S26)*R25</f>
        <v>0</v>
      </c>
      <c r="T25" s="83">
        <v>1</v>
      </c>
      <c r="U25" s="34">
        <f>IF(OR($U$1="Vazio",RELAÇÃO_DE_CARGA!$I$1&lt;7),0,RELAÇÃO_DE_CARGA!U26)</f>
        <v>0</v>
      </c>
      <c r="V25" s="34">
        <f>IF(OR($U$1="Vazio",RELAÇÃO_DE_CARGA!$I$1&lt;7),0,RELAÇÃO_DE_CARGA!V26)*U25</f>
        <v>0</v>
      </c>
      <c r="W25" s="83">
        <v>1</v>
      </c>
      <c r="X25" s="34">
        <f>IF(OR($X$1="Vazio",RELAÇÃO_DE_CARGA!$I$1&lt;8),0,RELAÇÃO_DE_CARGA!X26)</f>
        <v>0</v>
      </c>
      <c r="Y25" s="34">
        <f>IF(OR($X$1="Vazio",RELAÇÃO_DE_CARGA!$I$1&lt;8),0,RELAÇÃO_DE_CARGA!Y26)*X25</f>
        <v>0</v>
      </c>
      <c r="Z25" s="83">
        <v>1</v>
      </c>
      <c r="AA25" s="34">
        <f>IF(OR($AA$1="Vazio",RELAÇÃO_DE_CARGA!$I$1&lt;9),0,RELAÇÃO_DE_CARGA!AA26)</f>
        <v>0</v>
      </c>
      <c r="AB25" s="34">
        <f>IF(OR($AA$1="Vazio",RELAÇÃO_DE_CARGA!$I$1&lt;9),0,RELAÇÃO_DE_CARGA!AB26)*AA25</f>
        <v>0</v>
      </c>
      <c r="AC25" s="83">
        <v>1</v>
      </c>
      <c r="AD25" s="34">
        <f>IF(OR($AD$1="Vazio",RELAÇÃO_DE_CARGA!$I$1&lt;10),0,RELAÇÃO_DE_CARGA!AD26)</f>
        <v>0</v>
      </c>
      <c r="AE25" s="34">
        <f>IF(OR($AD$1="Vazio",RELAÇÃO_DE_CARGA!$I$1&lt;10),0,RELAÇÃO_DE_CARGA!AE26)*AD25</f>
        <v>0</v>
      </c>
      <c r="AF25" s="83">
        <v>1</v>
      </c>
      <c r="AG25" s="34">
        <f>IF(OR($AG$1="Vazio",RELAÇÃO_DE_CARGA!$I$1&lt;11),0,RELAÇÃO_DE_CARGA!AG26)</f>
        <v>0</v>
      </c>
      <c r="AH25" s="34">
        <f>IF(OR($AG$1="Vazio",RELAÇÃO_DE_CARGA!$I$1&lt;11),0,RELAÇÃO_DE_CARGA!AH26)*AG25</f>
        <v>0</v>
      </c>
      <c r="AI25" s="83">
        <v>1</v>
      </c>
      <c r="AJ25" s="34">
        <f>IF(OR($AJ$1="Vazio",RELAÇÃO_DE_CARGA!$I$1&lt;12),0,RELAÇÃO_DE_CARGA!AJ26)</f>
        <v>0</v>
      </c>
      <c r="AK25" s="34">
        <f>IF(OR($AJ$1="Vazio",RELAÇÃO_DE_CARGA!$I$1&lt;12),0,RELAÇÃO_DE_CARGA!AK26)*AJ25</f>
        <v>0</v>
      </c>
      <c r="AL25" s="35"/>
      <c r="AM25" s="35"/>
      <c r="AN25" s="35"/>
      <c r="AO25" s="35"/>
      <c r="AP25" s="35"/>
      <c r="AQ25" s="27" t="s">
        <v>54</v>
      </c>
      <c r="AR25" s="70">
        <f t="shared" si="23"/>
        <v>0</v>
      </c>
      <c r="AS25" s="70">
        <f t="shared" si="24"/>
        <v>0</v>
      </c>
      <c r="AT25" s="70">
        <f t="shared" si="25"/>
        <v>0</v>
      </c>
      <c r="AU25" s="70">
        <f t="shared" si="26"/>
        <v>0</v>
      </c>
      <c r="AV25" s="70">
        <f t="shared" si="27"/>
        <v>0</v>
      </c>
      <c r="AW25" s="70">
        <f t="shared" si="28"/>
        <v>0</v>
      </c>
      <c r="AX25" s="70">
        <f t="shared" si="29"/>
        <v>0</v>
      </c>
      <c r="AY25" s="70">
        <f t="shared" si="30"/>
        <v>0</v>
      </c>
      <c r="AZ25" s="70">
        <f t="shared" si="31"/>
        <v>0</v>
      </c>
      <c r="BA25" s="70">
        <f t="shared" si="32"/>
        <v>0</v>
      </c>
      <c r="BB25" s="70">
        <f t="shared" si="33"/>
        <v>0</v>
      </c>
      <c r="BC25" s="70">
        <f t="shared" si="34"/>
        <v>0</v>
      </c>
      <c r="BD25" s="70">
        <f t="shared" si="35"/>
        <v>0</v>
      </c>
      <c r="BE25" s="70">
        <f t="shared" si="36"/>
        <v>0</v>
      </c>
      <c r="BF25" s="70">
        <f t="shared" si="37"/>
        <v>0</v>
      </c>
      <c r="BG25" s="70">
        <f t="shared" si="38"/>
        <v>0</v>
      </c>
      <c r="BH25" s="70">
        <f t="shared" si="39"/>
        <v>0</v>
      </c>
      <c r="BI25" s="70">
        <f t="shared" si="40"/>
        <v>0</v>
      </c>
      <c r="BJ25" s="70">
        <f t="shared" si="41"/>
        <v>0</v>
      </c>
      <c r="BK25" s="70">
        <f t="shared" si="42"/>
        <v>0</v>
      </c>
      <c r="BL25" s="70">
        <f t="shared" si="43"/>
        <v>0</v>
      </c>
      <c r="BM25" s="70">
        <f t="shared" si="44"/>
        <v>0</v>
      </c>
      <c r="BN25" s="70">
        <f t="shared" si="45"/>
        <v>0</v>
      </c>
      <c r="BO25" s="70">
        <f t="shared" si="46"/>
        <v>0</v>
      </c>
      <c r="BP25" s="51"/>
      <c r="BQ25" s="51" t="s">
        <v>47</v>
      </c>
      <c r="BR25" s="51">
        <f>VLOOKUP(C18,'tab aparelhos'!$K$5:$L$35,2,TRUE)</f>
        <v>0</v>
      </c>
      <c r="BS25" s="51">
        <f>VLOOKUP(F18,'tab aparelhos'!$K$5:$L$35,2,TRUE)</f>
        <v>0</v>
      </c>
      <c r="BT25" s="51">
        <f>VLOOKUP(I18,'tab aparelhos'!$K$5:$L$35,2,TRUE)</f>
        <v>0</v>
      </c>
      <c r="BU25" s="51">
        <f>VLOOKUP(L18,'tab aparelhos'!$K$5:$L$35,2,TRUE)</f>
        <v>0</v>
      </c>
      <c r="BV25" s="51">
        <f>VLOOKUP(O18,'tab aparelhos'!$K$5:$L$35,2,TRUE)</f>
        <v>0</v>
      </c>
      <c r="BW25" s="51">
        <f>VLOOKUP(R18,'tab aparelhos'!$K$5:$L$35,2,TRUE)</f>
        <v>0</v>
      </c>
      <c r="BX25" s="51">
        <f>VLOOKUP(U18,'tab aparelhos'!$K$5:$L$35,2,TRUE)</f>
        <v>0</v>
      </c>
      <c r="BY25" s="51">
        <f>VLOOKUP(X18,'tab aparelhos'!$K$5:$L$35,2,TRUE)</f>
        <v>0</v>
      </c>
      <c r="BZ25" s="51">
        <f>VLOOKUP(AA18,'tab aparelhos'!$K$5:$L$35,2,TRUE)</f>
        <v>0</v>
      </c>
      <c r="CA25" s="51">
        <f>VLOOKUP(AD18,'tab aparelhos'!$K$5:$L$35,2,TRUE)</f>
        <v>0</v>
      </c>
      <c r="CB25" s="51">
        <f>VLOOKUP(AG18,'tab aparelhos'!$K$5:$L$35,2,TRUE)</f>
        <v>0</v>
      </c>
      <c r="CC25" s="51">
        <f>VLOOKUP(AJ18,'tab aparelhos'!$K$5:$L$35,2,TRUE)</f>
        <v>0</v>
      </c>
      <c r="CD25" s="128"/>
      <c r="CE25" s="128" t="s">
        <v>48</v>
      </c>
      <c r="CF25" s="51">
        <f>VLOOKUP($C$19+$I$19+$C$20+$I$20,'tab aparelhos'!$N$5:$O$35,2,TRUE)</f>
        <v>0</v>
      </c>
      <c r="CG25" s="51"/>
      <c r="CH25" s="51">
        <f>VLOOKUP($F$19+$L$19+$F$20+$L$20,'tab aparelhos'!$N$5:$O$35,2,TRUE)</f>
        <v>0</v>
      </c>
      <c r="CI25" s="51"/>
      <c r="CJ25" s="51"/>
      <c r="CK25" s="30" t="s">
        <v>59</v>
      </c>
      <c r="CL25" s="51">
        <v>1</v>
      </c>
      <c r="CM25" s="202">
        <f>SUM($C$30,$F$30)</f>
        <v>0</v>
      </c>
      <c r="CN25" s="202">
        <f>SUM($D$30,$G$30)</f>
        <v>0</v>
      </c>
      <c r="CO25" s="199">
        <f>CN25*CL25</f>
        <v>0</v>
      </c>
      <c r="CP25" s="193"/>
      <c r="CQ25" s="199">
        <f t="shared" si="19"/>
        <v>0</v>
      </c>
      <c r="CR25" s="193"/>
      <c r="CS25" s="193"/>
      <c r="CT25" s="193"/>
      <c r="CU25" s="193"/>
      <c r="CV25" s="193"/>
      <c r="CW25" s="193"/>
      <c r="CX25" s="193"/>
      <c r="CY25" s="193"/>
      <c r="CZ25" s="193"/>
      <c r="DA25" s="193"/>
      <c r="DB25" s="193"/>
      <c r="DC25" s="193"/>
      <c r="DD25" s="193"/>
      <c r="DE25" s="193"/>
      <c r="DF25" s="193"/>
      <c r="DG25" s="193"/>
      <c r="DH25" s="193"/>
      <c r="DI25" s="193"/>
      <c r="DJ25" s="193"/>
      <c r="DK25" s="199"/>
      <c r="DL25" s="199"/>
      <c r="DM25" s="199"/>
      <c r="DN25" s="193"/>
      <c r="DO25" s="193"/>
      <c r="DP25" s="193"/>
      <c r="DQ25" s="193"/>
      <c r="DR25" s="193"/>
      <c r="DS25" s="290"/>
      <c r="DT25" s="51"/>
      <c r="DV25" s="30" t="s">
        <v>59</v>
      </c>
      <c r="DW25" s="83"/>
      <c r="DX25" s="202">
        <f t="shared" si="22"/>
        <v>0</v>
      </c>
      <c r="DY25" s="202">
        <f t="shared" si="12"/>
        <v>0</v>
      </c>
      <c r="DZ25" s="199">
        <f t="shared" si="13"/>
        <v>0</v>
      </c>
      <c r="EA25" s="193"/>
      <c r="EB25" s="199">
        <f t="shared" si="14"/>
        <v>0</v>
      </c>
      <c r="EC25" s="193"/>
      <c r="ED25" s="193"/>
      <c r="EE25" s="193"/>
      <c r="EF25" s="193"/>
      <c r="EG25" s="193"/>
      <c r="EH25" s="193"/>
      <c r="EI25" s="193"/>
      <c r="EJ25" s="199">
        <f t="shared" si="20"/>
        <v>0</v>
      </c>
      <c r="EK25" s="199">
        <f>SUM(IF($C$1=$DX$1,0,D30),IF($F$1=$DX$1,0,G30),IF($I$1=$DX$1,0,J30),IF($L$1=$DX$1,0,M30))</f>
        <v>0</v>
      </c>
      <c r="EL25" s="199">
        <f t="shared" si="15"/>
        <v>0</v>
      </c>
      <c r="EM25" s="193"/>
      <c r="EN25" s="193"/>
      <c r="EO25" s="193"/>
      <c r="EP25" s="193"/>
      <c r="EQ25" s="193"/>
      <c r="ER25" s="193"/>
      <c r="ES25" s="193"/>
      <c r="ET25" s="193"/>
      <c r="EU25" s="193"/>
      <c r="EV25" s="199"/>
      <c r="EW25" s="199"/>
      <c r="EX25" s="199"/>
      <c r="EY25" s="193"/>
      <c r="EZ25" s="193"/>
      <c r="FA25" s="193"/>
      <c r="FB25" s="193"/>
      <c r="FC25" s="193"/>
      <c r="FE25" s="51"/>
      <c r="FF25" s="51" t="s">
        <v>59</v>
      </c>
      <c r="FG25" s="51">
        <v>1</v>
      </c>
      <c r="FH25" s="51"/>
      <c r="FI25" s="51"/>
      <c r="FJ25" s="51"/>
      <c r="FK25" s="51"/>
      <c r="FM25" s="30" t="s">
        <v>59</v>
      </c>
      <c r="FN25" s="83"/>
      <c r="FO25" s="202">
        <f>SUM($C$30,$F$30)</f>
        <v>0</v>
      </c>
      <c r="FP25" s="202">
        <f>SUM($D$30,$G$30)</f>
        <v>0</v>
      </c>
      <c r="FQ25" s="199">
        <f>FP25*GX25</f>
        <v>0</v>
      </c>
      <c r="FR25" s="193"/>
      <c r="FS25" s="199">
        <f t="shared" si="16"/>
        <v>0</v>
      </c>
      <c r="FT25" s="193"/>
      <c r="FU25" s="193"/>
      <c r="FV25" s="193"/>
      <c r="FW25" s="193"/>
      <c r="FX25" s="193"/>
      <c r="FY25" s="193"/>
      <c r="FZ25" s="193"/>
      <c r="GA25" s="193"/>
      <c r="GB25" s="193"/>
      <c r="GC25" s="193"/>
      <c r="GD25" s="193"/>
      <c r="GE25" s="193"/>
      <c r="GF25" s="193"/>
      <c r="GG25" s="193"/>
      <c r="GH25" s="193"/>
      <c r="GI25" s="193"/>
      <c r="GJ25" s="193"/>
      <c r="GK25" s="193"/>
      <c r="GL25" s="193"/>
      <c r="GM25" s="199"/>
      <c r="GN25" s="199"/>
      <c r="GO25" s="199"/>
      <c r="GP25" s="193"/>
      <c r="GQ25" s="193"/>
      <c r="GR25" s="193"/>
      <c r="GS25" s="193"/>
      <c r="GT25" s="193"/>
      <c r="GV25" s="51"/>
      <c r="GW25" s="51" t="s">
        <v>59</v>
      </c>
      <c r="GX25" s="51">
        <v>1</v>
      </c>
      <c r="GY25" s="51"/>
      <c r="GZ25" s="51"/>
      <c r="HA25" s="51"/>
      <c r="HB25" s="51"/>
      <c r="HD25" s="30" t="s">
        <v>59</v>
      </c>
      <c r="HE25" s="83"/>
      <c r="HF25" s="202">
        <f>SUM($I$30,$L$30)</f>
        <v>0</v>
      </c>
      <c r="HG25" s="202">
        <f>SUM($J$30,$M$30)</f>
        <v>0</v>
      </c>
      <c r="HH25" s="199">
        <f t="shared" si="17"/>
        <v>0</v>
      </c>
      <c r="HI25" s="193"/>
      <c r="HJ25" s="199">
        <f t="shared" si="18"/>
        <v>0</v>
      </c>
      <c r="HK25" s="193"/>
      <c r="HL25" s="193"/>
      <c r="HM25" s="193"/>
      <c r="HN25" s="193"/>
      <c r="HO25" s="193"/>
      <c r="HP25" s="193"/>
      <c r="HQ25" s="193"/>
      <c r="HR25" s="193"/>
      <c r="HS25" s="193"/>
      <c r="HT25" s="193"/>
      <c r="HU25" s="193"/>
      <c r="HV25" s="193"/>
      <c r="HW25" s="193"/>
      <c r="HX25" s="193"/>
      <c r="HY25" s="193"/>
      <c r="HZ25" s="193"/>
      <c r="IA25" s="193"/>
      <c r="IB25" s="193"/>
      <c r="IC25" s="193"/>
      <c r="ID25" s="199"/>
      <c r="IE25" s="199"/>
      <c r="IF25" s="199"/>
      <c r="IG25" s="193"/>
      <c r="IH25" s="193"/>
      <c r="II25" s="193"/>
      <c r="IJ25" s="193"/>
      <c r="IK25" s="193"/>
      <c r="IM25" s="51"/>
      <c r="IN25" s="51" t="s">
        <v>59</v>
      </c>
      <c r="IO25" s="51">
        <v>1</v>
      </c>
      <c r="IP25" s="51"/>
      <c r="IQ25" s="51"/>
      <c r="IR25" s="51"/>
    </row>
    <row r="26" spans="1:252" ht="13.5" thickBot="1" x14ac:dyDescent="0.25">
      <c r="A26" s="27" t="s">
        <v>55</v>
      </c>
      <c r="B26" s="83">
        <v>1</v>
      </c>
      <c r="C26" s="34">
        <f>IF($C$1="Vazio",0,RELAÇÃO_DE_CARGA!C27)</f>
        <v>0</v>
      </c>
      <c r="D26" s="34">
        <f>IF($C$1="Vazio",0,RELAÇÃO_DE_CARGA!D27)*C26</f>
        <v>0</v>
      </c>
      <c r="E26" s="83">
        <v>1</v>
      </c>
      <c r="F26" s="34">
        <f>IF($F$1="Vazio",0,RELAÇÃO_DE_CARGA!F27)</f>
        <v>0</v>
      </c>
      <c r="G26" s="34">
        <f>IF($F$1="Vazio",0,RELAÇÃO_DE_CARGA!G27)*F26</f>
        <v>0</v>
      </c>
      <c r="H26" s="83">
        <v>1</v>
      </c>
      <c r="I26" s="34">
        <f>IF(OR($I$1="Vazio",RELAÇÃO_DE_CARGA!$I$1&lt;3),0,RELAÇÃO_DE_CARGA!I27)</f>
        <v>0</v>
      </c>
      <c r="J26" s="34">
        <f>IF(OR($I$1="Vazio",RELAÇÃO_DE_CARGA!$I$1&lt;3),0,RELAÇÃO_DE_CARGA!J27)*I26</f>
        <v>0</v>
      </c>
      <c r="K26" s="83">
        <v>1</v>
      </c>
      <c r="L26" s="34">
        <f>IF(OR($L$1="Vazio",RELAÇÃO_DE_CARGA!$I$1&lt;4),0,RELAÇÃO_DE_CARGA!L27)</f>
        <v>0</v>
      </c>
      <c r="M26" s="34">
        <f>IF(OR($L$1="Vazio",RELAÇÃO_DE_CARGA!$I$1&lt;4),0,RELAÇÃO_DE_CARGA!M27)*L26</f>
        <v>0</v>
      </c>
      <c r="N26" s="83">
        <v>1</v>
      </c>
      <c r="O26" s="34">
        <f>IF(OR($O$1="Vazio",RELAÇÃO_DE_CARGA!$I$1&lt;5),0,RELAÇÃO_DE_CARGA!O27)</f>
        <v>0</v>
      </c>
      <c r="P26" s="34">
        <f>IF(OR($O$1="Vazio",RELAÇÃO_DE_CARGA!$I$1&lt;5),0,RELAÇÃO_DE_CARGA!P27)*O26</f>
        <v>0</v>
      </c>
      <c r="Q26" s="83">
        <v>1</v>
      </c>
      <c r="R26" s="34">
        <f>IF(OR($R$1="Vazio",RELAÇÃO_DE_CARGA!$I$1&lt;6),0,RELAÇÃO_DE_CARGA!R27)</f>
        <v>0</v>
      </c>
      <c r="S26" s="34">
        <f>IF(OR($R$1="Vazio",RELAÇÃO_DE_CARGA!$I$1&lt;6),0,RELAÇÃO_DE_CARGA!S27)*R26</f>
        <v>0</v>
      </c>
      <c r="T26" s="83">
        <v>1</v>
      </c>
      <c r="U26" s="34">
        <f>IF(OR($U$1="Vazio",RELAÇÃO_DE_CARGA!$I$1&lt;7),0,RELAÇÃO_DE_CARGA!U27)</f>
        <v>0</v>
      </c>
      <c r="V26" s="34">
        <f>IF(OR($U$1="Vazio",RELAÇÃO_DE_CARGA!$I$1&lt;7),0,RELAÇÃO_DE_CARGA!V27)*U26</f>
        <v>0</v>
      </c>
      <c r="W26" s="83">
        <v>1</v>
      </c>
      <c r="X26" s="34">
        <f>IF(OR($X$1="Vazio",RELAÇÃO_DE_CARGA!$I$1&lt;8),0,RELAÇÃO_DE_CARGA!X27)</f>
        <v>0</v>
      </c>
      <c r="Y26" s="34">
        <f>IF(OR($X$1="Vazio",RELAÇÃO_DE_CARGA!$I$1&lt;8),0,RELAÇÃO_DE_CARGA!Y27)*X26</f>
        <v>0</v>
      </c>
      <c r="Z26" s="83">
        <v>1</v>
      </c>
      <c r="AA26" s="34">
        <f>IF(OR($AA$1="Vazio",RELAÇÃO_DE_CARGA!$I$1&lt;9),0,RELAÇÃO_DE_CARGA!AA27)</f>
        <v>0</v>
      </c>
      <c r="AB26" s="34">
        <f>IF(OR($AA$1="Vazio",RELAÇÃO_DE_CARGA!$I$1&lt;9),0,RELAÇÃO_DE_CARGA!AB27)*AA26</f>
        <v>0</v>
      </c>
      <c r="AC26" s="83">
        <v>1</v>
      </c>
      <c r="AD26" s="34">
        <f>IF(OR($AD$1="Vazio",RELAÇÃO_DE_CARGA!$I$1&lt;10),0,RELAÇÃO_DE_CARGA!AD27)</f>
        <v>0</v>
      </c>
      <c r="AE26" s="34">
        <f>IF(OR($AD$1="Vazio",RELAÇÃO_DE_CARGA!$I$1&lt;10),0,RELAÇÃO_DE_CARGA!AE27)*AD26</f>
        <v>0</v>
      </c>
      <c r="AF26" s="83">
        <v>1</v>
      </c>
      <c r="AG26" s="34">
        <f>IF(OR($AG$1="Vazio",RELAÇÃO_DE_CARGA!$I$1&lt;11),0,RELAÇÃO_DE_CARGA!AG27)</f>
        <v>0</v>
      </c>
      <c r="AH26" s="34">
        <f>IF(OR($AG$1="Vazio",RELAÇÃO_DE_CARGA!$I$1&lt;11),0,RELAÇÃO_DE_CARGA!AH27)*AG26</f>
        <v>0</v>
      </c>
      <c r="AI26" s="83">
        <v>1</v>
      </c>
      <c r="AJ26" s="34">
        <f>IF(OR($AJ$1="Vazio",RELAÇÃO_DE_CARGA!$I$1&lt;12),0,RELAÇÃO_DE_CARGA!AJ27)</f>
        <v>0</v>
      </c>
      <c r="AK26" s="34">
        <f>IF(OR($AJ$1="Vazio",RELAÇÃO_DE_CARGA!$I$1&lt;12),0,RELAÇÃO_DE_CARGA!AK27)*AJ26</f>
        <v>0</v>
      </c>
      <c r="AL26" s="35"/>
      <c r="AM26" s="35"/>
      <c r="AN26" s="35"/>
      <c r="AO26" s="35"/>
      <c r="AP26" s="35"/>
      <c r="AQ26" s="27" t="s">
        <v>55</v>
      </c>
      <c r="AR26" s="70">
        <f t="shared" si="23"/>
        <v>0</v>
      </c>
      <c r="AS26" s="70">
        <f t="shared" si="24"/>
        <v>0</v>
      </c>
      <c r="AT26" s="70">
        <f t="shared" si="25"/>
        <v>0</v>
      </c>
      <c r="AU26" s="70">
        <f t="shared" si="26"/>
        <v>0</v>
      </c>
      <c r="AV26" s="70">
        <f t="shared" si="27"/>
        <v>0</v>
      </c>
      <c r="AW26" s="70">
        <f t="shared" si="28"/>
        <v>0</v>
      </c>
      <c r="AX26" s="70">
        <f t="shared" si="29"/>
        <v>0</v>
      </c>
      <c r="AY26" s="70">
        <f t="shared" si="30"/>
        <v>0</v>
      </c>
      <c r="AZ26" s="70">
        <f t="shared" si="31"/>
        <v>0</v>
      </c>
      <c r="BA26" s="70">
        <f t="shared" si="32"/>
        <v>0</v>
      </c>
      <c r="BB26" s="70">
        <f t="shared" si="33"/>
        <v>0</v>
      </c>
      <c r="BC26" s="70">
        <f t="shared" si="34"/>
        <v>0</v>
      </c>
      <c r="BD26" s="70">
        <f t="shared" si="35"/>
        <v>0</v>
      </c>
      <c r="BE26" s="70">
        <f t="shared" si="36"/>
        <v>0</v>
      </c>
      <c r="BF26" s="70">
        <f t="shared" si="37"/>
        <v>0</v>
      </c>
      <c r="BG26" s="70">
        <f t="shared" si="38"/>
        <v>0</v>
      </c>
      <c r="BH26" s="70">
        <f t="shared" si="39"/>
        <v>0</v>
      </c>
      <c r="BI26" s="70">
        <f t="shared" si="40"/>
        <v>0</v>
      </c>
      <c r="BJ26" s="70">
        <f t="shared" si="41"/>
        <v>0</v>
      </c>
      <c r="BK26" s="70">
        <f t="shared" si="42"/>
        <v>0</v>
      </c>
      <c r="BL26" s="70">
        <f t="shared" si="43"/>
        <v>0</v>
      </c>
      <c r="BM26" s="70">
        <f t="shared" si="44"/>
        <v>0</v>
      </c>
      <c r="BN26" s="70">
        <f t="shared" si="45"/>
        <v>0</v>
      </c>
      <c r="BO26" s="70">
        <f t="shared" si="46"/>
        <v>0</v>
      </c>
      <c r="BP26" s="51"/>
      <c r="BQ26" s="51" t="s">
        <v>48</v>
      </c>
      <c r="BR26" s="51">
        <f>VLOOKUP(C19+C20,'tab aparelhos'!$N$5:$O$35,2,TRUE)</f>
        <v>0</v>
      </c>
      <c r="BS26" s="51">
        <f>VLOOKUP(F19+F20,'tab aparelhos'!$N$5:$O$35,2,TRUE)</f>
        <v>0</v>
      </c>
      <c r="BT26" s="51">
        <f>VLOOKUP(I19+I20,'tab aparelhos'!$N$5:$O$35,2,TRUE)</f>
        <v>0</v>
      </c>
      <c r="BU26" s="51">
        <f>VLOOKUP(L19+L20,'tab aparelhos'!$N$5:$O$35,2,TRUE)</f>
        <v>0</v>
      </c>
      <c r="BV26" s="51">
        <f>VLOOKUP(O19+O20,'tab aparelhos'!$N$5:$O$35,2,TRUE)</f>
        <v>0</v>
      </c>
      <c r="BW26" s="51">
        <f>VLOOKUP(R19+R20,'tab aparelhos'!$N$5:$O$35,2,TRUE)</f>
        <v>0</v>
      </c>
      <c r="BX26" s="51">
        <f>VLOOKUP(U19+U20,'tab aparelhos'!$N$5:$O$35,2,TRUE)</f>
        <v>0</v>
      </c>
      <c r="BY26" s="51">
        <f>VLOOKUP(X19+X20,'tab aparelhos'!$N$5:$O$35,2,TRUE)</f>
        <v>0</v>
      </c>
      <c r="BZ26" s="51">
        <f>VLOOKUP(AA19+AA20,'tab aparelhos'!$N$5:$O$35,2,TRUE)</f>
        <v>0</v>
      </c>
      <c r="CA26" s="51">
        <f>VLOOKUP(AD19+AD20,'tab aparelhos'!$N$5:$O$35,2,TRUE)</f>
        <v>0</v>
      </c>
      <c r="CB26" s="51">
        <f>VLOOKUP(AG19+AG20,'tab aparelhos'!$N$5:$O$35,2,TRUE)</f>
        <v>0</v>
      </c>
      <c r="CC26" s="51">
        <f>VLOOKUP(AJ19+AJ20,'tab aparelhos'!$N$5:$O$35,2,TRUE)</f>
        <v>0</v>
      </c>
      <c r="CD26" s="128"/>
      <c r="CE26" s="128" t="s">
        <v>49</v>
      </c>
      <c r="CF26" s="51">
        <f>VLOOKUP($C$19+$I$19+$C$20+$I$20,'tab aparelhos'!$N$5:$O$35,2,TRUE)</f>
        <v>0</v>
      </c>
      <c r="CG26" s="51"/>
      <c r="CH26" s="51">
        <f>VLOOKUP($F$19+$L$19+$F$20+$L$20,'tab aparelhos'!$N$5:$O$35,2,TRUE)</f>
        <v>0</v>
      </c>
      <c r="CI26" s="51"/>
      <c r="CJ26" s="51"/>
      <c r="CK26" s="31"/>
      <c r="CL26" s="86"/>
      <c r="CM26" s="203"/>
      <c r="CN26" s="203"/>
      <c r="CO26" s="91"/>
      <c r="CP26" s="62"/>
      <c r="CQ26" s="62"/>
      <c r="CR26" s="86"/>
      <c r="CS26" s="61"/>
      <c r="CT26" s="61"/>
      <c r="CU26" s="86"/>
      <c r="CV26" s="61"/>
      <c r="CW26" s="61"/>
      <c r="CX26" s="86"/>
      <c r="CY26" s="61"/>
      <c r="CZ26" s="61"/>
      <c r="DA26" s="86"/>
      <c r="DB26" s="61"/>
      <c r="DC26" s="61"/>
      <c r="DD26" s="86"/>
      <c r="DE26" s="61"/>
      <c r="DF26" s="61"/>
      <c r="DG26" s="86"/>
      <c r="DH26" s="61"/>
      <c r="DI26" s="61"/>
      <c r="DJ26" s="86"/>
      <c r="DK26" s="203"/>
      <c r="DL26" s="203"/>
      <c r="DM26" s="86"/>
      <c r="DN26" s="61"/>
      <c r="DO26" s="61"/>
      <c r="DP26" s="91"/>
      <c r="DQ26" s="62"/>
      <c r="DR26" s="62"/>
      <c r="DS26" s="290"/>
      <c r="DT26" s="51"/>
      <c r="DV26" s="31"/>
      <c r="DW26" s="86"/>
      <c r="DX26" s="203"/>
      <c r="DY26" s="203"/>
      <c r="DZ26" s="91">
        <f>SUM(DZ8:DZ25)</f>
        <v>0</v>
      </c>
      <c r="EA26" s="62"/>
      <c r="EB26" s="297">
        <f>SUM(EB8:EB25)</f>
        <v>0</v>
      </c>
      <c r="EC26" s="86"/>
      <c r="ED26" s="61"/>
      <c r="EE26" s="61"/>
      <c r="EF26" s="86"/>
      <c r="EG26" s="61"/>
      <c r="EH26" s="61"/>
      <c r="EI26" s="86"/>
      <c r="EJ26" s="61"/>
      <c r="EK26" s="61"/>
      <c r="EL26" s="91">
        <f>SUM(EL8:EL25)</f>
        <v>0</v>
      </c>
      <c r="EM26" s="61"/>
      <c r="EN26" s="61"/>
      <c r="EO26" s="86"/>
      <c r="EP26" s="61"/>
      <c r="EQ26" s="61"/>
      <c r="ER26" s="86"/>
      <c r="ES26" s="61"/>
      <c r="ET26" s="61"/>
      <c r="EU26" s="86"/>
      <c r="EV26" s="203"/>
      <c r="EW26" s="203"/>
      <c r="EX26" s="86"/>
      <c r="EY26" s="61"/>
      <c r="EZ26" s="61"/>
      <c r="FA26" s="91"/>
      <c r="FB26" s="62"/>
      <c r="FC26" s="62"/>
      <c r="FE26" s="51"/>
      <c r="FK26" s="51"/>
      <c r="FM26" s="31"/>
      <c r="FN26" s="86"/>
      <c r="FO26" s="203"/>
      <c r="FP26" s="203"/>
      <c r="FQ26" s="91"/>
      <c r="FR26" s="62"/>
      <c r="FS26" s="62"/>
      <c r="FT26" s="86"/>
      <c r="FU26" s="61"/>
      <c r="FV26" s="61"/>
      <c r="FW26" s="86"/>
      <c r="FX26" s="61"/>
      <c r="FY26" s="61"/>
      <c r="FZ26" s="86"/>
      <c r="GA26" s="61"/>
      <c r="GB26" s="61"/>
      <c r="GC26" s="86"/>
      <c r="GD26" s="61"/>
      <c r="GE26" s="61"/>
      <c r="GF26" s="86"/>
      <c r="GG26" s="61"/>
      <c r="GH26" s="61"/>
      <c r="GI26" s="86"/>
      <c r="GJ26" s="61"/>
      <c r="GK26" s="61"/>
      <c r="GL26" s="86"/>
      <c r="GM26" s="203"/>
      <c r="GN26" s="203"/>
      <c r="GO26" s="86"/>
      <c r="GP26" s="61"/>
      <c r="GQ26" s="61"/>
      <c r="GR26" s="91"/>
      <c r="GS26" s="62"/>
      <c r="GT26" s="62"/>
      <c r="GV26" s="51"/>
      <c r="HB26" s="51"/>
      <c r="HD26" s="31"/>
      <c r="HE26" s="86"/>
      <c r="HF26" s="203"/>
      <c r="HG26" s="203"/>
      <c r="HH26" s="91"/>
      <c r="HI26" s="62"/>
      <c r="HJ26" s="62"/>
      <c r="HK26" s="86"/>
      <c r="HL26" s="61"/>
      <c r="HM26" s="61"/>
      <c r="HN26" s="86"/>
      <c r="HO26" s="61"/>
      <c r="HP26" s="61"/>
      <c r="HQ26" s="86"/>
      <c r="HR26" s="61"/>
      <c r="HS26" s="61"/>
      <c r="HT26" s="86"/>
      <c r="HU26" s="61"/>
      <c r="HV26" s="61"/>
      <c r="HW26" s="86"/>
      <c r="HX26" s="61"/>
      <c r="HY26" s="61"/>
      <c r="HZ26" s="86"/>
      <c r="IA26" s="61"/>
      <c r="IB26" s="61"/>
      <c r="IC26" s="86"/>
      <c r="ID26" s="203"/>
      <c r="IE26" s="203"/>
      <c r="IF26" s="86"/>
      <c r="IG26" s="61"/>
      <c r="IH26" s="61"/>
      <c r="II26" s="91"/>
      <c r="IJ26" s="62"/>
      <c r="IK26" s="62"/>
      <c r="IM26" s="51"/>
    </row>
    <row r="27" spans="1:252" ht="13.5" thickBot="1" x14ac:dyDescent="0.25">
      <c r="A27" s="27" t="s">
        <v>56</v>
      </c>
      <c r="B27" s="83">
        <v>1</v>
      </c>
      <c r="C27" s="34">
        <f>IF($C$1="Vazio",0,RELAÇÃO_DE_CARGA!C28)</f>
        <v>0</v>
      </c>
      <c r="D27" s="34">
        <f>IF($C$1="Vazio",0,RELAÇÃO_DE_CARGA!D28)*C27</f>
        <v>0</v>
      </c>
      <c r="E27" s="83">
        <v>1</v>
      </c>
      <c r="F27" s="34">
        <f>IF($F$1="Vazio",0,RELAÇÃO_DE_CARGA!F28)</f>
        <v>0</v>
      </c>
      <c r="G27" s="34">
        <f>IF($F$1="Vazio",0,RELAÇÃO_DE_CARGA!G28)*F27</f>
        <v>0</v>
      </c>
      <c r="H27" s="83">
        <v>1</v>
      </c>
      <c r="I27" s="34">
        <f>IF(OR($I$1="Vazio",RELAÇÃO_DE_CARGA!$I$1&lt;3),0,RELAÇÃO_DE_CARGA!I28)</f>
        <v>0</v>
      </c>
      <c r="J27" s="34">
        <f>IF(OR($I$1="Vazio",RELAÇÃO_DE_CARGA!$I$1&lt;3),0,RELAÇÃO_DE_CARGA!J28)*I27</f>
        <v>0</v>
      </c>
      <c r="K27" s="83">
        <v>1</v>
      </c>
      <c r="L27" s="34">
        <f>IF(OR($L$1="Vazio",RELAÇÃO_DE_CARGA!$I$1&lt;4),0,RELAÇÃO_DE_CARGA!L28)</f>
        <v>0</v>
      </c>
      <c r="M27" s="34">
        <f>IF(OR($L$1="Vazio",RELAÇÃO_DE_CARGA!$I$1&lt;4),0,RELAÇÃO_DE_CARGA!M28)*L27</f>
        <v>0</v>
      </c>
      <c r="N27" s="83">
        <v>1</v>
      </c>
      <c r="O27" s="34">
        <f>IF(OR($O$1="Vazio",RELAÇÃO_DE_CARGA!$I$1&lt;5),0,RELAÇÃO_DE_CARGA!O28)</f>
        <v>0</v>
      </c>
      <c r="P27" s="34">
        <f>IF(OR($O$1="Vazio",RELAÇÃO_DE_CARGA!$I$1&lt;5),0,RELAÇÃO_DE_CARGA!P28)*O27</f>
        <v>0</v>
      </c>
      <c r="Q27" s="83">
        <v>1</v>
      </c>
      <c r="R27" s="34">
        <f>IF(OR($R$1="Vazio",RELAÇÃO_DE_CARGA!$I$1&lt;6),0,RELAÇÃO_DE_CARGA!R28)</f>
        <v>0</v>
      </c>
      <c r="S27" s="34">
        <f>IF(OR($R$1="Vazio",RELAÇÃO_DE_CARGA!$I$1&lt;6),0,RELAÇÃO_DE_CARGA!S28)*R27</f>
        <v>0</v>
      </c>
      <c r="T27" s="83">
        <v>1</v>
      </c>
      <c r="U27" s="34">
        <f>IF(OR($U$1="Vazio",RELAÇÃO_DE_CARGA!$I$1&lt;7),0,RELAÇÃO_DE_CARGA!U28)</f>
        <v>0</v>
      </c>
      <c r="V27" s="34">
        <f>IF(OR($U$1="Vazio",RELAÇÃO_DE_CARGA!$I$1&lt;7),0,RELAÇÃO_DE_CARGA!V28)*U27</f>
        <v>0</v>
      </c>
      <c r="W27" s="83">
        <v>1</v>
      </c>
      <c r="X27" s="34">
        <f>IF(OR($X$1="Vazio",RELAÇÃO_DE_CARGA!$I$1&lt;8),0,RELAÇÃO_DE_CARGA!X28)</f>
        <v>0</v>
      </c>
      <c r="Y27" s="34">
        <f>IF(OR($X$1="Vazio",RELAÇÃO_DE_CARGA!$I$1&lt;8),0,RELAÇÃO_DE_CARGA!Y28)*X27</f>
        <v>0</v>
      </c>
      <c r="Z27" s="83">
        <v>1</v>
      </c>
      <c r="AA27" s="34">
        <f>IF(OR($AA$1="Vazio",RELAÇÃO_DE_CARGA!$I$1&lt;9),0,RELAÇÃO_DE_CARGA!AA28)</f>
        <v>0</v>
      </c>
      <c r="AB27" s="34">
        <f>IF(OR($AA$1="Vazio",RELAÇÃO_DE_CARGA!$I$1&lt;9),0,RELAÇÃO_DE_CARGA!AB28)*AA27</f>
        <v>0</v>
      </c>
      <c r="AC27" s="83">
        <v>1</v>
      </c>
      <c r="AD27" s="34">
        <f>IF(OR($AD$1="Vazio",RELAÇÃO_DE_CARGA!$I$1&lt;10),0,RELAÇÃO_DE_CARGA!AD28)</f>
        <v>0</v>
      </c>
      <c r="AE27" s="34">
        <f>IF(OR($AD$1="Vazio",RELAÇÃO_DE_CARGA!$I$1&lt;10),0,RELAÇÃO_DE_CARGA!AE28)*AD27</f>
        <v>0</v>
      </c>
      <c r="AF27" s="83">
        <v>1</v>
      </c>
      <c r="AG27" s="34">
        <f>IF(OR($AG$1="Vazio",RELAÇÃO_DE_CARGA!$I$1&lt;11),0,RELAÇÃO_DE_CARGA!AG28)</f>
        <v>0</v>
      </c>
      <c r="AH27" s="34">
        <f>IF(OR($AG$1="Vazio",RELAÇÃO_DE_CARGA!$I$1&lt;11),0,RELAÇÃO_DE_CARGA!AH28)*AG27</f>
        <v>0</v>
      </c>
      <c r="AI27" s="83">
        <v>1</v>
      </c>
      <c r="AJ27" s="34">
        <f>IF(OR($AJ$1="Vazio",RELAÇÃO_DE_CARGA!$I$1&lt;12),0,RELAÇÃO_DE_CARGA!AJ28)</f>
        <v>0</v>
      </c>
      <c r="AK27" s="34">
        <f>IF(OR($AJ$1="Vazio",RELAÇÃO_DE_CARGA!$I$1&lt;12),0,RELAÇÃO_DE_CARGA!AK28)*AJ27</f>
        <v>0</v>
      </c>
      <c r="AL27" s="35"/>
      <c r="AM27" s="35"/>
      <c r="AN27" s="35"/>
      <c r="AO27" s="35"/>
      <c r="AP27" s="35"/>
      <c r="AQ27" s="27" t="s">
        <v>56</v>
      </c>
      <c r="AR27" s="70">
        <f t="shared" si="23"/>
        <v>0</v>
      </c>
      <c r="AS27" s="70">
        <f>D27*BR34/0.9</f>
        <v>0</v>
      </c>
      <c r="AT27" s="70">
        <f t="shared" si="25"/>
        <v>0</v>
      </c>
      <c r="AU27" s="70">
        <f>G27*BS34/0.9</f>
        <v>0</v>
      </c>
      <c r="AV27" s="70">
        <f t="shared" si="27"/>
        <v>0</v>
      </c>
      <c r="AW27" s="70">
        <f>J27*BT34/0.9</f>
        <v>0</v>
      </c>
      <c r="AX27" s="70">
        <f t="shared" si="29"/>
        <v>0</v>
      </c>
      <c r="AY27" s="70">
        <f>M27*BU34/0.9</f>
        <v>0</v>
      </c>
      <c r="AZ27" s="70">
        <f t="shared" si="31"/>
        <v>0</v>
      </c>
      <c r="BA27" s="70">
        <f>P27*BV34/0.9</f>
        <v>0</v>
      </c>
      <c r="BB27" s="70">
        <f t="shared" si="33"/>
        <v>0</v>
      </c>
      <c r="BC27" s="70">
        <f>S27*BW34/0.9</f>
        <v>0</v>
      </c>
      <c r="BD27" s="70">
        <f t="shared" si="35"/>
        <v>0</v>
      </c>
      <c r="BE27" s="70">
        <f>V27*BX34/0.9</f>
        <v>0</v>
      </c>
      <c r="BF27" s="70">
        <f t="shared" si="37"/>
        <v>0</v>
      </c>
      <c r="BG27" s="70">
        <f>Y27*BY34/0.9</f>
        <v>0</v>
      </c>
      <c r="BH27" s="70">
        <f t="shared" si="39"/>
        <v>0</v>
      </c>
      <c r="BI27" s="70">
        <f>AB27*BZ34/0.9</f>
        <v>0</v>
      </c>
      <c r="BJ27" s="70">
        <f t="shared" si="41"/>
        <v>0</v>
      </c>
      <c r="BK27" s="70">
        <f>AE27*CA34/0.9</f>
        <v>0</v>
      </c>
      <c r="BL27" s="70">
        <f t="shared" si="43"/>
        <v>0</v>
      </c>
      <c r="BM27" s="70">
        <f>AH27*CB34/0.9</f>
        <v>0</v>
      </c>
      <c r="BN27" s="70">
        <f t="shared" si="45"/>
        <v>0</v>
      </c>
      <c r="BO27" s="70">
        <f>AK27*CC34/0.9</f>
        <v>0</v>
      </c>
      <c r="BP27" s="51"/>
      <c r="BQ27" s="51" t="s">
        <v>49</v>
      </c>
      <c r="BR27" s="51"/>
      <c r="BS27" s="51"/>
      <c r="BT27" s="51"/>
      <c r="BU27" s="51"/>
      <c r="BV27" s="51"/>
      <c r="BW27" s="51"/>
      <c r="BX27" s="51"/>
      <c r="BY27" s="51"/>
      <c r="BZ27" s="51"/>
      <c r="CA27" s="51"/>
      <c r="CB27" s="51"/>
      <c r="CC27" s="51"/>
      <c r="CD27" s="128"/>
      <c r="CE27" s="128" t="s">
        <v>50</v>
      </c>
      <c r="CF27" s="51">
        <f>VLOOKUP($C$21+$I$21+$C$22+$C$23+$C$24+$I$22+$I$23+$I$24,'tab aparelhos'!$T$5:$U$35,2,TRUE)</f>
        <v>0</v>
      </c>
      <c r="CG27" s="51"/>
      <c r="CH27" s="51">
        <f>VLOOKUP($F$21+$L$21+$F$22+$F$23+$F$24+$L$22+$L$23+$L$24,'tab aparelhos'!$T$5:$U$35,2,TRUE)</f>
        <v>0</v>
      </c>
      <c r="CI27" s="51"/>
      <c r="CJ27" s="51"/>
      <c r="CK27" s="21" t="s">
        <v>60</v>
      </c>
      <c r="CL27" s="85"/>
      <c r="CM27" s="206"/>
      <c r="CN27" s="204"/>
      <c r="CO27" s="204"/>
      <c r="CP27" s="194"/>
      <c r="CQ27" s="194"/>
      <c r="CR27" s="194"/>
      <c r="CS27" s="194"/>
      <c r="CT27" s="21" t="s">
        <v>60</v>
      </c>
      <c r="CU27" s="85"/>
      <c r="CV27" s="206"/>
      <c r="CW27" s="204"/>
      <c r="CX27" s="204"/>
      <c r="CY27" s="194"/>
      <c r="CZ27" s="194"/>
      <c r="DA27" s="194"/>
      <c r="DB27" s="194"/>
      <c r="DC27" s="194"/>
      <c r="DD27" s="194"/>
      <c r="DE27" s="194"/>
      <c r="DF27" s="194"/>
      <c r="DG27" s="194"/>
      <c r="DH27" s="194"/>
      <c r="DI27" s="194"/>
      <c r="DJ27" s="194"/>
      <c r="DK27" s="204"/>
      <c r="DL27" s="204"/>
      <c r="DM27" s="204"/>
      <c r="DN27" s="194"/>
      <c r="DO27" s="194"/>
      <c r="DP27" s="194"/>
      <c r="DQ27" s="194"/>
      <c r="DR27" s="194"/>
      <c r="DS27" s="290"/>
      <c r="DT27" s="51"/>
      <c r="DV27" s="21" t="s">
        <v>60</v>
      </c>
      <c r="DW27" s="85"/>
      <c r="DX27" s="206"/>
      <c r="DY27" s="204"/>
      <c r="DZ27" s="204"/>
      <c r="EA27" s="194"/>
      <c r="EB27" s="194"/>
      <c r="EC27" s="194"/>
      <c r="ED27" s="194"/>
      <c r="EE27" s="194"/>
      <c r="EF27" s="194"/>
      <c r="EG27" s="194"/>
      <c r="EH27" s="194"/>
      <c r="EI27" s="194"/>
      <c r="EJ27" s="194"/>
      <c r="EK27" s="194"/>
      <c r="EL27" s="194"/>
      <c r="EM27" s="194"/>
      <c r="EN27" s="194"/>
      <c r="EO27" s="194"/>
      <c r="EP27" s="194"/>
      <c r="EQ27" s="194"/>
      <c r="ER27" s="194"/>
      <c r="ES27" s="194"/>
      <c r="ET27" s="194"/>
      <c r="EU27" s="194"/>
      <c r="EV27" s="204"/>
      <c r="EW27" s="204"/>
      <c r="EX27" s="204"/>
      <c r="EY27" s="194"/>
      <c r="EZ27" s="194"/>
      <c r="FA27" s="194"/>
      <c r="FB27" s="194"/>
      <c r="FC27" s="194"/>
      <c r="FE27" s="51"/>
      <c r="FK27" s="51"/>
      <c r="FM27" s="21" t="s">
        <v>60</v>
      </c>
      <c r="FN27" s="85"/>
      <c r="FO27" s="206"/>
      <c r="FP27" s="204"/>
      <c r="FQ27" s="204"/>
      <c r="FR27" s="194"/>
      <c r="FS27" s="194"/>
      <c r="FT27" s="194"/>
      <c r="FU27" s="194"/>
      <c r="FV27" s="194"/>
      <c r="FW27" s="194"/>
      <c r="FX27" s="194"/>
      <c r="FY27" s="194"/>
      <c r="FZ27" s="194"/>
      <c r="GA27" s="194"/>
      <c r="GB27" s="194"/>
      <c r="GC27" s="194"/>
      <c r="GD27" s="194"/>
      <c r="GE27" s="194"/>
      <c r="GF27" s="194"/>
      <c r="GG27" s="194"/>
      <c r="GH27" s="194"/>
      <c r="GI27" s="194"/>
      <c r="GJ27" s="194"/>
      <c r="GK27" s="194"/>
      <c r="GL27" s="194"/>
      <c r="GM27" s="204"/>
      <c r="GN27" s="204"/>
      <c r="GO27" s="204"/>
      <c r="GP27" s="194"/>
      <c r="GQ27" s="194"/>
      <c r="GR27" s="194"/>
      <c r="GS27" s="194"/>
      <c r="GT27" s="194"/>
      <c r="GV27" s="51"/>
      <c r="HB27" s="51"/>
      <c r="HD27" s="21" t="s">
        <v>60</v>
      </c>
      <c r="HE27" s="85"/>
      <c r="HF27" s="206"/>
      <c r="HG27" s="204"/>
      <c r="HH27" s="204"/>
      <c r="HI27" s="194"/>
      <c r="HJ27" s="194"/>
      <c r="HK27" s="194"/>
      <c r="HL27" s="194"/>
      <c r="HM27" s="194"/>
      <c r="HN27" s="194"/>
      <c r="HO27" s="194"/>
      <c r="HP27" s="194"/>
      <c r="HQ27" s="194"/>
      <c r="HR27" s="194"/>
      <c r="HS27" s="194"/>
      <c r="HT27" s="194"/>
      <c r="HU27" s="194"/>
      <c r="HV27" s="194"/>
      <c r="HW27" s="194"/>
      <c r="HX27" s="194"/>
      <c r="HY27" s="194"/>
      <c r="HZ27" s="194"/>
      <c r="IA27" s="194"/>
      <c r="IB27" s="194"/>
      <c r="IC27" s="194"/>
      <c r="ID27" s="204"/>
      <c r="IE27" s="204"/>
      <c r="IF27" s="204"/>
      <c r="IG27" s="194"/>
      <c r="IH27" s="194"/>
      <c r="II27" s="194"/>
      <c r="IJ27" s="194"/>
      <c r="IK27" s="194"/>
      <c r="IM27" s="51"/>
    </row>
    <row r="28" spans="1:252" ht="13.5" thickBot="1" x14ac:dyDescent="0.25">
      <c r="A28" s="29" t="s">
        <v>57</v>
      </c>
      <c r="B28" s="83">
        <v>1</v>
      </c>
      <c r="C28" s="34">
        <f>IF($C$1="Vazio",0,RELAÇÃO_DE_CARGA!C29)</f>
        <v>0</v>
      </c>
      <c r="D28" s="34">
        <f>IF($C$1="Vazio",0,RELAÇÃO_DE_CARGA!D29)*C28</f>
        <v>0</v>
      </c>
      <c r="E28" s="83">
        <v>1</v>
      </c>
      <c r="F28" s="34">
        <f>IF($F$1="Vazio",0,RELAÇÃO_DE_CARGA!F29)</f>
        <v>0</v>
      </c>
      <c r="G28" s="34">
        <f>IF($F$1="Vazio",0,RELAÇÃO_DE_CARGA!G29)*F28</f>
        <v>0</v>
      </c>
      <c r="H28" s="83">
        <v>1</v>
      </c>
      <c r="I28" s="34">
        <f>IF(OR($I$1="Vazio",RELAÇÃO_DE_CARGA!$I$1&lt;3),0,RELAÇÃO_DE_CARGA!I29)</f>
        <v>0</v>
      </c>
      <c r="J28" s="34">
        <f>IF(OR($I$1="Vazio",RELAÇÃO_DE_CARGA!$I$1&lt;3),0,RELAÇÃO_DE_CARGA!J29)*I28</f>
        <v>0</v>
      </c>
      <c r="K28" s="83">
        <v>1</v>
      </c>
      <c r="L28" s="34">
        <f>IF(OR($L$1="Vazio",RELAÇÃO_DE_CARGA!$I$1&lt;4),0,RELAÇÃO_DE_CARGA!L29)</f>
        <v>0</v>
      </c>
      <c r="M28" s="34">
        <f>IF(OR($L$1="Vazio",RELAÇÃO_DE_CARGA!$I$1&lt;4),0,RELAÇÃO_DE_CARGA!M29)*L28</f>
        <v>0</v>
      </c>
      <c r="N28" s="83">
        <v>1</v>
      </c>
      <c r="O28" s="34">
        <f>IF(OR($O$1="Vazio",RELAÇÃO_DE_CARGA!$I$1&lt;5),0,RELAÇÃO_DE_CARGA!O29)</f>
        <v>0</v>
      </c>
      <c r="P28" s="34">
        <f>IF(OR($O$1="Vazio",RELAÇÃO_DE_CARGA!$I$1&lt;5),0,RELAÇÃO_DE_CARGA!P29)*O28</f>
        <v>0</v>
      </c>
      <c r="Q28" s="83">
        <v>1</v>
      </c>
      <c r="R28" s="34">
        <f>IF(OR($R$1="Vazio",RELAÇÃO_DE_CARGA!$I$1&lt;6),0,RELAÇÃO_DE_CARGA!R29)</f>
        <v>0</v>
      </c>
      <c r="S28" s="34">
        <f>IF(OR($R$1="Vazio",RELAÇÃO_DE_CARGA!$I$1&lt;6),0,RELAÇÃO_DE_CARGA!S29)*R28</f>
        <v>0</v>
      </c>
      <c r="T28" s="83">
        <v>1</v>
      </c>
      <c r="U28" s="34">
        <f>IF(OR($U$1="Vazio",RELAÇÃO_DE_CARGA!$I$1&lt;7),0,RELAÇÃO_DE_CARGA!U29)</f>
        <v>0</v>
      </c>
      <c r="V28" s="34">
        <f>IF(OR($U$1="Vazio",RELAÇÃO_DE_CARGA!$I$1&lt;7),0,RELAÇÃO_DE_CARGA!V29)*U28</f>
        <v>0</v>
      </c>
      <c r="W28" s="83">
        <v>1</v>
      </c>
      <c r="X28" s="34">
        <f>IF(OR($X$1="Vazio",RELAÇÃO_DE_CARGA!$I$1&lt;8),0,RELAÇÃO_DE_CARGA!X29)</f>
        <v>0</v>
      </c>
      <c r="Y28" s="34">
        <f>IF(OR($X$1="Vazio",RELAÇÃO_DE_CARGA!$I$1&lt;8),0,RELAÇÃO_DE_CARGA!Y29)*X28</f>
        <v>0</v>
      </c>
      <c r="Z28" s="83">
        <v>1</v>
      </c>
      <c r="AA28" s="34">
        <f>IF(OR($AA$1="Vazio",RELAÇÃO_DE_CARGA!$I$1&lt;9),0,RELAÇÃO_DE_CARGA!AA29)</f>
        <v>0</v>
      </c>
      <c r="AB28" s="34">
        <f>IF(OR($AA$1="Vazio",RELAÇÃO_DE_CARGA!$I$1&lt;9),0,RELAÇÃO_DE_CARGA!AB29)*AA28</f>
        <v>0</v>
      </c>
      <c r="AC28" s="83">
        <v>1</v>
      </c>
      <c r="AD28" s="34">
        <f>IF(OR($AD$1="Vazio",RELAÇÃO_DE_CARGA!$I$1&lt;10),0,RELAÇÃO_DE_CARGA!AD29)</f>
        <v>0</v>
      </c>
      <c r="AE28" s="34">
        <f>IF(OR($AD$1="Vazio",RELAÇÃO_DE_CARGA!$I$1&lt;10),0,RELAÇÃO_DE_CARGA!AE29)*AD28</f>
        <v>0</v>
      </c>
      <c r="AF28" s="83">
        <v>1</v>
      </c>
      <c r="AG28" s="34">
        <f>IF(OR($AG$1="Vazio",RELAÇÃO_DE_CARGA!$I$1&lt;11),0,RELAÇÃO_DE_CARGA!AG29)</f>
        <v>0</v>
      </c>
      <c r="AH28" s="34">
        <f>IF(OR($AG$1="Vazio",RELAÇÃO_DE_CARGA!$I$1&lt;11),0,RELAÇÃO_DE_CARGA!AH29)*AG28</f>
        <v>0</v>
      </c>
      <c r="AI28" s="83">
        <v>1</v>
      </c>
      <c r="AJ28" s="34">
        <f>IF(OR($AJ$1="Vazio",RELAÇÃO_DE_CARGA!$I$1&lt;12),0,RELAÇÃO_DE_CARGA!AJ29)</f>
        <v>0</v>
      </c>
      <c r="AK28" s="34">
        <f>IF(OR($AJ$1="Vazio",RELAÇÃO_DE_CARGA!$I$1&lt;12),0,RELAÇÃO_DE_CARGA!AK29)*AJ28</f>
        <v>0</v>
      </c>
      <c r="AL28" s="35"/>
      <c r="AM28" s="35"/>
      <c r="AN28" s="35"/>
      <c r="AO28" s="35"/>
      <c r="AP28" s="35"/>
      <c r="AQ28" s="29" t="s">
        <v>57</v>
      </c>
      <c r="AR28" s="70">
        <f t="shared" si="23"/>
        <v>0</v>
      </c>
      <c r="AS28" s="70">
        <f>D28*BR35/0.9</f>
        <v>0</v>
      </c>
      <c r="AT28" s="70">
        <f t="shared" si="25"/>
        <v>0</v>
      </c>
      <c r="AU28" s="70">
        <f>G28*BS35/0.9</f>
        <v>0</v>
      </c>
      <c r="AV28" s="70">
        <f t="shared" si="27"/>
        <v>0</v>
      </c>
      <c r="AW28" s="70">
        <f>J28*BT35/0.9</f>
        <v>0</v>
      </c>
      <c r="AX28" s="70">
        <f t="shared" si="29"/>
        <v>0</v>
      </c>
      <c r="AY28" s="70">
        <f>M28*BU35/0.9</f>
        <v>0</v>
      </c>
      <c r="AZ28" s="70">
        <f t="shared" si="31"/>
        <v>0</v>
      </c>
      <c r="BA28" s="70">
        <f>P28*BV35/0.9</f>
        <v>0</v>
      </c>
      <c r="BB28" s="70">
        <f t="shared" si="33"/>
        <v>0</v>
      </c>
      <c r="BC28" s="70">
        <f>S28*BW35/0.9</f>
        <v>0</v>
      </c>
      <c r="BD28" s="70">
        <f t="shared" si="35"/>
        <v>0</v>
      </c>
      <c r="BE28" s="70">
        <f>V28*BX35/0.9</f>
        <v>0</v>
      </c>
      <c r="BF28" s="70">
        <f t="shared" si="37"/>
        <v>0</v>
      </c>
      <c r="BG28" s="70">
        <f>Y28*BY35/0.9</f>
        <v>0</v>
      </c>
      <c r="BH28" s="70">
        <f t="shared" si="39"/>
        <v>0</v>
      </c>
      <c r="BI28" s="70">
        <f>AB28*BZ35/0.9</f>
        <v>0</v>
      </c>
      <c r="BJ28" s="70">
        <f t="shared" si="41"/>
        <v>0</v>
      </c>
      <c r="BK28" s="70">
        <f>AE28*CA35/0.9</f>
        <v>0</v>
      </c>
      <c r="BL28" s="70">
        <f t="shared" si="43"/>
        <v>0</v>
      </c>
      <c r="BM28" s="70">
        <f>AH28*CB35/0.9</f>
        <v>0</v>
      </c>
      <c r="BN28" s="70">
        <f t="shared" si="45"/>
        <v>0</v>
      </c>
      <c r="BO28" s="70">
        <f>AK28*CC35/0.9</f>
        <v>0</v>
      </c>
      <c r="BP28" s="51"/>
      <c r="BQ28" s="51" t="s">
        <v>50</v>
      </c>
      <c r="BR28" s="51">
        <f>VLOOKUP(C21+C22+C23+C24,'tab aparelhos'!$T$5:$U$35,2,TRUE)</f>
        <v>0</v>
      </c>
      <c r="BS28" s="51">
        <f>VLOOKUP(F21+F22+F23+F24,'tab aparelhos'!$T$5:$U$35,2,TRUE)</f>
        <v>0</v>
      </c>
      <c r="BT28" s="51">
        <f>VLOOKUP(I21+I22+I23+I24,'tab aparelhos'!$T$5:$U$35,2,TRUE)</f>
        <v>0</v>
      </c>
      <c r="BU28" s="51">
        <f>VLOOKUP(L21+L22+L23+L24,'tab aparelhos'!$T$5:$U$35,2,TRUE)</f>
        <v>0</v>
      </c>
      <c r="BV28" s="51">
        <f>VLOOKUP(SUM(O21:O24),'tab aparelhos'!$T$5:$U$35,2,TRUE)</f>
        <v>0</v>
      </c>
      <c r="BW28" s="51">
        <f>VLOOKUP(SUM(R21:R24),'tab aparelhos'!$T$5:$U$35,2,TRUE)</f>
        <v>0</v>
      </c>
      <c r="BX28" s="51">
        <f>VLOOKUP(SUM(U21:U24),'tab aparelhos'!$T$5:$U$35,2,TRUE)</f>
        <v>0</v>
      </c>
      <c r="BY28" s="51">
        <f>VLOOKUP(SUM(X21:X24),'tab aparelhos'!$T$5:$U$35,2,TRUE)</f>
        <v>0</v>
      </c>
      <c r="BZ28" s="51">
        <f>VLOOKUP(SUM(AA21:AA24),'tab aparelhos'!$T$5:$U$35,2,TRUE)</f>
        <v>0</v>
      </c>
      <c r="CA28" s="51">
        <f>VLOOKUP(SUM(AD21:AD24),'tab aparelhos'!$T$5:$U$35,2,TRUE)</f>
        <v>0</v>
      </c>
      <c r="CB28" s="51">
        <f>VLOOKUP(SUM(AG21:AG24),'tab aparelhos'!$T$5:$U$35,2,TRUE)</f>
        <v>0</v>
      </c>
      <c r="CC28" s="51">
        <f>VLOOKUP(SUM(AJ21:AJ24),'tab aparelhos'!$T$5:$U$35,2,TRUE)</f>
        <v>0</v>
      </c>
      <c r="CD28" s="128"/>
      <c r="CE28" s="128" t="s">
        <v>51</v>
      </c>
      <c r="CF28" s="51">
        <f>VLOOKUP($C$21+$I$21+$C$22+$C$23+$C$24+$I$22+$I$23+$I$24,'tab aparelhos'!$T$5:$U$35,2,TRUE)</f>
        <v>0</v>
      </c>
      <c r="CG28" s="51"/>
      <c r="CH28" s="51">
        <f>VLOOKUP($F$21+$L$21+$F$22+$F$23+$F$24+$L$22+$L$23+$L$24,'tab aparelhos'!$T$5:$U$35,2,TRUE)</f>
        <v>0</v>
      </c>
      <c r="CI28" s="51"/>
      <c r="CJ28" s="51"/>
      <c r="CK28" s="22">
        <v>0.33333333333333298</v>
      </c>
      <c r="CL28" s="83">
        <f>$B$33</f>
        <v>0.61</v>
      </c>
      <c r="CM28" s="679">
        <f>SUM($C$33,$F$33,IF($E$67="TRIFÁSICA",$C$67,0))</f>
        <v>0</v>
      </c>
      <c r="CN28" s="680"/>
      <c r="CO28" s="51">
        <f>IF($CP$60=CK28,((CM28-1)*$BM$39*0.5)+$BM$39,CM28*0.5*$BM$39)</f>
        <v>0</v>
      </c>
      <c r="CP28" s="116">
        <f>IF(CM28&gt;0,1,0)*$A$33</f>
        <v>0</v>
      </c>
      <c r="CQ28" s="679">
        <f>CM28*$BK$39</f>
        <v>0</v>
      </c>
      <c r="CR28" s="680"/>
      <c r="CS28" s="83"/>
      <c r="CT28" s="22">
        <v>0.33333333333333298</v>
      </c>
      <c r="CU28" s="83">
        <f>$B$33</f>
        <v>0.61</v>
      </c>
      <c r="CV28" s="679">
        <f>SUM($C$33,$F$33)</f>
        <v>0</v>
      </c>
      <c r="CW28" s="680"/>
      <c r="CX28" s="51">
        <f>IF($CY$60=CT28,((CV28-1)*$BM$39*0.5)+$BM$39,CV28*0.5*$BM$39)</f>
        <v>0</v>
      </c>
      <c r="CY28" s="116">
        <f>IF(CV28&gt;0,1,0)*$A$33</f>
        <v>0</v>
      </c>
      <c r="CZ28" s="679">
        <f>CV28*$BK$39</f>
        <v>0</v>
      </c>
      <c r="DA28" s="680"/>
      <c r="DB28" s="83"/>
      <c r="DC28" s="689"/>
      <c r="DD28" s="690"/>
      <c r="DE28" s="83"/>
      <c r="DF28" s="691"/>
      <c r="DG28" s="692"/>
      <c r="DH28" s="83"/>
      <c r="DI28" s="691"/>
      <c r="DJ28" s="692"/>
      <c r="DP28"/>
      <c r="DQ28"/>
      <c r="DR28"/>
      <c r="DS28" s="290"/>
      <c r="DT28" s="51"/>
      <c r="DV28" s="22">
        <v>0.33333333333333298</v>
      </c>
      <c r="DW28" s="83">
        <f>$B$33</f>
        <v>0.61</v>
      </c>
      <c r="DX28" s="679">
        <f>SUM(IF($C$1="Residência",$C$33,0),IF($F$1="Residência",$F$33,0),IF($I$1="Residência",$I$33,0),IF($L$1="Residência",$L$33,0))</f>
        <v>0</v>
      </c>
      <c r="DY28" s="680"/>
      <c r="DZ28" s="51">
        <f>IF($EA$60=$DV$28,IF(DX28&gt;0,((DX28-1)*$BM$39*0.5)+$BM$39,DX28*0.5*$BM$39),DX28*0.5*$BM$39)</f>
        <v>0</v>
      </c>
      <c r="EA28" s="116">
        <f>IF(DX28&gt;0,1,0)*$A$33</f>
        <v>0</v>
      </c>
      <c r="EB28" s="679">
        <f>DX28*$BK$39</f>
        <v>0</v>
      </c>
      <c r="EC28" s="680"/>
      <c r="ED28" s="83"/>
      <c r="EG28" s="116"/>
      <c r="EH28" s="679">
        <f>SUM(IF($C$1="Residência",0,$C$33),IF($F$1="Residência",0,$F$33),IF($I$1="Residência",0,$I$33),IF($L$1="Residência",0,$L$33),IF($E$67="TRIFÁSICA",$C$67,0))</f>
        <v>0</v>
      </c>
      <c r="EI28" s="680"/>
      <c r="EJ28" s="51">
        <f>IF($EA$60=$DV$28,IF(AND($EH$28&gt;0,$DX$28&lt;1),(($EH$28-1)*$BM$39*0.5)+$BM$39,$EH$28*0.5*$BM$39),$EH$28*0.5*$BM$39)</f>
        <v>0</v>
      </c>
      <c r="EK28" s="116">
        <f>IF(EH28&gt;0,1,0)*$A$33</f>
        <v>0</v>
      </c>
      <c r="EL28" s="679">
        <f>EH28*$BK$39</f>
        <v>0</v>
      </c>
      <c r="EM28" s="680"/>
      <c r="EN28" s="689"/>
      <c r="EO28" s="690"/>
      <c r="EP28" s="679">
        <f>SUM(IF($C$1="Residência",$C$33,0),IF($F$1="Residência",$F$33,0),IF($I$1="Residência",$I$33,0),IF($L$1="Residência",$L$33,0))</f>
        <v>0</v>
      </c>
      <c r="EQ28" s="680"/>
      <c r="ER28" s="51">
        <f>IF($ES$60=$DV$28,IF(EP28&gt;0,((EP28-1)*$BM$39*0.5)+$BM$39,EP28*0.5*$BM$39),EP28*0.5*$BM$39)</f>
        <v>0</v>
      </c>
      <c r="ES28" s="116">
        <f>IF(EP28&gt;0,1,0)*$A$33</f>
        <v>0</v>
      </c>
      <c r="ET28" s="679">
        <f>EP28*$BK$39</f>
        <v>0</v>
      </c>
      <c r="EU28" s="680"/>
      <c r="EW28" s="679">
        <f>SUM(IF($C$1="Residência",0,$C$33),IF($F$1="Residência",0,$F$33),IF($I$1="Residência",0,$I$33),IF($L$1="Residência",0,$L$33))</f>
        <v>0</v>
      </c>
      <c r="EX28" s="680"/>
      <c r="EY28" s="51">
        <f>IF($ES$60=$DV$28,IF(AND($EW$28&gt;0,$DX$28&lt;1),(($EW$28-1)*$BM$39*0.5)+$BM$39,$EW$28*0.5*$BM$39),$EW$28*0.5*$BM$39)</f>
        <v>0</v>
      </c>
      <c r="EZ28" s="116">
        <f>IF(EW28&gt;0,1,0)*$A$33</f>
        <v>0</v>
      </c>
      <c r="FA28" s="679">
        <f>EW28*$BK$39</f>
        <v>0</v>
      </c>
      <c r="FB28" s="680"/>
      <c r="FC28" s="386"/>
      <c r="FE28" s="51"/>
      <c r="FK28" s="51"/>
      <c r="FM28" s="22">
        <v>0.33333333333333298</v>
      </c>
      <c r="FN28" s="83">
        <f>$B$33</f>
        <v>0.61</v>
      </c>
      <c r="FO28" s="679">
        <f>SUM($C$33,$F$33)</f>
        <v>0</v>
      </c>
      <c r="FP28" s="680"/>
      <c r="FQ28" s="51">
        <f>IF($FR$60=FM28,((FO28-1)*$BM$39*0.5)+$BM$39,FO28*0.5*$BM$39)</f>
        <v>0</v>
      </c>
      <c r="FR28" s="116">
        <f>IF(FO28&gt;0,1,0)*$A$33</f>
        <v>0</v>
      </c>
      <c r="FS28" s="679">
        <f>FO28*$BK$39</f>
        <v>0</v>
      </c>
      <c r="FT28" s="680"/>
      <c r="FU28" s="83"/>
      <c r="FX28" s="83"/>
      <c r="FY28" s="691"/>
      <c r="FZ28" s="692"/>
      <c r="GA28" s="83"/>
      <c r="GB28" s="691"/>
      <c r="GC28" s="692"/>
      <c r="GD28" s="83"/>
      <c r="GE28" s="689"/>
      <c r="GF28" s="690"/>
      <c r="GG28" s="83"/>
      <c r="GH28" s="691"/>
      <c r="GI28" s="692"/>
      <c r="GJ28" s="83"/>
      <c r="GK28" s="691"/>
      <c r="GL28" s="692"/>
      <c r="GV28" s="51"/>
      <c r="HB28" s="51"/>
      <c r="HD28" s="22">
        <v>0.33333333333333298</v>
      </c>
      <c r="HE28" s="83">
        <f>$B$33</f>
        <v>0.61</v>
      </c>
      <c r="HF28" s="679">
        <f>SUM($I$33,$L$33)</f>
        <v>0</v>
      </c>
      <c r="HG28" s="680"/>
      <c r="HH28" s="51">
        <f>IF($HI$60=HD28,((HF28-1)*$BM$39*0.5)+$BM$39,HF28*0.5*$BM$39)</f>
        <v>0</v>
      </c>
      <c r="HI28" s="116">
        <f>IF(HF28&gt;0,1,0)*$A$33</f>
        <v>0</v>
      </c>
      <c r="HJ28" s="679">
        <f>HF28*$BK$39</f>
        <v>0</v>
      </c>
      <c r="HK28" s="680"/>
      <c r="HL28" s="83"/>
      <c r="HO28" s="83"/>
      <c r="HP28" s="691"/>
      <c r="HQ28" s="692"/>
      <c r="HR28" s="83"/>
      <c r="HS28" s="691"/>
      <c r="HT28" s="692"/>
      <c r="HU28" s="83"/>
      <c r="HV28" s="689"/>
      <c r="HW28" s="690"/>
      <c r="HX28" s="83"/>
      <c r="HY28" s="691"/>
      <c r="HZ28" s="692"/>
      <c r="IA28" s="83"/>
      <c r="IB28" s="691"/>
      <c r="IC28" s="692"/>
      <c r="IM28" s="51"/>
    </row>
    <row r="29" spans="1:252" ht="13.5" thickBot="1" x14ac:dyDescent="0.25">
      <c r="A29" s="29" t="s">
        <v>58</v>
      </c>
      <c r="B29" s="83">
        <v>1</v>
      </c>
      <c r="C29" s="34">
        <f>IF($C$1="Vazio",0,RELAÇÃO_DE_CARGA!C30)</f>
        <v>0</v>
      </c>
      <c r="D29" s="34">
        <f>IF($C$1="Vazio",0,RELAÇÃO_DE_CARGA!D30)</f>
        <v>0</v>
      </c>
      <c r="E29" s="83">
        <v>1</v>
      </c>
      <c r="F29" s="34">
        <f>IF($F$1="Vazio",0,RELAÇÃO_DE_CARGA!F30)</f>
        <v>0</v>
      </c>
      <c r="G29" s="34">
        <f>IF($F$1="Vazio",0,RELAÇÃO_DE_CARGA!G30)</f>
        <v>0</v>
      </c>
      <c r="H29" s="83">
        <v>1</v>
      </c>
      <c r="I29" s="34">
        <f>IF(OR($I$1="Vazio",RELAÇÃO_DE_CARGA!$I$1&lt;3),0,RELAÇÃO_DE_CARGA!I30)</f>
        <v>0</v>
      </c>
      <c r="J29" s="34">
        <f>IF(OR($I$1="Vazio",RELAÇÃO_DE_CARGA!$I$1&lt;3),0,RELAÇÃO_DE_CARGA!J30)</f>
        <v>0</v>
      </c>
      <c r="K29" s="83">
        <v>1</v>
      </c>
      <c r="L29" s="34">
        <f>IF(OR($L$1="Vazio",RELAÇÃO_DE_CARGA!$I$1&lt;4),0,RELAÇÃO_DE_CARGA!L30)</f>
        <v>0</v>
      </c>
      <c r="M29" s="34">
        <f>IF(OR($L$1="Vazio",RELAÇÃO_DE_CARGA!$I$1&lt;4),0,RELAÇÃO_DE_CARGA!M30)</f>
        <v>0</v>
      </c>
      <c r="N29" s="83">
        <v>1</v>
      </c>
      <c r="O29" s="34">
        <f>IF(OR($O$1="Vazio",RELAÇÃO_DE_CARGA!$I$1&lt;5),0,RELAÇÃO_DE_CARGA!O30)</f>
        <v>0</v>
      </c>
      <c r="P29" s="34">
        <f>IF(OR($O$1="Vazio",RELAÇÃO_DE_CARGA!$I$1&lt;5),0,RELAÇÃO_DE_CARGA!P30)</f>
        <v>0</v>
      </c>
      <c r="Q29" s="83">
        <v>1</v>
      </c>
      <c r="R29" s="34">
        <f>IF(OR($R$1="Vazio",RELAÇÃO_DE_CARGA!$I$1&lt;6),0,RELAÇÃO_DE_CARGA!R30)</f>
        <v>0</v>
      </c>
      <c r="S29" s="34">
        <f>IF(OR($R$1="Vazio",RELAÇÃO_DE_CARGA!$I$1&lt;6),0,RELAÇÃO_DE_CARGA!S30)*R29</f>
        <v>0</v>
      </c>
      <c r="T29" s="83">
        <v>1</v>
      </c>
      <c r="U29" s="34">
        <f>IF(OR($U$1="Vazio",RELAÇÃO_DE_CARGA!$I$1&lt;7),0,RELAÇÃO_DE_CARGA!U30)</f>
        <v>0</v>
      </c>
      <c r="V29" s="34">
        <f>IF(OR($U$1="Vazio",RELAÇÃO_DE_CARGA!$I$1&lt;7),0,RELAÇÃO_DE_CARGA!V30)</f>
        <v>0</v>
      </c>
      <c r="W29" s="83">
        <v>1</v>
      </c>
      <c r="X29" s="34">
        <f>IF(OR($X$1="Vazio",RELAÇÃO_DE_CARGA!$I$1&lt;8),0,RELAÇÃO_DE_CARGA!X30)</f>
        <v>0</v>
      </c>
      <c r="Y29" s="34">
        <f>IF(OR($X$1="Vazio",RELAÇÃO_DE_CARGA!$I$1&lt;8),0,RELAÇÃO_DE_CARGA!Y30)</f>
        <v>0</v>
      </c>
      <c r="Z29" s="83">
        <v>1</v>
      </c>
      <c r="AA29" s="34">
        <f>IF(OR($AA$1="Vazio",RELAÇÃO_DE_CARGA!$I$1&lt;9),0,RELAÇÃO_DE_CARGA!AA30)</f>
        <v>0</v>
      </c>
      <c r="AB29" s="34">
        <f>IF(OR($AA$1="Vazio",RELAÇÃO_DE_CARGA!$I$1&lt;9),0,RELAÇÃO_DE_CARGA!AB30)</f>
        <v>0</v>
      </c>
      <c r="AC29" s="83">
        <v>1</v>
      </c>
      <c r="AD29" s="34">
        <f>IF(OR($AD$1="Vazio",RELAÇÃO_DE_CARGA!$I$1&lt;10),0,RELAÇÃO_DE_CARGA!AD30)</f>
        <v>0</v>
      </c>
      <c r="AE29" s="34">
        <f>IF(OR($AD$1="Vazio",RELAÇÃO_DE_CARGA!$I$1&lt;10),0,RELAÇÃO_DE_CARGA!AE30)</f>
        <v>0</v>
      </c>
      <c r="AF29" s="83">
        <v>1</v>
      </c>
      <c r="AG29" s="34">
        <f>IF(OR($AG$1="Vazio",RELAÇÃO_DE_CARGA!$I$1&lt;11),0,RELAÇÃO_DE_CARGA!AG30)</f>
        <v>0</v>
      </c>
      <c r="AH29" s="34">
        <f>IF(OR($AG$1="Vazio",RELAÇÃO_DE_CARGA!$I$1&lt;11),0,RELAÇÃO_DE_CARGA!AH30)</f>
        <v>0</v>
      </c>
      <c r="AI29" s="83">
        <v>1</v>
      </c>
      <c r="AJ29" s="34">
        <f>IF(OR($AJ$1="Vazio",RELAÇÃO_DE_CARGA!$I$1&lt;12),0,RELAÇÃO_DE_CARGA!AJ30)</f>
        <v>0</v>
      </c>
      <c r="AK29" s="34">
        <f>IF(OR($AJ$1="Vazio",RELAÇÃO_DE_CARGA!$I$1&lt;12),0,RELAÇÃO_DE_CARGA!AK30)</f>
        <v>0</v>
      </c>
      <c r="AL29" s="35"/>
      <c r="AM29" s="35"/>
      <c r="AN29" s="35"/>
      <c r="AO29" s="35"/>
      <c r="AP29" s="35"/>
      <c r="AQ29" s="29" t="s">
        <v>58</v>
      </c>
      <c r="AR29" s="70">
        <f>C29*D29</f>
        <v>0</v>
      </c>
      <c r="AS29" s="70">
        <f>BR36</f>
        <v>0</v>
      </c>
      <c r="AT29" s="70">
        <f>F29*G29</f>
        <v>0</v>
      </c>
      <c r="AU29" s="70">
        <f>BS36</f>
        <v>0</v>
      </c>
      <c r="AV29" s="70">
        <f>J29*I29</f>
        <v>0</v>
      </c>
      <c r="AW29" s="70">
        <f>BT36</f>
        <v>0</v>
      </c>
      <c r="AX29" s="70">
        <f>L29*M29</f>
        <v>0</v>
      </c>
      <c r="AY29" s="70">
        <f>BU36</f>
        <v>0</v>
      </c>
      <c r="AZ29" s="70">
        <f>O29*P29</f>
        <v>0</v>
      </c>
      <c r="BA29" s="70">
        <f>BV36</f>
        <v>0</v>
      </c>
      <c r="BB29" s="70">
        <f>R29*S29</f>
        <v>0</v>
      </c>
      <c r="BC29" s="70">
        <f>BW36</f>
        <v>0</v>
      </c>
      <c r="BD29" s="70">
        <f>U29*V29</f>
        <v>0</v>
      </c>
      <c r="BE29" s="70">
        <f>BX36</f>
        <v>0</v>
      </c>
      <c r="BF29" s="70">
        <f>X29*Y29</f>
        <v>0</v>
      </c>
      <c r="BG29" s="70">
        <f>BY36</f>
        <v>0</v>
      </c>
      <c r="BH29" s="70">
        <f>AA29*AB29</f>
        <v>0</v>
      </c>
      <c r="BI29" s="70">
        <f>BZ36</f>
        <v>0</v>
      </c>
      <c r="BJ29" s="70">
        <f>AD29*AE29</f>
        <v>0</v>
      </c>
      <c r="BK29" s="70">
        <f>CA36</f>
        <v>0</v>
      </c>
      <c r="BL29" s="70">
        <f>AG29*AH29</f>
        <v>0</v>
      </c>
      <c r="BM29" s="70">
        <f>CB36</f>
        <v>0</v>
      </c>
      <c r="BN29" s="70">
        <f>AJ29*AK29</f>
        <v>0</v>
      </c>
      <c r="BO29" s="70">
        <f>CC36</f>
        <v>0</v>
      </c>
      <c r="BQ29" s="51" t="s">
        <v>51</v>
      </c>
      <c r="BR29" s="51"/>
      <c r="BS29" s="51"/>
      <c r="BT29" s="51"/>
      <c r="BU29" s="51"/>
      <c r="BV29" s="51"/>
      <c r="BW29" s="51"/>
      <c r="BX29" s="51"/>
      <c r="BY29" s="51"/>
      <c r="BZ29" s="51"/>
      <c r="CA29" s="51"/>
      <c r="CB29" s="51"/>
      <c r="CC29" s="51"/>
      <c r="CD29" s="128"/>
      <c r="CE29" s="128" t="s">
        <v>52</v>
      </c>
      <c r="CF29" s="51">
        <f>VLOOKUP($C$21+$I$21+$C$22+$C$23+$C$24+$I$22+$I$23+$I$24,'tab aparelhos'!$T$5:$U$35,2,TRUE)</f>
        <v>0</v>
      </c>
      <c r="CG29" s="51"/>
      <c r="CH29" s="51">
        <f>VLOOKUP($F$21+$L$21+$F$22+$F$23+$F$24+$L$22+$L$23+$L$24,'tab aparelhos'!$T$5:$U$35,2,TRUE)</f>
        <v>0</v>
      </c>
      <c r="CI29" s="51"/>
      <c r="CJ29" s="51"/>
      <c r="CK29" s="22">
        <v>0.5</v>
      </c>
      <c r="CL29" s="83">
        <f>$B$34</f>
        <v>0.66</v>
      </c>
      <c r="CM29" s="679">
        <f>SUM($C$34,$F$34,IF($E$68="TRIFÁSICA",$C$68,0))</f>
        <v>0</v>
      </c>
      <c r="CN29" s="680"/>
      <c r="CO29" s="51">
        <f>IF($CP$60=CK29,IF(CM29&gt;0,((CM29-1)*$BM$40*0.5)+$BM$40,CM29*0.5*$BM$40),CM29*0.5*$BM$40)</f>
        <v>0</v>
      </c>
      <c r="CP29" s="116">
        <f>IF(CM29&gt;0,1,0)*$A$34</f>
        <v>0</v>
      </c>
      <c r="CQ29" s="679">
        <f>CM29*$BK$40</f>
        <v>0</v>
      </c>
      <c r="CR29" s="680"/>
      <c r="CS29" s="83"/>
      <c r="CT29" s="22">
        <v>0.5</v>
      </c>
      <c r="CU29" s="83">
        <f>$B$34</f>
        <v>0.66</v>
      </c>
      <c r="CV29" s="679">
        <f>SUM($C$34,$F$34)</f>
        <v>0</v>
      </c>
      <c r="CW29" s="680"/>
      <c r="CX29" s="51">
        <f>IF($CY$60=CT29,IF(CV29&gt;0,((CV29-1)*$BM$40*0.5)+$BM$40,CV29*0.5*$BM$40),CV29*0.5*$BM$40)</f>
        <v>0</v>
      </c>
      <c r="CY29" s="116">
        <f>IF(CV29&gt;0,1,0)*$A$34</f>
        <v>0</v>
      </c>
      <c r="CZ29" s="679">
        <f>CV29*$BK$40</f>
        <v>0</v>
      </c>
      <c r="DA29" s="680"/>
      <c r="DB29" s="83"/>
      <c r="DC29" s="689"/>
      <c r="DD29" s="690"/>
      <c r="DE29" s="83"/>
      <c r="DF29" s="691"/>
      <c r="DG29" s="692"/>
      <c r="DH29" s="83"/>
      <c r="DI29" s="691"/>
      <c r="DJ29" s="692"/>
      <c r="DP29"/>
      <c r="DQ29"/>
      <c r="DR29"/>
      <c r="DS29" s="290"/>
      <c r="DT29"/>
      <c r="DV29" s="22">
        <v>0.5</v>
      </c>
      <c r="DW29" s="83">
        <f>$B$34</f>
        <v>0.66</v>
      </c>
      <c r="DX29" s="679">
        <f>SUM(IF($C$1="Residência",$C$34,0),IF($F$1="Residência",$F$34,0),IF($I$1="Residência",$I$34,0),IF($L$1="Residência",$L$34,0))</f>
        <v>0</v>
      </c>
      <c r="DY29" s="680"/>
      <c r="DZ29" s="51">
        <f>IF($EA$60=$DV$29,IF(DX29&gt;0,((DX29-1)*$BM$40*0.5)+$BM$40,DX29*0.5*$BM$40),DX29*0.5*$BM$40)</f>
        <v>0</v>
      </c>
      <c r="EA29" s="116">
        <f>IF(DX29&gt;0,1,0)*$A$34</f>
        <v>0</v>
      </c>
      <c r="EB29" s="679">
        <f>DX29*$BK$40</f>
        <v>0</v>
      </c>
      <c r="EC29" s="680"/>
      <c r="ED29" s="83"/>
      <c r="EG29" s="116"/>
      <c r="EH29" s="679">
        <f>SUM(IF($C$1="Residência",0,$C$34),IF($F$1="Residência",0,$F$34),IF($I$1="Residência",0,$I$34),IF($L$1="Residência",0,$L$34),IF($E$68="TRIFÁSICA",$C$68,0))</f>
        <v>0</v>
      </c>
      <c r="EI29" s="680"/>
      <c r="EJ29" s="51">
        <f>IF($EA$60=$DV$29,IF(AND($EH$29&gt;0,$DX$29&lt;1),(($EH$29-1)*$BM$40*0.5)+$BM$40,0),$EH$29*0.5*$BM$40)</f>
        <v>0</v>
      </c>
      <c r="EK29" s="116">
        <f>IF(EH29&gt;0,1,0)*$A$34</f>
        <v>0</v>
      </c>
      <c r="EL29" s="679">
        <f>EH29*$BK$40</f>
        <v>0</v>
      </c>
      <c r="EM29" s="680"/>
      <c r="EN29" s="689"/>
      <c r="EO29" s="690"/>
      <c r="EP29" s="679">
        <f>SUM(IF($C$1="Residência",$C$34,0),IF($F$1="Residência",$F$34,0),IF($I$1="Residência",$I$34,0),IF($L$1="Residência",$L$34,0))</f>
        <v>0</v>
      </c>
      <c r="EQ29" s="680"/>
      <c r="ER29" s="51">
        <f>IF($ES$60=$DV$29,IF(EP29&gt;0,((EP29-1)*$BM$40*0.5)+$BM$40,EP29*0.5*$BM$40),EP29*0.5*$BM$40)</f>
        <v>0</v>
      </c>
      <c r="ES29" s="116">
        <f>IF(EP29&gt;0,1,0)*$A$34</f>
        <v>0</v>
      </c>
      <c r="ET29" s="679">
        <f>EP29*$BK$40</f>
        <v>0</v>
      </c>
      <c r="EU29" s="680"/>
      <c r="EW29" s="679">
        <f>SUM(IF($C$1="Residência",0,$C$34),IF($F$1="Residência",0,$F$34),IF($I$1="Residência",0,$I$34),IF($L$1="Residência",0,$L$34))</f>
        <v>0</v>
      </c>
      <c r="EX29" s="680"/>
      <c r="EY29" s="51">
        <f>IF($ES$60=$DV$29,IF(AND($EW$29&gt;0,$DX$29&lt;1),(($EW$29-1)*$BM$40*0.5)+$BM$40,0),$EW$29*0.5*$BM$40)</f>
        <v>0</v>
      </c>
      <c r="EZ29" s="116">
        <f>IF(EW29&gt;0,1,0)*$A$34</f>
        <v>0</v>
      </c>
      <c r="FA29" s="679">
        <f>EW29*$BK$40</f>
        <v>0</v>
      </c>
      <c r="FB29" s="680"/>
      <c r="FC29" s="386"/>
      <c r="FM29" s="22">
        <v>0.5</v>
      </c>
      <c r="FN29" s="83">
        <f>$B$34</f>
        <v>0.66</v>
      </c>
      <c r="FO29" s="679">
        <f>SUM($C$34,$F$34)</f>
        <v>0</v>
      </c>
      <c r="FP29" s="680"/>
      <c r="FQ29" s="51">
        <f>IF($FR$60=FM29,IF(FO29&gt;0,((FO29-1)*$BM$40*0.5)+$BM$40,0),FO29*0.5*$BM$40)</f>
        <v>0</v>
      </c>
      <c r="FR29" s="116">
        <f>IF(FO29&gt;0,1,0)*$A$34</f>
        <v>0</v>
      </c>
      <c r="FS29" s="679">
        <f>FO29*$BK$40</f>
        <v>0</v>
      </c>
      <c r="FT29" s="680"/>
      <c r="FU29" s="83"/>
      <c r="FX29" s="83"/>
      <c r="FY29" s="691"/>
      <c r="FZ29" s="692"/>
      <c r="GA29" s="83"/>
      <c r="GB29" s="691"/>
      <c r="GC29" s="692"/>
      <c r="GD29" s="83"/>
      <c r="GE29" s="689"/>
      <c r="GF29" s="690"/>
      <c r="GG29" s="83"/>
      <c r="GH29" s="691"/>
      <c r="GI29" s="692"/>
      <c r="GJ29" s="83"/>
      <c r="GK29" s="691"/>
      <c r="GL29" s="692"/>
      <c r="HD29" s="22">
        <v>0.5</v>
      </c>
      <c r="HE29" s="83">
        <f>$B$34</f>
        <v>0.66</v>
      </c>
      <c r="HF29" s="679">
        <f>SUM($I$34,$L$34)</f>
        <v>0</v>
      </c>
      <c r="HG29" s="680"/>
      <c r="HH29" s="51">
        <f>IF($HI$60=HD29,IF(HF29&gt;0,((HF29-1)*$BM$40*0.5)+$BM$40,0),HF29*0.5*$BM$40)</f>
        <v>0</v>
      </c>
      <c r="HI29" s="116">
        <f>IF(HF29&gt;0,1,0)*$A$34</f>
        <v>0</v>
      </c>
      <c r="HJ29" s="679">
        <f>HF29*$BK$40</f>
        <v>0</v>
      </c>
      <c r="HK29" s="680"/>
      <c r="HL29" s="83"/>
      <c r="HO29" s="83"/>
      <c r="HP29" s="691"/>
      <c r="HQ29" s="692"/>
      <c r="HR29" s="83"/>
      <c r="HS29" s="691"/>
      <c r="HT29" s="692"/>
      <c r="HU29" s="83"/>
      <c r="HV29" s="689"/>
      <c r="HW29" s="690"/>
      <c r="HX29" s="83"/>
      <c r="HY29" s="691"/>
      <c r="HZ29" s="692"/>
      <c r="IA29" s="83"/>
      <c r="IB29" s="691"/>
      <c r="IC29" s="692"/>
    </row>
    <row r="30" spans="1:252" ht="13.5" thickBot="1" x14ac:dyDescent="0.25">
      <c r="A30" s="30" t="s">
        <v>59</v>
      </c>
      <c r="B30" s="83">
        <v>1</v>
      </c>
      <c r="C30" s="34">
        <f>IF($C$1="Vazio",0,RELAÇÃO_DE_CARGA!C31)</f>
        <v>0</v>
      </c>
      <c r="D30" s="34">
        <f>IF($C$1="Vazio",0,RELAÇÃO_DE_CARGA!D31)*C30</f>
        <v>0</v>
      </c>
      <c r="E30" s="83">
        <v>1</v>
      </c>
      <c r="F30" s="34">
        <f>IF($F$1="Vazio",0,RELAÇÃO_DE_CARGA!F31)</f>
        <v>0</v>
      </c>
      <c r="G30" s="34">
        <f>IF($F$1="Vazio",0,RELAÇÃO_DE_CARGA!G31)*F30</f>
        <v>0</v>
      </c>
      <c r="H30" s="83">
        <v>1</v>
      </c>
      <c r="I30" s="34">
        <f>IF(OR($I$1="Vazio",RELAÇÃO_DE_CARGA!$I$1&lt;3),0,RELAÇÃO_DE_CARGA!I31)</f>
        <v>0</v>
      </c>
      <c r="J30" s="34">
        <f>IF(OR($I$1="Vazio",RELAÇÃO_DE_CARGA!$I$1&lt;3),0,RELAÇÃO_DE_CARGA!J31)*I30</f>
        <v>0</v>
      </c>
      <c r="K30" s="83">
        <v>1</v>
      </c>
      <c r="L30" s="34">
        <f>IF(OR($L$1="Vazio",RELAÇÃO_DE_CARGA!$I$1&lt;4),0,RELAÇÃO_DE_CARGA!L31)</f>
        <v>0</v>
      </c>
      <c r="M30" s="34">
        <f>IF(OR($L$1="Vazio",RELAÇÃO_DE_CARGA!$I$1&lt;4),0,RELAÇÃO_DE_CARGA!M31)*L30</f>
        <v>0</v>
      </c>
      <c r="N30" s="83">
        <v>1</v>
      </c>
      <c r="O30" s="34">
        <f>IF(OR($O$1="Vazio",RELAÇÃO_DE_CARGA!$I$1&lt;5),0,RELAÇÃO_DE_CARGA!O31)</f>
        <v>0</v>
      </c>
      <c r="P30" s="34">
        <f>IF(OR($O$1="Vazio",RELAÇÃO_DE_CARGA!$I$1&lt;5),0,RELAÇÃO_DE_CARGA!P31)*O30</f>
        <v>0</v>
      </c>
      <c r="Q30" s="83">
        <v>1</v>
      </c>
      <c r="R30" s="34">
        <f>IF(OR($R$1="Vazio",RELAÇÃO_DE_CARGA!$I$1&lt;6),0,RELAÇÃO_DE_CARGA!R31)</f>
        <v>0</v>
      </c>
      <c r="S30" s="34">
        <f>IF(OR($R$1="Vazio",RELAÇÃO_DE_CARGA!$I$1&lt;6),0,RELAÇÃO_DE_CARGA!S31)*R30</f>
        <v>0</v>
      </c>
      <c r="T30" s="83">
        <v>1</v>
      </c>
      <c r="U30" s="34">
        <f>IF(OR($U$1="Vazio",RELAÇÃO_DE_CARGA!$I$1&lt;7),0,RELAÇÃO_DE_CARGA!U31)</f>
        <v>0</v>
      </c>
      <c r="V30" s="34">
        <f>IF(OR($U$1="Vazio",RELAÇÃO_DE_CARGA!$I$1&lt;7),0,RELAÇÃO_DE_CARGA!V31)*U30</f>
        <v>0</v>
      </c>
      <c r="W30" s="83">
        <v>1</v>
      </c>
      <c r="X30" s="34">
        <f>IF(OR($X$1="Vazio",RELAÇÃO_DE_CARGA!$I$1&lt;8),0,RELAÇÃO_DE_CARGA!X31)</f>
        <v>0</v>
      </c>
      <c r="Y30" s="34">
        <f>IF(OR($X$1="Vazio",RELAÇÃO_DE_CARGA!$I$1&lt;8),0,RELAÇÃO_DE_CARGA!Y31)*X30</f>
        <v>0</v>
      </c>
      <c r="Z30" s="83">
        <v>1</v>
      </c>
      <c r="AA30" s="34">
        <f>IF(OR($AA$1="Vazio",RELAÇÃO_DE_CARGA!$I$1&lt;9),0,RELAÇÃO_DE_CARGA!AA31)</f>
        <v>0</v>
      </c>
      <c r="AB30" s="34">
        <f>IF(OR($AA$1="Vazio",RELAÇÃO_DE_CARGA!$I$1&lt;9),0,RELAÇÃO_DE_CARGA!AB31)*AA30</f>
        <v>0</v>
      </c>
      <c r="AC30" s="83">
        <v>1</v>
      </c>
      <c r="AD30" s="34">
        <f>IF(OR($AD$1="Vazio",RELAÇÃO_DE_CARGA!$I$1&lt;10),0,RELAÇÃO_DE_CARGA!AD31)</f>
        <v>0</v>
      </c>
      <c r="AE30" s="34">
        <f>IF(OR($AD$1="Vazio",RELAÇÃO_DE_CARGA!$I$1&lt;10),0,RELAÇÃO_DE_CARGA!AE31)*AD30</f>
        <v>0</v>
      </c>
      <c r="AF30" s="83">
        <v>1</v>
      </c>
      <c r="AG30" s="34">
        <f>IF(OR($AG$1="Vazio",RELAÇÃO_DE_CARGA!$I$1&lt;11),0,RELAÇÃO_DE_CARGA!AG31)</f>
        <v>0</v>
      </c>
      <c r="AH30" s="34">
        <f>IF(OR($AG$1="Vazio",RELAÇÃO_DE_CARGA!$I$1&lt;11),0,RELAÇÃO_DE_CARGA!AH31)*AG30</f>
        <v>0</v>
      </c>
      <c r="AI30" s="83">
        <v>1</v>
      </c>
      <c r="AJ30" s="34">
        <f>IF(OR($AJ$1="Vazio",RELAÇÃO_DE_CARGA!$I$1&lt;12),0,RELAÇÃO_DE_CARGA!AJ31)</f>
        <v>0</v>
      </c>
      <c r="AK30" s="34">
        <f>IF(OR($AJ$1="Vazio",RELAÇÃO_DE_CARGA!$I$1&lt;12),0,RELAÇÃO_DE_CARGA!AK31)*AJ30</f>
        <v>0</v>
      </c>
      <c r="AL30" s="35"/>
      <c r="AM30" s="35"/>
      <c r="AN30" s="35"/>
      <c r="AO30" s="35"/>
      <c r="AP30" s="35"/>
      <c r="AQ30" s="30" t="s">
        <v>59</v>
      </c>
      <c r="AR30" s="70">
        <f t="shared" si="23"/>
        <v>0</v>
      </c>
      <c r="AS30" s="70">
        <f t="shared" si="24"/>
        <v>0</v>
      </c>
      <c r="AT30" s="70">
        <f t="shared" si="25"/>
        <v>0</v>
      </c>
      <c r="AU30" s="70">
        <f t="shared" si="26"/>
        <v>0</v>
      </c>
      <c r="AV30" s="70">
        <f t="shared" si="27"/>
        <v>0</v>
      </c>
      <c r="AW30" s="70">
        <f t="shared" si="28"/>
        <v>0</v>
      </c>
      <c r="AX30" s="70">
        <f t="shared" si="29"/>
        <v>0</v>
      </c>
      <c r="AY30" s="70">
        <f t="shared" si="30"/>
        <v>0</v>
      </c>
      <c r="AZ30" s="70">
        <f t="shared" si="31"/>
        <v>0</v>
      </c>
      <c r="BA30" s="70">
        <f t="shared" si="32"/>
        <v>0</v>
      </c>
      <c r="BB30" s="70">
        <f t="shared" si="33"/>
        <v>0</v>
      </c>
      <c r="BC30" s="70">
        <f t="shared" si="34"/>
        <v>0</v>
      </c>
      <c r="BD30" s="70">
        <f t="shared" si="35"/>
        <v>0</v>
      </c>
      <c r="BE30" s="70">
        <f t="shared" si="36"/>
        <v>0</v>
      </c>
      <c r="BF30" s="70">
        <f t="shared" si="37"/>
        <v>0</v>
      </c>
      <c r="BG30" s="70">
        <f t="shared" si="38"/>
        <v>0</v>
      </c>
      <c r="BH30" s="70">
        <f t="shared" si="39"/>
        <v>0</v>
      </c>
      <c r="BI30" s="70">
        <f t="shared" si="40"/>
        <v>0</v>
      </c>
      <c r="BJ30" s="70">
        <f t="shared" si="41"/>
        <v>0</v>
      </c>
      <c r="BK30" s="70">
        <f t="shared" si="42"/>
        <v>0</v>
      </c>
      <c r="BL30" s="70">
        <f t="shared" si="43"/>
        <v>0</v>
      </c>
      <c r="BM30" s="70">
        <f t="shared" si="44"/>
        <v>0</v>
      </c>
      <c r="BN30" s="70">
        <f t="shared" si="45"/>
        <v>0</v>
      </c>
      <c r="BO30" s="70">
        <f t="shared" si="46"/>
        <v>0</v>
      </c>
      <c r="BP30" s="51"/>
      <c r="BQ30" s="51" t="s">
        <v>52</v>
      </c>
      <c r="BR30" s="51"/>
      <c r="BS30" s="51"/>
      <c r="BT30" s="51"/>
      <c r="BU30" s="51"/>
      <c r="BV30" s="51"/>
      <c r="BW30" s="51"/>
      <c r="BX30" s="51"/>
      <c r="BY30" s="51"/>
      <c r="BZ30" s="51"/>
      <c r="CA30" s="51"/>
      <c r="CB30" s="51"/>
      <c r="CC30" s="51"/>
      <c r="CD30" s="128"/>
      <c r="CE30" s="128" t="s">
        <v>53</v>
      </c>
      <c r="CF30" s="51">
        <f>VLOOKUP($C$21+$I$21+$C$22+$C$23+$C$24+$I$22+$I$23+$I$24,'tab aparelhos'!$T$5:$U$35,2,TRUE)</f>
        <v>0</v>
      </c>
      <c r="CG30" s="51"/>
      <c r="CH30" s="51">
        <f>VLOOKUP($F$21+$L$21+$F$22+$F$23+$F$24+$L$22+$L$23+$L$24,'tab aparelhos'!$T$5:$U$35,2,TRUE)</f>
        <v>0</v>
      </c>
      <c r="CI30" s="51"/>
      <c r="CJ30" s="51"/>
      <c r="CK30" s="22">
        <v>0.75</v>
      </c>
      <c r="CL30" s="83">
        <f>$B$35</f>
        <v>0.66</v>
      </c>
      <c r="CM30" s="679">
        <f>SUM($C$35,$F$35,IF($E$69="TRIFÁSICA",$C$69,0))</f>
        <v>0</v>
      </c>
      <c r="CN30" s="680"/>
      <c r="CO30" s="51">
        <f>IF($CP$60=CK30,IF(CM30&gt;0,((CM30-1)*$BM$41*0.5)+$BM$41,CM30*0.5*$BM$41),CM30*0.5*$BM$41)</f>
        <v>0</v>
      </c>
      <c r="CP30" s="116">
        <f>IF(CM30&gt;0,1,0)*$A$35</f>
        <v>0</v>
      </c>
      <c r="CQ30" s="679">
        <f>CM30*$BK$41</f>
        <v>0</v>
      </c>
      <c r="CR30" s="680"/>
      <c r="CS30" s="83"/>
      <c r="CT30" s="22">
        <v>0.75</v>
      </c>
      <c r="CU30" s="83">
        <f>$B$35</f>
        <v>0.66</v>
      </c>
      <c r="CV30" s="679">
        <f>SUM($C$35,$F$35)</f>
        <v>0</v>
      </c>
      <c r="CW30" s="680"/>
      <c r="CX30" s="51">
        <f>IF($CY$60=CT30,IF(CV30&gt;0,((CV30-1)*$BM$41*0.5)+$BM$41,CV30*0.5*$BM$41),CV30*0.5*$BM$41)</f>
        <v>0</v>
      </c>
      <c r="CY30" s="116">
        <f>IF(CV30&gt;0,1,0)*$A$35</f>
        <v>0</v>
      </c>
      <c r="CZ30" s="679">
        <f>CV30*$BK$41</f>
        <v>0</v>
      </c>
      <c r="DA30" s="680"/>
      <c r="DB30" s="83"/>
      <c r="DC30" s="689"/>
      <c r="DD30" s="690"/>
      <c r="DE30" s="83"/>
      <c r="DF30" s="691"/>
      <c r="DG30" s="692"/>
      <c r="DH30" s="83"/>
      <c r="DI30" s="691"/>
      <c r="DJ30" s="692"/>
      <c r="DP30"/>
      <c r="DQ30"/>
      <c r="DR30"/>
      <c r="DS30" s="290"/>
      <c r="DT30" s="51"/>
      <c r="DV30" s="22">
        <v>0.75</v>
      </c>
      <c r="DW30" s="83">
        <f>$B$35</f>
        <v>0.66</v>
      </c>
      <c r="DX30" s="679">
        <f>SUM(IF($C$1="Residência",$C$35,0),IF($F$1="Residência",$F$35,0),IF($I$1="Residência",$I$35,0),IF($L$1="Residência",$L$35,0))</f>
        <v>0</v>
      </c>
      <c r="DY30" s="680"/>
      <c r="DZ30" s="51">
        <f>IF($EA$60=$DV$30,IF(DX30&gt;0,((DX30-1)*$BM$41*0.5)+$BM$41,DX30*0.5*$BM$41),DX30*0.5*$BM$41)</f>
        <v>0</v>
      </c>
      <c r="EA30" s="116">
        <f>IF(DX30&gt;0,1,0)*$A$35</f>
        <v>0</v>
      </c>
      <c r="EB30" s="679">
        <f>DX30*$BK$41</f>
        <v>0</v>
      </c>
      <c r="EC30" s="680"/>
      <c r="ED30" s="83"/>
      <c r="EG30" s="116"/>
      <c r="EH30" s="679">
        <f>SUM(IF($C$1="Residência",0,$C$35),IF($F$1="Residência",0,$F$35),IF($I$1="Residência",0,$I$35),IF($L$1="Residência",0,$L$35),IF($E$69="TRIFÁSICA",$C$69,0))</f>
        <v>0</v>
      </c>
      <c r="EI30" s="680"/>
      <c r="EJ30" s="51">
        <f>IF($EA$60=$DV$30,IF(AND($EH$30&gt;0,$DX$30&lt;1),(($EH$30-1)*$BM$41*0.5)+$BM$41,$EH$30*0.5*$BM$41),$EH$30*0.5*$BM$41)</f>
        <v>0</v>
      </c>
      <c r="EK30" s="116">
        <f>IF(EH30&gt;0,1,0)*$A$35</f>
        <v>0</v>
      </c>
      <c r="EL30" s="679">
        <f>EH30*$BK$41</f>
        <v>0</v>
      </c>
      <c r="EM30" s="680"/>
      <c r="EN30" s="689"/>
      <c r="EO30" s="690"/>
      <c r="EP30" s="679">
        <f>SUM(IF($C$1="Residência",$C$35,0),IF($F$1="Residência",$F$35,0),IF($I$1="Residência",$I$35,0),IF($L$1="Residência",$L$35,0))</f>
        <v>0</v>
      </c>
      <c r="EQ30" s="680"/>
      <c r="ER30" s="51">
        <f>IF($ES$60=$DV$30,IF(EP30&gt;0,((EP30-1)*$BM$41*0.5)+$BM$41,EP30*0.5*$BM$41),EP30*0.5*$BM$41)</f>
        <v>0</v>
      </c>
      <c r="ES30" s="116">
        <f>IF(EP30&gt;0,1,0)*$A$35</f>
        <v>0</v>
      </c>
      <c r="ET30" s="679">
        <f>EP30*$BK$41</f>
        <v>0</v>
      </c>
      <c r="EU30" s="680"/>
      <c r="EW30" s="679">
        <f>SUM(IF($C$1="Residência",0,$C$35),IF($F$1="Residência",0,$F$35),IF($I$1="Residência",0,$I$35),IF($L$1="Residência",0,$L$35))</f>
        <v>0</v>
      </c>
      <c r="EX30" s="680"/>
      <c r="EY30" s="51">
        <f>IF($ES$60=$DV$30,IF(AND($EW$30&gt;0,$DX$30&lt;1),(($EW$30-1)*$BM$41*0.5)+$BM$41,$EW$30*0.5*$BM$41),$EW$30*0.5*$BM$41)</f>
        <v>0</v>
      </c>
      <c r="EZ30" s="116">
        <f>IF(EW30&gt;0,1,0)*$A$35</f>
        <v>0</v>
      </c>
      <c r="FA30" s="679">
        <f>EW30*$BK$41</f>
        <v>0</v>
      </c>
      <c r="FB30" s="680"/>
      <c r="FC30" s="386"/>
      <c r="FE30" s="51"/>
      <c r="FK30" s="51"/>
      <c r="FM30" s="22">
        <v>0.75</v>
      </c>
      <c r="FN30" s="83">
        <f>$B$35</f>
        <v>0.66</v>
      </c>
      <c r="FO30" s="679">
        <f>SUM($C$35,$F$35)</f>
        <v>0</v>
      </c>
      <c r="FP30" s="680"/>
      <c r="FQ30" s="51">
        <f>IF($FR$60=FM30,IF(FO30&gt;0,((FO30-1)*$BM$41*0.5)+$BM$41,0),FO30*0.5*$BM$41)</f>
        <v>0</v>
      </c>
      <c r="FR30" s="116">
        <f>IF(FO30&gt;0,1,0)*$A$35</f>
        <v>0</v>
      </c>
      <c r="FS30" s="679">
        <f>FO30*$BK$41</f>
        <v>0</v>
      </c>
      <c r="FT30" s="680"/>
      <c r="FU30" s="83"/>
      <c r="FX30" s="83"/>
      <c r="FY30" s="691"/>
      <c r="FZ30" s="692"/>
      <c r="GA30" s="83"/>
      <c r="GB30" s="691"/>
      <c r="GC30" s="692"/>
      <c r="GD30" s="83"/>
      <c r="GE30" s="689"/>
      <c r="GF30" s="690"/>
      <c r="GG30" s="83"/>
      <c r="GH30" s="691"/>
      <c r="GI30" s="692"/>
      <c r="GJ30" s="83"/>
      <c r="GK30" s="691"/>
      <c r="GL30" s="692"/>
      <c r="GV30" s="51"/>
      <c r="HB30" s="51"/>
      <c r="HD30" s="22">
        <v>0.75</v>
      </c>
      <c r="HE30" s="83">
        <f>$B$35</f>
        <v>0.66</v>
      </c>
      <c r="HF30" s="679">
        <f>SUM($I$35,$L$35)</f>
        <v>0</v>
      </c>
      <c r="HG30" s="680"/>
      <c r="HH30" s="51">
        <f>IF($HI$60=HD30,IF(HF30&gt;0,((HF30-1)*$BM$41*0.5)+$BM$41,0),HF30*0.5*$BM$41)</f>
        <v>0</v>
      </c>
      <c r="HI30" s="116">
        <f>IF(HF30&gt;0,1,0)*$A$35</f>
        <v>0</v>
      </c>
      <c r="HJ30" s="679">
        <f>HF30*$BK$41</f>
        <v>0</v>
      </c>
      <c r="HK30" s="680"/>
      <c r="HL30" s="83"/>
      <c r="HO30" s="83"/>
      <c r="HP30" s="691"/>
      <c r="HQ30" s="692"/>
      <c r="HR30" s="83"/>
      <c r="HS30" s="691"/>
      <c r="HT30" s="692"/>
      <c r="HU30" s="83"/>
      <c r="HV30" s="689"/>
      <c r="HW30" s="690"/>
      <c r="HX30" s="83"/>
      <c r="HY30" s="691"/>
      <c r="HZ30" s="692"/>
      <c r="IA30" s="83"/>
      <c r="IB30" s="691"/>
      <c r="IC30" s="692"/>
      <c r="IM30" s="51"/>
    </row>
    <row r="31" spans="1:252" ht="13.5" thickBot="1" x14ac:dyDescent="0.25">
      <c r="A31" s="31"/>
      <c r="B31" s="86"/>
      <c r="C31" s="61">
        <v>1</v>
      </c>
      <c r="D31" s="265">
        <f>IF(AND(D20&lt;1.5,C20&gt;0),37,0)</f>
        <v>0</v>
      </c>
      <c r="E31" s="265">
        <f>IF(AND(D21&lt;2.5,C21&gt;0),49,0)</f>
        <v>0</v>
      </c>
      <c r="F31" s="62">
        <v>2</v>
      </c>
      <c r="G31" s="265">
        <f>IF(AND(G20&lt;1.5,F20&gt;0),38,0)</f>
        <v>0</v>
      </c>
      <c r="H31" s="265">
        <f>IF(AND(G21&lt;2.5,F21&gt;0),50,0)</f>
        <v>0</v>
      </c>
      <c r="I31" s="61">
        <v>3</v>
      </c>
      <c r="J31" s="265">
        <f>IF(AND(J20&lt;1.5,I20&gt;0),39,0)</f>
        <v>0</v>
      </c>
      <c r="K31" s="265">
        <f>IF(AND(J21&lt;2.5,I21&gt;0),51,0)</f>
        <v>0</v>
      </c>
      <c r="L31" s="62">
        <v>4</v>
      </c>
      <c r="M31" s="265">
        <f>IF(AND(M20&lt;1.5,L20&gt;0),40,0)</f>
        <v>0</v>
      </c>
      <c r="N31" s="265">
        <f>IF(AND(M21&lt;2.5,L21&gt;0),52,0)</f>
        <v>0</v>
      </c>
      <c r="O31" s="61">
        <v>5</v>
      </c>
      <c r="P31" s="265">
        <f>IF(AND(P20&lt;1.5,O20&gt;0),41,0)</f>
        <v>0</v>
      </c>
      <c r="Q31" s="265">
        <f>IF(AND(P21&lt;2.5,O21&gt;0),53,0)</f>
        <v>0</v>
      </c>
      <c r="R31" s="62">
        <v>6</v>
      </c>
      <c r="S31" s="265">
        <f>IF(AND(S20&lt;1.5,R20&gt;0),42,0)</f>
        <v>0</v>
      </c>
      <c r="T31" s="265">
        <f>IF(AND(S21&lt;2.5,R21&gt;0),54,0)</f>
        <v>0</v>
      </c>
      <c r="U31" s="61">
        <v>7</v>
      </c>
      <c r="V31" s="265">
        <f>IF(AND(V20&lt;1.5,U20&gt;0),43,0)</f>
        <v>0</v>
      </c>
      <c r="W31" s="265">
        <f>IF(AND(V21&lt;2.5,U21&gt;0),55,0)</f>
        <v>0</v>
      </c>
      <c r="X31" s="62">
        <v>8</v>
      </c>
      <c r="Y31" s="265">
        <f>IF(AND(Y20&lt;1.5,X20&gt;0),44,0)</f>
        <v>0</v>
      </c>
      <c r="Z31" s="265">
        <f>IF(AND(Y21&lt;2.5,X21&gt;0),56,0)</f>
        <v>0</v>
      </c>
      <c r="AA31" s="61">
        <v>9</v>
      </c>
      <c r="AB31" s="265">
        <f>IF(AND(AB20&lt;1.5,AA20&gt;0),45,0)</f>
        <v>0</v>
      </c>
      <c r="AC31" s="265">
        <f>IF(AND(AB21&lt;2.5,AA21&gt;0),57,0)</f>
        <v>0</v>
      </c>
      <c r="AD31" s="62">
        <v>10</v>
      </c>
      <c r="AE31" s="265">
        <f>IF(AND(AE20&lt;1.5,AD20&gt;0),46,0)</f>
        <v>0</v>
      </c>
      <c r="AF31" s="265">
        <f>IF(AND(AE21&lt;2.5,AD21&gt;0),58,0)</f>
        <v>0</v>
      </c>
      <c r="AG31" s="61">
        <v>11</v>
      </c>
      <c r="AH31" s="265">
        <f>IF(AND(AH20&lt;1.5,AG20&gt;0),47,0)</f>
        <v>0</v>
      </c>
      <c r="AI31" s="265">
        <f>IF(AND(AH21&lt;2.5,AG21&gt;0),59,0)</f>
        <v>0</v>
      </c>
      <c r="AJ31" s="62">
        <v>12</v>
      </c>
      <c r="AK31" s="265">
        <f>IF(AND(AK20&lt;1.5,AJ20&gt;0),48,0)</f>
        <v>0</v>
      </c>
      <c r="AL31" s="265">
        <f>IF(AND(AK21&lt;2.5,AJ21&gt;0),60,0)</f>
        <v>0</v>
      </c>
      <c r="AM31" s="62"/>
      <c r="AN31" s="62"/>
      <c r="AO31" s="62"/>
      <c r="AP31" s="62"/>
      <c r="AQ31" s="51"/>
      <c r="AR31" s="51"/>
      <c r="AS31" s="51"/>
      <c r="AT31" s="51"/>
      <c r="AU31" s="51"/>
      <c r="AV31" s="51"/>
      <c r="AW31" s="51"/>
      <c r="AX31" s="51"/>
      <c r="AY31" s="51"/>
      <c r="AZ31" s="70"/>
      <c r="BA31" s="70"/>
      <c r="BB31" s="70"/>
      <c r="BC31" s="70"/>
      <c r="BD31" s="70"/>
      <c r="BE31" s="70"/>
      <c r="BF31" s="70"/>
      <c r="BG31" s="70"/>
      <c r="BH31" s="70"/>
      <c r="BI31" s="70"/>
      <c r="BJ31" s="70"/>
      <c r="BK31" s="70"/>
      <c r="BL31" s="70"/>
      <c r="BM31" s="70"/>
      <c r="BN31" s="70"/>
      <c r="BO31" s="70"/>
      <c r="BP31" s="51"/>
      <c r="BQ31" s="51" t="s">
        <v>53</v>
      </c>
      <c r="BR31" s="51"/>
      <c r="BS31" s="51"/>
      <c r="BT31" s="51"/>
      <c r="BU31" s="51"/>
      <c r="BV31" s="51"/>
      <c r="BW31" s="51"/>
      <c r="BX31" s="51"/>
      <c r="BY31" s="51"/>
      <c r="BZ31" s="51"/>
      <c r="CA31" s="51"/>
      <c r="CB31" s="51"/>
      <c r="CC31" s="51"/>
      <c r="CD31" s="128"/>
      <c r="CE31" s="128" t="s">
        <v>54</v>
      </c>
      <c r="CF31" s="51">
        <f>VLOOKUP(C25+I25,'tab aparelhos'!$AF$5:$AG$35,2,TRUE)</f>
        <v>0</v>
      </c>
      <c r="CG31" s="51"/>
      <c r="CH31" s="51">
        <f>VLOOKUP(F25+L25,'tab aparelhos'!$AF$5:$AG$35,2,TRUE)</f>
        <v>0</v>
      </c>
      <c r="CI31" s="51"/>
      <c r="CJ31" s="51"/>
      <c r="CK31" s="22">
        <v>1</v>
      </c>
      <c r="CL31" s="83">
        <f>$B$36</f>
        <v>0.69</v>
      </c>
      <c r="CM31" s="679">
        <f>SUM($C$36,$F$36,IF($E$70="TRIFÁSICA",$C$70,0))</f>
        <v>0</v>
      </c>
      <c r="CN31" s="680"/>
      <c r="CO31" s="51">
        <f>IF($CP$60=CK31,IF(CM31&gt;0,((CM31-1)*$BM$42*0.5)+$BM$42,CM31*0.5*$BM$42),CM31*0.5*$BM$42)</f>
        <v>0</v>
      </c>
      <c r="CP31" s="116">
        <f>IF(CM31&gt;0,1,0)*$A$36</f>
        <v>0</v>
      </c>
      <c r="CQ31" s="679">
        <f>CM31*$BK$42</f>
        <v>0</v>
      </c>
      <c r="CR31" s="680"/>
      <c r="CS31" s="83"/>
      <c r="CT31" s="22">
        <v>1</v>
      </c>
      <c r="CU31" s="83">
        <f>$B$36</f>
        <v>0.69</v>
      </c>
      <c r="CV31" s="679">
        <f>SUM($C$36,$F$36)</f>
        <v>0</v>
      </c>
      <c r="CW31" s="680"/>
      <c r="CX31" s="51">
        <f>IF($CY$60=CT31,IF(CV31&gt;0,((CV31-1)*$BM$42*0.5)+$BM$42,CV31*0.5*$BM$42),CV31*0.5*$BM$42)</f>
        <v>0</v>
      </c>
      <c r="CY31" s="116">
        <f>IF(CV31&gt;0,1,0)*$A$36</f>
        <v>0</v>
      </c>
      <c r="CZ31" s="679">
        <f>CV31*$BK$42</f>
        <v>0</v>
      </c>
      <c r="DA31" s="680"/>
      <c r="DB31" s="83"/>
      <c r="DC31" s="689"/>
      <c r="DD31" s="690"/>
      <c r="DE31" s="83"/>
      <c r="DF31" s="691"/>
      <c r="DG31" s="692"/>
      <c r="DH31" s="83"/>
      <c r="DI31" s="691"/>
      <c r="DJ31" s="692"/>
      <c r="DO31" t="s">
        <v>1681</v>
      </c>
      <c r="DP31"/>
      <c r="DQ31" t="s">
        <v>0</v>
      </c>
      <c r="DR31" t="s">
        <v>1679</v>
      </c>
      <c r="DS31" s="290" t="s">
        <v>1680</v>
      </c>
      <c r="DT31" s="51"/>
      <c r="DV31" s="22">
        <v>1</v>
      </c>
      <c r="DW31" s="83">
        <f>$B$36</f>
        <v>0.69</v>
      </c>
      <c r="DX31" s="679">
        <f>SUM(IF($C$1="Residência",$C$36,0),IF($F$1="Residência",$F$36,0),IF($I$1="Residência",$I$36,0),IF($L$1="Residência",$L$36,0))</f>
        <v>0</v>
      </c>
      <c r="DY31" s="680"/>
      <c r="DZ31" s="51">
        <f>IF($EA$60=$DV$31,IF(DX31&gt;0,((DX31-1)*$BM$42*0.5)+$BM$42,DX31*0.5*$BM$42),DX31*0.5*$BM$42)</f>
        <v>0</v>
      </c>
      <c r="EA31" s="116">
        <f>IF(DX31&gt;0,1,0)*$A$36</f>
        <v>0</v>
      </c>
      <c r="EB31" s="679">
        <f>DX31*$BK$42</f>
        <v>0</v>
      </c>
      <c r="EC31" s="680"/>
      <c r="ED31" s="83"/>
      <c r="EG31" s="116"/>
      <c r="EH31" s="679">
        <f>SUM(IF($C$1="Residência",0,$C$36),IF($F$1="Residência",0,$F$36),IF($I$1="Residência",0,$I$36),IF($L$1="Residência",0,$L$36),IF($E$70="TRIFÁSICA",$C$70,0))</f>
        <v>0</v>
      </c>
      <c r="EI31" s="680"/>
      <c r="EJ31" s="51">
        <f>IF($EA$60=$DV$31,IF(AND($EH$31&gt;0,$DX$31&lt;1),(($EH$31-1)*$BM$42*0.5)+$BM$42,$EH$31*0.5*$BM$42),$EH$31*0.5*$BM$42)</f>
        <v>0</v>
      </c>
      <c r="EK31" s="116">
        <f>IF(EH31&gt;0,1,0)*$A$36</f>
        <v>0</v>
      </c>
      <c r="EL31" s="679">
        <f>EH31*$BK$42</f>
        <v>0</v>
      </c>
      <c r="EM31" s="680"/>
      <c r="EN31" s="689"/>
      <c r="EO31" s="690"/>
      <c r="EP31" s="679">
        <f>SUM(IF($C$1="Residência",$C$36,0),IF($F$1="Residência",$F$36,0),IF($I$1="Residência",$I$36,0),IF($L$1="Residência",$L$36,0))</f>
        <v>0</v>
      </c>
      <c r="EQ31" s="680"/>
      <c r="ER31" s="51">
        <f>IF($ES$60=$DV$31,IF(EP31&gt;0,((EP31-1)*$BM$42*0.5)+$BM$42,EP31*0.5*$BM$42),EP31*0.5*$BM$42)</f>
        <v>0</v>
      </c>
      <c r="ES31" s="116">
        <f>IF(EP31&gt;0,1,0)*$A$36</f>
        <v>0</v>
      </c>
      <c r="ET31" s="679">
        <f>EP31*$BK$42</f>
        <v>0</v>
      </c>
      <c r="EU31" s="680"/>
      <c r="EW31" s="679">
        <f>SUM(IF($C$1="Residência",0,$C$36),IF($F$1="Residência",0,$F$36),IF($I$1="Residência",0,$I$36),IF($L$1="Residência",0,$L$36))</f>
        <v>0</v>
      </c>
      <c r="EX31" s="680"/>
      <c r="EY31" s="51">
        <f>IF($ES$60=$DV$31,IF(AND($EW$31&gt;0,$DX$31&lt;1),(($EW$31-1)*$BM$42*0.5)+$BM$42,$EW$31*0.5*$BM$42),$EW$31*0.5*$BM$42)</f>
        <v>0</v>
      </c>
      <c r="EZ31" s="116">
        <f>IF(EW31&gt;0,1,0)*$A$36</f>
        <v>0</v>
      </c>
      <c r="FA31" s="679">
        <f>EW31*$BK$42</f>
        <v>0</v>
      </c>
      <c r="FB31" s="680"/>
      <c r="FC31" s="386"/>
      <c r="FE31" s="51"/>
      <c r="FK31" s="51"/>
      <c r="FM31" s="22">
        <v>1</v>
      </c>
      <c r="FN31" s="83">
        <f>$B$36</f>
        <v>0.69</v>
      </c>
      <c r="FO31" s="679">
        <f>SUM($C$36,$F$36)</f>
        <v>0</v>
      </c>
      <c r="FP31" s="680"/>
      <c r="FQ31" s="51">
        <f>IF($FR$60=FM31,IF(FO31&gt;0,((FO31-1)*$BM$42*0.5)+$BM$42,0),FO31*0.5*$BM$42)</f>
        <v>0</v>
      </c>
      <c r="FR31" s="116">
        <f>IF(FO31&gt;0,1,0)*$A$36</f>
        <v>0</v>
      </c>
      <c r="FS31" s="679">
        <f>FO31*$BK$42</f>
        <v>0</v>
      </c>
      <c r="FT31" s="680"/>
      <c r="FU31" s="83"/>
      <c r="FX31" s="83"/>
      <c r="FY31" s="691"/>
      <c r="FZ31" s="692"/>
      <c r="GA31" s="83"/>
      <c r="GB31" s="691"/>
      <c r="GC31" s="692"/>
      <c r="GD31" s="83"/>
      <c r="GE31" s="689"/>
      <c r="GF31" s="690"/>
      <c r="GG31" s="83"/>
      <c r="GH31" s="691"/>
      <c r="GI31" s="692"/>
      <c r="GJ31" s="83"/>
      <c r="GK31" s="691"/>
      <c r="GL31" s="692"/>
      <c r="GV31" s="51"/>
      <c r="HB31" s="51"/>
      <c r="HD31" s="22">
        <v>1</v>
      </c>
      <c r="HE31" s="83">
        <f>$B$36</f>
        <v>0.69</v>
      </c>
      <c r="HF31" s="679">
        <f>SUM($I$36,$L$36)</f>
        <v>0</v>
      </c>
      <c r="HG31" s="680"/>
      <c r="HH31" s="51">
        <f>IF($HI$60=HD31,IF(HF31&gt;0,((HF31-1)*$BM$42*0.5)+$BM$42,0),HF31*0.5*$BM$42)</f>
        <v>0</v>
      </c>
      <c r="HI31" s="116">
        <f>IF(HF31&gt;0,1,0)*$A$36</f>
        <v>0</v>
      </c>
      <c r="HJ31" s="679">
        <f>HF31*$BK$42</f>
        <v>0</v>
      </c>
      <c r="HK31" s="680"/>
      <c r="HL31" s="83"/>
      <c r="HO31" s="83"/>
      <c r="HP31" s="691"/>
      <c r="HQ31" s="692"/>
      <c r="HR31" s="83"/>
      <c r="HS31" s="691"/>
      <c r="HT31" s="692"/>
      <c r="HU31" s="83"/>
      <c r="HV31" s="689"/>
      <c r="HW31" s="690"/>
      <c r="HX31" s="83"/>
      <c r="HY31" s="691"/>
      <c r="HZ31" s="692"/>
      <c r="IA31" s="83"/>
      <c r="IB31" s="691"/>
      <c r="IC31" s="692"/>
      <c r="IM31" s="51"/>
    </row>
    <row r="32" spans="1:252" ht="13.5" thickBot="1" x14ac:dyDescent="0.25">
      <c r="A32" s="21" t="s">
        <v>60</v>
      </c>
      <c r="B32" s="85"/>
      <c r="C32" s="503" t="s">
        <v>75</v>
      </c>
      <c r="D32" s="504"/>
      <c r="E32" s="504"/>
      <c r="F32" s="504"/>
      <c r="G32" s="504"/>
      <c r="H32" s="504"/>
      <c r="I32" s="504"/>
      <c r="J32" s="504"/>
      <c r="K32" s="504"/>
      <c r="L32" s="504"/>
      <c r="M32" s="504"/>
      <c r="N32" s="85"/>
      <c r="O32" s="503" t="s">
        <v>75</v>
      </c>
      <c r="P32" s="504"/>
      <c r="Q32" s="504"/>
      <c r="R32" s="504"/>
      <c r="S32" s="504"/>
      <c r="T32" s="504"/>
      <c r="U32" s="504"/>
      <c r="V32" s="504"/>
      <c r="W32" s="504"/>
      <c r="X32" s="504"/>
      <c r="Y32" s="504"/>
      <c r="Z32" s="85"/>
      <c r="AA32" s="503" t="s">
        <v>75</v>
      </c>
      <c r="AB32" s="504"/>
      <c r="AC32" s="504"/>
      <c r="AD32" s="504"/>
      <c r="AE32" s="504"/>
      <c r="AF32" s="504"/>
      <c r="AG32" s="504"/>
      <c r="AH32" s="504"/>
      <c r="AI32" s="504"/>
      <c r="AJ32" s="504"/>
      <c r="AK32" s="504"/>
      <c r="AL32" s="274"/>
      <c r="AM32" s="274"/>
      <c r="AN32" s="274"/>
      <c r="AO32" s="274"/>
      <c r="AP32" s="274"/>
      <c r="AQ32" s="20" t="s">
        <v>106</v>
      </c>
      <c r="AR32" s="20" t="s">
        <v>107</v>
      </c>
      <c r="AS32" s="72" t="s">
        <v>108</v>
      </c>
      <c r="AT32" s="72" t="s">
        <v>109</v>
      </c>
      <c r="AU32" s="72">
        <v>5</v>
      </c>
      <c r="AV32" s="72">
        <v>6</v>
      </c>
      <c r="AW32" s="72">
        <v>7</v>
      </c>
      <c r="AX32" s="72">
        <v>8</v>
      </c>
      <c r="AY32" s="72">
        <v>9</v>
      </c>
      <c r="AZ32" s="72">
        <v>10</v>
      </c>
      <c r="BA32" s="72">
        <v>11</v>
      </c>
      <c r="BB32" s="72">
        <v>12</v>
      </c>
      <c r="BC32" s="72"/>
      <c r="BD32" s="128" t="s">
        <v>154</v>
      </c>
      <c r="BF32" s="128" t="s">
        <v>155</v>
      </c>
      <c r="BG32" s="123" t="s">
        <v>38</v>
      </c>
      <c r="BH32" s="51"/>
      <c r="BI32" s="51"/>
      <c r="BJ32" s="51"/>
      <c r="BK32" s="51"/>
      <c r="BL32" s="51"/>
      <c r="BM32" s="51"/>
      <c r="BN32" s="51"/>
      <c r="BO32" s="51"/>
      <c r="BP32" s="51"/>
      <c r="BQ32" s="51" t="s">
        <v>54</v>
      </c>
      <c r="BR32" s="51">
        <f>VLOOKUP(C25,'tab aparelhos'!$AF$5:$AG$35,2,TRUE)</f>
        <v>0</v>
      </c>
      <c r="BS32" s="51">
        <f>VLOOKUP(F25,'tab aparelhos'!$AF$5:$AG$35,2,TRUE)</f>
        <v>0</v>
      </c>
      <c r="BT32" s="51">
        <f>VLOOKUP(I25,'tab aparelhos'!$AF$5:$AG$35,2,TRUE)</f>
        <v>0</v>
      </c>
      <c r="BU32" s="51">
        <f>VLOOKUP(L25,'tab aparelhos'!$AF$5:$AG$35,2,TRUE)</f>
        <v>0</v>
      </c>
      <c r="BV32" s="51">
        <f>VLOOKUP(O25,'tab aparelhos'!$AF$5:$AG$35,2,TRUE)</f>
        <v>0</v>
      </c>
      <c r="BW32" s="51">
        <f>VLOOKUP(R25,'tab aparelhos'!$AF$5:$AG$35,2,TRUE)</f>
        <v>0</v>
      </c>
      <c r="BX32" s="51">
        <f>VLOOKUP(U25,'tab aparelhos'!$AF$5:$AG$35,2,TRUE)</f>
        <v>0</v>
      </c>
      <c r="BY32" s="51">
        <f>VLOOKUP(X25,'tab aparelhos'!$AF$5:$AG$35,2,TRUE)</f>
        <v>0</v>
      </c>
      <c r="BZ32" s="51">
        <f>VLOOKUP(AA25,'tab aparelhos'!$AF$5:$AG$35,2,TRUE)</f>
        <v>0</v>
      </c>
      <c r="CA32" s="51">
        <f>VLOOKUP(AD25,'tab aparelhos'!$AF$5:$AG$35,2,TRUE)</f>
        <v>0</v>
      </c>
      <c r="CB32" s="51">
        <f>VLOOKUP(AG25,'tab aparelhos'!$AF$5:$AG$35,2,TRUE)</f>
        <v>0</v>
      </c>
      <c r="CC32" s="51">
        <f>VLOOKUP(AJ25,'tab aparelhos'!$AF$5:$AG$35,2,TRUE)</f>
        <v>0</v>
      </c>
      <c r="CD32" s="128"/>
      <c r="CE32" s="128" t="s">
        <v>55</v>
      </c>
      <c r="CF32" s="51">
        <v>1</v>
      </c>
      <c r="CG32" s="51"/>
      <c r="CH32" s="51">
        <v>1</v>
      </c>
      <c r="CI32" s="51"/>
      <c r="CJ32" s="51"/>
      <c r="CK32" s="22">
        <v>1.5</v>
      </c>
      <c r="CL32" s="83">
        <f>$B$37</f>
        <v>0.71</v>
      </c>
      <c r="CM32" s="679">
        <f>SUM($C$37,$F$37,IF($E$71="TRIFÁSICA",$C$71,0))</f>
        <v>0</v>
      </c>
      <c r="CN32" s="680"/>
      <c r="CO32" s="51">
        <f>IF($CP$60=CK32,IF(CM32&gt;0,((CM32-1)*$BM$43*0.5)+$BM$43,CM32*0.5*$BM$43),CM32*0.5*$BM$43)</f>
        <v>0</v>
      </c>
      <c r="CP32" s="116">
        <f>IF(CM32&gt;0,1,0)*$A$37</f>
        <v>0</v>
      </c>
      <c r="CQ32" s="679">
        <f>CM32*$BK$43</f>
        <v>0</v>
      </c>
      <c r="CR32" s="680"/>
      <c r="CS32" s="83"/>
      <c r="CT32" s="22">
        <v>1.5</v>
      </c>
      <c r="CU32" s="83">
        <f>$B$37</f>
        <v>0.71</v>
      </c>
      <c r="CV32" s="679">
        <f>SUM($C$37,$F$37)</f>
        <v>0</v>
      </c>
      <c r="CW32" s="680"/>
      <c r="CX32" s="51">
        <f>IF($CY$60=CT32,IF(CV32&gt;0,((CV32-1)*$BM$43*0.5)+$BM$43,CV32*0.5*$BM$43),CV32*0.5*$BM$43)</f>
        <v>0</v>
      </c>
      <c r="CY32" s="116">
        <f>IF(CV32&gt;0,1,0)*$A$37</f>
        <v>0</v>
      </c>
      <c r="CZ32" s="679">
        <f>CV32*$BK$43</f>
        <v>0</v>
      </c>
      <c r="DA32" s="680"/>
      <c r="DB32" s="83"/>
      <c r="DC32" s="689"/>
      <c r="DD32" s="690"/>
      <c r="DE32" s="83"/>
      <c r="DF32" s="691"/>
      <c r="DG32" s="692"/>
      <c r="DH32" s="83"/>
      <c r="DI32" s="691"/>
      <c r="DJ32" s="692"/>
      <c r="DO32">
        <v>1</v>
      </c>
      <c r="DP32">
        <f>CENTRO_DE_MEDIÇÃO!I17</f>
        <v>0</v>
      </c>
      <c r="DQ32">
        <f>IF($DP$32="TRIFÁSICO",$CE$93/2/3,$CE$93/2/2)</f>
        <v>0</v>
      </c>
      <c r="DR32">
        <f>IF($DP$32="TRIFÁSICO",$CE$93/2/3,$CE$93/2/2)</f>
        <v>0</v>
      </c>
      <c r="DS32">
        <f>IF($DP$32="TRIFÁSICO",$CE$93/2/3,0)</f>
        <v>0</v>
      </c>
      <c r="DT32" s="51"/>
      <c r="DV32" s="22">
        <v>1.5</v>
      </c>
      <c r="DW32" s="83">
        <f>$B$37</f>
        <v>0.71</v>
      </c>
      <c r="DX32" s="679">
        <f>SUM(IF($C$1="Residência",$C$37,0),IF($F$1="Residência",$F$37,0),IF($I$1="Residência",$I$37,0),IF($L$1="Residência",$L$37,0))</f>
        <v>0</v>
      </c>
      <c r="DY32" s="680"/>
      <c r="DZ32" s="51">
        <f>IF($EA$60=$DV$32,IF(DX32&gt;0,((DX32-1)*$BM$43*0.5)+$BM$43,DX32*0.5*$BM$43),DX32*0.5*$BM$43)</f>
        <v>0</v>
      </c>
      <c r="EA32" s="116">
        <f>IF(DX32&gt;0,1,0)*$A$37</f>
        <v>0</v>
      </c>
      <c r="EB32" s="679">
        <f>DX32*$BK$43</f>
        <v>0</v>
      </c>
      <c r="EC32" s="680"/>
      <c r="ED32" s="83"/>
      <c r="EG32" s="116"/>
      <c r="EH32" s="679">
        <f>SUM(IF($C$1="Residência",0,$C$37),IF($F$1="Residência",0,$F$37),IF($I$1="Residência",0,$I$37),IF($L$1="Residência",0,$L$37),IF($E$71="TRIFÁSICA",$C$71,0))</f>
        <v>0</v>
      </c>
      <c r="EI32" s="680"/>
      <c r="EJ32" s="51">
        <f>IF($EA$60=$DV$32,IF(AND($EH$32&gt;0,$DX$32&lt;1),(($EH$32-1)*$BM$43*0.5)+$BM$43,$EH$32*0.5*$BM$43),$EH$32*0.5*$BM$43)</f>
        <v>0</v>
      </c>
      <c r="EK32" s="116">
        <f>IF(EH32&gt;0,1,0)*$A$37</f>
        <v>0</v>
      </c>
      <c r="EL32" s="679">
        <f>EH32*$BK$43</f>
        <v>0</v>
      </c>
      <c r="EM32" s="680"/>
      <c r="EN32" s="689"/>
      <c r="EO32" s="690"/>
      <c r="EP32" s="679">
        <f>SUM(IF($C$1="Residência",$C$37,0),IF($F$1="Residência",$F$37,0),IF($I$1="Residência",$I$37,0),IF($L$1="Residência",$L$37,0))</f>
        <v>0</v>
      </c>
      <c r="EQ32" s="680"/>
      <c r="ER32" s="51">
        <f>IF($ES$60=$DV$32,IF(EP32&gt;0,((EP32-1)*$BM$43*0.5)+$BM$43,EP32*0.5*$BM$43),EP32*0.5*$BM$43)</f>
        <v>0</v>
      </c>
      <c r="ES32" s="116">
        <f>IF(EP32&gt;0,1,0)*$A$37</f>
        <v>0</v>
      </c>
      <c r="ET32" s="679">
        <f>EP32*$BK$43</f>
        <v>0</v>
      </c>
      <c r="EU32" s="680"/>
      <c r="EW32" s="679">
        <f>SUM(IF($C$1="Residência",0,$C$37),IF($F$1="Residência",0,$F$37),IF($I$1="Residência",0,$I$37),IF($L$1="Residência",0,$L$37))</f>
        <v>0</v>
      </c>
      <c r="EX32" s="680"/>
      <c r="EY32" s="51">
        <f>IF($ES$60=$DV$32,IF(AND($EW$32&gt;0,$DX$32&lt;1),(($EW$32-1)*$BM$43*0.5)+$BM$43,$EW$32*0.5*$BM$43),$EW$32*0.5*$BM$43)</f>
        <v>0</v>
      </c>
      <c r="EZ32" s="116">
        <f>IF(EW32&gt;0,1,0)*$A$37</f>
        <v>0</v>
      </c>
      <c r="FA32" s="679">
        <f>EW32*$BK$43</f>
        <v>0</v>
      </c>
      <c r="FB32" s="680"/>
      <c r="FC32" s="386"/>
      <c r="FE32" s="51"/>
      <c r="FK32" s="51"/>
      <c r="FM32" s="22">
        <v>1.5</v>
      </c>
      <c r="FN32" s="83">
        <f>$B$37</f>
        <v>0.71</v>
      </c>
      <c r="FO32" s="679">
        <f>SUM($C$37,$F$37)</f>
        <v>0</v>
      </c>
      <c r="FP32" s="680"/>
      <c r="FQ32" s="51">
        <f>IF($FR$60=FM32,IF(FO32&gt;0,((FO32-1)*$BM$43*0.5)+$BM$43,0),FO32*0.5*$BM$43)</f>
        <v>0</v>
      </c>
      <c r="FR32" s="116">
        <f>IF(FO32&gt;0,1,0)*$A$37</f>
        <v>0</v>
      </c>
      <c r="FS32" s="679">
        <f>FO32*$BK$43</f>
        <v>0</v>
      </c>
      <c r="FT32" s="680"/>
      <c r="FU32" s="83"/>
      <c r="FX32" s="83"/>
      <c r="FY32" s="691"/>
      <c r="FZ32" s="692"/>
      <c r="GA32" s="83"/>
      <c r="GB32" s="691"/>
      <c r="GC32" s="692"/>
      <c r="GD32" s="83"/>
      <c r="GE32" s="689"/>
      <c r="GF32" s="690"/>
      <c r="GG32" s="83"/>
      <c r="GH32" s="691"/>
      <c r="GI32" s="692"/>
      <c r="GJ32" s="83"/>
      <c r="GK32" s="691"/>
      <c r="GL32" s="692"/>
      <c r="GV32" s="51"/>
      <c r="HB32" s="51"/>
      <c r="HD32" s="22">
        <v>1.5</v>
      </c>
      <c r="HE32" s="83">
        <f>$B$37</f>
        <v>0.71</v>
      </c>
      <c r="HF32" s="679">
        <f>SUM($I$37,$L$37)</f>
        <v>0</v>
      </c>
      <c r="HG32" s="680"/>
      <c r="HH32" s="51">
        <f>IF($HI$60=HD32,IF(HF32&gt;0,((HF32-1)*$BM$43*0.5)+$BM$43,0),HF32*0.5*$BM$43)</f>
        <v>0</v>
      </c>
      <c r="HI32" s="116">
        <f>IF(HF32&gt;0,1,0)*$A$37</f>
        <v>0</v>
      </c>
      <c r="HJ32" s="679">
        <f>HF32*$BK$43</f>
        <v>0</v>
      </c>
      <c r="HK32" s="680"/>
      <c r="HL32" s="83"/>
      <c r="HO32" s="83"/>
      <c r="HP32" s="691"/>
      <c r="HQ32" s="692"/>
      <c r="HR32" s="83"/>
      <c r="HS32" s="691"/>
      <c r="HT32" s="692"/>
      <c r="HU32" s="83"/>
      <c r="HV32" s="689"/>
      <c r="HW32" s="690"/>
      <c r="HX32" s="83"/>
      <c r="HY32" s="691"/>
      <c r="HZ32" s="692"/>
      <c r="IA32" s="83"/>
      <c r="IB32" s="691"/>
      <c r="IC32" s="692"/>
      <c r="IM32" s="51"/>
    </row>
    <row r="33" spans="1:247" ht="13.5" thickBot="1" x14ac:dyDescent="0.25">
      <c r="A33" s="22">
        <v>0.33333333333333298</v>
      </c>
      <c r="B33" s="98">
        <v>0.61</v>
      </c>
      <c r="C33" s="691">
        <f>IF($C$1="Vazio",0,RELAÇÃO_DE_CARGA!C34:D34)</f>
        <v>0</v>
      </c>
      <c r="D33" s="692"/>
      <c r="E33" s="98">
        <v>0.61</v>
      </c>
      <c r="F33" s="713">
        <f>IF($F$1="Vazio",0,RELAÇÃO_DE_CARGA!F34:G34)</f>
        <v>0</v>
      </c>
      <c r="G33" s="714"/>
      <c r="H33" s="98">
        <v>0.61</v>
      </c>
      <c r="I33" s="713">
        <f>IF(OR($I$1="Vazio",RELAÇÃO_DE_CARGA!$I$1&lt;3),0,RELAÇÃO_DE_CARGA!I34:J34)</f>
        <v>0</v>
      </c>
      <c r="J33" s="714"/>
      <c r="K33" s="98">
        <v>0.61</v>
      </c>
      <c r="L33" s="713">
        <f>IF(OR($L$1="Vazio",RELAÇÃO_DE_CARGA!$I$1&lt;4),0,RELAÇÃO_DE_CARGA!L34:M34)</f>
        <v>0</v>
      </c>
      <c r="M33" s="714"/>
      <c r="N33" s="98">
        <v>0.61</v>
      </c>
      <c r="O33" s="691">
        <f>IF(OR($O$1="Vazio",RELAÇÃO_DE_CARGA!$I$1&lt;5),0,RELAÇÃO_DE_CARGA!O34)</f>
        <v>0</v>
      </c>
      <c r="P33" s="692"/>
      <c r="Q33" s="98">
        <v>0.61</v>
      </c>
      <c r="R33" s="713">
        <f>IF(OR($R$1="Vazio",RELAÇÃO_DE_CARGA!$I$1&lt;6),0,RELAÇÃO_DE_CARGA!R34)</f>
        <v>0</v>
      </c>
      <c r="S33" s="714"/>
      <c r="T33" s="98">
        <v>0.61</v>
      </c>
      <c r="U33" s="713">
        <f>IF(OR($U$1="Vazio",RELAÇÃO_DE_CARGA!$I$1&lt;7),0,RELAÇÃO_DE_CARGA!U34)</f>
        <v>0</v>
      </c>
      <c r="V33" s="714"/>
      <c r="W33" s="98">
        <v>0.61</v>
      </c>
      <c r="X33" s="713">
        <f>IF(OR($X$1="Vazio",RELAÇÃO_DE_CARGA!$I$1&lt;8),0,RELAÇÃO_DE_CARGA!X34)</f>
        <v>0</v>
      </c>
      <c r="Y33" s="714"/>
      <c r="Z33" s="98">
        <v>0.61</v>
      </c>
      <c r="AA33" s="713">
        <f>IF(OR($AA$1="Vazio",RELAÇÃO_DE_CARGA!$I$1&lt;9),0,RELAÇÃO_DE_CARGA!AA34)</f>
        <v>0</v>
      </c>
      <c r="AB33" s="714"/>
      <c r="AC33" s="98">
        <v>0.61</v>
      </c>
      <c r="AD33" s="713">
        <f>IF(OR($AD$1="Vazio",RELAÇÃO_DE_CARGA!$I$1&lt;10),0,RELAÇÃO_DE_CARGA!AD34)</f>
        <v>0</v>
      </c>
      <c r="AE33" s="714"/>
      <c r="AF33" s="98">
        <v>0.61</v>
      </c>
      <c r="AG33" s="713">
        <f>IF(OR($AG$1="Vazio",RELAÇÃO_DE_CARGA!$I$1&lt;11),0,RELAÇÃO_DE_CARGA!AG34)</f>
        <v>0</v>
      </c>
      <c r="AH33" s="714"/>
      <c r="AI33" s="98">
        <v>0.61</v>
      </c>
      <c r="AJ33" s="713">
        <f>IF(OR($AJ$1="Vazio",RELAÇÃO_DE_CARGA!$I$1&lt;12),0,RELAÇÃO_DE_CARGA!AJ34)</f>
        <v>0</v>
      </c>
      <c r="AK33" s="714"/>
      <c r="AL33" s="35"/>
      <c r="AM33" s="35"/>
      <c r="AN33" s="35"/>
      <c r="AO33" s="35"/>
      <c r="AP33" s="35"/>
      <c r="AQ33" s="276">
        <f>IF(C33&gt;0,$A33,0)</f>
        <v>0</v>
      </c>
      <c r="AR33" s="276">
        <f>IF(F33&gt;0,$A33,0)</f>
        <v>0</v>
      </c>
      <c r="AS33" s="276">
        <f>IF(I33&gt;0,$A33,0)</f>
        <v>0</v>
      </c>
      <c r="AT33" s="276">
        <f>IF(L33&gt;0,$A33,0)</f>
        <v>0</v>
      </c>
      <c r="AU33" s="276">
        <f>IF(O33&gt;0,$A33,0)</f>
        <v>0</v>
      </c>
      <c r="AV33" s="276">
        <f>IF(R33&gt;0,$A33,0)</f>
        <v>0</v>
      </c>
      <c r="AW33" s="276">
        <f>IF(U33&gt;0,$A33,0)</f>
        <v>0</v>
      </c>
      <c r="AX33" s="276">
        <f>IF(X33&gt;0,$A33,0)</f>
        <v>0</v>
      </c>
      <c r="AY33" s="276">
        <f>IF(AA33&gt;0,$A33,0)</f>
        <v>0</v>
      </c>
      <c r="AZ33" s="276">
        <f>IF(AD33&gt;0,$A33,0)</f>
        <v>0</v>
      </c>
      <c r="BA33" s="276">
        <f>IF(AG33&gt;0,$A33,0)</f>
        <v>0</v>
      </c>
      <c r="BB33" s="276">
        <f>IF(AJ33&gt;0,$A33,0)</f>
        <v>0</v>
      </c>
      <c r="BC33" s="172">
        <f>C33+I33</f>
        <v>0</v>
      </c>
      <c r="BD33" s="128">
        <f>IF(AND(BC33&gt;0,BD34&lt;1,BD35&lt;1,BD36&lt;1,BD37&lt;1,BD38&lt;1,BD39&lt;1,BD54&lt;1,BD40&lt;1,BD55&lt;1,BD41&lt;1,BD56&lt;1,BD42&lt;1,BD57&lt;1,BD43&lt;1,BD58&lt;1,BD44&lt;1,BD59&lt;1,BD45&lt;1,BD60&lt;1,BD46&lt;1,BD61&lt;1,BD47&lt;1,BD62&lt;1,BD48&lt;1,BD63&lt;1,BD49&lt;1,BD64&lt;1),1,0)</f>
        <v>0</v>
      </c>
      <c r="BE33" s="172">
        <f t="shared" ref="BE33:BE48" si="47">F33+L33</f>
        <v>0</v>
      </c>
      <c r="BF33" s="128">
        <f>IF(AND(BE33&gt;0,BF34&lt;1,BF35&lt;1,BF36&lt;1,BF37&lt;1,BF38&lt;1,BF39&lt;1,BF54&lt;1,BF40&lt;1,BF55&lt;1,BF41&lt;1,BF56&lt;1,BF42&lt;1,BF57&lt;1,BF43&lt;1,BF58&lt;1,BF44&lt;1,BF59&lt;1,BF45&lt;1,BF60&lt;1,BF46&lt;1,BF61&lt;1,BF47&lt;1,BF62&lt;1,BF48&lt;1,BF63&lt;1,BF49&lt;1,BF64&lt;1),1,0)</f>
        <v>0</v>
      </c>
      <c r="BG33" s="124" t="s">
        <v>142</v>
      </c>
      <c r="BH33" s="52"/>
      <c r="BI33" s="52"/>
      <c r="BJ33" s="52"/>
      <c r="BK33" s="52"/>
      <c r="BL33" s="52"/>
      <c r="BM33" s="52"/>
      <c r="BN33" s="52"/>
      <c r="BO33" s="52"/>
      <c r="BP33" s="51"/>
      <c r="BQ33" s="51" t="s">
        <v>55</v>
      </c>
      <c r="BR33" s="51">
        <v>1</v>
      </c>
      <c r="BS33" s="51">
        <v>1</v>
      </c>
      <c r="BT33" s="51">
        <v>1</v>
      </c>
      <c r="BU33" s="51">
        <v>1</v>
      </c>
      <c r="BV33" s="51">
        <v>1</v>
      </c>
      <c r="BW33" s="51">
        <v>1</v>
      </c>
      <c r="BX33" s="51">
        <v>1</v>
      </c>
      <c r="BY33" s="51">
        <v>1</v>
      </c>
      <c r="BZ33" s="51">
        <v>1</v>
      </c>
      <c r="CA33" s="51">
        <v>1</v>
      </c>
      <c r="CB33" s="51">
        <v>1</v>
      </c>
      <c r="CC33" s="51">
        <v>1</v>
      </c>
      <c r="CD33" s="128"/>
      <c r="CE33" s="128" t="s">
        <v>56</v>
      </c>
      <c r="CF33" s="51">
        <f>VLOOKUP(C27+I27,'tab ar'!$A$1:$D$9,3,TRUE)</f>
        <v>1</v>
      </c>
      <c r="CG33" s="51"/>
      <c r="CH33" s="51">
        <f>VLOOKUP(F27+L27,'tab ar'!$A$1:$D$9,3,TRUE)</f>
        <v>1</v>
      </c>
      <c r="CI33" s="51"/>
      <c r="CJ33" s="51"/>
      <c r="CK33" s="22">
        <v>2</v>
      </c>
      <c r="CL33" s="83">
        <f>$B$38</f>
        <v>0.72</v>
      </c>
      <c r="CM33" s="679">
        <f>SUM($C$38,$F$38,IF($E$72="TRIFÁSICA",$C$72,0))</f>
        <v>0</v>
      </c>
      <c r="CN33" s="680"/>
      <c r="CO33" s="51">
        <f>IF($CP$60=CK33,IF(CM33&gt;0,((CM33-1)*$BM$44*0.5)+$BM$44,CM33*0.5*$BM$44),CM33*0.5*$BM$44)</f>
        <v>0</v>
      </c>
      <c r="CP33" s="116">
        <f>IF(CM33&gt;0,1,0)*$A$38</f>
        <v>0</v>
      </c>
      <c r="CQ33" s="679">
        <f>CM33*$BK$44</f>
        <v>0</v>
      </c>
      <c r="CR33" s="680"/>
      <c r="CS33" s="83"/>
      <c r="CT33" s="22">
        <v>2</v>
      </c>
      <c r="CU33" s="83">
        <f>$B$38</f>
        <v>0.72</v>
      </c>
      <c r="CV33" s="679">
        <f>SUM($C$38,$F$38)</f>
        <v>0</v>
      </c>
      <c r="CW33" s="680"/>
      <c r="CX33" s="51">
        <f>IF($CY$60=CT33,IF(CV33&gt;0,((CV33-1)*$BM$44*0.5)+$BM$44,CV33*0.5*$BM$44),CV33*0.5*$BM$44)</f>
        <v>0</v>
      </c>
      <c r="CY33" s="116">
        <f>IF(CV33&gt;0,1,0)*$A$38</f>
        <v>0</v>
      </c>
      <c r="CZ33" s="679">
        <f>CV33*$BK$44</f>
        <v>0</v>
      </c>
      <c r="DA33" s="680"/>
      <c r="DB33" s="83"/>
      <c r="DC33" s="689"/>
      <c r="DD33" s="690"/>
      <c r="DE33" s="83"/>
      <c r="DF33" s="691"/>
      <c r="DG33" s="692"/>
      <c r="DH33" s="83"/>
      <c r="DI33" s="691"/>
      <c r="DJ33" s="692"/>
      <c r="DO33">
        <v>3</v>
      </c>
      <c r="DP33">
        <f>CENTRO_DE_MEDIÇÃO!I19</f>
        <v>0</v>
      </c>
      <c r="DQ33">
        <f>IF($DP$33="TRIFÁSICO",$CE$93/2/3,0)</f>
        <v>0</v>
      </c>
      <c r="DR33">
        <f>IF($DP$33="TRIFÁSICO",$CE$93/2/3,$CE$93/2/2)</f>
        <v>0</v>
      </c>
      <c r="DS33">
        <f>IF($DP$33="TRIFÁSICO",$CE$93/2/3,$CE$93/2/2)</f>
        <v>0</v>
      </c>
      <c r="DT33" s="51"/>
      <c r="DV33" s="22">
        <v>2</v>
      </c>
      <c r="DW33" s="83">
        <f>$B$38</f>
        <v>0.72</v>
      </c>
      <c r="DX33" s="679">
        <f>SUM(IF($C$1="Residência",$C$38,0),IF($F$1="Residência",$F$38,0),IF($I$1="Residência",$I$38,0),IF($L$1="Residência",$L$38,0))</f>
        <v>0</v>
      </c>
      <c r="DY33" s="680"/>
      <c r="DZ33" s="51">
        <f>IF($EA$60=$DV$33,IF(DX33&gt;0,((DX33-1)*$BM$44*0.5)+$BM$44,DX33*0.5*$BM$44),DX33*0.5*$BM$44)</f>
        <v>0</v>
      </c>
      <c r="EA33" s="116">
        <f>IF(DX33&gt;0,1,0)*$A$38</f>
        <v>0</v>
      </c>
      <c r="EB33" s="679">
        <f>DX33*$BK$44</f>
        <v>0</v>
      </c>
      <c r="EC33" s="680"/>
      <c r="ED33" s="83"/>
      <c r="EG33" s="116"/>
      <c r="EH33" s="679">
        <f>SUM(IF($C$1="Residência",0,$C$38),IF($F$1="Residência",0,$F$38),IF($I$1="Residência",0,$I$38),IF($L$1="Residência",0,$L$38),IF($E$72="TRIFÁSICA",$C$72,0))</f>
        <v>0</v>
      </c>
      <c r="EI33" s="680"/>
      <c r="EJ33" s="51">
        <f>IF($EA$60=$DV$33,IF(AND($EH$33&gt;0,$DX$33&lt;1),(($EH$33-1)*$BM$44*0.5)+$BM$44,$EH$33*0.5*$BM$44),$EH$33*0.5*$BM$44)</f>
        <v>0</v>
      </c>
      <c r="EK33" s="116">
        <f>IF(EH33&gt;0,1,0)*$A$38</f>
        <v>0</v>
      </c>
      <c r="EL33" s="679">
        <f>EH33*$BK$44</f>
        <v>0</v>
      </c>
      <c r="EM33" s="680"/>
      <c r="EN33" s="689"/>
      <c r="EO33" s="690"/>
      <c r="EP33" s="679">
        <f>SUM(IF($C$1="Residência",$C$38,0),IF($F$1="Residência",$F$38,0),IF($I$1="Residência",$I$38,0),IF($L$1="Residência",$L$38,0))</f>
        <v>0</v>
      </c>
      <c r="EQ33" s="680"/>
      <c r="ER33" s="51">
        <f>IF($ES$60=$DV$33,IF(EP33&gt;0,((EP33-1)*$BM$44*0.5)+$BM$44,EP33*0.5*$BM$44),EP33*0.5*$BM$44)</f>
        <v>0</v>
      </c>
      <c r="ES33" s="116">
        <f>IF(EP33&gt;0,1,0)*$A$38</f>
        <v>0</v>
      </c>
      <c r="ET33" s="679">
        <f>EP33*$BK$44</f>
        <v>0</v>
      </c>
      <c r="EU33" s="680"/>
      <c r="EW33" s="679">
        <f>SUM(IF($C$1="Residência",0,$C$38),IF($F$1="Residência",0,$F$38),IF($I$1="Residência",0,$I$38),IF($L$1="Residência",0,$L$38))</f>
        <v>0</v>
      </c>
      <c r="EX33" s="680"/>
      <c r="EY33" s="51">
        <f>IF($ES$60=$DV$33,IF(AND($EW$33&gt;0,$DX$33&lt;1),(($EW$33-1)*$BM$44*0.5)+$BM$44,$EW$33*0.5*$BM$44),$EW$33*0.5*$BM$44)</f>
        <v>0</v>
      </c>
      <c r="EZ33" s="116">
        <f>IF(EW33&gt;0,1,0)*$A$38</f>
        <v>0</v>
      </c>
      <c r="FA33" s="679">
        <f>EW33*$BK$44</f>
        <v>0</v>
      </c>
      <c r="FB33" s="680"/>
      <c r="FC33" s="386"/>
      <c r="FE33" s="51"/>
      <c r="FK33" s="51"/>
      <c r="FM33" s="22">
        <v>2</v>
      </c>
      <c r="FN33" s="83">
        <f>$B$38</f>
        <v>0.72</v>
      </c>
      <c r="FO33" s="679">
        <f>SUM($C$38,$F$38)</f>
        <v>0</v>
      </c>
      <c r="FP33" s="680"/>
      <c r="FQ33" s="51">
        <f>IF($FR$60=FM33,IF(FO33&gt;0,((FO33-1)*$BM$44*0.5)+$BM$44,0),FO33*0.5*$BM$44)</f>
        <v>0</v>
      </c>
      <c r="FR33" s="116">
        <f>IF(FO33&gt;0,1,0)*$A$38</f>
        <v>0</v>
      </c>
      <c r="FS33" s="679">
        <f>FO33*$BK$44</f>
        <v>0</v>
      </c>
      <c r="FT33" s="680"/>
      <c r="FU33" s="83"/>
      <c r="FX33" s="83"/>
      <c r="FY33" s="691"/>
      <c r="FZ33" s="692"/>
      <c r="GA33" s="83"/>
      <c r="GB33" s="691"/>
      <c r="GC33" s="692"/>
      <c r="GD33" s="83"/>
      <c r="GE33" s="689"/>
      <c r="GF33" s="690"/>
      <c r="GG33" s="83"/>
      <c r="GH33" s="691"/>
      <c r="GI33" s="692"/>
      <c r="GJ33" s="83"/>
      <c r="GK33" s="691"/>
      <c r="GL33" s="692"/>
      <c r="GV33" s="51"/>
      <c r="HB33" s="51"/>
      <c r="HD33" s="22">
        <v>2</v>
      </c>
      <c r="HE33" s="83">
        <f>$B$38</f>
        <v>0.72</v>
      </c>
      <c r="HF33" s="679">
        <f>SUM($I$38,$L$38)</f>
        <v>0</v>
      </c>
      <c r="HG33" s="680"/>
      <c r="HH33" s="51">
        <f>IF($HI$60=HD33,IF(HF33&gt;0,((HF33-1)*$BM$44*0.5)+$BM$44,0),HF33*0.5*$BM$44)</f>
        <v>0</v>
      </c>
      <c r="HI33" s="116">
        <f>IF(HF33&gt;0,1,0)*$A$38</f>
        <v>0</v>
      </c>
      <c r="HJ33" s="679">
        <f>HF33*$BK$44</f>
        <v>0</v>
      </c>
      <c r="HK33" s="680"/>
      <c r="HL33" s="83"/>
      <c r="HO33" s="83"/>
      <c r="HP33" s="691"/>
      <c r="HQ33" s="692"/>
      <c r="HR33" s="83"/>
      <c r="HS33" s="691"/>
      <c r="HT33" s="692"/>
      <c r="HU33" s="83"/>
      <c r="HV33" s="689"/>
      <c r="HW33" s="690"/>
      <c r="HX33" s="83"/>
      <c r="HY33" s="691"/>
      <c r="HZ33" s="692"/>
      <c r="IA33" s="83"/>
      <c r="IB33" s="691"/>
      <c r="IC33" s="692"/>
      <c r="IM33" s="51"/>
    </row>
    <row r="34" spans="1:247" ht="13.5" thickBot="1" x14ac:dyDescent="0.25">
      <c r="A34" s="22">
        <v>0.5</v>
      </c>
      <c r="B34" s="98">
        <v>0.66</v>
      </c>
      <c r="C34" s="691">
        <f>IF($C$1="Vazio",0,RELAÇÃO_DE_CARGA!C35:D35)</f>
        <v>0</v>
      </c>
      <c r="D34" s="692"/>
      <c r="E34" s="98">
        <v>0.66</v>
      </c>
      <c r="F34" s="713">
        <f>IF($F$1="Vazio",0,RELAÇÃO_DE_CARGA!F35:G35)</f>
        <v>0</v>
      </c>
      <c r="G34" s="714"/>
      <c r="H34" s="98">
        <v>0.66</v>
      </c>
      <c r="I34" s="713">
        <f>IF(OR($I$1="Vazio",RELAÇÃO_DE_CARGA!$I$1&lt;3),0,RELAÇÃO_DE_CARGA!I35:J35)</f>
        <v>0</v>
      </c>
      <c r="J34" s="714"/>
      <c r="K34" s="98">
        <v>0.66</v>
      </c>
      <c r="L34" s="713">
        <f>IF(OR($L$1="Vazio",RELAÇÃO_DE_CARGA!$I$1&lt;4),0,RELAÇÃO_DE_CARGA!L35:M35)</f>
        <v>0</v>
      </c>
      <c r="M34" s="714"/>
      <c r="N34" s="98">
        <v>0.66</v>
      </c>
      <c r="O34" s="691">
        <f>IF(OR($O$1="Vazio",RELAÇÃO_DE_CARGA!$I$1&lt;5),0,RELAÇÃO_DE_CARGA!O35)</f>
        <v>0</v>
      </c>
      <c r="P34" s="692"/>
      <c r="Q34" s="98">
        <v>0.66</v>
      </c>
      <c r="R34" s="713">
        <f>IF(OR($R$1="Vazio",RELAÇÃO_DE_CARGA!$I$1&lt;6),0,RELAÇÃO_DE_CARGA!R35)</f>
        <v>0</v>
      </c>
      <c r="S34" s="714"/>
      <c r="T34" s="98">
        <v>0.66</v>
      </c>
      <c r="U34" s="713">
        <f>IF(OR($U$1="Vazio",RELAÇÃO_DE_CARGA!$I$1&lt;7),0,RELAÇÃO_DE_CARGA!U35)</f>
        <v>0</v>
      </c>
      <c r="V34" s="714"/>
      <c r="W34" s="98">
        <v>0.66</v>
      </c>
      <c r="X34" s="713">
        <f>IF(OR($X$1="Vazio",RELAÇÃO_DE_CARGA!$I$1&lt;8),0,RELAÇÃO_DE_CARGA!X35)</f>
        <v>0</v>
      </c>
      <c r="Y34" s="714"/>
      <c r="Z34" s="98">
        <v>0.66</v>
      </c>
      <c r="AA34" s="713">
        <f>IF(OR($AA$1="Vazio",RELAÇÃO_DE_CARGA!$I$1&lt;9),0,RELAÇÃO_DE_CARGA!AA35)</f>
        <v>0</v>
      </c>
      <c r="AB34" s="714"/>
      <c r="AC34" s="98">
        <v>0.66</v>
      </c>
      <c r="AD34" s="713">
        <f>IF(OR($AD$1="Vazio",RELAÇÃO_DE_CARGA!$I$1&lt;10),0,RELAÇÃO_DE_CARGA!AD35)</f>
        <v>0</v>
      </c>
      <c r="AE34" s="714"/>
      <c r="AF34" s="98">
        <v>0.66</v>
      </c>
      <c r="AG34" s="713">
        <f>IF(OR($AG$1="Vazio",RELAÇÃO_DE_CARGA!$I$1&lt;11),0,RELAÇÃO_DE_CARGA!AG35)</f>
        <v>0</v>
      </c>
      <c r="AH34" s="714"/>
      <c r="AI34" s="98">
        <v>0.66</v>
      </c>
      <c r="AJ34" s="713">
        <f>IF(OR($AJ$1="Vazio",RELAÇÃO_DE_CARGA!$I$1&lt;12),0,RELAÇÃO_DE_CARGA!AJ35)</f>
        <v>0</v>
      </c>
      <c r="AK34" s="714"/>
      <c r="AL34" s="35"/>
      <c r="AM34" s="35"/>
      <c r="AN34" s="35"/>
      <c r="AO34" s="35"/>
      <c r="AP34" s="35"/>
      <c r="AQ34" s="276">
        <f t="shared" ref="AQ34:AQ49" si="48">IF(C34&gt;0,$A34,0)</f>
        <v>0</v>
      </c>
      <c r="AR34" s="276">
        <f t="shared" ref="AR34:AR49" si="49">IF(F34&gt;0,$A34,0)</f>
        <v>0</v>
      </c>
      <c r="AS34" s="276">
        <f t="shared" ref="AS34:AS49" si="50">IF(I34&gt;0,$A34,0)</f>
        <v>0</v>
      </c>
      <c r="AT34" s="276">
        <f t="shared" ref="AT34:AT49" si="51">IF(L34&gt;0,$A34,0)</f>
        <v>0</v>
      </c>
      <c r="AU34" s="276">
        <f t="shared" ref="AU34:AU49" si="52">IF(O34&gt;0,$A34,0)</f>
        <v>0</v>
      </c>
      <c r="AV34" s="276">
        <f t="shared" ref="AV34:AV49" si="53">IF(R34&gt;0,$A34,0)</f>
        <v>0</v>
      </c>
      <c r="AW34" s="276">
        <f t="shared" ref="AW34:AW49" si="54">IF(U34&gt;0,$A34,0)</f>
        <v>0</v>
      </c>
      <c r="AX34" s="276">
        <f t="shared" ref="AX34:AX49" si="55">IF(X34&gt;0,$A34,0)</f>
        <v>0</v>
      </c>
      <c r="AY34" s="276">
        <f t="shared" ref="AY34:AY49" si="56">IF(AA34&gt;0,$A34,0)</f>
        <v>0</v>
      </c>
      <c r="AZ34" s="276">
        <f t="shared" ref="AZ34:AZ49" si="57">IF(AD34&gt;0,$A34,0)</f>
        <v>0</v>
      </c>
      <c r="BA34" s="276">
        <f t="shared" ref="BA34:BA49" si="58">IF(AG34&gt;0,$A34,0)</f>
        <v>0</v>
      </c>
      <c r="BB34" s="276">
        <f t="shared" ref="BB34:BB49" si="59">IF(AJ34&gt;0,$A34,0)</f>
        <v>0</v>
      </c>
      <c r="BC34" s="172">
        <f t="shared" ref="BC34:BC49" si="60">C34+I34</f>
        <v>0</v>
      </c>
      <c r="BD34" s="128">
        <f>IF(AND(BC34&gt;0,BD35&lt;1,BD36&lt;1,BD37&lt;1,BD38&lt;1,BD39&lt;1,BD40&lt;1,BD55&lt;1,BD41&lt;1,BD56&lt;1,BD42&lt;1,BD57&lt;1,BD43&lt;1,BD58&lt;1,BD44&lt;1,BD59&lt;1,BD45&lt;1,BD60&lt;1,BD46&lt;1,BD61&lt;1,BD47&lt;1,BD62&lt;1,BD48&lt;1,BD63&lt;1,BD49&lt;1,BD64&lt;1),1,0)</f>
        <v>0</v>
      </c>
      <c r="BE34" s="172">
        <f t="shared" si="47"/>
        <v>0</v>
      </c>
      <c r="BF34" s="128">
        <f>IF(AND(BE34&gt;0,BF35&lt;1,BF36&lt;1,BF37&lt;1,BF38&lt;1,BF39&lt;1,BF40&lt;1,BF55&lt;1,BF41&lt;1,BF56&lt;1,BF42&lt;1,BF57&lt;1,BF43&lt;1,BF58&lt;1,BF44&lt;1,BF59&lt;1,BF45&lt;1,BF60&lt;1,BF46&lt;1,BF61&lt;1,BF47&lt;1,BF62&lt;1,BF48&lt;1,BF63&lt;1,BF49&lt;1,BF64&lt;1),1,0)</f>
        <v>0</v>
      </c>
      <c r="BG34" s="51"/>
      <c r="BH34" s="51"/>
      <c r="BI34" s="51"/>
      <c r="BJ34" s="51"/>
      <c r="BK34" s="51"/>
      <c r="BL34" s="51"/>
      <c r="BM34" s="51"/>
      <c r="BN34" s="51"/>
      <c r="BO34" s="51"/>
      <c r="BP34" s="51"/>
      <c r="BQ34" s="51" t="s">
        <v>56</v>
      </c>
      <c r="BR34" s="51">
        <f>VLOOKUP(C27,'tab ar'!$A$1:$D$9,3,TRUE)</f>
        <v>1</v>
      </c>
      <c r="BS34" s="51">
        <f>VLOOKUP(F27,'tab ar'!$A$1:$D$9,3,TRUE)</f>
        <v>1</v>
      </c>
      <c r="BT34" s="51">
        <f>VLOOKUP(I27,'tab ar'!$A$1:$D$9,3,TRUE)</f>
        <v>1</v>
      </c>
      <c r="BU34" s="51">
        <f>VLOOKUP(L27,'tab ar'!$A$1:$D$9,3,TRUE)</f>
        <v>1</v>
      </c>
      <c r="BV34" s="51">
        <f>VLOOKUP(O27,'tab ar'!$A$1:$D$9,3,TRUE)</f>
        <v>1</v>
      </c>
      <c r="BW34" s="51">
        <f>VLOOKUP(R27,'tab ar'!$A$1:$D$9,3,TRUE)</f>
        <v>1</v>
      </c>
      <c r="BX34" s="51">
        <f>VLOOKUP(U27,'tab ar'!$A$1:$D$9,3,TRUE)</f>
        <v>1</v>
      </c>
      <c r="BY34" s="51">
        <f>VLOOKUP(X27,'tab ar'!$A$1:$D$9,3,TRUE)</f>
        <v>1</v>
      </c>
      <c r="BZ34" s="51">
        <f>VLOOKUP(AA27,'tab ar'!$A$1:$D$9,3,TRUE)</f>
        <v>1</v>
      </c>
      <c r="CA34" s="51">
        <f>VLOOKUP(AD27,'tab ar'!$A$1:$D$9,3,TRUE)</f>
        <v>1</v>
      </c>
      <c r="CB34" s="51">
        <f>VLOOKUP(AG27,'tab ar'!$A$1:$D$9,3,TRUE)</f>
        <v>1</v>
      </c>
      <c r="CC34" s="51">
        <f>VLOOKUP(AJ27,'tab ar'!$A$1:$D$9,3,TRUE)</f>
        <v>1</v>
      </c>
      <c r="CD34" s="128"/>
      <c r="CE34" s="128" t="s">
        <v>57</v>
      </c>
      <c r="CF34" s="51">
        <f>VLOOKUP(C28+I28,'tab ar'!$A$1:$D$9,4,TRUE)</f>
        <v>1</v>
      </c>
      <c r="CG34" s="51"/>
      <c r="CH34" s="51">
        <f>VLOOKUP(F28+L28,'tab ar'!$A$1:$D$9,4,TRUE)</f>
        <v>1</v>
      </c>
      <c r="CI34" s="51"/>
      <c r="CJ34" s="51"/>
      <c r="CK34" s="22">
        <v>3</v>
      </c>
      <c r="CL34" s="83">
        <f>$B$39</f>
        <v>0.73</v>
      </c>
      <c r="CM34" s="679">
        <f>SUM($C$39,$F$39,IF($E$73="TRIFÁSICA",$C$73,0))</f>
        <v>0</v>
      </c>
      <c r="CN34" s="680"/>
      <c r="CO34" s="51">
        <f>IF($CP$60=CK34,IF(CM34&gt;0,((CM34-1)*$BM$45*0.5)+$BM$45,CM34*0.5*$BM$45),CM34*0.5*$BM$45)</f>
        <v>0</v>
      </c>
      <c r="CP34" s="116">
        <f>IF(CM34&gt;0,1,0)*$A$39</f>
        <v>0</v>
      </c>
      <c r="CQ34" s="679">
        <f>CM34*$BK$45</f>
        <v>0</v>
      </c>
      <c r="CR34" s="680"/>
      <c r="CS34" s="83"/>
      <c r="CT34" s="22">
        <v>3</v>
      </c>
      <c r="CU34" s="83">
        <f>$B$39</f>
        <v>0.73</v>
      </c>
      <c r="CV34" s="679">
        <f>SUM($C$39,$F$39)</f>
        <v>0</v>
      </c>
      <c r="CW34" s="680"/>
      <c r="CX34" s="51">
        <f>IF($CY$60=CT34,IF(CV34&gt;0,((CV34-1)*$BM$45*0.5)+$BM$45,CV34*0.5*$BM$45),CV34*0.5*$BM$45)</f>
        <v>0</v>
      </c>
      <c r="CY34" s="116">
        <f>IF(CV34&gt;0,1,0)*$A$39</f>
        <v>0</v>
      </c>
      <c r="CZ34" s="679">
        <f>CV34*$BK$45</f>
        <v>0</v>
      </c>
      <c r="DA34" s="680"/>
      <c r="DB34" s="83"/>
      <c r="DC34" s="689"/>
      <c r="DD34" s="690"/>
      <c r="DE34" s="83"/>
      <c r="DF34" s="691"/>
      <c r="DG34" s="692"/>
      <c r="DH34" s="83"/>
      <c r="DI34" s="691"/>
      <c r="DJ34" s="692"/>
      <c r="DP34" s="292" t="s">
        <v>171</v>
      </c>
      <c r="DQ34">
        <f>SUM(DQ32:DQ33)/0.127</f>
        <v>0</v>
      </c>
      <c r="DR34">
        <f>SUM(DR32:DR33)/0.127</f>
        <v>0</v>
      </c>
      <c r="DS34">
        <f>SUM(DS32:DS33)/0.127</f>
        <v>0</v>
      </c>
      <c r="DT34" s="51"/>
      <c r="DV34" s="22">
        <v>3</v>
      </c>
      <c r="DW34" s="83">
        <f>$B$39</f>
        <v>0.73</v>
      </c>
      <c r="DX34" s="679">
        <f>SUM(IF($C$1="Residência",$C$39,0),IF($F$1="Residência",$F$39,0),IF($I$1="Residência",$I$39,0),IF($L$1="Residência",$L$39,0))</f>
        <v>0</v>
      </c>
      <c r="DY34" s="680"/>
      <c r="DZ34" s="51">
        <f>IF($EA$60=$DV$34,IF(DX34&gt;0,((DX34-1)*$BM$45*0.5)+$BM$45,DX34*0.5*$BM$45),DX34*0.5*$BM$45)</f>
        <v>0</v>
      </c>
      <c r="EA34" s="116">
        <f>IF(DX34&gt;0,1,0)*$A$39</f>
        <v>0</v>
      </c>
      <c r="EB34" s="679">
        <f>DX34*$BK$45</f>
        <v>0</v>
      </c>
      <c r="EC34" s="680"/>
      <c r="ED34" s="83"/>
      <c r="EG34" s="116"/>
      <c r="EH34" s="679">
        <f>SUM(IF($C$1="Residência",0,$C$39),IF($F$1="Residência",0,$F$39),IF($I$1="Residência",0,$I$39),IF($L$1="Residência",0,$L$39),IF($E$73="TRIFÁSICA",$C$73,0))</f>
        <v>0</v>
      </c>
      <c r="EI34" s="680"/>
      <c r="EJ34" s="51">
        <f>IF($EA$60=$DV$34,IF(AND($EH$34&gt;0,$DX$34&lt;1),(($EH$34-1)*$BM$45*0.5)+$BM$45,$EH$34*0.5*$BM$45),$EH$34*0.5*$BM$45)</f>
        <v>0</v>
      </c>
      <c r="EK34" s="116">
        <f>IF(EH34&gt;0,1,0)*$A$39</f>
        <v>0</v>
      </c>
      <c r="EL34" s="679">
        <f>EH34*$BK$45</f>
        <v>0</v>
      </c>
      <c r="EM34" s="680"/>
      <c r="EN34" s="689"/>
      <c r="EO34" s="690"/>
      <c r="EP34" s="679">
        <f>SUM(IF($C$1="Residência",$C$39,0),IF($F$1="Residência",$F$39,0),IF($I$1="Residência",$I$39,0),IF($L$1="Residência",$L$39,0))</f>
        <v>0</v>
      </c>
      <c r="EQ34" s="680"/>
      <c r="ER34" s="51">
        <f>IF($ES$60=$DV$34,IF(EP34&gt;0,((EP34-1)*$BM$45*0.5)+$BM$45,EP34*0.5*$BM$45),EP34*0.5*$BM$45)</f>
        <v>0</v>
      </c>
      <c r="ES34" s="116">
        <f>IF(EP34&gt;0,1,0)*$A$39</f>
        <v>0</v>
      </c>
      <c r="ET34" s="679">
        <f>EP34*$BK$45</f>
        <v>0</v>
      </c>
      <c r="EU34" s="680"/>
      <c r="EW34" s="679">
        <f>SUM(IF($C$1="Residência",0,$C$39),IF($F$1="Residência",0,$F$39),IF($I$1="Residência",0,$I$39),IF($L$1="Residência",0,$L$39))</f>
        <v>0</v>
      </c>
      <c r="EX34" s="680"/>
      <c r="EY34" s="51">
        <f>IF($ES$60=$DV$34,IF(AND($EW$34&gt;0,$DX$34&lt;1),(($EW$34-1)*$BM$45*0.5)+$BM$45,$EW$34*0.5*$BM$45),$EW$34*0.5*$BM$45)</f>
        <v>0</v>
      </c>
      <c r="EZ34" s="116">
        <f>IF(EW34&gt;0,1,0)*$A$39</f>
        <v>0</v>
      </c>
      <c r="FA34" s="679">
        <f>EW34*$BK$45</f>
        <v>0</v>
      </c>
      <c r="FB34" s="680"/>
      <c r="FC34" s="386"/>
      <c r="FE34" s="51"/>
      <c r="FK34" s="51"/>
      <c r="FM34" s="22">
        <v>3</v>
      </c>
      <c r="FN34" s="83">
        <f>$B$39</f>
        <v>0.73</v>
      </c>
      <c r="FO34" s="679">
        <f>SUM($C$39,$F$39)</f>
        <v>0</v>
      </c>
      <c r="FP34" s="680"/>
      <c r="FQ34" s="51">
        <f>IF($FR$60=FM34,IF(FO34&gt;0,((FO34-1)*$BM$45*0.5)+$BM$45,0),FO34*0.5*$BM$45)</f>
        <v>0</v>
      </c>
      <c r="FR34" s="116">
        <f>IF(FO34&gt;0,1,0)*$A$39</f>
        <v>0</v>
      </c>
      <c r="FS34" s="679">
        <f>FO34*$BK$45</f>
        <v>0</v>
      </c>
      <c r="FT34" s="680"/>
      <c r="FU34" s="83"/>
      <c r="FX34" s="83"/>
      <c r="FY34" s="691"/>
      <c r="FZ34" s="692"/>
      <c r="GA34" s="83"/>
      <c r="GB34" s="691"/>
      <c r="GC34" s="692"/>
      <c r="GD34" s="83"/>
      <c r="GE34" s="689"/>
      <c r="GF34" s="690"/>
      <c r="GG34" s="83"/>
      <c r="GH34" s="691"/>
      <c r="GI34" s="692"/>
      <c r="GJ34" s="83"/>
      <c r="GK34" s="691"/>
      <c r="GL34" s="692"/>
      <c r="GV34" s="51"/>
      <c r="HB34" s="51"/>
      <c r="HD34" s="22">
        <v>3</v>
      </c>
      <c r="HE34" s="83">
        <f>$B$39</f>
        <v>0.73</v>
      </c>
      <c r="HF34" s="679">
        <f>SUM($I$39,$L$39)</f>
        <v>0</v>
      </c>
      <c r="HG34" s="680"/>
      <c r="HH34" s="51">
        <f>IF($HI$60=HD34,IF(HF34&gt;0,((HF34-1)*$BM$45*0.5)+$BM$45,0),HF34*0.5*$BM$45)</f>
        <v>0</v>
      </c>
      <c r="HI34" s="116">
        <f>IF(HF34&gt;0,1,0)*$A$39</f>
        <v>0</v>
      </c>
      <c r="HJ34" s="679">
        <f>HF34*$BK$45</f>
        <v>0</v>
      </c>
      <c r="HK34" s="680"/>
      <c r="HL34" s="83"/>
      <c r="HO34" s="83"/>
      <c r="HP34" s="691"/>
      <c r="HQ34" s="692"/>
      <c r="HR34" s="83"/>
      <c r="HS34" s="691"/>
      <c r="HT34" s="692"/>
      <c r="HU34" s="83"/>
      <c r="HV34" s="689"/>
      <c r="HW34" s="690"/>
      <c r="HX34" s="83"/>
      <c r="HY34" s="691"/>
      <c r="HZ34" s="692"/>
      <c r="IA34" s="83"/>
      <c r="IB34" s="691"/>
      <c r="IC34" s="692"/>
      <c r="IM34" s="51"/>
    </row>
    <row r="35" spans="1:247" ht="13.5" thickBot="1" x14ac:dyDescent="0.25">
      <c r="A35" s="22">
        <v>0.75</v>
      </c>
      <c r="B35" s="98">
        <v>0.66</v>
      </c>
      <c r="C35" s="691">
        <f>IF($C$1="Vazio",0,RELAÇÃO_DE_CARGA!C36:D36)</f>
        <v>0</v>
      </c>
      <c r="D35" s="692"/>
      <c r="E35" s="98">
        <v>0.66</v>
      </c>
      <c r="F35" s="713">
        <f>IF($F$1="Vazio",0,RELAÇÃO_DE_CARGA!F36:G36)</f>
        <v>0</v>
      </c>
      <c r="G35" s="714"/>
      <c r="H35" s="98">
        <v>0.66</v>
      </c>
      <c r="I35" s="713">
        <f>IF(OR($I$1="Vazio",RELAÇÃO_DE_CARGA!$I$1&lt;3),0,RELAÇÃO_DE_CARGA!I36:J36)</f>
        <v>0</v>
      </c>
      <c r="J35" s="714"/>
      <c r="K35" s="98">
        <v>0.66</v>
      </c>
      <c r="L35" s="713">
        <f>IF(OR($L$1="Vazio",RELAÇÃO_DE_CARGA!$I$1&lt;4),0,RELAÇÃO_DE_CARGA!L36:M36)</f>
        <v>0</v>
      </c>
      <c r="M35" s="714"/>
      <c r="N35" s="98">
        <v>0.66</v>
      </c>
      <c r="O35" s="691">
        <f>IF(OR($O$1="Vazio",RELAÇÃO_DE_CARGA!$I$1&lt;5),0,RELAÇÃO_DE_CARGA!O36)</f>
        <v>0</v>
      </c>
      <c r="P35" s="692"/>
      <c r="Q35" s="98">
        <v>0.66</v>
      </c>
      <c r="R35" s="713">
        <f>IF(OR($R$1="Vazio",RELAÇÃO_DE_CARGA!$I$1&lt;6),0,RELAÇÃO_DE_CARGA!R36)</f>
        <v>0</v>
      </c>
      <c r="S35" s="714"/>
      <c r="T35" s="98">
        <v>0.66</v>
      </c>
      <c r="U35" s="713">
        <f>IF(OR($U$1="Vazio",RELAÇÃO_DE_CARGA!$I$1&lt;7),0,RELAÇÃO_DE_CARGA!U36)</f>
        <v>0</v>
      </c>
      <c r="V35" s="714"/>
      <c r="W35" s="98">
        <v>0.66</v>
      </c>
      <c r="X35" s="713">
        <f>IF(OR($X$1="Vazio",RELAÇÃO_DE_CARGA!$I$1&lt;8),0,RELAÇÃO_DE_CARGA!X36)</f>
        <v>0</v>
      </c>
      <c r="Y35" s="714"/>
      <c r="Z35" s="98">
        <v>0.66</v>
      </c>
      <c r="AA35" s="713">
        <f>IF(OR($AA$1="Vazio",RELAÇÃO_DE_CARGA!$I$1&lt;9),0,RELAÇÃO_DE_CARGA!AA36)</f>
        <v>0</v>
      </c>
      <c r="AB35" s="714"/>
      <c r="AC35" s="98">
        <v>0.66</v>
      </c>
      <c r="AD35" s="713">
        <f>IF(OR($AD$1="Vazio",RELAÇÃO_DE_CARGA!$I$1&lt;10),0,RELAÇÃO_DE_CARGA!AD36)</f>
        <v>0</v>
      </c>
      <c r="AE35" s="714"/>
      <c r="AF35" s="98">
        <v>0.66</v>
      </c>
      <c r="AG35" s="713">
        <f>IF(OR($AG$1="Vazio",RELAÇÃO_DE_CARGA!$I$1&lt;11),0,RELAÇÃO_DE_CARGA!AG36)</f>
        <v>0</v>
      </c>
      <c r="AH35" s="714"/>
      <c r="AI35" s="98">
        <v>0.66</v>
      </c>
      <c r="AJ35" s="713">
        <f>IF(OR($AJ$1="Vazio",RELAÇÃO_DE_CARGA!$I$1&lt;12),0,RELAÇÃO_DE_CARGA!AJ36)</f>
        <v>0</v>
      </c>
      <c r="AK35" s="714"/>
      <c r="AL35" s="35"/>
      <c r="AM35" s="35"/>
      <c r="AN35" s="35"/>
      <c r="AO35" s="35"/>
      <c r="AP35" s="35"/>
      <c r="AQ35" s="276">
        <f t="shared" si="48"/>
        <v>0</v>
      </c>
      <c r="AR35" s="276">
        <f t="shared" si="49"/>
        <v>0</v>
      </c>
      <c r="AS35" s="276">
        <f t="shared" si="50"/>
        <v>0</v>
      </c>
      <c r="AT35" s="276">
        <f t="shared" si="51"/>
        <v>0</v>
      </c>
      <c r="AU35" s="276">
        <f t="shared" si="52"/>
        <v>0</v>
      </c>
      <c r="AV35" s="276">
        <f t="shared" si="53"/>
        <v>0</v>
      </c>
      <c r="AW35" s="276">
        <f t="shared" si="54"/>
        <v>0</v>
      </c>
      <c r="AX35" s="276">
        <f t="shared" si="55"/>
        <v>0</v>
      </c>
      <c r="AY35" s="276">
        <f t="shared" si="56"/>
        <v>0</v>
      </c>
      <c r="AZ35" s="276">
        <f t="shared" si="57"/>
        <v>0</v>
      </c>
      <c r="BA35" s="276">
        <f t="shared" si="58"/>
        <v>0</v>
      </c>
      <c r="BB35" s="276">
        <f t="shared" si="59"/>
        <v>0</v>
      </c>
      <c r="BC35" s="172">
        <f t="shared" si="60"/>
        <v>0</v>
      </c>
      <c r="BD35" s="128">
        <f>IF(AND(BC35&gt;0,BD36&lt;1,BD37&lt;1,BD38&lt;1,BD39&lt;1,BD40&lt;1,BD41&lt;1,BD56&lt;1,BD42&lt;1,BD57&lt;1,BD43&lt;1,BD58&lt;1,BD44&lt;1,BD59&lt;1,BD45&lt;1,BD60&lt;1,BD46&lt;1,BD61&lt;1,BD47&lt;1,BD62&lt;1,BD48&lt;1,BD63&lt;1,BD49&lt;1,BD64&lt;1),1,0)</f>
        <v>0</v>
      </c>
      <c r="BE35" s="172">
        <f t="shared" si="47"/>
        <v>0</v>
      </c>
      <c r="BF35" s="128">
        <f>IF(AND(BE35&gt;0,BF36&lt;1,BF37&lt;1,BF38&lt;1,BF39&lt;1,BF40&lt;1,BF41&lt;1,BF56&lt;1,BF42&lt;1,BF57&lt;1,BF43&lt;1,BF58&lt;1,BF44&lt;1,BF59&lt;1,BF45&lt;1,BF60&lt;1,BF46&lt;1,BF61&lt;1,BF47&lt;1,BF62&lt;1,BF48&lt;1,BF63&lt;1,BF49&lt;1,BF64&lt;1),1,0)</f>
        <v>0</v>
      </c>
      <c r="BG35" s="51"/>
      <c r="BH35" s="51"/>
      <c r="BI35" s="51"/>
      <c r="BJ35" s="51"/>
      <c r="BK35" s="51"/>
      <c r="BL35" s="51"/>
      <c r="BM35" s="51"/>
      <c r="BN35" s="51"/>
      <c r="BO35" s="51"/>
      <c r="BP35" s="51"/>
      <c r="BQ35" s="51" t="s">
        <v>57</v>
      </c>
      <c r="BR35" s="51">
        <f>VLOOKUP(C28,'tab ar'!$A$1:$D$9,4,TRUE)</f>
        <v>1</v>
      </c>
      <c r="BS35" s="51">
        <f>VLOOKUP(F28,'tab ar'!$A$1:$D$9,4,TRUE)</f>
        <v>1</v>
      </c>
      <c r="BT35" s="51">
        <f>VLOOKUP(I28,'tab ar'!$A$1:$D$9,4,TRUE)</f>
        <v>1</v>
      </c>
      <c r="BU35" s="51">
        <f>VLOOKUP(L28,'tab ar'!$A$1:$D$9,4,TRUE)</f>
        <v>1</v>
      </c>
      <c r="BV35" s="51">
        <f>VLOOKUP(O28,'tab ar'!$A$1:$D$9,4,TRUE)</f>
        <v>1</v>
      </c>
      <c r="BW35" s="51">
        <f>VLOOKUP(R28,'tab ar'!$A$1:$D$9,4,TRUE)</f>
        <v>1</v>
      </c>
      <c r="BX35" s="51">
        <f>VLOOKUP(U28,'tab ar'!$A$1:$D$9,4,TRUE)</f>
        <v>1</v>
      </c>
      <c r="BY35" s="51">
        <f>VLOOKUP(X28,'tab ar'!$A$1:$D$9,4,TRUE)</f>
        <v>1</v>
      </c>
      <c r="BZ35" s="51">
        <f>VLOOKUP(AA28,'tab ar'!$A$1:$D$9,4,TRUE)</f>
        <v>1</v>
      </c>
      <c r="CA35" s="51">
        <f>VLOOKUP(AD28,'tab ar'!$A$1:$D$9,4,TRUE)</f>
        <v>1</v>
      </c>
      <c r="CB35" s="51">
        <f>VLOOKUP(AG28,'tab ar'!$A$1:$D$9,4,TRUE)</f>
        <v>1</v>
      </c>
      <c r="CC35" s="51">
        <f>VLOOKUP(AJ28,'tab ar'!$A$1:$D$9,4,TRUE)</f>
        <v>1</v>
      </c>
      <c r="CD35" s="128"/>
      <c r="CE35" s="128" t="s">
        <v>58</v>
      </c>
      <c r="CF35" s="128">
        <f>IF(C29+I29=0,0,IF(C29+I29=1,AR29+AV29,((C29+I29-1)*0.6*((AR29+AV29)/2))+IF(AR29&gt;AV29,AR29,AV29)))</f>
        <v>0</v>
      </c>
      <c r="CG35" s="51"/>
      <c r="CH35" s="128">
        <f>IF(F29+L29=0,0,IF(F29+L29=1,AT29+AX29,((F29+L29-1)*0.6*((AT29+AX29)/2))+IF(AT29&gt;AX29,AT29,AX29)))</f>
        <v>0</v>
      </c>
      <c r="CI35" s="51"/>
      <c r="CJ35" s="51"/>
      <c r="CK35" s="22">
        <v>4</v>
      </c>
      <c r="CL35" s="83">
        <f>$B$40</f>
        <v>0.13</v>
      </c>
      <c r="CM35" s="679">
        <f>SUM($C$40,$F$40)</f>
        <v>0</v>
      </c>
      <c r="CN35" s="680"/>
      <c r="CO35" s="51">
        <f>IF($CP$60=CK35,IF(CM35&gt;0,((CM35-1)*$BM$46*0.5)+$BM$46,CM35*0.5*$BM$46),CM35*0.5*$BM$46)</f>
        <v>0</v>
      </c>
      <c r="CP35" s="116">
        <f>IF(CM35&gt;0,1,0)*$A$40</f>
        <v>0</v>
      </c>
      <c r="CQ35" s="679">
        <f>CM35*$BK$46</f>
        <v>0</v>
      </c>
      <c r="CR35" s="680"/>
      <c r="CS35" s="83"/>
      <c r="CT35" s="22">
        <v>4</v>
      </c>
      <c r="CU35" s="83">
        <f>$B$40</f>
        <v>0.13</v>
      </c>
      <c r="CV35" s="679">
        <f>SUM($C$40,$F$40)</f>
        <v>0</v>
      </c>
      <c r="CW35" s="680"/>
      <c r="CX35" s="51">
        <f>IF($CY$60=CT35,IF(CV35&gt;0,((CV35-1)*$BM$46*0.5)+$BM$46,CV35*0.5*$BM$46),CV35*0.5*$BM$46)</f>
        <v>0</v>
      </c>
      <c r="CY35" s="116">
        <f>IF(CV35&gt;0,1,0)*$A$40</f>
        <v>0</v>
      </c>
      <c r="CZ35" s="679">
        <f>CV35*$BK$46</f>
        <v>0</v>
      </c>
      <c r="DA35" s="680"/>
      <c r="DB35" s="83"/>
      <c r="DC35" s="689"/>
      <c r="DD35" s="690"/>
      <c r="DE35" s="83"/>
      <c r="DF35" s="691"/>
      <c r="DG35" s="692"/>
      <c r="DH35" s="83"/>
      <c r="DI35" s="691"/>
      <c r="DJ35" s="692"/>
      <c r="DP35">
        <f>LARGE(DQ34:DS34,1)</f>
        <v>0</v>
      </c>
      <c r="DQ35"/>
      <c r="DR35"/>
      <c r="DS35" s="290"/>
      <c r="DT35" s="51"/>
      <c r="DV35" s="22">
        <v>4</v>
      </c>
      <c r="DW35" s="83">
        <f>$B$40</f>
        <v>0.13</v>
      </c>
      <c r="DX35" s="679">
        <f>SUM(IF($C$1="Residência",$C$40,0),IF($F$1="Residência",$F$40,0),IF($I$1="Residência",$I$40,0),IF($L$1="Residência",$L$40,0))</f>
        <v>0</v>
      </c>
      <c r="DY35" s="680"/>
      <c r="DZ35" s="51">
        <f>IF($EA$60=$DV$35,IF(DX35&gt;0,((DX35-1)*$BM$46*0.5)+$BM$46,DX35*0.5*$BM$46),DX35*0.5*$BM$46)</f>
        <v>0</v>
      </c>
      <c r="EA35" s="116">
        <f>IF(DX35&gt;0,1,0)*$A$40</f>
        <v>0</v>
      </c>
      <c r="EB35" s="679">
        <f>DX35*$BK$46</f>
        <v>0</v>
      </c>
      <c r="EC35" s="680"/>
      <c r="ED35" s="83"/>
      <c r="EG35" s="116"/>
      <c r="EH35" s="679">
        <f>SUM(IF($C$1="Residência",0,$C$40),IF($F$1="Residência",0,$F$40),IF($I$1="Residência",0,$I$40),IF($L$1="Residência",0,$L$40))</f>
        <v>0</v>
      </c>
      <c r="EI35" s="680"/>
      <c r="EJ35" s="51">
        <f>IF($EA$60=$DV$35,IF(AND($EH$35&gt;0,$DX$35&lt;1),(($EH$35-1)*$BM$46*0.5)+$BM$46,$EH$35*0.5*$BM$46),$EH$35*0.5*$BM$46)</f>
        <v>0</v>
      </c>
      <c r="EK35" s="116">
        <f>IF(EH35&gt;0,1,0)*$A$40</f>
        <v>0</v>
      </c>
      <c r="EL35" s="679">
        <f>EH35*$BK$46</f>
        <v>0</v>
      </c>
      <c r="EM35" s="680"/>
      <c r="EN35" s="689"/>
      <c r="EO35" s="690"/>
      <c r="EP35" s="679">
        <f>SUM(IF($C$1="Residência",$C$40,0),IF($F$1="Residência",$F$40,0),IF($I$1="Residência",$I$40,0),IF($L$1="Residência",$L$40,0))</f>
        <v>0</v>
      </c>
      <c r="EQ35" s="680"/>
      <c r="ER35" s="51">
        <f>IF($ES$60=$DV$35,IF(EP35&gt;0,((EP35-1)*$BM$46*0.5)+$BM$46,EP35*0.5*$BM$46),EP35*0.5*$BM$46)</f>
        <v>0</v>
      </c>
      <c r="ES35" s="116">
        <f>IF(EP35&gt;0,1,0)*$A$40</f>
        <v>0</v>
      </c>
      <c r="ET35" s="679">
        <f>EP35*$BK$46</f>
        <v>0</v>
      </c>
      <c r="EU35" s="680"/>
      <c r="EW35" s="679">
        <f>SUM(IF($C$1="Residência",0,$C$40),IF($F$1="Residência",0,$F$40),IF($I$1="Residência",0,$I$40),IF($L$1="Residência",0,$L$40))</f>
        <v>0</v>
      </c>
      <c r="EX35" s="680"/>
      <c r="EY35" s="51">
        <f>IF($ES$60=$DV$35,IF(AND($EW$35&gt;0,$DX$35&lt;1),(($EW$35-1)*$BM$46*0.5)+$BM$46,$EW$35*0.5*$BM$46),$EW$35*0.5*$BM$46)</f>
        <v>0</v>
      </c>
      <c r="EZ35" s="116">
        <f>IF(EW35&gt;0,1,0)*$A$40</f>
        <v>0</v>
      </c>
      <c r="FA35" s="679">
        <f>EW35*$BK$46</f>
        <v>0</v>
      </c>
      <c r="FB35" s="680"/>
      <c r="FC35" s="386"/>
      <c r="FE35" s="51"/>
      <c r="FK35" s="51"/>
      <c r="FM35" s="22">
        <v>4</v>
      </c>
      <c r="FN35" s="83">
        <f>$B$40</f>
        <v>0.13</v>
      </c>
      <c r="FO35" s="679">
        <f>SUM($C$40,$F$40)</f>
        <v>0</v>
      </c>
      <c r="FP35" s="680"/>
      <c r="FQ35" s="51">
        <f>IF($FR$60=FM35,IF(FO35&gt;0,((FO35-1)*$BM$46*0.5)+$BM$46,0),FO35*0.5*$BM$46)</f>
        <v>0</v>
      </c>
      <c r="FR35" s="116">
        <f>IF(FO35&gt;0,1,0)*$A$40</f>
        <v>0</v>
      </c>
      <c r="FS35" s="679">
        <f>FO35*$BK$46</f>
        <v>0</v>
      </c>
      <c r="FT35" s="680"/>
      <c r="FU35" s="83"/>
      <c r="FX35" s="83"/>
      <c r="FY35" s="691"/>
      <c r="FZ35" s="692"/>
      <c r="GA35" s="83"/>
      <c r="GB35" s="691"/>
      <c r="GC35" s="692"/>
      <c r="GD35" s="83"/>
      <c r="GE35" s="689"/>
      <c r="GF35" s="690"/>
      <c r="GG35" s="83"/>
      <c r="GH35" s="691"/>
      <c r="GI35" s="692"/>
      <c r="GJ35" s="83"/>
      <c r="GK35" s="691"/>
      <c r="GL35" s="692"/>
      <c r="GV35" s="51"/>
      <c r="HB35" s="51"/>
      <c r="HD35" s="22">
        <v>4</v>
      </c>
      <c r="HE35" s="83">
        <f>$B$40</f>
        <v>0.13</v>
      </c>
      <c r="HF35" s="679">
        <f>SUM($I$40,$L$40)</f>
        <v>0</v>
      </c>
      <c r="HG35" s="680"/>
      <c r="HH35" s="51">
        <f>IF($HI$60=HD35,IF(HF35&gt;0,((HF35-1)*$BM$46*0.5)+$BM$46,0),HF35*0.5*$BM$46)</f>
        <v>0</v>
      </c>
      <c r="HI35" s="116">
        <f>IF(HF35&gt;0,1,0)*$A$40</f>
        <v>0</v>
      </c>
      <c r="HJ35" s="679">
        <f>HF35*$BK$46</f>
        <v>0</v>
      </c>
      <c r="HK35" s="680"/>
      <c r="HL35" s="83"/>
      <c r="HO35" s="83"/>
      <c r="HP35" s="691"/>
      <c r="HQ35" s="692"/>
      <c r="HR35" s="83"/>
      <c r="HS35" s="691"/>
      <c r="HT35" s="692"/>
      <c r="HU35" s="83"/>
      <c r="HV35" s="689"/>
      <c r="HW35" s="690"/>
      <c r="HX35" s="83"/>
      <c r="HY35" s="691"/>
      <c r="HZ35" s="692"/>
      <c r="IA35" s="83"/>
      <c r="IB35" s="691"/>
      <c r="IC35" s="692"/>
      <c r="IM35" s="51"/>
    </row>
    <row r="36" spans="1:247" ht="13.5" thickBot="1" x14ac:dyDescent="0.25">
      <c r="A36" s="22">
        <v>1</v>
      </c>
      <c r="B36" s="98">
        <v>0.69</v>
      </c>
      <c r="C36" s="691">
        <f>IF($C$1="Vazio",0,RELAÇÃO_DE_CARGA!C37:D37)</f>
        <v>0</v>
      </c>
      <c r="D36" s="692"/>
      <c r="E36" s="98">
        <v>0.69</v>
      </c>
      <c r="F36" s="713">
        <f>IF($F$1="Vazio",0,RELAÇÃO_DE_CARGA!F37:G37)</f>
        <v>0</v>
      </c>
      <c r="G36" s="714"/>
      <c r="H36" s="98">
        <v>0.69</v>
      </c>
      <c r="I36" s="713">
        <f>IF(OR($I$1="Vazio",RELAÇÃO_DE_CARGA!$I$1&lt;3),0,RELAÇÃO_DE_CARGA!I37:J37)</f>
        <v>0</v>
      </c>
      <c r="J36" s="714"/>
      <c r="K36" s="98">
        <v>0.69</v>
      </c>
      <c r="L36" s="713">
        <f>IF(OR($L$1="Vazio",RELAÇÃO_DE_CARGA!$I$1&lt;4),0,RELAÇÃO_DE_CARGA!L37:M37)</f>
        <v>0</v>
      </c>
      <c r="M36" s="714"/>
      <c r="N36" s="98">
        <v>0.69</v>
      </c>
      <c r="O36" s="691">
        <f>IF(OR($O$1="Vazio",RELAÇÃO_DE_CARGA!$I$1&lt;5),0,RELAÇÃO_DE_CARGA!O37)</f>
        <v>0</v>
      </c>
      <c r="P36" s="692"/>
      <c r="Q36" s="98">
        <v>0.69</v>
      </c>
      <c r="R36" s="713">
        <f>IF(OR($R$1="Vazio",RELAÇÃO_DE_CARGA!$I$1&lt;6),0,RELAÇÃO_DE_CARGA!R37)</f>
        <v>0</v>
      </c>
      <c r="S36" s="714"/>
      <c r="T36" s="98">
        <v>0.69</v>
      </c>
      <c r="U36" s="713">
        <f>IF(OR($U$1="Vazio",RELAÇÃO_DE_CARGA!$I$1&lt;7),0,RELAÇÃO_DE_CARGA!U37)</f>
        <v>0</v>
      </c>
      <c r="V36" s="714"/>
      <c r="W36" s="98">
        <v>0.69</v>
      </c>
      <c r="X36" s="713">
        <f>IF(OR($X$1="Vazio",RELAÇÃO_DE_CARGA!$I$1&lt;8),0,RELAÇÃO_DE_CARGA!X37)</f>
        <v>0</v>
      </c>
      <c r="Y36" s="714"/>
      <c r="Z36" s="98">
        <v>0.69</v>
      </c>
      <c r="AA36" s="713">
        <f>IF(OR($AA$1="Vazio",RELAÇÃO_DE_CARGA!$I$1&lt;9),0,RELAÇÃO_DE_CARGA!AA37)</f>
        <v>0</v>
      </c>
      <c r="AB36" s="714"/>
      <c r="AC36" s="98">
        <v>0.69</v>
      </c>
      <c r="AD36" s="713">
        <f>IF(OR($AD$1="Vazio",RELAÇÃO_DE_CARGA!$I$1&lt;10),0,RELAÇÃO_DE_CARGA!AD37)</f>
        <v>0</v>
      </c>
      <c r="AE36" s="714"/>
      <c r="AF36" s="98">
        <v>0.69</v>
      </c>
      <c r="AG36" s="713">
        <f>IF(OR($AG$1="Vazio",RELAÇÃO_DE_CARGA!$I$1&lt;11),0,RELAÇÃO_DE_CARGA!AG37)</f>
        <v>0</v>
      </c>
      <c r="AH36" s="714"/>
      <c r="AI36" s="98">
        <v>0.69</v>
      </c>
      <c r="AJ36" s="713">
        <f>IF(OR($AJ$1="Vazio",RELAÇÃO_DE_CARGA!$I$1&lt;12),0,RELAÇÃO_DE_CARGA!AJ37)</f>
        <v>0</v>
      </c>
      <c r="AK36" s="714"/>
      <c r="AL36" s="35"/>
      <c r="AM36" s="35"/>
      <c r="AN36" s="35"/>
      <c r="AO36" s="35"/>
      <c r="AP36" s="35"/>
      <c r="AQ36" s="276">
        <f t="shared" si="48"/>
        <v>0</v>
      </c>
      <c r="AR36" s="276">
        <f t="shared" si="49"/>
        <v>0</v>
      </c>
      <c r="AS36" s="276">
        <f t="shared" si="50"/>
        <v>0</v>
      </c>
      <c r="AT36" s="276">
        <f t="shared" si="51"/>
        <v>0</v>
      </c>
      <c r="AU36" s="276">
        <f t="shared" si="52"/>
        <v>0</v>
      </c>
      <c r="AV36" s="276">
        <f t="shared" si="53"/>
        <v>0</v>
      </c>
      <c r="AW36" s="276">
        <f t="shared" si="54"/>
        <v>0</v>
      </c>
      <c r="AX36" s="276">
        <f t="shared" si="55"/>
        <v>0</v>
      </c>
      <c r="AY36" s="276">
        <f t="shared" si="56"/>
        <v>0</v>
      </c>
      <c r="AZ36" s="276">
        <f t="shared" si="57"/>
        <v>0</v>
      </c>
      <c r="BA36" s="276">
        <f t="shared" si="58"/>
        <v>0</v>
      </c>
      <c r="BB36" s="276">
        <f t="shared" si="59"/>
        <v>0</v>
      </c>
      <c r="BC36" s="172">
        <f t="shared" si="60"/>
        <v>0</v>
      </c>
      <c r="BD36" s="128">
        <f>IF(AND(BC36&gt;0,BD37&lt;1,BD38&lt;1,BD39&lt;1,BD40&lt;1,BD41&lt;1,BD42&lt;1,BD57&lt;1,BD43&lt;1,BD58&lt;1,BD44&lt;1,BD59&lt;1,BD45&lt;1,BD60&lt;1,BD46&lt;1,BD61&lt;1,BD47&lt;1,BD62&lt;1,BD48&lt;1,BD63&lt;1,BD49&lt;1,BD64&lt;1),1,0)</f>
        <v>0</v>
      </c>
      <c r="BE36" s="172">
        <f t="shared" si="47"/>
        <v>0</v>
      </c>
      <c r="BF36" s="128">
        <f>IF(AND(BE36&gt;0,BF37&lt;1,BF38&lt;1,BF39&lt;1,BF40&lt;1,BF41&lt;1,BF42&lt;1,BF57&lt;1,BF43&lt;1,BF58&lt;1,BF44&lt;1,BF59&lt;1,BF45&lt;1,BF60&lt;1,BF46&lt;1,BF61&lt;1,BF47&lt;1,BF62&lt;1,BF48&lt;1,BF63&lt;1,BF49&lt;1,BF64&lt;1),1,0)</f>
        <v>0</v>
      </c>
      <c r="BG36" s="51"/>
      <c r="BH36" s="51"/>
      <c r="BI36" s="51"/>
      <c r="BJ36" s="51"/>
      <c r="BK36" s="51"/>
      <c r="BL36" s="51"/>
      <c r="BM36" s="51"/>
      <c r="BN36" s="51"/>
      <c r="BO36" s="51"/>
      <c r="BP36" s="51"/>
      <c r="BQ36" s="51" t="s">
        <v>58</v>
      </c>
      <c r="BR36" s="51">
        <f>IF(C29=0,0,IF(C29=1,D29,((C29-1)*0.6*D29/C29)+D29/C29))</f>
        <v>0</v>
      </c>
      <c r="BS36" s="51">
        <f>IF(F29=0,0,IF(F29=1,G29,((F29-1)*0.6*G29/F29)+G29/F29))</f>
        <v>0</v>
      </c>
      <c r="BT36" s="51">
        <f>IF(I29=0,0,IF(I29=1,J29,((I29-1)*0.6*J29/I29)+J29/I29))</f>
        <v>0</v>
      </c>
      <c r="BU36" s="51">
        <f>IF(L29=0,0,IF(L29=1,M29,((L29-1)*0.6*M29/L29)+M29/L29))</f>
        <v>0</v>
      </c>
      <c r="BV36" s="51">
        <f>IF(O29=0,0,IF(O29=1,P29,((O29-1)*0.6*P29/O29)+P29/O29))</f>
        <v>0</v>
      </c>
      <c r="BW36" s="51">
        <f>IF(R29=0,0,IF(R29=1,S29,((R29-1)*0.6*S29/R29)+S29/R29))</f>
        <v>0</v>
      </c>
      <c r="BX36" s="51">
        <f>IF(U29=0,0,IF(U29=1,V29,((U29-1)*0.6*V29/U29)+V29/U29))</f>
        <v>0</v>
      </c>
      <c r="BY36" s="51">
        <f>IF(X29=0,0,IF(X29=1,Y29,((X29-1)*0.6*Y29/X29)+Y29/X29))</f>
        <v>0</v>
      </c>
      <c r="BZ36" s="51">
        <f>IF(AA29=0,0,IF(AA29=1,AB29,((AA29-1)*0.6*AB29/AA29)+AB29/AA29))</f>
        <v>0</v>
      </c>
      <c r="CA36" s="51">
        <f>IF(AD29=0,0,IF(AD29=1,AE29,((AD29-1)*0.6*AE29/AD29)+AE29/AD29))</f>
        <v>0</v>
      </c>
      <c r="CB36" s="51">
        <f>IF(AG29=0,0,IF(AG29=1,AH29,((AG29-1)*0.6*AH29/AG29)+AH29/AG29))</f>
        <v>0</v>
      </c>
      <c r="CC36" s="51">
        <f>IF(AJ29=0,0,IF(AJ29=1,AK29,((AJ29-1)*0.6*AK29/AJ29)+AK29/AJ29))</f>
        <v>0</v>
      </c>
      <c r="CD36" s="128"/>
      <c r="CE36" s="128" t="s">
        <v>59</v>
      </c>
      <c r="CF36" s="51">
        <v>1</v>
      </c>
      <c r="CG36" s="51">
        <v>1</v>
      </c>
      <c r="CH36" s="51">
        <v>1</v>
      </c>
      <c r="CI36" s="51">
        <v>1</v>
      </c>
      <c r="CJ36" s="51"/>
      <c r="CK36" s="22">
        <v>5</v>
      </c>
      <c r="CL36" s="83">
        <f>$B$41</f>
        <v>0.75</v>
      </c>
      <c r="CM36" s="679">
        <f>SUM($C$41,$F$41,IF($E$74="TRIFÁSICA",$C$74,0))</f>
        <v>0</v>
      </c>
      <c r="CN36" s="680"/>
      <c r="CO36" s="51">
        <f>IF($CP$60=CK36,IF(CM36&gt;0,((CM36-1)*$BM$47*0.5)+$BM$47,CM36*0.5*$BM$47),CM36*0.5*$BM$47)</f>
        <v>0</v>
      </c>
      <c r="CP36" s="116">
        <f>IF(CM36&gt;0,1,0)*$A$41</f>
        <v>0</v>
      </c>
      <c r="CQ36" s="679">
        <f>CM36*$BK$47</f>
        <v>0</v>
      </c>
      <c r="CR36" s="680"/>
      <c r="CS36" s="83"/>
      <c r="CT36" s="22">
        <v>5</v>
      </c>
      <c r="CU36" s="83">
        <f>$B$41</f>
        <v>0.75</v>
      </c>
      <c r="CV36" s="679">
        <f>SUM($C$41,$F$41)</f>
        <v>0</v>
      </c>
      <c r="CW36" s="680"/>
      <c r="CX36" s="51">
        <f>IF($CY$60=CT36,IF(CV36&gt;0,((CV36-1)*$BM$47*0.5)+$BM$47,CV36*0.5*$BM$47),CV36*0.5*$BM$47)</f>
        <v>0</v>
      </c>
      <c r="CY36" s="116">
        <f>IF(CV36&gt;0,1,0)*$A$41</f>
        <v>0</v>
      </c>
      <c r="CZ36" s="679">
        <f>CV36*$BK$47</f>
        <v>0</v>
      </c>
      <c r="DA36" s="680"/>
      <c r="DB36" s="83"/>
      <c r="DC36" s="689"/>
      <c r="DD36" s="690"/>
      <c r="DE36" s="83"/>
      <c r="DF36" s="691"/>
      <c r="DG36" s="692"/>
      <c r="DH36" s="83"/>
      <c r="DI36" s="691"/>
      <c r="DJ36" s="692"/>
      <c r="DP36"/>
      <c r="DQ36"/>
      <c r="DR36"/>
      <c r="DS36" s="290"/>
      <c r="DT36" s="51"/>
      <c r="DV36" s="22">
        <v>5</v>
      </c>
      <c r="DW36" s="83">
        <f>$B$41</f>
        <v>0.75</v>
      </c>
      <c r="DX36" s="679">
        <f>SUM(IF($C$1="Residência",$C$41,0),IF($F$1="Residência",$F$41,0),IF($I$1="Residência",$I$41,0),IF($L$1="Residência",$L$41,0))</f>
        <v>0</v>
      </c>
      <c r="DY36" s="680"/>
      <c r="DZ36" s="51">
        <f>IF($EA$60=$DV$36,IF(DX36&gt;0,((DX36-1)*$BM$47*0.5)+$BM$47,DX36*0.5*$BM$47),DX36*0.5*$BM$47)</f>
        <v>0</v>
      </c>
      <c r="EA36" s="116">
        <f>IF(DX36&gt;0,1,0)*$A$41</f>
        <v>0</v>
      </c>
      <c r="EB36" s="679">
        <f>DX36*$BK$47</f>
        <v>0</v>
      </c>
      <c r="EC36" s="680"/>
      <c r="ED36" s="83"/>
      <c r="EG36" s="116"/>
      <c r="EH36" s="679">
        <f>SUM(IF($C$1="Residência",0,$C$41),IF($F$1="Residência",0,$F$41),IF($I$1="Residência",0,$I$41),IF($L$1="Residência",0,$L$41),IF($E$74="TRIFÁSICA",$C$74,0))</f>
        <v>0</v>
      </c>
      <c r="EI36" s="680"/>
      <c r="EJ36" s="51">
        <f>IF($EA$60=$DV$36,IF(AND($EH$36&gt;0,$DX$36&lt;1),(($EH$36-1)*$BM$47*0.5)+$BM$47,$EH$36*0.5*$BM$47),$EH$36*0.5*$BM$47)</f>
        <v>0</v>
      </c>
      <c r="EK36" s="116">
        <f>IF(EH36&gt;0,1,0)*$A$41</f>
        <v>0</v>
      </c>
      <c r="EL36" s="679">
        <f>EH36*$BK$47</f>
        <v>0</v>
      </c>
      <c r="EM36" s="680"/>
      <c r="EN36" s="689"/>
      <c r="EO36" s="690"/>
      <c r="EP36" s="679">
        <f>SUM(IF($C$1="Residência",$C$41,0),IF($F$1="Residência",$F$41,0),IF($I$1="Residência",$I$41,0),IF($L$1="Residência",$L$41,0))</f>
        <v>0</v>
      </c>
      <c r="EQ36" s="680"/>
      <c r="ER36" s="51">
        <f>IF($ES$60=$DV$36,IF(EP36&gt;0,((EP36-1)*$BM$47*0.5)+$BM$47,EP36*0.5*$BM$47),EP36*0.5*$BM$47)</f>
        <v>0</v>
      </c>
      <c r="ES36" s="116">
        <f>IF(EP36&gt;0,1,0)*$A$41</f>
        <v>0</v>
      </c>
      <c r="ET36" s="679">
        <f>EP36*$BK$47</f>
        <v>0</v>
      </c>
      <c r="EU36" s="680"/>
      <c r="EW36" s="679">
        <f>SUM(IF($C$1="Residência",0,$C$41),IF($F$1="Residência",0,$F$41),IF($I$1="Residência",0,$I$41),IF($L$1="Residência",0,$L$41))</f>
        <v>0</v>
      </c>
      <c r="EX36" s="680"/>
      <c r="EY36" s="51">
        <f>IF($ES$60=$DV$36,IF(AND($EW$36&gt;0,$DX$36&lt;1),(($EW$36-1)*$BM$47*0.5)+$BM$47,$EW$36*0.5*$BM$47),$EW$36*0.5*$BM$47)</f>
        <v>0</v>
      </c>
      <c r="EZ36" s="116">
        <f>IF(EW36&gt;0,1,0)*$A$41</f>
        <v>0</v>
      </c>
      <c r="FA36" s="679">
        <f>EW36*$BK$47</f>
        <v>0</v>
      </c>
      <c r="FB36" s="680"/>
      <c r="FC36" s="386"/>
      <c r="FE36" s="51"/>
      <c r="FK36" s="51"/>
      <c r="FM36" s="22">
        <v>5</v>
      </c>
      <c r="FN36" s="83">
        <f>$B$41</f>
        <v>0.75</v>
      </c>
      <c r="FO36" s="679">
        <f>SUM($C$41,$F$41)</f>
        <v>0</v>
      </c>
      <c r="FP36" s="680"/>
      <c r="FQ36" s="51">
        <f>IF($FR$60=FM36,IF(FO36&gt;0,((FO36-1)*$BM$47*0.5)+$BM$47,0),FO36*0.5*$BM$47)</f>
        <v>0</v>
      </c>
      <c r="FR36" s="116">
        <f>IF(FO36&gt;0,1,0)*$A$41</f>
        <v>0</v>
      </c>
      <c r="FS36" s="679">
        <f>FO36*$BK$47</f>
        <v>0</v>
      </c>
      <c r="FT36" s="680"/>
      <c r="FU36" s="83"/>
      <c r="FX36" s="83"/>
      <c r="FY36" s="691"/>
      <c r="FZ36" s="692"/>
      <c r="GA36" s="83"/>
      <c r="GB36" s="691"/>
      <c r="GC36" s="692"/>
      <c r="GD36" s="83"/>
      <c r="GE36" s="689"/>
      <c r="GF36" s="690"/>
      <c r="GG36" s="83"/>
      <c r="GH36" s="691"/>
      <c r="GI36" s="692"/>
      <c r="GJ36" s="83"/>
      <c r="GK36" s="691"/>
      <c r="GL36" s="692"/>
      <c r="GV36" s="51"/>
      <c r="HB36" s="51"/>
      <c r="HD36" s="22">
        <v>5</v>
      </c>
      <c r="HE36" s="83">
        <f>$B$41</f>
        <v>0.75</v>
      </c>
      <c r="HF36" s="679">
        <f>SUM($I$41,$L$41)</f>
        <v>0</v>
      </c>
      <c r="HG36" s="680"/>
      <c r="HH36" s="51">
        <f>IF($HI$60=HD36,IF(HF36&gt;0,((HF36-1)*$BM$47*0.5)+$BM$47,0),HF36*0.5*$BM$47)</f>
        <v>0</v>
      </c>
      <c r="HI36" s="116">
        <f>IF(HF36&gt;0,1,0)*$A$41</f>
        <v>0</v>
      </c>
      <c r="HJ36" s="679">
        <f>HF36*$BK$47</f>
        <v>0</v>
      </c>
      <c r="HK36" s="680"/>
      <c r="HL36" s="83"/>
      <c r="HO36" s="83"/>
      <c r="HP36" s="691"/>
      <c r="HQ36" s="692"/>
      <c r="HR36" s="83"/>
      <c r="HS36" s="691"/>
      <c r="HT36" s="692"/>
      <c r="HU36" s="83"/>
      <c r="HV36" s="689"/>
      <c r="HW36" s="690"/>
      <c r="HX36" s="83"/>
      <c r="HY36" s="691"/>
      <c r="HZ36" s="692"/>
      <c r="IA36" s="83"/>
      <c r="IB36" s="691"/>
      <c r="IC36" s="692"/>
      <c r="IM36" s="51"/>
    </row>
    <row r="37" spans="1:247" ht="13.5" thickBot="1" x14ac:dyDescent="0.25">
      <c r="A37" s="22">
        <v>1.5</v>
      </c>
      <c r="B37" s="98">
        <v>0.71</v>
      </c>
      <c r="C37" s="691">
        <f>IF($C$1="Vazio",0,RELAÇÃO_DE_CARGA!C38:D38)</f>
        <v>0</v>
      </c>
      <c r="D37" s="692"/>
      <c r="E37" s="98">
        <v>0.71</v>
      </c>
      <c r="F37" s="713">
        <f>IF($F$1="Vazio",0,RELAÇÃO_DE_CARGA!F38:G38)</f>
        <v>0</v>
      </c>
      <c r="G37" s="714"/>
      <c r="H37" s="98">
        <v>0.71</v>
      </c>
      <c r="I37" s="713">
        <f>IF(OR($I$1="Vazio",RELAÇÃO_DE_CARGA!$I$1&lt;3),0,RELAÇÃO_DE_CARGA!I38:J38)</f>
        <v>0</v>
      </c>
      <c r="J37" s="714"/>
      <c r="K37" s="98">
        <v>0.71</v>
      </c>
      <c r="L37" s="713">
        <f>IF(OR($L$1="Vazio",RELAÇÃO_DE_CARGA!$I$1&lt;4),0,RELAÇÃO_DE_CARGA!L38:M38)</f>
        <v>0</v>
      </c>
      <c r="M37" s="714"/>
      <c r="N37" s="98">
        <v>0.71</v>
      </c>
      <c r="O37" s="691">
        <f>IF(OR($O$1="Vazio",RELAÇÃO_DE_CARGA!$I$1&lt;5),0,RELAÇÃO_DE_CARGA!O38)</f>
        <v>0</v>
      </c>
      <c r="P37" s="692"/>
      <c r="Q37" s="98">
        <v>0.71</v>
      </c>
      <c r="R37" s="713">
        <f>IF(OR($R$1="Vazio",RELAÇÃO_DE_CARGA!$I$1&lt;6),0,RELAÇÃO_DE_CARGA!R38)</f>
        <v>0</v>
      </c>
      <c r="S37" s="714"/>
      <c r="T37" s="98">
        <v>0.71</v>
      </c>
      <c r="U37" s="713">
        <f>IF(OR($U$1="Vazio",RELAÇÃO_DE_CARGA!$I$1&lt;7),0,RELAÇÃO_DE_CARGA!U38)</f>
        <v>0</v>
      </c>
      <c r="V37" s="714"/>
      <c r="W37" s="98">
        <v>0.71</v>
      </c>
      <c r="X37" s="713">
        <f>IF(OR($X$1="Vazio",RELAÇÃO_DE_CARGA!$I$1&lt;8),0,RELAÇÃO_DE_CARGA!X38)</f>
        <v>0</v>
      </c>
      <c r="Y37" s="714"/>
      <c r="Z37" s="98">
        <v>0.71</v>
      </c>
      <c r="AA37" s="713">
        <f>IF(OR($AA$1="Vazio",RELAÇÃO_DE_CARGA!$I$1&lt;9),0,RELAÇÃO_DE_CARGA!AA38)</f>
        <v>0</v>
      </c>
      <c r="AB37" s="714"/>
      <c r="AC37" s="98">
        <v>0.71</v>
      </c>
      <c r="AD37" s="713">
        <f>IF(OR($AD$1="Vazio",RELAÇÃO_DE_CARGA!$I$1&lt;10),0,RELAÇÃO_DE_CARGA!AD38)</f>
        <v>0</v>
      </c>
      <c r="AE37" s="714"/>
      <c r="AF37" s="98">
        <v>0.71</v>
      </c>
      <c r="AG37" s="713">
        <f>IF(OR($AG$1="Vazio",RELAÇÃO_DE_CARGA!$I$1&lt;11),0,RELAÇÃO_DE_CARGA!AG38)</f>
        <v>0</v>
      </c>
      <c r="AH37" s="714"/>
      <c r="AI37" s="98">
        <v>0.71</v>
      </c>
      <c r="AJ37" s="713">
        <f>IF(OR($AJ$1="Vazio",RELAÇÃO_DE_CARGA!$I$1&lt;12),0,RELAÇÃO_DE_CARGA!AJ38)</f>
        <v>0</v>
      </c>
      <c r="AK37" s="714"/>
      <c r="AL37" s="35"/>
      <c r="AM37" s="35"/>
      <c r="AN37" s="35"/>
      <c r="AO37" s="35"/>
      <c r="AP37" s="35"/>
      <c r="AQ37" s="276">
        <f t="shared" si="48"/>
        <v>0</v>
      </c>
      <c r="AR37" s="276">
        <f t="shared" si="49"/>
        <v>0</v>
      </c>
      <c r="AS37" s="276">
        <f t="shared" si="50"/>
        <v>0</v>
      </c>
      <c r="AT37" s="276">
        <f t="shared" si="51"/>
        <v>0</v>
      </c>
      <c r="AU37" s="276">
        <f t="shared" si="52"/>
        <v>0</v>
      </c>
      <c r="AV37" s="276">
        <f t="shared" si="53"/>
        <v>0</v>
      </c>
      <c r="AW37" s="276">
        <f t="shared" si="54"/>
        <v>0</v>
      </c>
      <c r="AX37" s="276">
        <f t="shared" si="55"/>
        <v>0</v>
      </c>
      <c r="AY37" s="276">
        <f t="shared" si="56"/>
        <v>0</v>
      </c>
      <c r="AZ37" s="276">
        <f t="shared" si="57"/>
        <v>0</v>
      </c>
      <c r="BA37" s="276">
        <f t="shared" si="58"/>
        <v>0</v>
      </c>
      <c r="BB37" s="276">
        <f t="shared" si="59"/>
        <v>0</v>
      </c>
      <c r="BC37" s="172">
        <f t="shared" si="60"/>
        <v>0</v>
      </c>
      <c r="BD37" s="128">
        <f>IF(AND(BC37&gt;0,BD38&lt;1,BD39&lt;1,BD40&lt;1,BD41&lt;1,BD42&lt;1,BD43&lt;1,BD58&lt;1,BD44&lt;1,BD59&lt;1,BD45&lt;1,BD60&lt;1,BD46&lt;1,BD61&lt;1,BD47&lt;1,BD62&lt;1,BD48&lt;1,BD63&lt;1,BD49&lt;1,BD64&lt;1),1,0)</f>
        <v>0</v>
      </c>
      <c r="BE37" s="172">
        <f t="shared" si="47"/>
        <v>0</v>
      </c>
      <c r="BF37" s="128">
        <f>IF(AND(BE37&gt;0,BF38&lt;1,BF39&lt;1,BF40&lt;1,BF41&lt;1,BF42&lt;1,BF43&lt;1,BF58&lt;1,BF44&lt;1,BF59&lt;1,BF45&lt;1,BF60&lt;1,BF46&lt;1,BF61&lt;1,BF47&lt;1,BF62&lt;1,BF48&lt;1,BF63&lt;1,BF49&lt;1,BF64&lt;1),1,0)</f>
        <v>0</v>
      </c>
      <c r="BG37" s="128"/>
      <c r="BH37" s="128"/>
      <c r="BI37" s="128"/>
      <c r="BJ37" s="128"/>
      <c r="BK37" s="51"/>
      <c r="BL37" s="51"/>
      <c r="BM37" s="20"/>
      <c r="BN37" s="20"/>
      <c r="BO37" s="72"/>
      <c r="BP37" s="72"/>
      <c r="BQ37" s="51" t="s">
        <v>59</v>
      </c>
      <c r="BR37" s="51">
        <v>1</v>
      </c>
      <c r="BS37" s="51">
        <v>1</v>
      </c>
      <c r="BT37" s="51">
        <v>1</v>
      </c>
      <c r="BU37" s="51">
        <v>1</v>
      </c>
      <c r="BV37" s="51">
        <v>1</v>
      </c>
      <c r="BW37" s="51">
        <v>1</v>
      </c>
      <c r="BX37" s="51">
        <v>1</v>
      </c>
      <c r="BY37" s="51">
        <v>1</v>
      </c>
      <c r="BZ37" s="51">
        <v>1</v>
      </c>
      <c r="CA37" s="51">
        <v>1</v>
      </c>
      <c r="CB37" s="51">
        <v>1</v>
      </c>
      <c r="CC37" s="51">
        <v>1</v>
      </c>
      <c r="CD37" s="179"/>
      <c r="CG37" s="51"/>
      <c r="CH37" s="51"/>
      <c r="CI37" s="51"/>
      <c r="CJ37" s="51"/>
      <c r="CK37" s="22">
        <v>7</v>
      </c>
      <c r="CL37" s="83">
        <f>$B$42</f>
        <v>0.76</v>
      </c>
      <c r="CM37" s="679">
        <f>SUM($C$42,$F$42)</f>
        <v>0</v>
      </c>
      <c r="CN37" s="680"/>
      <c r="CO37" s="51">
        <f>IF($CP$60=CK37,IF(CM37&gt;0,((CM37-1)*$BM$48*0.5)+$BM$48,CM37*0.5*$BM$48),CM37*0.5*$BM$48)</f>
        <v>0</v>
      </c>
      <c r="CP37" s="116">
        <f>IF(CM37&gt;0,1,0)*$A$42</f>
        <v>0</v>
      </c>
      <c r="CQ37" s="679">
        <f>CM37*$BK$48</f>
        <v>0</v>
      </c>
      <c r="CR37" s="680"/>
      <c r="CS37" s="83"/>
      <c r="CT37" s="22">
        <v>7</v>
      </c>
      <c r="CU37" s="83">
        <f>$B$42</f>
        <v>0.76</v>
      </c>
      <c r="CV37" s="679">
        <f>SUM($C$42,$F$42)</f>
        <v>0</v>
      </c>
      <c r="CW37" s="680"/>
      <c r="CX37" s="51">
        <f>IF($CY$60=CT37,IF(CV37&gt;0,((CV37-1)*$BM$48*0.5)+$BM$48,CV37*0.5*$BM$48),CV37*0.5*$BM$48)</f>
        <v>0</v>
      </c>
      <c r="CY37" s="116">
        <f>IF(CV37&gt;0,1,0)*$A$42</f>
        <v>0</v>
      </c>
      <c r="CZ37" s="679">
        <f>CV37*$BK$48</f>
        <v>0</v>
      </c>
      <c r="DA37" s="680"/>
      <c r="DB37" s="83"/>
      <c r="DC37" s="689"/>
      <c r="DD37" s="690"/>
      <c r="DE37" s="83"/>
      <c r="DF37" s="691"/>
      <c r="DG37" s="692"/>
      <c r="DH37" s="83"/>
      <c r="DI37" s="691"/>
      <c r="DJ37" s="692"/>
      <c r="DL37" s="20"/>
      <c r="DM37" s="20"/>
      <c r="DN37" s="72"/>
      <c r="DO37" s="72"/>
      <c r="DP37"/>
      <c r="DQ37"/>
      <c r="DR37"/>
      <c r="DS37" s="290"/>
      <c r="DT37" s="51"/>
      <c r="DV37" s="22">
        <v>7</v>
      </c>
      <c r="DW37" s="83">
        <f>$B$42</f>
        <v>0.76</v>
      </c>
      <c r="DX37" s="679">
        <f>SUM(IF($C$1="Residência",$C$42,0),IF($F$1="Residência",$F$42,0),IF($I$1="Residência",$I$42,0),IF($L$1="Residência",$L$42,0))</f>
        <v>0</v>
      </c>
      <c r="DY37" s="680"/>
      <c r="DZ37" s="51">
        <f>IF($EA$60=$DV$37,IF(DX37&gt;0,((DX37-1)*$BM$48*0.5)+$BM$48,DX37*0.5*$BM$48),DX37*0.5*$BM$48)</f>
        <v>0</v>
      </c>
      <c r="EA37" s="116">
        <f>IF(DX37&gt;0,1,0)*$A$42</f>
        <v>0</v>
      </c>
      <c r="EB37" s="679">
        <f>DX37*$BK$48</f>
        <v>0</v>
      </c>
      <c r="EC37" s="680"/>
      <c r="ED37" s="83"/>
      <c r="EG37" s="116"/>
      <c r="EH37" s="679">
        <f>SUM(IF($C$1="Residência",0,$C$42),IF($F$1="Residência",0,$F$42),IF($I$1="Residência",0,$I$42),IF($L$1="Residência",0,$L$42))</f>
        <v>0</v>
      </c>
      <c r="EI37" s="680"/>
      <c r="EJ37" s="51">
        <f>IF($EA$60=$DV$37,IF(AND($EH$37&gt;0,$DX$37&lt;1),(($EH$37-1)*$BM$48*0.5)+$BM$48,$EH$37*0.5*$BM$48),$EH$37*0.5*$BM$48)</f>
        <v>0</v>
      </c>
      <c r="EK37" s="116">
        <f>IF(EH37&gt;0,1,0)*$A$42</f>
        <v>0</v>
      </c>
      <c r="EL37" s="679">
        <f>EH37*$BK$48</f>
        <v>0</v>
      </c>
      <c r="EM37" s="680"/>
      <c r="EN37" s="689"/>
      <c r="EO37" s="690"/>
      <c r="EP37" s="679">
        <f>SUM(IF($C$1="Residência",$C$42,0),IF($F$1="Residência",$F$42,0),IF($I$1="Residência",$I$42,0),IF($L$1="Residência",$L$42,0))</f>
        <v>0</v>
      </c>
      <c r="EQ37" s="680"/>
      <c r="ER37" s="51">
        <f>IF($ES$60=$DV$37,IF(EP37&gt;0,((EP37-1)*$BM$48*0.5)+$BM$48,EP37*0.5*$BM$48),EP37*0.5*$BM$48)</f>
        <v>0</v>
      </c>
      <c r="ES37" s="116">
        <f>IF(EP37&gt;0,1,0)*$A$42</f>
        <v>0</v>
      </c>
      <c r="ET37" s="679">
        <f>EP37*$BK$48</f>
        <v>0</v>
      </c>
      <c r="EU37" s="680"/>
      <c r="EW37" s="679">
        <f>SUM(IF($C$1="Residência",0,$C$42),IF($F$1="Residência",0,$F$42),IF($I$1="Residência",0,$I$42),IF($L$1="Residência",0,$L$42))</f>
        <v>0</v>
      </c>
      <c r="EX37" s="680"/>
      <c r="EY37" s="51">
        <f>IF($ES$60=$DV$37,IF(AND($EW$37&gt;0,$DX$37&lt;1),(($EW$37-1)*$BM$48*0.5)+$BM$48,$EW$37*0.5*$BM$48),$EW$37*0.5*$BM$48)</f>
        <v>0</v>
      </c>
      <c r="EZ37" s="116">
        <f>IF(EW37&gt;0,1,0)*$A$42</f>
        <v>0</v>
      </c>
      <c r="FA37" s="679">
        <f>EW37*$BK$48</f>
        <v>0</v>
      </c>
      <c r="FB37" s="680"/>
      <c r="FC37" s="386"/>
      <c r="FK37" s="51"/>
      <c r="FM37" s="22">
        <v>7</v>
      </c>
      <c r="FN37" s="83">
        <f>$B$42</f>
        <v>0.76</v>
      </c>
      <c r="FO37" s="679">
        <f>SUM($C$42,$F$42)</f>
        <v>0</v>
      </c>
      <c r="FP37" s="680"/>
      <c r="FQ37" s="51">
        <f>IF($FR$60=FM37,IF(FO37&gt;0,((FO37-1)*$BM$48*0.5)+$BM$48,0),FO37*0.5*$BM$48)</f>
        <v>0</v>
      </c>
      <c r="FR37" s="116">
        <f>IF(FO37&gt;0,1,0)*$A$42</f>
        <v>0</v>
      </c>
      <c r="FS37" s="679">
        <f>FO37*$BK$48</f>
        <v>0</v>
      </c>
      <c r="FT37" s="680"/>
      <c r="FU37" s="83"/>
      <c r="FX37" s="83"/>
      <c r="FY37" s="691"/>
      <c r="FZ37" s="692"/>
      <c r="GA37" s="83"/>
      <c r="GB37" s="691"/>
      <c r="GC37" s="692"/>
      <c r="GD37" s="83"/>
      <c r="GE37" s="689"/>
      <c r="GF37" s="690"/>
      <c r="GG37" s="83"/>
      <c r="GH37" s="691"/>
      <c r="GI37" s="692"/>
      <c r="GJ37" s="83"/>
      <c r="GK37" s="691"/>
      <c r="GL37" s="692"/>
      <c r="GN37" s="20"/>
      <c r="GO37" s="20"/>
      <c r="GP37" s="72"/>
      <c r="GQ37" s="72"/>
      <c r="HB37" s="51"/>
      <c r="HD37" s="22">
        <v>7</v>
      </c>
      <c r="HE37" s="83">
        <f>$B$42</f>
        <v>0.76</v>
      </c>
      <c r="HF37" s="679">
        <f>SUM($I$42,$L$42)</f>
        <v>0</v>
      </c>
      <c r="HG37" s="680"/>
      <c r="HH37" s="51">
        <f>IF($HI$60=HD37,IF(HF37&gt;0,((HF37-1)*$BM$48*0.5)+$BM$48,0),HF37*0.5*$BM$48)</f>
        <v>0</v>
      </c>
      <c r="HI37" s="116">
        <f>IF(HF37&gt;0,1,0)*$A$42</f>
        <v>0</v>
      </c>
      <c r="HJ37" s="679">
        <f>HF37*$BK$48</f>
        <v>0</v>
      </c>
      <c r="HK37" s="680"/>
      <c r="HL37" s="83"/>
      <c r="HO37" s="83"/>
      <c r="HP37" s="691"/>
      <c r="HQ37" s="692"/>
      <c r="HR37" s="83"/>
      <c r="HS37" s="691"/>
      <c r="HT37" s="692"/>
      <c r="HU37" s="83"/>
      <c r="HV37" s="689"/>
      <c r="HW37" s="690"/>
      <c r="HX37" s="83"/>
      <c r="HY37" s="691"/>
      <c r="HZ37" s="692"/>
      <c r="IA37" s="83"/>
      <c r="IB37" s="691"/>
      <c r="IC37" s="692"/>
      <c r="IE37" s="20"/>
      <c r="IF37" s="20"/>
      <c r="IG37" s="72"/>
      <c r="IH37" s="72"/>
    </row>
    <row r="38" spans="1:247" ht="13.5" thickBot="1" x14ac:dyDescent="0.25">
      <c r="A38" s="22">
        <v>2</v>
      </c>
      <c r="B38" s="98">
        <v>0.72</v>
      </c>
      <c r="C38" s="691">
        <f>IF($C$1="Vazio",0,RELAÇÃO_DE_CARGA!C39:D39)</f>
        <v>0</v>
      </c>
      <c r="D38" s="692"/>
      <c r="E38" s="98">
        <v>0.72</v>
      </c>
      <c r="F38" s="713">
        <f>IF($F$1="Vazio",0,RELAÇÃO_DE_CARGA!F39:G39)</f>
        <v>0</v>
      </c>
      <c r="G38" s="714"/>
      <c r="H38" s="98">
        <v>0.72</v>
      </c>
      <c r="I38" s="713">
        <f>IF(OR($I$1="Vazio",RELAÇÃO_DE_CARGA!$I$1&lt;3),0,RELAÇÃO_DE_CARGA!I39:J39)</f>
        <v>0</v>
      </c>
      <c r="J38" s="714"/>
      <c r="K38" s="98">
        <v>0.72</v>
      </c>
      <c r="L38" s="713">
        <f>IF(OR($L$1="Vazio",RELAÇÃO_DE_CARGA!$I$1&lt;4),0,RELAÇÃO_DE_CARGA!L39:M39)</f>
        <v>0</v>
      </c>
      <c r="M38" s="714"/>
      <c r="N38" s="98">
        <v>0.72</v>
      </c>
      <c r="O38" s="691">
        <f>IF(OR($O$1="Vazio",RELAÇÃO_DE_CARGA!$I$1&lt;5),0,RELAÇÃO_DE_CARGA!O39)</f>
        <v>0</v>
      </c>
      <c r="P38" s="692"/>
      <c r="Q38" s="98">
        <v>0.72</v>
      </c>
      <c r="R38" s="713">
        <f>IF(OR($R$1="Vazio",RELAÇÃO_DE_CARGA!$I$1&lt;6),0,RELAÇÃO_DE_CARGA!R39)</f>
        <v>0</v>
      </c>
      <c r="S38" s="714"/>
      <c r="T38" s="98">
        <v>0.72</v>
      </c>
      <c r="U38" s="713">
        <f>IF(OR($U$1="Vazio",RELAÇÃO_DE_CARGA!$I$1&lt;7),0,RELAÇÃO_DE_CARGA!U39)</f>
        <v>0</v>
      </c>
      <c r="V38" s="714"/>
      <c r="W38" s="98">
        <v>0.72</v>
      </c>
      <c r="X38" s="713">
        <f>IF(OR($X$1="Vazio",RELAÇÃO_DE_CARGA!$I$1&lt;8),0,RELAÇÃO_DE_CARGA!X39)</f>
        <v>0</v>
      </c>
      <c r="Y38" s="714"/>
      <c r="Z38" s="98">
        <v>0.72</v>
      </c>
      <c r="AA38" s="713">
        <f>IF(OR($AA$1="Vazio",RELAÇÃO_DE_CARGA!$I$1&lt;9),0,RELAÇÃO_DE_CARGA!AA39)</f>
        <v>0</v>
      </c>
      <c r="AB38" s="714"/>
      <c r="AC38" s="98">
        <v>0.72</v>
      </c>
      <c r="AD38" s="713">
        <f>IF(OR($AD$1="Vazio",RELAÇÃO_DE_CARGA!$I$1&lt;10),0,RELAÇÃO_DE_CARGA!AD39)</f>
        <v>0</v>
      </c>
      <c r="AE38" s="714"/>
      <c r="AF38" s="98">
        <v>0.72</v>
      </c>
      <c r="AG38" s="713">
        <f>IF(OR($AG$1="Vazio",RELAÇÃO_DE_CARGA!$I$1&lt;11),0,RELAÇÃO_DE_CARGA!AG39)</f>
        <v>0</v>
      </c>
      <c r="AH38" s="714"/>
      <c r="AI38" s="98">
        <v>0.72</v>
      </c>
      <c r="AJ38" s="713">
        <f>IF(OR($AJ$1="Vazio",RELAÇÃO_DE_CARGA!$I$1&lt;12),0,RELAÇÃO_DE_CARGA!AJ39)</f>
        <v>0</v>
      </c>
      <c r="AK38" s="714"/>
      <c r="AL38" s="35"/>
      <c r="AM38" s="35"/>
      <c r="AN38" s="35"/>
      <c r="AO38" s="35"/>
      <c r="AP38" s="35"/>
      <c r="AQ38" s="276">
        <f t="shared" si="48"/>
        <v>0</v>
      </c>
      <c r="AR38" s="276">
        <f t="shared" si="49"/>
        <v>0</v>
      </c>
      <c r="AS38" s="276">
        <f t="shared" si="50"/>
        <v>0</v>
      </c>
      <c r="AT38" s="276">
        <f t="shared" si="51"/>
        <v>0</v>
      </c>
      <c r="AU38" s="276">
        <f t="shared" si="52"/>
        <v>0</v>
      </c>
      <c r="AV38" s="276">
        <f t="shared" si="53"/>
        <v>0</v>
      </c>
      <c r="AW38" s="276">
        <f t="shared" si="54"/>
        <v>0</v>
      </c>
      <c r="AX38" s="276">
        <f t="shared" si="55"/>
        <v>0</v>
      </c>
      <c r="AY38" s="276">
        <f t="shared" si="56"/>
        <v>0</v>
      </c>
      <c r="AZ38" s="276">
        <f t="shared" si="57"/>
        <v>0</v>
      </c>
      <c r="BA38" s="276">
        <f t="shared" si="58"/>
        <v>0</v>
      </c>
      <c r="BB38" s="276">
        <f t="shared" si="59"/>
        <v>0</v>
      </c>
      <c r="BC38" s="172">
        <f t="shared" si="60"/>
        <v>0</v>
      </c>
      <c r="BD38" s="128">
        <f>IF(AND(BC38&gt;0,BD39&lt;1,BD40&lt;1,BD41&lt;1,BD42&lt;1,BD43&lt;1,BD44&lt;1,BD59&lt;1,BD45&lt;1,BD60&lt;1,BD46&lt;1,BD61&lt;1,BD47&lt;1,BD62&lt;1,BD48&lt;1,BD63&lt;1,BD49&lt;1,BD64&lt;1),1,0)</f>
        <v>0</v>
      </c>
      <c r="BE38" s="172">
        <f t="shared" si="47"/>
        <v>0</v>
      </c>
      <c r="BF38" s="128">
        <f>IF(AND(BE38&gt;0,BF39&lt;1,BF40&lt;1,BF41&lt;1,BF42&lt;1,BF43&lt;1,BF44&lt;1,BF59&lt;1,BF45&lt;1,BF60&lt;1,BF46&lt;1,BF61&lt;1,BF47&lt;1,BF62&lt;1,BF48&lt;1,BF63&lt;1,BF49&lt;1,BF64&lt;1),1,0)</f>
        <v>0</v>
      </c>
      <c r="BG38" s="128"/>
      <c r="BH38" s="128"/>
      <c r="BI38" s="128"/>
      <c r="BJ38" s="128"/>
      <c r="BK38" s="52" t="s">
        <v>41</v>
      </c>
      <c r="BL38" s="122" t="s">
        <v>135</v>
      </c>
      <c r="BM38" s="696"/>
      <c r="BN38" s="696"/>
      <c r="BO38" s="696"/>
      <c r="BP38" s="696"/>
      <c r="BQ38" s="697" t="s">
        <v>75</v>
      </c>
      <c r="BR38" s="697"/>
      <c r="BS38" s="697"/>
      <c r="BT38" s="697"/>
      <c r="BU38" s="697"/>
      <c r="BV38" s="697" t="s">
        <v>75</v>
      </c>
      <c r="BW38" s="697"/>
      <c r="BX38" s="697"/>
      <c r="BY38" s="697"/>
      <c r="BZ38" s="697"/>
      <c r="CA38" s="51"/>
      <c r="CB38" s="51"/>
      <c r="CC38" s="51"/>
      <c r="CD38" s="128"/>
      <c r="CE38" s="51"/>
      <c r="CF38" s="51"/>
      <c r="CG38" s="51"/>
      <c r="CK38" s="22">
        <v>7.5</v>
      </c>
      <c r="CL38" s="83">
        <f>$B$43</f>
        <v>0.76</v>
      </c>
      <c r="CM38" s="679">
        <f>SUM($C$43,$F$43)</f>
        <v>0</v>
      </c>
      <c r="CN38" s="680"/>
      <c r="CO38" s="51">
        <f>IF($CP$60=CK38,IF(CM38&gt;0,((CM38-1)*$BM$49*0.5)+$BM$49,CM38*0.5*$BM$49),CM38*0.5*$BM$49)</f>
        <v>0</v>
      </c>
      <c r="CP38" s="116">
        <f>IF(CM38&gt;0,1,0)*$A$43</f>
        <v>0</v>
      </c>
      <c r="CQ38" s="679">
        <f>CM38*$BK$49</f>
        <v>0</v>
      </c>
      <c r="CR38" s="680"/>
      <c r="CS38" s="83"/>
      <c r="CT38" s="22">
        <v>7.5</v>
      </c>
      <c r="CU38" s="83">
        <f>$B$43</f>
        <v>0.76</v>
      </c>
      <c r="CV38" s="679">
        <f>SUM($C$43,$F$43)</f>
        <v>0</v>
      </c>
      <c r="CW38" s="680"/>
      <c r="CX38" s="51">
        <f>IF($CY$60=CT38,IF(CV38&gt;0,((CV38-1)*$BM$49*0.5)+$BM$49,CV38*0.5*$BM$49),CV38*0.5*$BM$49)</f>
        <v>0</v>
      </c>
      <c r="CY38" s="116">
        <f>IF(CV38&gt;0,1,0)*$A$43</f>
        <v>0</v>
      </c>
      <c r="CZ38" s="679">
        <f>CV38*$BK$49</f>
        <v>0</v>
      </c>
      <c r="DA38" s="680"/>
      <c r="DB38" s="83"/>
      <c r="DC38" s="689"/>
      <c r="DD38" s="690"/>
      <c r="DE38" s="83"/>
      <c r="DF38" s="691"/>
      <c r="DG38" s="692"/>
      <c r="DH38" s="83"/>
      <c r="DI38" s="691"/>
      <c r="DJ38" s="692"/>
      <c r="DL38" s="696"/>
      <c r="DM38" s="696"/>
      <c r="DN38" s="696"/>
      <c r="DO38" s="696"/>
      <c r="DP38" s="51"/>
      <c r="DQ38" s="20"/>
      <c r="DR38"/>
      <c r="DT38"/>
      <c r="DV38" s="22">
        <v>7.5</v>
      </c>
      <c r="DW38" s="83">
        <f>$B$43</f>
        <v>0.76</v>
      </c>
      <c r="DX38" s="679">
        <f>SUM(IF($C$1="Residência",$C$43,0),IF($F$1="Residência",$F$43,0),IF($I$1="Residência",$I$43,0),IF($L$1="Residência",$L$43,0))</f>
        <v>0</v>
      </c>
      <c r="DY38" s="680"/>
      <c r="DZ38" s="51">
        <f>IF($EA$60=$DV$38,IF(DX38&gt;0,((DX38-1)*$BM$49*0.5)+$BM$49,DX38*0.5*$BM$49),DX38*0.5*$BM$49)</f>
        <v>0</v>
      </c>
      <c r="EA38" s="116">
        <f>IF(DX38&gt;0,1,0)*$A$43</f>
        <v>0</v>
      </c>
      <c r="EB38" s="679">
        <f>DX38*$BK$49</f>
        <v>0</v>
      </c>
      <c r="EC38" s="680"/>
      <c r="ED38" s="83"/>
      <c r="EG38" s="116"/>
      <c r="EH38" s="679">
        <f>SUM(IF($C$1="Residência",0,$C$43),IF($F$1="Residência",0,$F$43),IF($I$1="Residência",0,$I$43),IF($L$1="Residência",0,$L$43))</f>
        <v>0</v>
      </c>
      <c r="EI38" s="680"/>
      <c r="EJ38" s="51">
        <f>IF($EA$60=$DV$38,IF(AND($EH$38&gt;0,$DX$38&lt;1),(($EH$38-1)*$BM$49*0.5)+$BM$49,$EH$38*0.5*$BM$49),$EH$38*0.5*$BM$49)</f>
        <v>0</v>
      </c>
      <c r="EK38" s="116">
        <f>IF(EH38&gt;0,1,0)*$A$43</f>
        <v>0</v>
      </c>
      <c r="EL38" s="679">
        <f>EH38*$BK$49</f>
        <v>0</v>
      </c>
      <c r="EM38" s="680"/>
      <c r="EN38" s="689"/>
      <c r="EO38" s="690"/>
      <c r="EP38" s="679">
        <f>SUM(IF($C$1="Residência",$C$43,0),IF($F$1="Residência",$F$43,0),IF($I$1="Residência",$I$43,0),IF($L$1="Residência",$L$43,0))</f>
        <v>0</v>
      </c>
      <c r="EQ38" s="680"/>
      <c r="ER38" s="51">
        <f>IF($ES$60=$DV$38,IF(EP38&gt;0,((EP38-1)*$BM$49*0.5)+$BM$49,EP38*0.5*$BM$49),EP38*0.5*$BM$49)</f>
        <v>0</v>
      </c>
      <c r="ES38" s="116">
        <f>IF(EP38&gt;0,1,0)*$A$43</f>
        <v>0</v>
      </c>
      <c r="ET38" s="679">
        <f>EP38*$BK$49</f>
        <v>0</v>
      </c>
      <c r="EU38" s="680"/>
      <c r="EW38" s="679">
        <f>SUM(IF($C$1="Residência",0,$C$43),IF($F$1="Residência",0,$F$43),IF($I$1="Residência",0,$I$43),IF($L$1="Residência",0,$L$43))</f>
        <v>0</v>
      </c>
      <c r="EX38" s="680"/>
      <c r="EY38" s="51">
        <f>IF($ES$60=$DV$38,IF(AND($EW$38&gt;0,$DX$38&lt;1),(($EW$38-1)*$BM$49*0.5)+$BM$49,$EW$38*0.5*$BM$49),$EW$38*0.5*$BM$49)</f>
        <v>0</v>
      </c>
      <c r="EZ38" s="116">
        <f>IF(EW38&gt;0,1,0)*$A$43</f>
        <v>0</v>
      </c>
      <c r="FA38" s="679">
        <f>EW38*$BK$49</f>
        <v>0</v>
      </c>
      <c r="FB38" s="680"/>
      <c r="FC38" s="386"/>
      <c r="FM38" s="22">
        <v>7.5</v>
      </c>
      <c r="FN38" s="83">
        <f>$B$43</f>
        <v>0.76</v>
      </c>
      <c r="FO38" s="679">
        <f>SUM($C$43,$F$43)</f>
        <v>0</v>
      </c>
      <c r="FP38" s="680"/>
      <c r="FQ38" s="51">
        <f>IF($FR$60=FM38,IF(FO38&gt;0,((FO38-1)*$BM$49*0.5)+$BM$49,0),FO38*0.5*$BM$49)</f>
        <v>0</v>
      </c>
      <c r="FR38" s="116">
        <f>IF(FO38&gt;0,1,0)*$A$43</f>
        <v>0</v>
      </c>
      <c r="FS38" s="679">
        <f>FO38*$BK$49</f>
        <v>0</v>
      </c>
      <c r="FT38" s="680"/>
      <c r="FU38" s="83"/>
      <c r="FX38" s="83"/>
      <c r="FY38" s="691"/>
      <c r="FZ38" s="692"/>
      <c r="GA38" s="83"/>
      <c r="GB38" s="691"/>
      <c r="GC38" s="692"/>
      <c r="GD38" s="83"/>
      <c r="GE38" s="689"/>
      <c r="GF38" s="690"/>
      <c r="GG38" s="83"/>
      <c r="GH38" s="691"/>
      <c r="GI38" s="692"/>
      <c r="GJ38" s="83"/>
      <c r="GK38" s="691"/>
      <c r="GL38" s="692"/>
      <c r="GN38" s="696"/>
      <c r="GO38" s="696"/>
      <c r="GP38" s="696"/>
      <c r="GQ38" s="696"/>
      <c r="GR38" s="51"/>
      <c r="GS38" s="20"/>
      <c r="HD38" s="22">
        <v>7.5</v>
      </c>
      <c r="HE38" s="83">
        <f>$B$43</f>
        <v>0.76</v>
      </c>
      <c r="HF38" s="679">
        <f>SUM($I$43,$L$43)</f>
        <v>0</v>
      </c>
      <c r="HG38" s="680"/>
      <c r="HH38" s="51">
        <f>IF($HI$60=HD38,IF(HF38&gt;0,((HF38-1)*$BM$49*0.5)+$BM$49,0),HF38*0.5*$BM$49)</f>
        <v>0</v>
      </c>
      <c r="HI38" s="116">
        <f>IF(HF38&gt;0,1,0)*$A$43</f>
        <v>0</v>
      </c>
      <c r="HJ38" s="679">
        <f>HF38*$BK$49</f>
        <v>0</v>
      </c>
      <c r="HK38" s="680"/>
      <c r="HL38" s="83"/>
      <c r="HO38" s="83"/>
      <c r="HP38" s="691"/>
      <c r="HQ38" s="692"/>
      <c r="HR38" s="83"/>
      <c r="HS38" s="691"/>
      <c r="HT38" s="692"/>
      <c r="HU38" s="83"/>
      <c r="HV38" s="689"/>
      <c r="HW38" s="690"/>
      <c r="HX38" s="83"/>
      <c r="HY38" s="691"/>
      <c r="HZ38" s="692"/>
      <c r="IA38" s="83"/>
      <c r="IB38" s="691"/>
      <c r="IC38" s="692"/>
      <c r="IE38" s="696"/>
      <c r="IF38" s="696"/>
      <c r="IG38" s="696"/>
      <c r="IH38" s="696"/>
      <c r="II38" s="51"/>
      <c r="IJ38" s="20"/>
    </row>
    <row r="39" spans="1:247" ht="13.5" thickBot="1" x14ac:dyDescent="0.25">
      <c r="A39" s="22">
        <v>3</v>
      </c>
      <c r="B39" s="98">
        <v>0.73</v>
      </c>
      <c r="C39" s="691">
        <f>IF($C$1="Vazio",0,RELAÇÃO_DE_CARGA!C40:D40)</f>
        <v>0</v>
      </c>
      <c r="D39" s="692"/>
      <c r="E39" s="98">
        <v>0.73</v>
      </c>
      <c r="F39" s="713">
        <f>IF($F$1="Vazio",0,RELAÇÃO_DE_CARGA!F40:G40)</f>
        <v>0</v>
      </c>
      <c r="G39" s="714"/>
      <c r="H39" s="98">
        <v>0.73</v>
      </c>
      <c r="I39" s="713">
        <f>IF(OR($I$1="Vazio",RELAÇÃO_DE_CARGA!$I$1&lt;3),0,RELAÇÃO_DE_CARGA!I40:J40)</f>
        <v>0</v>
      </c>
      <c r="J39" s="714"/>
      <c r="K39" s="98">
        <v>0.73</v>
      </c>
      <c r="L39" s="713">
        <f>IF(OR($L$1="Vazio",RELAÇÃO_DE_CARGA!$I$1&lt;4),0,RELAÇÃO_DE_CARGA!L40:M40)</f>
        <v>0</v>
      </c>
      <c r="M39" s="714"/>
      <c r="N39" s="98">
        <v>0.73</v>
      </c>
      <c r="O39" s="691">
        <f>IF(OR($O$1="Vazio",RELAÇÃO_DE_CARGA!$I$1&lt;5),0,RELAÇÃO_DE_CARGA!O40)</f>
        <v>0</v>
      </c>
      <c r="P39" s="692"/>
      <c r="Q39" s="98">
        <v>0.73</v>
      </c>
      <c r="R39" s="713">
        <f>IF(OR($R$1="Vazio",RELAÇÃO_DE_CARGA!$I$1&lt;6),0,RELAÇÃO_DE_CARGA!R40)</f>
        <v>0</v>
      </c>
      <c r="S39" s="714"/>
      <c r="T39" s="98">
        <v>0.73</v>
      </c>
      <c r="U39" s="713">
        <f>IF(OR($U$1="Vazio",RELAÇÃO_DE_CARGA!$I$1&lt;7),0,RELAÇÃO_DE_CARGA!U40)</f>
        <v>0</v>
      </c>
      <c r="V39" s="714"/>
      <c r="W39" s="98">
        <v>0.73</v>
      </c>
      <c r="X39" s="713">
        <f>IF(OR($X$1="Vazio",RELAÇÃO_DE_CARGA!$I$1&lt;8),0,RELAÇÃO_DE_CARGA!X40)</f>
        <v>0</v>
      </c>
      <c r="Y39" s="714"/>
      <c r="Z39" s="98">
        <v>0.73</v>
      </c>
      <c r="AA39" s="713">
        <f>IF(OR($AA$1="Vazio",RELAÇÃO_DE_CARGA!$I$1&lt;9),0,RELAÇÃO_DE_CARGA!AA40)</f>
        <v>0</v>
      </c>
      <c r="AB39" s="714"/>
      <c r="AC39" s="98">
        <v>0.73</v>
      </c>
      <c r="AD39" s="713">
        <f>IF(OR($AD$1="Vazio",RELAÇÃO_DE_CARGA!$I$1&lt;10),0,RELAÇÃO_DE_CARGA!AD40)</f>
        <v>0</v>
      </c>
      <c r="AE39" s="714"/>
      <c r="AF39" s="98">
        <v>0.73</v>
      </c>
      <c r="AG39" s="713">
        <f>IF(OR($AG$1="Vazio",RELAÇÃO_DE_CARGA!$I$1&lt;11),0,RELAÇÃO_DE_CARGA!AG40)</f>
        <v>0</v>
      </c>
      <c r="AH39" s="714"/>
      <c r="AI39" s="98">
        <v>0.73</v>
      </c>
      <c r="AJ39" s="713">
        <f>IF(OR($AJ$1="Vazio",RELAÇÃO_DE_CARGA!$I$1&lt;12),0,RELAÇÃO_DE_CARGA!AJ40)</f>
        <v>0</v>
      </c>
      <c r="AK39" s="714"/>
      <c r="AL39" s="35"/>
      <c r="AM39" s="35"/>
      <c r="AN39" s="35"/>
      <c r="AO39" s="35"/>
      <c r="AP39" s="35"/>
      <c r="AQ39" s="276">
        <f t="shared" si="48"/>
        <v>0</v>
      </c>
      <c r="AR39" s="276">
        <f t="shared" si="49"/>
        <v>0</v>
      </c>
      <c r="AS39" s="276">
        <f t="shared" si="50"/>
        <v>0</v>
      </c>
      <c r="AT39" s="276">
        <f t="shared" si="51"/>
        <v>0</v>
      </c>
      <c r="AU39" s="276">
        <f t="shared" si="52"/>
        <v>0</v>
      </c>
      <c r="AV39" s="276">
        <f t="shared" si="53"/>
        <v>0</v>
      </c>
      <c r="AW39" s="276">
        <f t="shared" si="54"/>
        <v>0</v>
      </c>
      <c r="AX39" s="276">
        <f t="shared" si="55"/>
        <v>0</v>
      </c>
      <c r="AY39" s="276">
        <f t="shared" si="56"/>
        <v>0</v>
      </c>
      <c r="AZ39" s="276">
        <f t="shared" si="57"/>
        <v>0</v>
      </c>
      <c r="BA39" s="276">
        <f t="shared" si="58"/>
        <v>0</v>
      </c>
      <c r="BB39" s="276">
        <f t="shared" si="59"/>
        <v>0</v>
      </c>
      <c r="BC39" s="172">
        <f t="shared" si="60"/>
        <v>0</v>
      </c>
      <c r="BD39" s="128">
        <f>IF(AND(BC39&gt;0,BD40&lt;1,BD41&lt;1,BD42&lt;1,BD43&lt;1,BD44&lt;1,BD45&lt;1,BD60&lt;1,BD46&lt;1,BD61&lt;1,BD47&lt;1,BD62&lt;1,BD48&lt;1,BD63&lt;1,BD49&lt;1,BD64&lt;1),1,0)</f>
        <v>0</v>
      </c>
      <c r="BE39" s="172">
        <f t="shared" si="47"/>
        <v>0</v>
      </c>
      <c r="BF39" s="128">
        <f>IF(AND(BE39&gt;0,BF40&lt;1,BF41&lt;1,BF42&lt;1,BF43&lt;1,BF44&lt;1,BF45&lt;1,BF60&lt;1,BF46&lt;1,BF61&lt;1,BF47&lt;1,BF62&lt;1,BF48&lt;1,BF63&lt;1,BF49&lt;1,BF64&lt;1),1,0)</f>
        <v>0</v>
      </c>
      <c r="BG39" s="128"/>
      <c r="BH39" s="128"/>
      <c r="BI39" s="128"/>
      <c r="BJ39" s="128"/>
      <c r="BK39" s="51">
        <v>0.39</v>
      </c>
      <c r="BL39" s="98">
        <v>0.61</v>
      </c>
      <c r="BM39">
        <v>0.63934426229508201</v>
      </c>
      <c r="BQ39" s="51" t="s">
        <v>60</v>
      </c>
      <c r="BR39" s="20" t="s">
        <v>106</v>
      </c>
      <c r="BS39" s="20" t="s">
        <v>107</v>
      </c>
      <c r="BT39" s="72" t="s">
        <v>108</v>
      </c>
      <c r="BU39" s="72" t="s">
        <v>109</v>
      </c>
      <c r="BV39" s="72">
        <v>5</v>
      </c>
      <c r="BW39" s="72">
        <v>6</v>
      </c>
      <c r="BX39" s="72">
        <v>7</v>
      </c>
      <c r="BY39" s="72">
        <v>8</v>
      </c>
      <c r="BZ39" s="72">
        <v>9</v>
      </c>
      <c r="CA39" s="72">
        <v>10</v>
      </c>
      <c r="CB39" s="72">
        <v>11</v>
      </c>
      <c r="CC39" s="72">
        <v>12</v>
      </c>
      <c r="CD39" s="127"/>
      <c r="CE39" s="51"/>
      <c r="CF39" s="51"/>
      <c r="CG39" s="51"/>
      <c r="CK39" s="22">
        <v>10</v>
      </c>
      <c r="CL39" s="83">
        <f>$B$44</f>
        <v>0.77</v>
      </c>
      <c r="CM39" s="679">
        <f>SUM($C$44,$F$44)</f>
        <v>0</v>
      </c>
      <c r="CN39" s="680"/>
      <c r="CO39" s="51">
        <f>IF($CP$60=CK39,IF(CM39&gt;0,((CM39-1)*$BM$50*0.5)+$BM$50,CM39*0.5*$BM$50),CM39*0.5*$BM$50)</f>
        <v>0</v>
      </c>
      <c r="CP39" s="116">
        <f>IF(CM39&gt;0,1,0)*$A$44</f>
        <v>0</v>
      </c>
      <c r="CQ39" s="679">
        <f>CM39*$BK$50</f>
        <v>0</v>
      </c>
      <c r="CR39" s="680"/>
      <c r="CS39" s="83"/>
      <c r="CT39" s="22">
        <v>10</v>
      </c>
      <c r="CU39" s="83">
        <f>$B$44</f>
        <v>0.77</v>
      </c>
      <c r="CV39" s="679">
        <f>SUM($C$44,$F$44)</f>
        <v>0</v>
      </c>
      <c r="CW39" s="680"/>
      <c r="CX39" s="51">
        <f>IF($CY$60=CT39,IF(CV39&gt;0,((CV39-1)*$BM$50*0.5)+$BM$50,CV39*0.5*$BM$50),CV39*0.5*$BM$50)</f>
        <v>0</v>
      </c>
      <c r="CY39" s="116">
        <f>IF(CV39&gt;0,1,0)*$A$44</f>
        <v>0</v>
      </c>
      <c r="CZ39" s="679">
        <f>CV39*$BK$50</f>
        <v>0</v>
      </c>
      <c r="DA39" s="680"/>
      <c r="DB39" s="83"/>
      <c r="DC39" s="689"/>
      <c r="DD39" s="690"/>
      <c r="DE39" s="83"/>
      <c r="DF39" s="691"/>
      <c r="DG39" s="692"/>
      <c r="DH39" s="83"/>
      <c r="DI39" s="691"/>
      <c r="DJ39" s="692"/>
      <c r="DP39" s="116"/>
      <c r="DQ39" s="51"/>
      <c r="DR39"/>
      <c r="DT39"/>
      <c r="DV39" s="22">
        <v>10</v>
      </c>
      <c r="DW39" s="83">
        <f>$B$44</f>
        <v>0.77</v>
      </c>
      <c r="DX39" s="679">
        <f>SUM(IF($C$1="Residência",$C$44,0),IF($F$1="Residência",$F$44,0),IF($I$1="Residência",$I$44,0),IF($L$1="Residência",$L$44,0))</f>
        <v>0</v>
      </c>
      <c r="DY39" s="680"/>
      <c r="DZ39" s="51">
        <f>IF($EA$60=$DV$39,IF(DX39&gt;0,((DX39-1)*$BM$50*0.5)+$BM$50,DX39*0.5*$BM$50),DX39*0.5*$BM$50)</f>
        <v>0</v>
      </c>
      <c r="EA39" s="116">
        <f>IF(DX39&gt;0,1,0)*$A$44</f>
        <v>0</v>
      </c>
      <c r="EB39" s="679">
        <f>DX39*$BK$50</f>
        <v>0</v>
      </c>
      <c r="EC39" s="680"/>
      <c r="ED39" s="83"/>
      <c r="EG39" s="116"/>
      <c r="EH39" s="679">
        <f>SUM(IF($C$1="Residência",0,$C$44),IF($F$1="Residência",0,$F$44),IF($I$1="Residência",0,$I$44),IF($L$1="Residência",0,$L$44))</f>
        <v>0</v>
      </c>
      <c r="EI39" s="680"/>
      <c r="EJ39" s="51">
        <f>IF($EA$60=$DV$39,IF(AND($EH$39&gt;0,$DX$39&lt;1),(($EH$39-1)*$BM$50*0.5)+$BM$50,$EH$39*0.5*$BM$50),$EH$39*0.5*$BM$50)</f>
        <v>0</v>
      </c>
      <c r="EK39" s="116">
        <f>IF(EH39&gt;0,1,0)*$A$44</f>
        <v>0</v>
      </c>
      <c r="EL39" s="679">
        <f>EH39*$BK$50</f>
        <v>0</v>
      </c>
      <c r="EM39" s="680"/>
      <c r="EN39" s="689"/>
      <c r="EO39" s="690"/>
      <c r="EP39" s="679">
        <f>SUM(IF($C$1="Residência",$C$44,0),IF($F$1="Residência",$F$44,0),IF($I$1="Residência",$I$44,0),IF($L$1="Residência",$L$44,0))</f>
        <v>0</v>
      </c>
      <c r="EQ39" s="680"/>
      <c r="ER39" s="51">
        <f>IF($ES$60=$DV$39,IF(EP39&gt;0,((EP39-1)*$BM$50*0.5)+$BM$50,EP39*0.5*$BM$50),EP39*0.5*$BM$50)</f>
        <v>0</v>
      </c>
      <c r="ES39" s="116">
        <f>IF(EP39&gt;0,1,0)*$A$44</f>
        <v>0</v>
      </c>
      <c r="ET39" s="679">
        <f>EP39*$BK$50</f>
        <v>0</v>
      </c>
      <c r="EU39" s="680"/>
      <c r="EW39" s="679">
        <f>SUM(IF($C$1="Residência",0,$C$44),IF($F$1="Residência",0,$F$44),IF($I$1="Residência",0,$I$44),IF($L$1="Residência",0,$L$44))</f>
        <v>0</v>
      </c>
      <c r="EX39" s="680"/>
      <c r="EY39" s="51">
        <f>IF($ES$60=$DV$39,IF(AND($EW$39&gt;0,$DX$39&lt;1),(($EW$39-1)*$BM$50*0.5)+$BM$50,$EW$39*0.5*$BM$50),$EW$39*0.5*$BM$50)</f>
        <v>0</v>
      </c>
      <c r="EZ39" s="116">
        <f>IF(EW39&gt;0,1,0)*$A$44</f>
        <v>0</v>
      </c>
      <c r="FA39" s="679">
        <f>EW39*$BK$50</f>
        <v>0</v>
      </c>
      <c r="FB39" s="680"/>
      <c r="FC39" s="386"/>
      <c r="FM39" s="22">
        <v>10</v>
      </c>
      <c r="FN39" s="83">
        <f>$B$44</f>
        <v>0.77</v>
      </c>
      <c r="FO39" s="679">
        <f>SUM($C$44,$F$44)</f>
        <v>0</v>
      </c>
      <c r="FP39" s="680"/>
      <c r="FQ39" s="51">
        <f>IF($FR$60=FM39,IF(FO39&gt;0,((FO39-1)*$BM$50*0.5)+$BM$50,0),FO39*0.5*$BM$50)</f>
        <v>0</v>
      </c>
      <c r="FR39" s="116">
        <f>IF(FO39&gt;0,1,0)*$A$44</f>
        <v>0</v>
      </c>
      <c r="FS39" s="679">
        <f>FO39*$BK$50</f>
        <v>0</v>
      </c>
      <c r="FT39" s="680"/>
      <c r="FU39" s="83"/>
      <c r="FX39" s="83"/>
      <c r="FY39" s="691"/>
      <c r="FZ39" s="692"/>
      <c r="GA39" s="83"/>
      <c r="GB39" s="691"/>
      <c r="GC39" s="692"/>
      <c r="GD39" s="83"/>
      <c r="GE39" s="689"/>
      <c r="GF39" s="690"/>
      <c r="GG39" s="83"/>
      <c r="GH39" s="691"/>
      <c r="GI39" s="692"/>
      <c r="GJ39" s="83"/>
      <c r="GK39" s="691"/>
      <c r="GL39" s="692"/>
      <c r="GR39" s="116"/>
      <c r="GS39" s="51"/>
      <c r="HD39" s="22">
        <v>10</v>
      </c>
      <c r="HE39" s="83">
        <f>$B$44</f>
        <v>0.77</v>
      </c>
      <c r="HF39" s="679">
        <f>SUM($I$44,$L$44)</f>
        <v>0</v>
      </c>
      <c r="HG39" s="680"/>
      <c r="HH39" s="51">
        <f>IF($HI$60=HD39,IF(HF39&gt;0,((HF39-1)*$BM$50*0.5)+$BM$50,0),HF39*0.5*$BM$50)</f>
        <v>0</v>
      </c>
      <c r="HI39" s="116">
        <f>IF(HF39&gt;0,1,0)*$A$44</f>
        <v>0</v>
      </c>
      <c r="HJ39" s="679">
        <f>HF39*$BK$50</f>
        <v>0</v>
      </c>
      <c r="HK39" s="680"/>
      <c r="HL39" s="83"/>
      <c r="HO39" s="83"/>
      <c r="HP39" s="691"/>
      <c r="HQ39" s="692"/>
      <c r="HR39" s="83"/>
      <c r="HS39" s="691"/>
      <c r="HT39" s="692"/>
      <c r="HU39" s="83"/>
      <c r="HV39" s="689"/>
      <c r="HW39" s="690"/>
      <c r="HX39" s="83"/>
      <c r="HY39" s="691"/>
      <c r="HZ39" s="692"/>
      <c r="IA39" s="83"/>
      <c r="IB39" s="691"/>
      <c r="IC39" s="692"/>
      <c r="II39" s="116"/>
      <c r="IJ39" s="51"/>
    </row>
    <row r="40" spans="1:247" ht="13.5" thickBot="1" x14ac:dyDescent="0.25">
      <c r="A40" s="22">
        <v>4</v>
      </c>
      <c r="B40" s="98">
        <v>0.13</v>
      </c>
      <c r="C40" s="691">
        <f>IF($C$1="Vazio",0,RELAÇÃO_DE_CARGA!C41:D41)</f>
        <v>0</v>
      </c>
      <c r="D40" s="692"/>
      <c r="E40" s="98">
        <v>0.13</v>
      </c>
      <c r="F40" s="713">
        <f>IF($F$1="Vazio",0,RELAÇÃO_DE_CARGA!F41:G41)</f>
        <v>0</v>
      </c>
      <c r="G40" s="714"/>
      <c r="H40" s="98">
        <v>0.13</v>
      </c>
      <c r="I40" s="713">
        <f>IF(OR($I$1="Vazio",RELAÇÃO_DE_CARGA!$I$1&lt;3),0,RELAÇÃO_DE_CARGA!I41:J41)</f>
        <v>0</v>
      </c>
      <c r="J40" s="714"/>
      <c r="K40" s="98">
        <v>0.13</v>
      </c>
      <c r="L40" s="713">
        <f>IF(OR($L$1="Vazio",RELAÇÃO_DE_CARGA!$I$1&lt;4),0,RELAÇÃO_DE_CARGA!L41:M41)</f>
        <v>0</v>
      </c>
      <c r="M40" s="714"/>
      <c r="N40" s="98">
        <v>0.13</v>
      </c>
      <c r="O40" s="691">
        <f>IF(OR($O$1="Vazio",RELAÇÃO_DE_CARGA!$I$1&lt;5),0,RELAÇÃO_DE_CARGA!O41)</f>
        <v>0</v>
      </c>
      <c r="P40" s="692"/>
      <c r="Q40" s="98">
        <v>0.13</v>
      </c>
      <c r="R40" s="713">
        <f>IF(OR($R$1="Vazio",RELAÇÃO_DE_CARGA!$I$1&lt;6),0,RELAÇÃO_DE_CARGA!R41)</f>
        <v>0</v>
      </c>
      <c r="S40" s="714"/>
      <c r="T40" s="98">
        <v>0.13</v>
      </c>
      <c r="U40" s="713">
        <f>IF(OR($U$1="Vazio",RELAÇÃO_DE_CARGA!$I$1&lt;7),0,RELAÇÃO_DE_CARGA!U41)</f>
        <v>0</v>
      </c>
      <c r="V40" s="714"/>
      <c r="W40" s="98">
        <v>0.13</v>
      </c>
      <c r="X40" s="713">
        <f>IF(OR($X$1="Vazio",RELAÇÃO_DE_CARGA!$I$1&lt;8),0,RELAÇÃO_DE_CARGA!X41)</f>
        <v>0</v>
      </c>
      <c r="Y40" s="714"/>
      <c r="Z40" s="98">
        <v>0.13</v>
      </c>
      <c r="AA40" s="713">
        <f>IF(OR($AA$1="Vazio",RELAÇÃO_DE_CARGA!$I$1&lt;9),0,RELAÇÃO_DE_CARGA!AA41)</f>
        <v>0</v>
      </c>
      <c r="AB40" s="714"/>
      <c r="AC40" s="98">
        <v>0.13</v>
      </c>
      <c r="AD40" s="713">
        <f>IF(OR($AD$1="Vazio",RELAÇÃO_DE_CARGA!$I$1&lt;10),0,RELAÇÃO_DE_CARGA!AD41)</f>
        <v>0</v>
      </c>
      <c r="AE40" s="714"/>
      <c r="AF40" s="98">
        <v>0.13</v>
      </c>
      <c r="AG40" s="713">
        <f>IF(OR($AG$1="Vazio",RELAÇÃO_DE_CARGA!$I$1&lt;11),0,RELAÇÃO_DE_CARGA!AG41)</f>
        <v>0</v>
      </c>
      <c r="AH40" s="714"/>
      <c r="AI40" s="98">
        <v>0.13</v>
      </c>
      <c r="AJ40" s="713">
        <f>IF(OR($AJ$1="Vazio",RELAÇÃO_DE_CARGA!$I$1&lt;12),0,RELAÇÃO_DE_CARGA!AJ41)</f>
        <v>0</v>
      </c>
      <c r="AK40" s="714"/>
      <c r="AL40" s="35"/>
      <c r="AM40" s="35"/>
      <c r="AN40" s="35"/>
      <c r="AO40" s="35"/>
      <c r="AP40" s="35"/>
      <c r="AQ40" s="276">
        <f t="shared" si="48"/>
        <v>0</v>
      </c>
      <c r="AR40" s="276">
        <f t="shared" si="49"/>
        <v>0</v>
      </c>
      <c r="AS40" s="276">
        <f t="shared" si="50"/>
        <v>0</v>
      </c>
      <c r="AT40" s="276">
        <f t="shared" si="51"/>
        <v>0</v>
      </c>
      <c r="AU40" s="276">
        <f t="shared" si="52"/>
        <v>0</v>
      </c>
      <c r="AV40" s="276">
        <f t="shared" si="53"/>
        <v>0</v>
      </c>
      <c r="AW40" s="276">
        <f t="shared" si="54"/>
        <v>0</v>
      </c>
      <c r="AX40" s="276">
        <f t="shared" si="55"/>
        <v>0</v>
      </c>
      <c r="AY40" s="276">
        <f t="shared" si="56"/>
        <v>0</v>
      </c>
      <c r="AZ40" s="276">
        <f t="shared" si="57"/>
        <v>0</v>
      </c>
      <c r="BA40" s="276">
        <f t="shared" si="58"/>
        <v>0</v>
      </c>
      <c r="BB40" s="276">
        <f t="shared" si="59"/>
        <v>0</v>
      </c>
      <c r="BC40" s="172">
        <f t="shared" si="60"/>
        <v>0</v>
      </c>
      <c r="BD40" s="128">
        <f>IF(AND(BC40&gt;0,BD41&lt;1,BD42&lt;1,BD43&lt;1,BD44&lt;1,BD45&lt;1,BD60&lt;1,BD46&lt;1,BD61&lt;1,BD47&lt;1,BD62&lt;1,BD48&lt;1,BD63&lt;1,BD49&lt;1,BD64&lt;1),1,0)</f>
        <v>0</v>
      </c>
      <c r="BE40" s="172">
        <f t="shared" si="47"/>
        <v>0</v>
      </c>
      <c r="BF40" s="128">
        <f>IF(AND(BE40&gt;0,BF41&lt;1,BF42&lt;1,BF43&lt;1,BF44&lt;1,BF45&lt;1,BF60&lt;1,BF46&lt;1,BF61&lt;1,BF47&lt;1,BF62&lt;1,BF48&lt;1,BF63&lt;1,BF49&lt;1,BF64&lt;1),1,0)</f>
        <v>0</v>
      </c>
      <c r="BG40" s="128"/>
      <c r="BH40" s="128"/>
      <c r="BI40" s="128"/>
      <c r="BJ40" s="128"/>
      <c r="BK40" s="51">
        <v>0.57999999999999996</v>
      </c>
      <c r="BL40" s="98">
        <v>0.66</v>
      </c>
      <c r="BM40">
        <v>0.87878787878787867</v>
      </c>
      <c r="BQ40" s="116">
        <v>0.33333333333333298</v>
      </c>
      <c r="BR40" s="51">
        <f>IF($AQ$65=$A33,IF(C33&gt;0,((C33-1)*$BM39*0.5)+$BM39,0),$BM39*0.5*C33)</f>
        <v>0</v>
      </c>
      <c r="BS40" s="51">
        <f>IF($AR$65=$A33,IF(F33&gt;0,((F33-1)*$BM39*0.5)+$BM39,0),$BM39*0.5*F33)</f>
        <v>0</v>
      </c>
      <c r="BT40" s="51">
        <f>IF($AS$65=$A33,IF(I33&gt;0,((I33-1)*$BM39*0.5)+$BM39,0),$BM39*0.5*I33)</f>
        <v>0</v>
      </c>
      <c r="BU40" s="51">
        <f>IF($AT$65=$A33,IF(L33&gt;0,((L33-1)*$BM39*0.5)+$BM39,0),$BM39*0.5*L33)</f>
        <v>0</v>
      </c>
      <c r="BV40" s="51">
        <f>IF($AU$65=$A33,IF(O33&gt;0,((O33-1)*$BM39*0.5)+$BM39,0),$BM39*0.5*O33)</f>
        <v>0</v>
      </c>
      <c r="BW40" s="51">
        <f>IF($AV$65=$A33,IF(R33&gt;0,((R33-1)*$BM39*0.5)+$BM39,0),$BM39*0.5*R33)</f>
        <v>0</v>
      </c>
      <c r="BX40" s="51">
        <f>IF($AW$65=$A33,IF(U33&gt;0,((U33-1)*$BM39*0.5)+$BM39,0),$BM39*0.5*U33)</f>
        <v>0</v>
      </c>
      <c r="BY40" s="51">
        <f>IF($AX$65=$A33,IF(X33&gt;0,((X33-1)*$BM39*0.5)+$BM39,0),$BM39*0.5*X33)</f>
        <v>0</v>
      </c>
      <c r="BZ40" s="51">
        <f>IF($AY$65=$A33,IF(AA33&gt;0,((AA33-1)*$BM39*0.5)+$BM39,0),$BM39*0.5*AA33)</f>
        <v>0</v>
      </c>
      <c r="CA40" s="51">
        <f>IF($AZ$65=$A33,IF(AD33&gt;0,((AD33-1)*$BM39*0.5)+$BM39,0),$BM39*0.5*AD33)</f>
        <v>0</v>
      </c>
      <c r="CB40" s="51">
        <f>IF($BA$65=$A33,IF(AG33&gt;0,((AG33-1)*$BM39*0.5)+$BM39,0),$BM39*0.5*AG33)</f>
        <v>0</v>
      </c>
      <c r="CC40" s="51">
        <f>IF($BB$65=$A33,IF(AJ33&gt;0,((AJ33-1)*$BM39*0.5)+$BM39,0),$BM39*0.5*AJ33)</f>
        <v>0</v>
      </c>
      <c r="CD40" s="127"/>
      <c r="CE40" s="51"/>
      <c r="CF40" s="51"/>
      <c r="CG40" s="51"/>
      <c r="CK40" s="22">
        <v>12.5</v>
      </c>
      <c r="CL40" s="83">
        <f>$B$45</f>
        <v>0.77</v>
      </c>
      <c r="CM40" s="679">
        <f>SUM($C$45,$F$45)</f>
        <v>0</v>
      </c>
      <c r="CN40" s="680"/>
      <c r="CO40" s="51">
        <f>IF($CP$60=CK40,IF(CM40&gt;0,((CM40-1)*$BM$51*0.5)+$BM$51,CM40*0.5*$BM$51),CM40*0.5*$BM$51)</f>
        <v>0</v>
      </c>
      <c r="CP40" s="116">
        <f>IF(CM40&gt;0,1,0)*$A$45</f>
        <v>0</v>
      </c>
      <c r="CQ40" s="679">
        <f>CM40*$BK$51</f>
        <v>0</v>
      </c>
      <c r="CR40" s="680"/>
      <c r="CS40" s="83"/>
      <c r="CT40" s="22">
        <v>12.5</v>
      </c>
      <c r="CU40" s="83">
        <f>$B$45</f>
        <v>0.77</v>
      </c>
      <c r="CV40" s="679">
        <f>SUM($C$45,$F$45)</f>
        <v>0</v>
      </c>
      <c r="CW40" s="680"/>
      <c r="CX40" s="51">
        <f>IF($CY$60=CT40,IF(CV40&gt;0,((CV40-1)*$BM$51*0.5)+$BM$51,CV40*0.5*$BM$51),CV40*0.5*$BM$51)</f>
        <v>0</v>
      </c>
      <c r="CY40" s="116">
        <f>IF(CV40&gt;0,1,0)*$A$45</f>
        <v>0</v>
      </c>
      <c r="CZ40" s="679">
        <f>CV40*$BK$51</f>
        <v>0</v>
      </c>
      <c r="DA40" s="680"/>
      <c r="DB40" s="83"/>
      <c r="DC40" s="689"/>
      <c r="DD40" s="690"/>
      <c r="DE40" s="83"/>
      <c r="DF40" s="691"/>
      <c r="DG40" s="692"/>
      <c r="DH40" s="83"/>
      <c r="DI40" s="691"/>
      <c r="DJ40" s="692"/>
      <c r="DP40" s="116"/>
      <c r="DQ40" s="51"/>
      <c r="DR40"/>
      <c r="DT40"/>
      <c r="DV40" s="22">
        <v>12.5</v>
      </c>
      <c r="DW40" s="83">
        <f>$B$45</f>
        <v>0.77</v>
      </c>
      <c r="DX40" s="679">
        <f>SUM(IF($C$1="Residência",$C$45,0),IF($F$1="Residência",$F$45,0),IF($I$1="Residência",$I$45,0),IF($L$1="Residência",$L$45,0))</f>
        <v>0</v>
      </c>
      <c r="DY40" s="680"/>
      <c r="DZ40" s="51">
        <f>IF($EA$60=$DV$40,IF(DX40&gt;0,((DX40-1)*$BM$51*0.5)+$BM$51,DX40*0.5*$BM$51),DX40*0.5*$BM$51)</f>
        <v>0</v>
      </c>
      <c r="EA40" s="116">
        <f>IF(DX40&gt;0,1,0)*$A$45</f>
        <v>0</v>
      </c>
      <c r="EB40" s="679">
        <f>DX40*$BK$51</f>
        <v>0</v>
      </c>
      <c r="EC40" s="680"/>
      <c r="ED40" s="83"/>
      <c r="EG40" s="116"/>
      <c r="EH40" s="679">
        <f>SUM(IF($C$1="Residência",0,$C$45),IF($F$1="Residência",0,$F$45),IF($I$1="Residência",0,$I$45),IF($L$1="Residência",0,$L$45))</f>
        <v>0</v>
      </c>
      <c r="EI40" s="680"/>
      <c r="EJ40" s="51">
        <f>IF($EA$60=$DV$40,IF(AND($EH$40&gt;0,$DX$40&lt;1),(($EH$40-1)*$BM$51*0.5)+$BM$51,$EH$40*0.5*$BM$51),$EH$40*0.5*$BM$51)</f>
        <v>0</v>
      </c>
      <c r="EK40" s="116">
        <f>IF(EH40&gt;0,1,0)*$A$45</f>
        <v>0</v>
      </c>
      <c r="EL40" s="679">
        <f>EH40*$BK$51</f>
        <v>0</v>
      </c>
      <c r="EM40" s="680"/>
      <c r="EN40" s="689"/>
      <c r="EO40" s="690"/>
      <c r="EP40" s="679">
        <f>SUM(IF($C$1="Residência",$C$45,0),IF($F$1="Residência",$F$45,0),IF($I$1="Residência",$I$45,0),IF($L$1="Residência",$L$45,0))</f>
        <v>0</v>
      </c>
      <c r="EQ40" s="680"/>
      <c r="ER40" s="51">
        <f>IF($ES$60=$DV$40,IF(EP40&gt;0,((EP40-1)*$BM$51*0.5)+$BM$51,EP40*0.5*$BM$51),EP40*0.5*$BM$51)</f>
        <v>0</v>
      </c>
      <c r="ES40" s="116">
        <f>IF(EP40&gt;0,1,0)*$A$45</f>
        <v>0</v>
      </c>
      <c r="ET40" s="679">
        <f>EP40*$BK$51</f>
        <v>0</v>
      </c>
      <c r="EU40" s="680"/>
      <c r="EW40" s="679">
        <f>SUM(IF($C$1="Residência",0,$C$45),IF($F$1="Residência",0,$F$45),IF($I$1="Residência",0,$I$45),IF($L$1="Residência",0,$L$45))</f>
        <v>0</v>
      </c>
      <c r="EX40" s="680"/>
      <c r="EY40" s="51">
        <f>IF($ES$60=$DV$40,IF(AND($EW$40&gt;0,$DX$40&lt;1),(($EW$40-1)*$BM$51*0.5)+$BM$51,$EW$40*0.5*$BM$51),$EW$40*0.5*$BM$51)</f>
        <v>0</v>
      </c>
      <c r="EZ40" s="116">
        <f>IF(EW40&gt;0,1,0)*$A$45</f>
        <v>0</v>
      </c>
      <c r="FA40" s="679">
        <f>EW40*$BK$51</f>
        <v>0</v>
      </c>
      <c r="FB40" s="680"/>
      <c r="FC40" s="386"/>
      <c r="FM40" s="22">
        <v>12.5</v>
      </c>
      <c r="FN40" s="83">
        <f>$B$45</f>
        <v>0.77</v>
      </c>
      <c r="FO40" s="679">
        <f>SUM($C$45,$F$45)</f>
        <v>0</v>
      </c>
      <c r="FP40" s="680"/>
      <c r="FQ40" s="51">
        <f>IF($FR$60=FM40,IF(FO40&gt;0,((FO40-1)*$BM$51*0.5)+$BM$51,0),FO40*0.5*$BM$51)</f>
        <v>0</v>
      </c>
      <c r="FR40" s="116">
        <f>IF(FO40&gt;0,1,0)*$A$45</f>
        <v>0</v>
      </c>
      <c r="FS40" s="679">
        <f>FO40*$BK$51</f>
        <v>0</v>
      </c>
      <c r="FT40" s="680"/>
      <c r="FU40" s="83"/>
      <c r="FX40" s="83"/>
      <c r="FY40" s="691"/>
      <c r="FZ40" s="692"/>
      <c r="GA40" s="83"/>
      <c r="GB40" s="691"/>
      <c r="GC40" s="692"/>
      <c r="GD40" s="83"/>
      <c r="GE40" s="689"/>
      <c r="GF40" s="690"/>
      <c r="GG40" s="83"/>
      <c r="GH40" s="691"/>
      <c r="GI40" s="692"/>
      <c r="GJ40" s="83"/>
      <c r="GK40" s="691"/>
      <c r="GL40" s="692"/>
      <c r="GR40" s="116"/>
      <c r="GS40" s="51"/>
      <c r="HD40" s="22">
        <v>12.5</v>
      </c>
      <c r="HE40" s="83">
        <f>$B$45</f>
        <v>0.77</v>
      </c>
      <c r="HF40" s="679">
        <f>SUM($I$45,$L$45)</f>
        <v>0</v>
      </c>
      <c r="HG40" s="680"/>
      <c r="HH40" s="51">
        <f>IF($HI$60=HD40,IF(HF40&gt;0,((HF40-1)*$BM$51*0.5)+$BM$51,0),HF40*0.5*$BM$51)</f>
        <v>0</v>
      </c>
      <c r="HI40" s="116">
        <f>IF(HF40&gt;0,1,0)*$A$45</f>
        <v>0</v>
      </c>
      <c r="HJ40" s="679">
        <f>HF40*$BK$51</f>
        <v>0</v>
      </c>
      <c r="HK40" s="680"/>
      <c r="HL40" s="83"/>
      <c r="HO40" s="83"/>
      <c r="HP40" s="691"/>
      <c r="HQ40" s="692"/>
      <c r="HR40" s="83"/>
      <c r="HS40" s="691"/>
      <c r="HT40" s="692"/>
      <c r="HU40" s="83"/>
      <c r="HV40" s="689"/>
      <c r="HW40" s="690"/>
      <c r="HX40" s="83"/>
      <c r="HY40" s="691"/>
      <c r="HZ40" s="692"/>
      <c r="IA40" s="83"/>
      <c r="IB40" s="691"/>
      <c r="IC40" s="692"/>
      <c r="II40" s="116"/>
      <c r="IJ40" s="51"/>
    </row>
    <row r="41" spans="1:247" ht="13.5" thickBot="1" x14ac:dyDescent="0.25">
      <c r="A41" s="22">
        <v>5</v>
      </c>
      <c r="B41" s="98">
        <v>0.75</v>
      </c>
      <c r="C41" s="691">
        <f>IF($C$1="Vazio",0,RELAÇÃO_DE_CARGA!C42:D42)</f>
        <v>0</v>
      </c>
      <c r="D41" s="692"/>
      <c r="E41" s="98">
        <v>0.75</v>
      </c>
      <c r="F41" s="713">
        <f>IF($F$1="Vazio",0,RELAÇÃO_DE_CARGA!F42:G42)</f>
        <v>0</v>
      </c>
      <c r="G41" s="714"/>
      <c r="H41" s="98">
        <v>0.75</v>
      </c>
      <c r="I41" s="713">
        <f>IF(OR($I$1="Vazio",RELAÇÃO_DE_CARGA!$I$1&lt;3),0,RELAÇÃO_DE_CARGA!I42:J42)</f>
        <v>0</v>
      </c>
      <c r="J41" s="714"/>
      <c r="K41" s="98">
        <v>0.75</v>
      </c>
      <c r="L41" s="713">
        <f>IF(OR($L$1="Vazio",RELAÇÃO_DE_CARGA!$I$1&lt;4),0,RELAÇÃO_DE_CARGA!L42:M42)</f>
        <v>0</v>
      </c>
      <c r="M41" s="714"/>
      <c r="N41" s="98">
        <v>0.75</v>
      </c>
      <c r="O41" s="691">
        <f>IF(OR($O$1="Vazio",RELAÇÃO_DE_CARGA!$I$1&lt;5),0,RELAÇÃO_DE_CARGA!O42)</f>
        <v>0</v>
      </c>
      <c r="P41" s="692"/>
      <c r="Q41" s="98">
        <v>0.75</v>
      </c>
      <c r="R41" s="713">
        <f>IF(OR($R$1="Vazio",RELAÇÃO_DE_CARGA!$I$1&lt;6),0,RELAÇÃO_DE_CARGA!R42)</f>
        <v>0</v>
      </c>
      <c r="S41" s="714"/>
      <c r="T41" s="98">
        <v>0.75</v>
      </c>
      <c r="U41" s="713">
        <f>IF(OR($U$1="Vazio",RELAÇÃO_DE_CARGA!$I$1&lt;7),0,RELAÇÃO_DE_CARGA!U42)</f>
        <v>0</v>
      </c>
      <c r="V41" s="714"/>
      <c r="W41" s="98">
        <v>0.75</v>
      </c>
      <c r="X41" s="713">
        <f>IF(OR($X$1="Vazio",RELAÇÃO_DE_CARGA!$I$1&lt;8),0,RELAÇÃO_DE_CARGA!X42)</f>
        <v>0</v>
      </c>
      <c r="Y41" s="714"/>
      <c r="Z41" s="98">
        <v>0.75</v>
      </c>
      <c r="AA41" s="713">
        <f>IF(OR($AA$1="Vazio",RELAÇÃO_DE_CARGA!$I$1&lt;9),0,RELAÇÃO_DE_CARGA!AA42)</f>
        <v>0</v>
      </c>
      <c r="AB41" s="714"/>
      <c r="AC41" s="98">
        <v>0.75</v>
      </c>
      <c r="AD41" s="713">
        <f>IF(OR($AD$1="Vazio",RELAÇÃO_DE_CARGA!$I$1&lt;10),0,RELAÇÃO_DE_CARGA!AD42)</f>
        <v>0</v>
      </c>
      <c r="AE41" s="714"/>
      <c r="AF41" s="98">
        <v>0.75</v>
      </c>
      <c r="AG41" s="713">
        <f>IF(OR($AG$1="Vazio",RELAÇÃO_DE_CARGA!$I$1&lt;11),0,RELAÇÃO_DE_CARGA!AG42)</f>
        <v>0</v>
      </c>
      <c r="AH41" s="714"/>
      <c r="AI41" s="98">
        <v>0.75</v>
      </c>
      <c r="AJ41" s="713">
        <f>IF(OR($AJ$1="Vazio",RELAÇÃO_DE_CARGA!$I$1&lt;12),0,RELAÇÃO_DE_CARGA!AJ42)</f>
        <v>0</v>
      </c>
      <c r="AK41" s="714"/>
      <c r="AL41" s="35"/>
      <c r="AM41" s="35"/>
      <c r="AN41" s="35"/>
      <c r="AO41" s="35"/>
      <c r="AP41" s="35"/>
      <c r="AQ41" s="276">
        <f t="shared" si="48"/>
        <v>0</v>
      </c>
      <c r="AR41" s="276">
        <f>IF(F41&gt;0,$A41,0)</f>
        <v>0</v>
      </c>
      <c r="AS41" s="276">
        <f t="shared" si="50"/>
        <v>0</v>
      </c>
      <c r="AT41" s="276">
        <f t="shared" si="51"/>
        <v>0</v>
      </c>
      <c r="AU41" s="276">
        <f t="shared" si="52"/>
        <v>0</v>
      </c>
      <c r="AV41" s="276">
        <f t="shared" si="53"/>
        <v>0</v>
      </c>
      <c r="AW41" s="276">
        <f t="shared" si="54"/>
        <v>0</v>
      </c>
      <c r="AX41" s="276">
        <f t="shared" si="55"/>
        <v>0</v>
      </c>
      <c r="AY41" s="276">
        <f t="shared" si="56"/>
        <v>0</v>
      </c>
      <c r="AZ41" s="276">
        <f t="shared" si="57"/>
        <v>0</v>
      </c>
      <c r="BA41" s="276">
        <f t="shared" si="58"/>
        <v>0</v>
      </c>
      <c r="BB41" s="276">
        <f t="shared" si="59"/>
        <v>0</v>
      </c>
      <c r="BC41" s="172">
        <f t="shared" si="60"/>
        <v>0</v>
      </c>
      <c r="BD41" s="128">
        <f>IF(AND(BC41&gt;0,BD42&lt;1,BD43&lt;1,BD44&lt;1,BD45&lt;1,BD46&lt;1,BD61&lt;1,BD47&lt;1,BD62&lt;1,BD48&lt;1,BD63&lt;1,BD49&lt;1,BD64&lt;1),1,0)</f>
        <v>0</v>
      </c>
      <c r="BE41" s="172">
        <f t="shared" si="47"/>
        <v>0</v>
      </c>
      <c r="BF41" s="128">
        <f>IF(AND(BE41&gt;0,BF42&lt;1,BF43&lt;1,BF44&lt;1,BF45&lt;1,BF46&lt;1,BF61&lt;1,BF47&lt;1,BF62&lt;1,BF48&lt;1,BF63&lt;1,BF49&lt;1,BF64&lt;1),1,0)</f>
        <v>0</v>
      </c>
      <c r="BG41" s="128"/>
      <c r="BH41" s="128"/>
      <c r="BI41" s="128"/>
      <c r="BJ41" s="128"/>
      <c r="BK41" s="51">
        <v>0.83</v>
      </c>
      <c r="BL41" s="98">
        <v>0.66</v>
      </c>
      <c r="BM41">
        <v>1.2575757575757573</v>
      </c>
      <c r="BQ41" s="116">
        <v>0.5</v>
      </c>
      <c r="BR41" s="51">
        <f>IF($AQ$65=$A34,IF(C34&gt;0,((C34-1)*$BM40*0.5)+$BM40,),$BM40*0.5*C34)</f>
        <v>0</v>
      </c>
      <c r="BS41" s="51">
        <f t="shared" ref="BS41:BS56" si="61">IF($AR$65=$A34,IF(F34&gt;0,((F34-1)*$BM40*0.5)+$BM40,0),$BM40*0.5*F34)</f>
        <v>0</v>
      </c>
      <c r="BT41" s="51">
        <f t="shared" ref="BT41:BT56" si="62">IF($AS$65=$A34,IF(I34&gt;0,((I34-1)*$BM40*0.5)+$BM40,0),$BM40*0.5*I34)</f>
        <v>0</v>
      </c>
      <c r="BU41" s="51">
        <f t="shared" ref="BU41:BU56" si="63">IF($AT$65=$A34,IF(L34&gt;0,((L34-1)*$BM40*0.5)+$BM40,0),$BM40*0.5*L34)</f>
        <v>0</v>
      </c>
      <c r="BV41" s="51">
        <f t="shared" ref="BV41:BV55" si="64">IF($AU$65=$A34,IF(O34&gt;0,((O34-1)*$BM40*0.5)+$BM40,0),$BM40*0.5*O34)</f>
        <v>0</v>
      </c>
      <c r="BW41" s="51">
        <f t="shared" ref="BW41:BW56" si="65">IF($AV$65=$A34,IF(R34&gt;0,((R34-1)*$BM40*0.5)+$BM40,0),$BM40*0.5*R34)</f>
        <v>0</v>
      </c>
      <c r="BX41" s="51">
        <f t="shared" ref="BX41:BX56" si="66">IF($AW$65=$A34,IF(U34&gt;0,((U34-1)*$BM40*0.5)+$BM40,0),$BM40*0.5*U34)</f>
        <v>0</v>
      </c>
      <c r="BY41" s="51">
        <f t="shared" ref="BY41:BY56" si="67">IF($AX$65=$A34,IF(X34&gt;0,((X34-1)*$BM40*0.5)+$BM40,0),$BM40*0.5*X34)</f>
        <v>0</v>
      </c>
      <c r="BZ41" s="51">
        <f t="shared" ref="BZ41:BZ56" si="68">IF($AY$65=$A34,IF(AA34&gt;0,((AA34-1)*$BM40*0.5)+$BM40,0),$BM40*0.5*AA34)</f>
        <v>0</v>
      </c>
      <c r="CA41" s="51">
        <f t="shared" ref="CA41:CA56" si="69">IF($AZ$65=$A34,IF(AD34&gt;0,((AD34-1)*$BM40*0.5)+$BM40,0),$BM40*0.5*AD34)</f>
        <v>0</v>
      </c>
      <c r="CB41" s="51">
        <f t="shared" ref="CB41:CB56" si="70">IF($BA$65=$A34,IF(AG34&gt;0,((AG34-1)*$BM40*0.5)+$BM40,0),$BM40*0.5*AG34)</f>
        <v>0</v>
      </c>
      <c r="CC41" s="51">
        <f t="shared" ref="CC41:CC56" si="71">IF($BB$65=$A34,IF(AJ34&gt;0,((AJ34-1)*$BM40*0.5)+$BM40,0),$BM40*0.5*AJ34)</f>
        <v>0</v>
      </c>
      <c r="CD41" s="175"/>
      <c r="CE41" s="51"/>
      <c r="CF41" s="51"/>
      <c r="CG41" s="51"/>
      <c r="CK41" s="22">
        <v>15</v>
      </c>
      <c r="CL41" s="83">
        <f>$B$46</f>
        <v>0.77</v>
      </c>
      <c r="CM41" s="679">
        <f>SUM($C$46,$F$46)</f>
        <v>0</v>
      </c>
      <c r="CN41" s="680"/>
      <c r="CO41" s="51">
        <f>IF($CP$60=CK41,IF(CM41&gt;0,((CM41-1)*$BM$52*0.5)+$BM$52,CM41*0.5*$BM$52),CM41*0.5*$BM$52)</f>
        <v>0</v>
      </c>
      <c r="CP41" s="116">
        <f>IF(CM41&gt;0,1,0)*$A$46</f>
        <v>0</v>
      </c>
      <c r="CQ41" s="679">
        <f>CM41*$BK$52</f>
        <v>0</v>
      </c>
      <c r="CR41" s="680"/>
      <c r="CS41" s="83"/>
      <c r="CT41" s="22">
        <v>15</v>
      </c>
      <c r="CU41" s="83">
        <f>$B$46</f>
        <v>0.77</v>
      </c>
      <c r="CV41" s="679">
        <f>SUM($C$46,$F$46)</f>
        <v>0</v>
      </c>
      <c r="CW41" s="680"/>
      <c r="CX41" s="51">
        <f>IF($CY$60=CT41,IF(CV41&gt;0,((CV41-1)*$BM$52*0.5)+$BM$52,CV41*0.5*$BM$52),CV41*0.5*$BM$52)</f>
        <v>0</v>
      </c>
      <c r="CY41" s="116">
        <f>IF(CV41&gt;0,1,0)*$A$46</f>
        <v>0</v>
      </c>
      <c r="CZ41" s="679">
        <f>CV41*$BK$52</f>
        <v>0</v>
      </c>
      <c r="DA41" s="680"/>
      <c r="DB41" s="83"/>
      <c r="DC41" s="689"/>
      <c r="DD41" s="690"/>
      <c r="DE41" s="83"/>
      <c r="DF41" s="691"/>
      <c r="DG41" s="692"/>
      <c r="DH41" s="83"/>
      <c r="DI41" s="691"/>
      <c r="DJ41" s="692"/>
      <c r="DP41" s="117"/>
      <c r="DQ41" s="51"/>
      <c r="DR41"/>
      <c r="DT41"/>
      <c r="DV41" s="22">
        <v>15</v>
      </c>
      <c r="DW41" s="83">
        <f>$B$46</f>
        <v>0.77</v>
      </c>
      <c r="DX41" s="679">
        <f>SUM(IF($C$1="Residência",$C$46,0),IF($F$1="Residência",$F$46,0),IF($I$1="Residência",$I$46,0),IF($L$1="Residência",$L$46,0))</f>
        <v>0</v>
      </c>
      <c r="DY41" s="680"/>
      <c r="DZ41" s="51">
        <f>IF($EA$60=$DV$41,IF(DX41&gt;0,((DX41-1)*$BM$52*0.5)+$BM$52,DX41*0.5*$BM$52),DX41*0.5*$BM$52)</f>
        <v>0</v>
      </c>
      <c r="EA41" s="116">
        <f>IF(DX41&gt;0,1,0)*$A$46</f>
        <v>0</v>
      </c>
      <c r="EB41" s="679">
        <f>DX41*$BK$52</f>
        <v>0</v>
      </c>
      <c r="EC41" s="680"/>
      <c r="ED41" s="83"/>
      <c r="EG41" s="116"/>
      <c r="EH41" s="679">
        <f>SUM(IF($C$1="Residência",0,$C$46),IF($F$1="Residência",0,$F$46),IF($I$1="Residência",0,$I$46),IF($L$1="Residência",0,$L$46))</f>
        <v>0</v>
      </c>
      <c r="EI41" s="680"/>
      <c r="EJ41" s="51">
        <f>IF($EA$60=$DV$41,IF(AND($EH$41&gt;0,$DX$41&lt;1),(($EH$41-1)*$BM$52*0.5)+$BM$52,$EH$41*0.5*$BM$52),$EH$41*0.5*$BM$52)</f>
        <v>0</v>
      </c>
      <c r="EK41" s="116">
        <f>IF(EH41&gt;0,1,0)*$A$46</f>
        <v>0</v>
      </c>
      <c r="EL41" s="679">
        <f>EH41*$BK$52</f>
        <v>0</v>
      </c>
      <c r="EM41" s="680"/>
      <c r="EN41" s="689"/>
      <c r="EO41" s="690"/>
      <c r="EP41" s="679">
        <f>SUM(IF($C$1="Residência",$C$46,0),IF($F$1="Residência",$F$46,0),IF($I$1="Residência",$I$46,0),IF($L$1="Residência",$L$46,0))</f>
        <v>0</v>
      </c>
      <c r="EQ41" s="680"/>
      <c r="ER41" s="51">
        <f>IF($ES$60=$DV$41,IF(EP41&gt;0,((EP41-1)*$BM$52*0.5)+$BM$52,EP41*0.5*$BM$52),EP41*0.5*$BM$52)</f>
        <v>0</v>
      </c>
      <c r="ES41" s="116">
        <f>IF(EP41&gt;0,1,0)*$A$46</f>
        <v>0</v>
      </c>
      <c r="ET41" s="679">
        <f>EP41*$BK$52</f>
        <v>0</v>
      </c>
      <c r="EU41" s="680"/>
      <c r="EW41" s="679">
        <f>SUM(IF($C$1="Residência",0,$C$46),IF($F$1="Residência",0,$F$46),IF($I$1="Residência",0,$I$46),IF($L$1="Residência",0,$L$46))</f>
        <v>0</v>
      </c>
      <c r="EX41" s="680"/>
      <c r="EY41" s="51">
        <f>IF($ES$60=$DV$41,IF(AND($EW$41&gt;0,$DX$41&lt;1),(($EW$41-1)*$BM$52*0.5)+$BM$52,$EW$41*0.5*$BM$52),$EW$41*0.5*$BM$52)</f>
        <v>0</v>
      </c>
      <c r="EZ41" s="116">
        <f>IF(EW41&gt;0,1,0)*$A$46</f>
        <v>0</v>
      </c>
      <c r="FA41" s="679">
        <f>EW41*$BK$52</f>
        <v>0</v>
      </c>
      <c r="FB41" s="680"/>
      <c r="FC41" s="386"/>
      <c r="FM41" s="22">
        <v>15</v>
      </c>
      <c r="FN41" s="83">
        <f>$B$46</f>
        <v>0.77</v>
      </c>
      <c r="FO41" s="679">
        <f>SUM($C$46,$F$46)</f>
        <v>0</v>
      </c>
      <c r="FP41" s="680"/>
      <c r="FQ41" s="51">
        <f>IF($FR$60=FM41,IF(FO41&gt;0,((FO41-1)*$BM$52*0.5)+$BM$52,0),FO41*0.5*$BM$52)</f>
        <v>0</v>
      </c>
      <c r="FR41" s="116">
        <f>IF(FO41&gt;0,1,0)*$A$46</f>
        <v>0</v>
      </c>
      <c r="FS41" s="679">
        <f>FO41*$BK$52</f>
        <v>0</v>
      </c>
      <c r="FT41" s="680"/>
      <c r="FU41" s="83"/>
      <c r="FX41" s="83"/>
      <c r="FY41" s="691"/>
      <c r="FZ41" s="692"/>
      <c r="GA41" s="83"/>
      <c r="GB41" s="691"/>
      <c r="GC41" s="692"/>
      <c r="GD41" s="83"/>
      <c r="GE41" s="689"/>
      <c r="GF41" s="690"/>
      <c r="GG41" s="83"/>
      <c r="GH41" s="691"/>
      <c r="GI41" s="692"/>
      <c r="GJ41" s="83"/>
      <c r="GK41" s="691"/>
      <c r="GL41" s="692"/>
      <c r="GR41" s="117"/>
      <c r="GS41" s="51"/>
      <c r="HD41" s="22">
        <v>15</v>
      </c>
      <c r="HE41" s="83">
        <f>$B$46</f>
        <v>0.77</v>
      </c>
      <c r="HF41" s="679">
        <f>SUM($I$46,$L$46)</f>
        <v>0</v>
      </c>
      <c r="HG41" s="680"/>
      <c r="HH41" s="51">
        <f>IF($HI$60=HD41,IF(HF41&gt;0,((HF41-1)*$BM$52*0.5)+$BM$52,0),HF41*0.5*$BM$52)</f>
        <v>0</v>
      </c>
      <c r="HI41" s="116">
        <f>IF(HF41&gt;0,1,0)*$A$46</f>
        <v>0</v>
      </c>
      <c r="HJ41" s="679">
        <f>HF41*$BK$52</f>
        <v>0</v>
      </c>
      <c r="HK41" s="680"/>
      <c r="HL41" s="83"/>
      <c r="HO41" s="83"/>
      <c r="HP41" s="691"/>
      <c r="HQ41" s="692"/>
      <c r="HR41" s="83"/>
      <c r="HS41" s="691"/>
      <c r="HT41" s="692"/>
      <c r="HU41" s="83"/>
      <c r="HV41" s="689"/>
      <c r="HW41" s="690"/>
      <c r="HX41" s="83"/>
      <c r="HY41" s="691"/>
      <c r="HZ41" s="692"/>
      <c r="IA41" s="83"/>
      <c r="IB41" s="691"/>
      <c r="IC41" s="692"/>
      <c r="II41" s="117"/>
      <c r="IJ41" s="51"/>
    </row>
    <row r="42" spans="1:247" ht="13.5" thickBot="1" x14ac:dyDescent="0.25">
      <c r="A42" s="22">
        <v>7</v>
      </c>
      <c r="B42" s="98">
        <v>0.76</v>
      </c>
      <c r="C42" s="691">
        <f>IF($C$1="Vazio",0,RELAÇÃO_DE_CARGA!C43:D43)</f>
        <v>0</v>
      </c>
      <c r="D42" s="692"/>
      <c r="E42" s="98">
        <v>0.76</v>
      </c>
      <c r="F42" s="713">
        <f>IF($F$1="Vazio",0,RELAÇÃO_DE_CARGA!F43:G43)</f>
        <v>0</v>
      </c>
      <c r="G42" s="714"/>
      <c r="H42" s="98">
        <v>0.76</v>
      </c>
      <c r="I42" s="713">
        <f>IF(OR($I$1="Vazio",RELAÇÃO_DE_CARGA!$I$1&lt;3),0,RELAÇÃO_DE_CARGA!I43:J43)</f>
        <v>0</v>
      </c>
      <c r="J42" s="714"/>
      <c r="K42" s="98">
        <v>0.76</v>
      </c>
      <c r="L42" s="713">
        <f>IF(OR($L$1="Vazio",RELAÇÃO_DE_CARGA!$I$1&lt;4),0,RELAÇÃO_DE_CARGA!L43:M43)</f>
        <v>0</v>
      </c>
      <c r="M42" s="714"/>
      <c r="N42" s="98">
        <v>0.76</v>
      </c>
      <c r="O42" s="691">
        <f>IF(OR($O$1="Vazio",RELAÇÃO_DE_CARGA!$I$1&lt;5),0,RELAÇÃO_DE_CARGA!O43)</f>
        <v>0</v>
      </c>
      <c r="P42" s="692"/>
      <c r="Q42" s="98">
        <v>0.76</v>
      </c>
      <c r="R42" s="713">
        <f>IF(OR($R$1="Vazio",RELAÇÃO_DE_CARGA!$I$1&lt;6),0,RELAÇÃO_DE_CARGA!R43)</f>
        <v>0</v>
      </c>
      <c r="S42" s="714"/>
      <c r="T42" s="98">
        <v>0.76</v>
      </c>
      <c r="U42" s="713">
        <f>IF(OR($U$1="Vazio",RELAÇÃO_DE_CARGA!$I$1&lt;7),0,RELAÇÃO_DE_CARGA!U43)</f>
        <v>0</v>
      </c>
      <c r="V42" s="714"/>
      <c r="W42" s="98">
        <v>0.76</v>
      </c>
      <c r="X42" s="713">
        <f>IF(OR($X$1="Vazio",RELAÇÃO_DE_CARGA!$I$1&lt;8),0,RELAÇÃO_DE_CARGA!X43)</f>
        <v>0</v>
      </c>
      <c r="Y42" s="714"/>
      <c r="Z42" s="98">
        <v>0.76</v>
      </c>
      <c r="AA42" s="713">
        <f>IF(OR($AA$1="Vazio",RELAÇÃO_DE_CARGA!$I$1&lt;9),0,RELAÇÃO_DE_CARGA!AA43)</f>
        <v>0</v>
      </c>
      <c r="AB42" s="714"/>
      <c r="AC42" s="98">
        <v>0.76</v>
      </c>
      <c r="AD42" s="713">
        <f>IF(OR($AD$1="Vazio",RELAÇÃO_DE_CARGA!$I$1&lt;10),0,RELAÇÃO_DE_CARGA!AD43)</f>
        <v>0</v>
      </c>
      <c r="AE42" s="714"/>
      <c r="AF42" s="98">
        <v>0.76</v>
      </c>
      <c r="AG42" s="713">
        <f>IF(OR($AG$1="Vazio",RELAÇÃO_DE_CARGA!$I$1&lt;11),0,RELAÇÃO_DE_CARGA!AG43)</f>
        <v>0</v>
      </c>
      <c r="AH42" s="714"/>
      <c r="AI42" s="98">
        <v>0.76</v>
      </c>
      <c r="AJ42" s="713">
        <f>IF(OR($AJ$1="Vazio",RELAÇÃO_DE_CARGA!$I$1&lt;12),0,RELAÇÃO_DE_CARGA!AJ43)</f>
        <v>0</v>
      </c>
      <c r="AK42" s="714"/>
      <c r="AL42" s="35"/>
      <c r="AM42" s="35"/>
      <c r="AN42" s="35"/>
      <c r="AO42" s="35"/>
      <c r="AP42" s="35"/>
      <c r="AQ42" s="276">
        <f t="shared" si="48"/>
        <v>0</v>
      </c>
      <c r="AR42" s="276">
        <f t="shared" si="49"/>
        <v>0</v>
      </c>
      <c r="AS42" s="276">
        <f t="shared" si="50"/>
        <v>0</v>
      </c>
      <c r="AT42" s="276">
        <f t="shared" si="51"/>
        <v>0</v>
      </c>
      <c r="AU42" s="276">
        <f t="shared" si="52"/>
        <v>0</v>
      </c>
      <c r="AV42" s="276">
        <f t="shared" si="53"/>
        <v>0</v>
      </c>
      <c r="AW42" s="276">
        <f t="shared" si="54"/>
        <v>0</v>
      </c>
      <c r="AX42" s="276">
        <f t="shared" si="55"/>
        <v>0</v>
      </c>
      <c r="AY42" s="276">
        <f t="shared" si="56"/>
        <v>0</v>
      </c>
      <c r="AZ42" s="276">
        <f t="shared" si="57"/>
        <v>0</v>
      </c>
      <c r="BA42" s="276">
        <f t="shared" si="58"/>
        <v>0</v>
      </c>
      <c r="BB42" s="276">
        <f t="shared" si="59"/>
        <v>0</v>
      </c>
      <c r="BC42" s="172">
        <f t="shared" si="60"/>
        <v>0</v>
      </c>
      <c r="BD42" s="128">
        <f>IF(AND(BC42&gt;0,BD43&lt;1,BD44&lt;1,BD45&lt;1,BD46&lt;1,BD61&lt;1,BD47&lt;1,BD62&lt;1,BD48&lt;1,BD63&lt;1,BD49&lt;1,BD64&lt;1),1,0)</f>
        <v>0</v>
      </c>
      <c r="BE42" s="172">
        <f t="shared" si="47"/>
        <v>0</v>
      </c>
      <c r="BF42" s="128">
        <f>IF(AND(BE42&gt;0,BF43&lt;1,BF44&lt;1,BF45&lt;1,BF46&lt;1,BF61&lt;1,BF47&lt;1,BF62&lt;1,BF48&lt;1,BF63&lt;1,BF49&lt;1,BF64&lt;1),1,0)</f>
        <v>0</v>
      </c>
      <c r="BG42" s="128"/>
      <c r="BH42" s="128"/>
      <c r="BI42" s="128"/>
      <c r="BJ42" s="128"/>
      <c r="BK42" s="51">
        <v>1.05</v>
      </c>
      <c r="BL42" s="98">
        <v>0.69</v>
      </c>
      <c r="BM42">
        <v>1.5217391304347827</v>
      </c>
      <c r="BQ42" s="117">
        <v>0.75</v>
      </c>
      <c r="BR42" s="51">
        <f t="shared" ref="BR42:BR56" si="72">IF($AQ$65=$A35,IF(C35&gt;0,((C35-1)*$BM41*0.5)+$BM41,0),$BM41*0.5*C35)</f>
        <v>0</v>
      </c>
      <c r="BS42" s="51">
        <f t="shared" si="61"/>
        <v>0</v>
      </c>
      <c r="BT42" s="51">
        <f t="shared" si="62"/>
        <v>0</v>
      </c>
      <c r="BU42" s="51">
        <f t="shared" si="63"/>
        <v>0</v>
      </c>
      <c r="BV42" s="51">
        <f t="shared" si="64"/>
        <v>0</v>
      </c>
      <c r="BW42" s="51">
        <f t="shared" si="65"/>
        <v>0</v>
      </c>
      <c r="BX42" s="51">
        <f t="shared" si="66"/>
        <v>0</v>
      </c>
      <c r="BY42" s="51">
        <f t="shared" si="67"/>
        <v>0</v>
      </c>
      <c r="BZ42" s="51">
        <f t="shared" si="68"/>
        <v>0</v>
      </c>
      <c r="CA42" s="51">
        <f t="shared" si="69"/>
        <v>0</v>
      </c>
      <c r="CB42" s="51">
        <f t="shared" si="70"/>
        <v>0</v>
      </c>
      <c r="CC42" s="51">
        <f t="shared" si="71"/>
        <v>0</v>
      </c>
      <c r="CD42" s="127"/>
      <c r="CE42" s="51"/>
      <c r="CF42" s="51"/>
      <c r="CG42" s="51"/>
      <c r="CK42" s="22">
        <v>20</v>
      </c>
      <c r="CL42" s="83">
        <f>$B$47</f>
        <v>0.77</v>
      </c>
      <c r="CM42" s="679">
        <f>SUM($C$47,$F$47)</f>
        <v>0</v>
      </c>
      <c r="CN42" s="680"/>
      <c r="CO42" s="51">
        <f>IF($CP$60=CK42,IF(CM42&gt;0,((CM42-1)*$BM$53*0.5)+$BM$53,CM42*0.5*$BM$53),CM42*0.5*$BM$53)</f>
        <v>0</v>
      </c>
      <c r="CP42" s="116">
        <f>IF(CM42&gt;0,1,0)*$A$47</f>
        <v>0</v>
      </c>
      <c r="CQ42" s="679">
        <f>CM42*$BK$53</f>
        <v>0</v>
      </c>
      <c r="CR42" s="680"/>
      <c r="CS42" s="83"/>
      <c r="CT42" s="22">
        <v>20</v>
      </c>
      <c r="CU42" s="83">
        <f>$B$47</f>
        <v>0.77</v>
      </c>
      <c r="CV42" s="679">
        <f>SUM($C$47,$F$47)</f>
        <v>0</v>
      </c>
      <c r="CW42" s="680"/>
      <c r="CX42" s="51">
        <f>IF($CY$60=CT42,IF(CV42&gt;0,((CV42-1)*$BM$53*0.5)+$BM$53,CV42*0.5*$BM$53),CV42*0.5*$BM$53)</f>
        <v>0</v>
      </c>
      <c r="CY42" s="116">
        <f>IF(CV42&gt;0,1,0)*$A$47</f>
        <v>0</v>
      </c>
      <c r="CZ42" s="679">
        <f>CV42*$BK$53</f>
        <v>0</v>
      </c>
      <c r="DA42" s="680"/>
      <c r="DB42" s="83"/>
      <c r="DC42" s="689"/>
      <c r="DD42" s="690"/>
      <c r="DE42" s="83"/>
      <c r="DF42" s="691"/>
      <c r="DG42" s="692"/>
      <c r="DH42" s="83"/>
      <c r="DI42" s="691"/>
      <c r="DJ42" s="692"/>
      <c r="DP42" s="116"/>
      <c r="DQ42" s="51"/>
      <c r="DR42"/>
      <c r="DT42"/>
      <c r="DV42" s="22">
        <v>20</v>
      </c>
      <c r="DW42" s="83">
        <f>$B$47</f>
        <v>0.77</v>
      </c>
      <c r="DX42" s="679">
        <f>SUM(IF($C$1="Residência",$C$47,0),IF($F$1="Residência",$F$47,0),IF($I$1="Residência",$I$47,0),IF($L$1="Residência",$L$47,0))</f>
        <v>0</v>
      </c>
      <c r="DY42" s="680"/>
      <c r="DZ42" s="51">
        <f>IF($EA$60=$DV$42,IF(DX42&gt;0,((DX42-1)*$BM$53*0.5)+$BM$53,DX42*0.5*$BM$53),DX42*0.5*$BM$53)</f>
        <v>0</v>
      </c>
      <c r="EA42" s="116">
        <f>IF(DX42&gt;0,1,0)*$A$47</f>
        <v>0</v>
      </c>
      <c r="EB42" s="679">
        <f>DX42*$BK$53</f>
        <v>0</v>
      </c>
      <c r="EC42" s="680"/>
      <c r="ED42" s="83"/>
      <c r="EG42" s="116"/>
      <c r="EH42" s="679">
        <f>SUM(IF($C$1="Residência",0,$C$47),IF($F$1="Residência",0,$F$47),IF($I$1="Residência",0,$I$47),IF($L$1="Residência",0,$L$47))</f>
        <v>0</v>
      </c>
      <c r="EI42" s="680"/>
      <c r="EJ42" s="51">
        <f>IF($EA$60=$DV$42,IF(AND($EH$42&gt;0,$DX$42&lt;1),(($EH$42-1)*$BM$53*0.5)+$BM$53,$EH$42*0.5*$BM$53),$EH$42*0.5*$BM$53)</f>
        <v>0</v>
      </c>
      <c r="EK42" s="116">
        <f>IF(EH42&gt;0,1,0)*$A$47</f>
        <v>0</v>
      </c>
      <c r="EL42" s="679">
        <f>EH42*$BK$53</f>
        <v>0</v>
      </c>
      <c r="EM42" s="680"/>
      <c r="EN42" s="689"/>
      <c r="EO42" s="690"/>
      <c r="EP42" s="679">
        <f>SUM(IF($C$1="Residência",$C$47,0),IF($F$1="Residência",$F$47,0),IF($I$1="Residência",$I$47,0),IF($L$1="Residência",$L$47,0))</f>
        <v>0</v>
      </c>
      <c r="EQ42" s="680"/>
      <c r="ER42" s="51">
        <f>IF($ES$60=$DV$42,IF(EP42&gt;0,((EP42-1)*$BM$53*0.5)+$BM$53,EP42*0.5*$BM$53),EP42*0.5*$BM$53)</f>
        <v>0</v>
      </c>
      <c r="ES42" s="116">
        <f>IF(EP42&gt;0,1,0)*$A$47</f>
        <v>0</v>
      </c>
      <c r="ET42" s="679">
        <f>EP42*$BK$53</f>
        <v>0</v>
      </c>
      <c r="EU42" s="680"/>
      <c r="EW42" s="679">
        <f>SUM(IF($C$1="Residência",0,$C$47),IF($F$1="Residência",0,$F$47),IF($I$1="Residência",0,$I$47),IF($L$1="Residência",0,$L$47))</f>
        <v>0</v>
      </c>
      <c r="EX42" s="680"/>
      <c r="EY42" s="51">
        <f>IF($ES$60=$DV$42,IF(AND($EW$42&gt;0,$DX$42&lt;1),(($EW$42-1)*$BM$53*0.5)+$BM$53,$EW$42*0.5*$BM$53),$EW$42*0.5*$BM$53)</f>
        <v>0</v>
      </c>
      <c r="EZ42" s="116">
        <f>IF(EW42&gt;0,1,0)*$A$47</f>
        <v>0</v>
      </c>
      <c r="FA42" s="679">
        <f>EW42*$BK$53</f>
        <v>0</v>
      </c>
      <c r="FB42" s="680"/>
      <c r="FC42" s="386"/>
      <c r="FM42" s="22">
        <v>20</v>
      </c>
      <c r="FN42" s="83">
        <f>$B$47</f>
        <v>0.77</v>
      </c>
      <c r="FO42" s="679">
        <f>SUM($C$47,$F$47)</f>
        <v>0</v>
      </c>
      <c r="FP42" s="680"/>
      <c r="FQ42" s="51">
        <f>IF($FR$60=FM42,IF(FO42&gt;0,((FO42-1)*$BM$53*0.5)+$BM$53,0),FO42*0.5*$BM$53)</f>
        <v>0</v>
      </c>
      <c r="FR42" s="116">
        <f>IF(FO42&gt;0,1,0)*$A$47</f>
        <v>0</v>
      </c>
      <c r="FS42" s="679">
        <f>FO42*$BK$53</f>
        <v>0</v>
      </c>
      <c r="FT42" s="680"/>
      <c r="FU42" s="83"/>
      <c r="FX42" s="83"/>
      <c r="FY42" s="691"/>
      <c r="FZ42" s="692"/>
      <c r="GA42" s="83"/>
      <c r="GB42" s="691"/>
      <c r="GC42" s="692"/>
      <c r="GD42" s="83"/>
      <c r="GE42" s="689"/>
      <c r="GF42" s="690"/>
      <c r="GG42" s="83"/>
      <c r="GH42" s="691"/>
      <c r="GI42" s="692"/>
      <c r="GJ42" s="83"/>
      <c r="GK42" s="691"/>
      <c r="GL42" s="692"/>
      <c r="GR42" s="116"/>
      <c r="GS42" s="51"/>
      <c r="HD42" s="22">
        <v>20</v>
      </c>
      <c r="HE42" s="83">
        <f>$B$47</f>
        <v>0.77</v>
      </c>
      <c r="HF42" s="679">
        <f>SUM($I$47,$L$47)</f>
        <v>0</v>
      </c>
      <c r="HG42" s="680"/>
      <c r="HH42" s="51">
        <f>IF($HI$60=HD42,IF(HF42&gt;0,((HF42-1)*$BM$53*0.5)+$BM$53,0),HF42*0.5*$BM$53)</f>
        <v>0</v>
      </c>
      <c r="HI42" s="116">
        <f>IF(HF42&gt;0,1,0)*$A$47</f>
        <v>0</v>
      </c>
      <c r="HJ42" s="679">
        <f>HF42*$BK$53</f>
        <v>0</v>
      </c>
      <c r="HK42" s="680"/>
      <c r="HL42" s="83"/>
      <c r="HO42" s="83"/>
      <c r="HP42" s="691"/>
      <c r="HQ42" s="692"/>
      <c r="HR42" s="83"/>
      <c r="HS42" s="691"/>
      <c r="HT42" s="692"/>
      <c r="HU42" s="83"/>
      <c r="HV42" s="689"/>
      <c r="HW42" s="690"/>
      <c r="HX42" s="83"/>
      <c r="HY42" s="691"/>
      <c r="HZ42" s="692"/>
      <c r="IA42" s="83"/>
      <c r="IB42" s="691"/>
      <c r="IC42" s="692"/>
      <c r="II42" s="116"/>
      <c r="IJ42" s="51"/>
    </row>
    <row r="43" spans="1:247" ht="13.5" thickBot="1" x14ac:dyDescent="0.25">
      <c r="A43" s="22">
        <v>7.5</v>
      </c>
      <c r="B43" s="98">
        <v>0.76</v>
      </c>
      <c r="C43" s="691">
        <f>IF($C$1="Vazio",0,RELAÇÃO_DE_CARGA!C44:D44)</f>
        <v>0</v>
      </c>
      <c r="D43" s="692"/>
      <c r="E43" s="98">
        <v>0.76</v>
      </c>
      <c r="F43" s="713">
        <f>IF($F$1="Vazio",0,RELAÇÃO_DE_CARGA!F44:G44)</f>
        <v>0</v>
      </c>
      <c r="G43" s="714"/>
      <c r="H43" s="98">
        <v>0.76</v>
      </c>
      <c r="I43" s="713">
        <f>IF(OR($I$1="Vazio",RELAÇÃO_DE_CARGA!$I$1&lt;3),0,RELAÇÃO_DE_CARGA!I44:J44)</f>
        <v>0</v>
      </c>
      <c r="J43" s="714"/>
      <c r="K43" s="98">
        <v>0.76</v>
      </c>
      <c r="L43" s="713">
        <f>IF(OR($L$1="Vazio",RELAÇÃO_DE_CARGA!$I$1&lt;4),0,RELAÇÃO_DE_CARGA!L44:M44)</f>
        <v>0</v>
      </c>
      <c r="M43" s="714"/>
      <c r="N43" s="98">
        <v>0.76</v>
      </c>
      <c r="O43" s="691">
        <f>IF(OR($O$1="Vazio",RELAÇÃO_DE_CARGA!$I$1&lt;5),0,RELAÇÃO_DE_CARGA!O44)</f>
        <v>0</v>
      </c>
      <c r="P43" s="692"/>
      <c r="Q43" s="98">
        <v>0.76</v>
      </c>
      <c r="R43" s="713">
        <f>IF(OR($R$1="Vazio",RELAÇÃO_DE_CARGA!$I$1&lt;6),0,RELAÇÃO_DE_CARGA!R44)</f>
        <v>0</v>
      </c>
      <c r="S43" s="714"/>
      <c r="T43" s="98">
        <v>0.76</v>
      </c>
      <c r="U43" s="713">
        <f>IF(OR($U$1="Vazio",RELAÇÃO_DE_CARGA!$I$1&lt;7),0,RELAÇÃO_DE_CARGA!U44)</f>
        <v>0</v>
      </c>
      <c r="V43" s="714"/>
      <c r="W43" s="98">
        <v>0.76</v>
      </c>
      <c r="X43" s="713">
        <f>IF(OR($X$1="Vazio",RELAÇÃO_DE_CARGA!$I$1&lt;8),0,RELAÇÃO_DE_CARGA!X44)</f>
        <v>0</v>
      </c>
      <c r="Y43" s="714"/>
      <c r="Z43" s="98">
        <v>0.76</v>
      </c>
      <c r="AA43" s="713">
        <f>IF(OR($AA$1="Vazio",RELAÇÃO_DE_CARGA!$I$1&lt;9),0,RELAÇÃO_DE_CARGA!AA44)</f>
        <v>0</v>
      </c>
      <c r="AB43" s="714"/>
      <c r="AC43" s="98">
        <v>0.76</v>
      </c>
      <c r="AD43" s="713">
        <f>IF(OR($AD$1="Vazio",RELAÇÃO_DE_CARGA!$I$1&lt;10),0,RELAÇÃO_DE_CARGA!AD44)</f>
        <v>0</v>
      </c>
      <c r="AE43" s="714"/>
      <c r="AF43" s="98">
        <v>0.76</v>
      </c>
      <c r="AG43" s="713">
        <f>IF(OR($AG$1="Vazio",RELAÇÃO_DE_CARGA!$I$1&lt;11),0,RELAÇÃO_DE_CARGA!AG44)</f>
        <v>0</v>
      </c>
      <c r="AH43" s="714"/>
      <c r="AI43" s="98">
        <v>0.76</v>
      </c>
      <c r="AJ43" s="713">
        <f>IF(OR($AJ$1="Vazio",RELAÇÃO_DE_CARGA!$I$1&lt;12),0,RELAÇÃO_DE_CARGA!AJ44)</f>
        <v>0</v>
      </c>
      <c r="AK43" s="714"/>
      <c r="AL43" s="35"/>
      <c r="AM43" s="35"/>
      <c r="AN43" s="35"/>
      <c r="AO43" s="35"/>
      <c r="AP43" s="35"/>
      <c r="AQ43" s="276">
        <f t="shared" si="48"/>
        <v>0</v>
      </c>
      <c r="AR43" s="276">
        <f t="shared" si="49"/>
        <v>0</v>
      </c>
      <c r="AS43" s="276">
        <f t="shared" si="50"/>
        <v>0</v>
      </c>
      <c r="AT43" s="276">
        <f t="shared" si="51"/>
        <v>0</v>
      </c>
      <c r="AU43" s="276">
        <f t="shared" si="52"/>
        <v>0</v>
      </c>
      <c r="AV43" s="276">
        <f t="shared" si="53"/>
        <v>0</v>
      </c>
      <c r="AW43" s="276">
        <f t="shared" si="54"/>
        <v>0</v>
      </c>
      <c r="AX43" s="276">
        <f t="shared" si="55"/>
        <v>0</v>
      </c>
      <c r="AY43" s="276">
        <f t="shared" si="56"/>
        <v>0</v>
      </c>
      <c r="AZ43" s="276">
        <f t="shared" si="57"/>
        <v>0</v>
      </c>
      <c r="BA43" s="276">
        <f t="shared" si="58"/>
        <v>0</v>
      </c>
      <c r="BB43" s="276">
        <f t="shared" si="59"/>
        <v>0</v>
      </c>
      <c r="BC43" s="172">
        <f t="shared" si="60"/>
        <v>0</v>
      </c>
      <c r="BD43" s="128">
        <f>IF(AND(BC43&gt;0,BD44&lt;1,BD45&lt;1,BD46&lt;1,BD47&lt;1,BD62&lt;1,BD48&lt;1,BD63&lt;1,BD49&lt;1,BD64&lt;1),1,0)</f>
        <v>0</v>
      </c>
      <c r="BE43" s="172">
        <f t="shared" si="47"/>
        <v>0</v>
      </c>
      <c r="BF43" s="128">
        <f>IF(AND(BE43&gt;0,BF44&lt;1,BF45&lt;1,BF46&lt;1,BF47&lt;1,BF62&lt;1,BF48&lt;1,BF63&lt;1,BF49&lt;1,BF64&lt;1),1,0)</f>
        <v>0</v>
      </c>
      <c r="BG43" s="128"/>
      <c r="BH43" s="128"/>
      <c r="BI43" s="128"/>
      <c r="BJ43" s="128"/>
      <c r="BK43" s="51">
        <v>1.54</v>
      </c>
      <c r="BL43" s="98">
        <v>0.71</v>
      </c>
      <c r="BM43">
        <v>2.1690140845070425</v>
      </c>
      <c r="BQ43" s="116">
        <v>1</v>
      </c>
      <c r="BR43" s="51">
        <f t="shared" si="72"/>
        <v>0</v>
      </c>
      <c r="BS43" s="51">
        <f t="shared" si="61"/>
        <v>0</v>
      </c>
      <c r="BT43" s="51">
        <f t="shared" si="62"/>
        <v>0</v>
      </c>
      <c r="BU43" s="51">
        <f t="shared" si="63"/>
        <v>0</v>
      </c>
      <c r="BV43" s="51">
        <f t="shared" si="64"/>
        <v>0</v>
      </c>
      <c r="BW43" s="51">
        <f t="shared" si="65"/>
        <v>0</v>
      </c>
      <c r="BX43" s="51">
        <f t="shared" si="66"/>
        <v>0</v>
      </c>
      <c r="BY43" s="51">
        <f t="shared" si="67"/>
        <v>0</v>
      </c>
      <c r="BZ43" s="51">
        <f t="shared" si="68"/>
        <v>0</v>
      </c>
      <c r="CA43" s="51">
        <f t="shared" si="69"/>
        <v>0</v>
      </c>
      <c r="CB43" s="51">
        <f t="shared" si="70"/>
        <v>0</v>
      </c>
      <c r="CC43" s="51">
        <f t="shared" si="71"/>
        <v>0</v>
      </c>
      <c r="CD43" s="127"/>
      <c r="CE43" s="51"/>
      <c r="CF43" s="51"/>
      <c r="CG43" s="51"/>
      <c r="CK43" s="22">
        <v>25</v>
      </c>
      <c r="CL43" s="83">
        <f>$B$48</f>
        <v>0.81</v>
      </c>
      <c r="CM43" s="679">
        <f>SUM($C$48,$F$48)</f>
        <v>0</v>
      </c>
      <c r="CN43" s="680"/>
      <c r="CO43" s="51">
        <f>IF($CP$60=CK43,IF(CM43&gt;0,((CM43-1)*$BM$54*0.5)+$BM$54,CM43*0.5*$BM$54),CM43*0.5*$BM$54)</f>
        <v>0</v>
      </c>
      <c r="CP43" s="116">
        <f>IF(CM43&gt;0,1,0)*$A$48</f>
        <v>0</v>
      </c>
      <c r="CQ43" s="679">
        <f>CM43*$BK$54</f>
        <v>0</v>
      </c>
      <c r="CR43" s="680"/>
      <c r="CS43" s="83"/>
      <c r="CT43" s="22">
        <v>25</v>
      </c>
      <c r="CU43" s="83">
        <f>$B$48</f>
        <v>0.81</v>
      </c>
      <c r="CV43" s="679">
        <f>SUM($C$48,$F$48)</f>
        <v>0</v>
      </c>
      <c r="CW43" s="680"/>
      <c r="CX43" s="51">
        <f>IF($CY$60=CT43,IF(CV43&gt;0,((CV43-1)*$BM$54*0.5)+$BM$54,CV43*0.5*$BM$54),CV43*0.5*$BM$54)</f>
        <v>0</v>
      </c>
      <c r="CY43" s="116">
        <f>IF(CV43&gt;0,1,0)*$A$48</f>
        <v>0</v>
      </c>
      <c r="CZ43" s="679">
        <f>CV43*$BK$54</f>
        <v>0</v>
      </c>
      <c r="DA43" s="680"/>
      <c r="DB43" s="83"/>
      <c r="DC43" s="689"/>
      <c r="DD43" s="690"/>
      <c r="DE43" s="83"/>
      <c r="DF43" s="691"/>
      <c r="DG43" s="692"/>
      <c r="DH43" s="83"/>
      <c r="DI43" s="691"/>
      <c r="DJ43" s="692"/>
      <c r="DP43" s="116"/>
      <c r="DQ43" s="51"/>
      <c r="DR43"/>
      <c r="DT43"/>
      <c r="DV43" s="22">
        <v>25</v>
      </c>
      <c r="DW43" s="83">
        <f>$B$48</f>
        <v>0.81</v>
      </c>
      <c r="DX43" s="679">
        <f>SUM(IF($C$1="Residência",$C$48,0),IF($F$1="Residência",$F$48,0),IF($I$1="Residência",$I$48,0),IF($L$1="Residência",$L$48,0))</f>
        <v>0</v>
      </c>
      <c r="DY43" s="680"/>
      <c r="DZ43" s="51">
        <f>IF($EA$60=$DV$43,IF(DX43&gt;0,((DX43-1)*$BM$54*0.5)+$BM$54,DX43*0.5*$BM$54),DX43*0.5*$BM$54)</f>
        <v>0</v>
      </c>
      <c r="EA43" s="116">
        <f>IF(DX43&gt;0,1,0)*$A$48</f>
        <v>0</v>
      </c>
      <c r="EB43" s="679">
        <f>DX43*$BK$54</f>
        <v>0</v>
      </c>
      <c r="EC43" s="680"/>
      <c r="ED43" s="83"/>
      <c r="EG43" s="116"/>
      <c r="EH43" s="679">
        <f>SUM(IF($C$1="Residência",0,$C$48),IF($F$1="Residência",0,$F$48),IF($I$1="Residência",0,$I$48),IF($L$1="Residência",0,$L$48))</f>
        <v>0</v>
      </c>
      <c r="EI43" s="680"/>
      <c r="EJ43" s="51">
        <f>IF($EA$60=$DV$43,IF(AND($EH$43&gt;0,$DX$43&lt;1),(($EH$43-1)*$BM$54*0.5)+$BM$54,$EH$43*0.5*$BM$54),$EH$43*0.5*$BM$54)</f>
        <v>0</v>
      </c>
      <c r="EK43" s="116">
        <f>IF(EH43&gt;0,1,0)*$A$48</f>
        <v>0</v>
      </c>
      <c r="EL43" s="679">
        <f>EH43*$BK$54</f>
        <v>0</v>
      </c>
      <c r="EM43" s="680"/>
      <c r="EN43" s="689"/>
      <c r="EO43" s="690"/>
      <c r="EP43" s="679">
        <f>SUM(IF($C$1="Residência",$C$48,0),IF($F$1="Residência",$F$48,0),IF($I$1="Residência",$I$48,0),IF($L$1="Residência",$L$48,0))</f>
        <v>0</v>
      </c>
      <c r="EQ43" s="680"/>
      <c r="ER43" s="51">
        <f>IF($ES$60=$DV$43,IF(EP43&gt;0,((EP43-1)*$BM$54*0.5)+$BM$54,EP43*0.5*$BM$54),EP43*0.5*$BM$54)</f>
        <v>0</v>
      </c>
      <c r="ES43" s="116">
        <f>IF(EP43&gt;0,1,0)*$A$48</f>
        <v>0</v>
      </c>
      <c r="ET43" s="679">
        <f>EP43*$BK$54</f>
        <v>0</v>
      </c>
      <c r="EU43" s="680"/>
      <c r="EW43" s="679">
        <f>SUM(IF($C$1="Residência",0,$C$48),IF($F$1="Residência",0,$F$48),IF($I$1="Residência",0,$I$48),IF($L$1="Residência",0,$L$48))</f>
        <v>0</v>
      </c>
      <c r="EX43" s="680"/>
      <c r="EY43" s="51">
        <f>IF($ES$60=$DV$43,IF(AND($EW$43&gt;0,$DX$43&lt;1),(($EW$43-1)*$BM$54*0.5)+$BM$54,$EW$43*0.5*$BM$54),$EW$43*0.5*$BM$54)</f>
        <v>0</v>
      </c>
      <c r="EZ43" s="116">
        <f>IF(EW43&gt;0,1,0)*$A$48</f>
        <v>0</v>
      </c>
      <c r="FA43" s="679">
        <f>EW43*$BK$54</f>
        <v>0</v>
      </c>
      <c r="FB43" s="680"/>
      <c r="FC43" s="386"/>
      <c r="FM43" s="22">
        <v>25</v>
      </c>
      <c r="FN43" s="83">
        <f>$B$48</f>
        <v>0.81</v>
      </c>
      <c r="FO43" s="679">
        <f>SUM($C$48,$F$48)</f>
        <v>0</v>
      </c>
      <c r="FP43" s="680"/>
      <c r="FQ43" s="51">
        <f>IF($FR$60=FM43,IF(FO43&gt;0,((FO43-1)*$BM$54*0.5)+$BM$54,0),FO43*0.5*$BM$54)</f>
        <v>0</v>
      </c>
      <c r="FR43" s="116">
        <f>IF(FO43&gt;0,1,0)*$A$48</f>
        <v>0</v>
      </c>
      <c r="FS43" s="679">
        <f>FO43*$BK$54</f>
        <v>0</v>
      </c>
      <c r="FT43" s="680"/>
      <c r="FU43" s="83"/>
      <c r="FX43" s="83"/>
      <c r="FY43" s="691"/>
      <c r="FZ43" s="692"/>
      <c r="GA43" s="83"/>
      <c r="GB43" s="691"/>
      <c r="GC43" s="692"/>
      <c r="GD43" s="83"/>
      <c r="GE43" s="689"/>
      <c r="GF43" s="690"/>
      <c r="GG43" s="83"/>
      <c r="GH43" s="691"/>
      <c r="GI43" s="692"/>
      <c r="GJ43" s="83"/>
      <c r="GK43" s="691"/>
      <c r="GL43" s="692"/>
      <c r="GR43" s="116"/>
      <c r="GS43" s="51"/>
      <c r="HD43" s="22">
        <v>25</v>
      </c>
      <c r="HE43" s="83">
        <f>$B$48</f>
        <v>0.81</v>
      </c>
      <c r="HF43" s="679">
        <f>SUM($I$48,$L$48)</f>
        <v>0</v>
      </c>
      <c r="HG43" s="680"/>
      <c r="HH43" s="51">
        <f>IF($HI$60=HD43,IF(HF43&gt;0,((HF43-1)*$BM$54*0.5)+$BM$54,0),HF43*0.5*$BM$54)</f>
        <v>0</v>
      </c>
      <c r="HI43" s="116">
        <f>IF(HF43&gt;0,1,0)*$A$48</f>
        <v>0</v>
      </c>
      <c r="HJ43" s="679">
        <f>HF43*$BK$54</f>
        <v>0</v>
      </c>
      <c r="HK43" s="680"/>
      <c r="HL43" s="83"/>
      <c r="HO43" s="83"/>
      <c r="HP43" s="691"/>
      <c r="HQ43" s="692"/>
      <c r="HR43" s="83"/>
      <c r="HS43" s="691"/>
      <c r="HT43" s="692"/>
      <c r="HU43" s="83"/>
      <c r="HV43" s="689"/>
      <c r="HW43" s="690"/>
      <c r="HX43" s="83"/>
      <c r="HY43" s="691"/>
      <c r="HZ43" s="692"/>
      <c r="IA43" s="83"/>
      <c r="IB43" s="691"/>
      <c r="IC43" s="692"/>
      <c r="II43" s="116"/>
      <c r="IJ43" s="51"/>
    </row>
    <row r="44" spans="1:247" ht="13.5" thickBot="1" x14ac:dyDescent="0.25">
      <c r="A44" s="22">
        <v>10</v>
      </c>
      <c r="B44" s="98">
        <v>0.77</v>
      </c>
      <c r="C44" s="691">
        <f>IF($C$1="Vazio",0,RELAÇÃO_DE_CARGA!C45:D45)</f>
        <v>0</v>
      </c>
      <c r="D44" s="692"/>
      <c r="E44" s="98">
        <v>0.77</v>
      </c>
      <c r="F44" s="713">
        <f>IF($F$1="Vazio",0,RELAÇÃO_DE_CARGA!F45:G45)</f>
        <v>0</v>
      </c>
      <c r="G44" s="714"/>
      <c r="H44" s="98">
        <v>0.77</v>
      </c>
      <c r="I44" s="713">
        <f>IF(OR($I$1="Vazio",RELAÇÃO_DE_CARGA!$I$1&lt;3),0,RELAÇÃO_DE_CARGA!I45:J45)</f>
        <v>0</v>
      </c>
      <c r="J44" s="714"/>
      <c r="K44" s="98">
        <v>0.77</v>
      </c>
      <c r="L44" s="713">
        <f>IF(OR($L$1="Vazio",RELAÇÃO_DE_CARGA!$I$1&lt;4),0,RELAÇÃO_DE_CARGA!L45:M45)</f>
        <v>0</v>
      </c>
      <c r="M44" s="714"/>
      <c r="N44" s="98">
        <v>0.77</v>
      </c>
      <c r="O44" s="691">
        <f>IF(OR($O$1="Vazio",RELAÇÃO_DE_CARGA!$I$1&lt;5),0,RELAÇÃO_DE_CARGA!O45)</f>
        <v>0</v>
      </c>
      <c r="P44" s="692"/>
      <c r="Q44" s="98">
        <v>0.77</v>
      </c>
      <c r="R44" s="713">
        <f>IF(OR($R$1="Vazio",RELAÇÃO_DE_CARGA!$I$1&lt;6),0,RELAÇÃO_DE_CARGA!R45)</f>
        <v>0</v>
      </c>
      <c r="S44" s="714"/>
      <c r="T44" s="98">
        <v>0.77</v>
      </c>
      <c r="U44" s="713">
        <f>IF(OR($U$1="Vazio",RELAÇÃO_DE_CARGA!$I$1&lt;7),0,RELAÇÃO_DE_CARGA!U45)</f>
        <v>0</v>
      </c>
      <c r="V44" s="714"/>
      <c r="W44" s="98">
        <v>0.77</v>
      </c>
      <c r="X44" s="713">
        <f>IF(OR($X$1="Vazio",RELAÇÃO_DE_CARGA!$I$1&lt;8),0,RELAÇÃO_DE_CARGA!X45)</f>
        <v>0</v>
      </c>
      <c r="Y44" s="714"/>
      <c r="Z44" s="98">
        <v>0.77</v>
      </c>
      <c r="AA44" s="713">
        <f>IF(OR($AA$1="Vazio",RELAÇÃO_DE_CARGA!$I$1&lt;9),0,RELAÇÃO_DE_CARGA!AA45)</f>
        <v>0</v>
      </c>
      <c r="AB44" s="714"/>
      <c r="AC44" s="98">
        <v>0.77</v>
      </c>
      <c r="AD44" s="713">
        <f>IF(OR($AD$1="Vazio",RELAÇÃO_DE_CARGA!$I$1&lt;10),0,RELAÇÃO_DE_CARGA!AD45)</f>
        <v>0</v>
      </c>
      <c r="AE44" s="714"/>
      <c r="AF44" s="98">
        <v>0.77</v>
      </c>
      <c r="AG44" s="713">
        <f>IF(OR($AG$1="Vazio",RELAÇÃO_DE_CARGA!$I$1&lt;11),0,RELAÇÃO_DE_CARGA!AG45)</f>
        <v>0</v>
      </c>
      <c r="AH44" s="714"/>
      <c r="AI44" s="98">
        <v>0.77</v>
      </c>
      <c r="AJ44" s="713">
        <f>IF(OR($AJ$1="Vazio",RELAÇÃO_DE_CARGA!$I$1&lt;12),0,RELAÇÃO_DE_CARGA!AJ45)</f>
        <v>0</v>
      </c>
      <c r="AK44" s="714"/>
      <c r="AL44" s="35"/>
      <c r="AM44" s="35"/>
      <c r="AN44" s="35"/>
      <c r="AO44" s="35"/>
      <c r="AP44" s="35"/>
      <c r="AQ44" s="276">
        <f t="shared" si="48"/>
        <v>0</v>
      </c>
      <c r="AR44" s="276">
        <f t="shared" si="49"/>
        <v>0</v>
      </c>
      <c r="AS44" s="276">
        <f t="shared" si="50"/>
        <v>0</v>
      </c>
      <c r="AT44" s="276">
        <f t="shared" si="51"/>
        <v>0</v>
      </c>
      <c r="AU44" s="276">
        <f t="shared" si="52"/>
        <v>0</v>
      </c>
      <c r="AV44" s="276">
        <f t="shared" si="53"/>
        <v>0</v>
      </c>
      <c r="AW44" s="276">
        <f t="shared" si="54"/>
        <v>0</v>
      </c>
      <c r="AX44" s="276">
        <f t="shared" si="55"/>
        <v>0</v>
      </c>
      <c r="AY44" s="276">
        <f t="shared" si="56"/>
        <v>0</v>
      </c>
      <c r="AZ44" s="276">
        <f t="shared" si="57"/>
        <v>0</v>
      </c>
      <c r="BA44" s="276">
        <f t="shared" si="58"/>
        <v>0</v>
      </c>
      <c r="BB44" s="276">
        <f t="shared" si="59"/>
        <v>0</v>
      </c>
      <c r="BC44" s="172">
        <f t="shared" si="60"/>
        <v>0</v>
      </c>
      <c r="BD44" s="128">
        <f>IF(AND(BC44&gt;0,BD45&lt;1,BD46&lt;1,BD47&lt;1,BD48&lt;1,BD63&lt;1,BD49&lt;1,BD64&lt;1),1,0)</f>
        <v>0</v>
      </c>
      <c r="BE44" s="172">
        <f t="shared" si="47"/>
        <v>0</v>
      </c>
      <c r="BF44" s="128">
        <f>IF(AND(BE44&gt;0,BF45&lt;1,BF46&lt;1,BF47&lt;1,BF48&lt;1,BF63&lt;1,BF49&lt;1,BF64&lt;1),1,0)</f>
        <v>0</v>
      </c>
      <c r="BG44" s="128"/>
      <c r="BH44" s="128"/>
      <c r="BI44" s="128"/>
      <c r="BJ44" s="128"/>
      <c r="BK44" s="51">
        <v>1.95</v>
      </c>
      <c r="BL44" s="98">
        <v>0.72</v>
      </c>
      <c r="BM44">
        <v>2.7083333333333335</v>
      </c>
      <c r="BQ44" s="116">
        <v>1.5</v>
      </c>
      <c r="BR44" s="51">
        <f t="shared" si="72"/>
        <v>0</v>
      </c>
      <c r="BS44" s="51">
        <f t="shared" si="61"/>
        <v>0</v>
      </c>
      <c r="BT44" s="51">
        <f t="shared" si="62"/>
        <v>0</v>
      </c>
      <c r="BU44" s="51">
        <f t="shared" si="63"/>
        <v>0</v>
      </c>
      <c r="BV44" s="51">
        <f t="shared" si="64"/>
        <v>0</v>
      </c>
      <c r="BW44" s="51">
        <f t="shared" si="65"/>
        <v>0</v>
      </c>
      <c r="BX44" s="51">
        <f t="shared" si="66"/>
        <v>0</v>
      </c>
      <c r="BY44" s="51">
        <f t="shared" si="67"/>
        <v>0</v>
      </c>
      <c r="BZ44" s="51">
        <f t="shared" si="68"/>
        <v>0</v>
      </c>
      <c r="CA44" s="51">
        <f t="shared" si="69"/>
        <v>0</v>
      </c>
      <c r="CB44" s="51">
        <f t="shared" si="70"/>
        <v>0</v>
      </c>
      <c r="CC44" s="51">
        <f t="shared" si="71"/>
        <v>0</v>
      </c>
      <c r="CD44" s="127"/>
      <c r="CE44" s="51"/>
      <c r="CF44" s="51"/>
      <c r="CG44" s="51"/>
      <c r="CK44" s="23">
        <v>30</v>
      </c>
      <c r="CL44" s="83">
        <f>$B$49</f>
        <v>0.82</v>
      </c>
      <c r="CM44" s="689">
        <f>SUM($C$49,$F$49)</f>
        <v>0</v>
      </c>
      <c r="CN44" s="690"/>
      <c r="CO44" s="51">
        <f>IF($CP$60=CK44,IF(CM44&gt;0,((CM44-1)*$BM$55*0.5)+$BM$55,CM44*0.5*$BM$55),CM44*0.5*$BM$55)</f>
        <v>0</v>
      </c>
      <c r="CP44" s="116">
        <f>IF(CM44&gt;0,1,0)*$A$49</f>
        <v>0</v>
      </c>
      <c r="CQ44" s="679">
        <f>CM44*$BK$55</f>
        <v>0</v>
      </c>
      <c r="CR44" s="680"/>
      <c r="CS44" s="83"/>
      <c r="CT44" s="23">
        <v>30</v>
      </c>
      <c r="CU44" s="83">
        <f>$B$49</f>
        <v>0.82</v>
      </c>
      <c r="CV44" s="689">
        <f>SUM($C$49,$F$49)</f>
        <v>0</v>
      </c>
      <c r="CW44" s="690"/>
      <c r="CX44" s="51">
        <f>IF($CY$60=CT44,IF(CV44&gt;0,((CV44-1)*$BM$55*0.5)+$BM$55,CV44*0.5*$BM$55),CV44*0.5*$BM$55)</f>
        <v>0</v>
      </c>
      <c r="CY44" s="116">
        <f>IF(CV44&gt;0,1,0)*$A$49</f>
        <v>0</v>
      </c>
      <c r="CZ44" s="679">
        <f>CV44*$BK$55</f>
        <v>0</v>
      </c>
      <c r="DA44" s="680"/>
      <c r="DB44" s="83"/>
      <c r="DC44" s="689"/>
      <c r="DD44" s="690"/>
      <c r="DE44" s="83"/>
      <c r="DF44" s="691"/>
      <c r="DG44" s="692"/>
      <c r="DH44" s="83"/>
      <c r="DI44" s="691"/>
      <c r="DJ44" s="692"/>
      <c r="DP44" s="116"/>
      <c r="DQ44" s="51"/>
      <c r="DR44"/>
      <c r="DT44"/>
      <c r="DV44" s="23">
        <v>30</v>
      </c>
      <c r="DW44" s="83">
        <f>$B$49</f>
        <v>0.82</v>
      </c>
      <c r="DX44" s="679">
        <f>SUM(IF($C$1="Residência",$C$49,0),IF($F$1="Residência",$F$49,0),IF($I$1="Residência",$I$49,0),IF($L$1="Residência",$L$49,0))</f>
        <v>0</v>
      </c>
      <c r="DY44" s="680"/>
      <c r="DZ44" s="51">
        <f>IF($EA$60=$DV$44,IF(DX44&gt;0,((DX44-1)*$BM$55*0.5)+$BM$55,DX44*0.5*$BM$55),DX44*0.5*$BM$55)</f>
        <v>0</v>
      </c>
      <c r="EA44" s="116">
        <f>IF(DX44&gt;0,1,0)*$A$49</f>
        <v>0</v>
      </c>
      <c r="EB44" s="679">
        <f>DX44*$BK$55</f>
        <v>0</v>
      </c>
      <c r="EC44" s="680"/>
      <c r="ED44" s="83"/>
      <c r="EG44" s="116"/>
      <c r="EH44" s="679">
        <f>SUM(IF($C$1="Residência",0,$C$49),IF($F$1="Residência",0,$F$49),IF($I$1="Residência",0,$I$49),IF($L$1="Residência",0,$L$49))</f>
        <v>0</v>
      </c>
      <c r="EI44" s="680"/>
      <c r="EJ44" s="51">
        <f>IF($EA$60=$DV$44,IF(AND($EH$44&gt;0,$DX$44&lt;1),(($EH$44-1)*$BM$55*0.5)+$BM$55,$EH$44*0.5*$BM$55),$EH$44*0.5*$BM$55)</f>
        <v>0</v>
      </c>
      <c r="EK44" s="116">
        <f>IF(EH44&gt;0,1,0)*$A$49</f>
        <v>0</v>
      </c>
      <c r="EL44" s="679">
        <f>EH44*$BK$55</f>
        <v>0</v>
      </c>
      <c r="EM44" s="680"/>
      <c r="EN44" s="689"/>
      <c r="EO44" s="690"/>
      <c r="EP44" s="679">
        <f>SUM(IF($C$1="Residência",$C$49,0),IF($F$1="Residência",$F$49,0),IF($I$1="Residência",$I$49,0),IF($L$1="Residência",$L$49,0))</f>
        <v>0</v>
      </c>
      <c r="EQ44" s="680"/>
      <c r="ER44" s="51">
        <f>IF($ES$60=$DV$44,IF(EP44&gt;0,((EP44-1)*$BM$55*0.5)+$BM$55,EP44*0.5*$BM$55),EP44*0.5*$BM$55)</f>
        <v>0</v>
      </c>
      <c r="ES44" s="116">
        <f>IF(EP44&gt;0,1,0)*$A$49</f>
        <v>0</v>
      </c>
      <c r="ET44" s="679">
        <f>EP44*$BK$55</f>
        <v>0</v>
      </c>
      <c r="EU44" s="680"/>
      <c r="EW44" s="679">
        <f>SUM(IF($C$1="Residência",0,$C$49),IF($F$1="Residência",0,$F$49),IF($I$1="Residência",0,$I$49),IF($L$1="Residência",0,$L$49))</f>
        <v>0</v>
      </c>
      <c r="EX44" s="680"/>
      <c r="EY44" s="51">
        <f>IF($ES$60=$DV$44,IF(AND($EW$44&gt;0,$DX$44&lt;1),(($EW$44-1)*$BM$55*0.5)+$BM$55,$EW$44*0.5*$BM$55),$EW$44*0.5*$BM$55)</f>
        <v>0</v>
      </c>
      <c r="EZ44" s="116">
        <f>IF(EW44&gt;0,1,0)*$A$49</f>
        <v>0</v>
      </c>
      <c r="FA44" s="679">
        <f>EW44*$BK$55</f>
        <v>0</v>
      </c>
      <c r="FB44" s="680"/>
      <c r="FC44" s="386"/>
      <c r="FM44" s="23">
        <v>30</v>
      </c>
      <c r="FN44" s="83">
        <f>$B$49</f>
        <v>0.82</v>
      </c>
      <c r="FO44" s="689">
        <f>SUM($C$49,$F$49)</f>
        <v>0</v>
      </c>
      <c r="FP44" s="690"/>
      <c r="FQ44" s="51">
        <f>IF($FR$60=FM44,IF(FO44&gt;0,((FO44-1)*$BM$55*0.5)+$BM$55,0),FO44*0.5*$BM$55)</f>
        <v>0</v>
      </c>
      <c r="FR44" s="116">
        <f>IF(FO44&gt;0,1,0)*$A$49</f>
        <v>0</v>
      </c>
      <c r="FS44" s="679">
        <f>FO44*$BK$55</f>
        <v>0</v>
      </c>
      <c r="FT44" s="680"/>
      <c r="FU44" s="83"/>
      <c r="FX44" s="83"/>
      <c r="FY44" s="691"/>
      <c r="FZ44" s="692"/>
      <c r="GA44" s="83"/>
      <c r="GB44" s="691"/>
      <c r="GC44" s="692"/>
      <c r="GD44" s="83"/>
      <c r="GE44" s="689"/>
      <c r="GF44" s="690"/>
      <c r="GG44" s="83"/>
      <c r="GH44" s="691"/>
      <c r="GI44" s="692"/>
      <c r="GJ44" s="83"/>
      <c r="GK44" s="691"/>
      <c r="GL44" s="692"/>
      <c r="GR44" s="116"/>
      <c r="GS44" s="51"/>
      <c r="HD44" s="23">
        <v>30</v>
      </c>
      <c r="HE44" s="83">
        <f>$B$49</f>
        <v>0.82</v>
      </c>
      <c r="HF44" s="689">
        <f>SUM($I$49,$L$49)</f>
        <v>0</v>
      </c>
      <c r="HG44" s="690"/>
      <c r="HH44" s="51">
        <f>IF($HI$60=HD44,IF(HF44&gt;0,((HF44-1)*$BM$55*0.5)+$BM$55,0),HF44*0.5*$BM$55)</f>
        <v>0</v>
      </c>
      <c r="HI44" s="116">
        <f>IF(HF44&gt;0,1,0)*$A$49</f>
        <v>0</v>
      </c>
      <c r="HJ44" s="679">
        <f>HF44*$BK$55</f>
        <v>0</v>
      </c>
      <c r="HK44" s="680"/>
      <c r="HL44" s="83"/>
      <c r="HO44" s="83"/>
      <c r="HP44" s="691"/>
      <c r="HQ44" s="692"/>
      <c r="HR44" s="83"/>
      <c r="HS44" s="691"/>
      <c r="HT44" s="692"/>
      <c r="HU44" s="83"/>
      <c r="HV44" s="689"/>
      <c r="HW44" s="690"/>
      <c r="HX44" s="83"/>
      <c r="HY44" s="691"/>
      <c r="HZ44" s="692"/>
      <c r="IA44" s="83"/>
      <c r="IB44" s="691"/>
      <c r="IC44" s="692"/>
      <c r="II44" s="116"/>
      <c r="IJ44" s="51"/>
    </row>
    <row r="45" spans="1:247" ht="13.5" thickBot="1" x14ac:dyDescent="0.25">
      <c r="A45" s="22">
        <v>12.5</v>
      </c>
      <c r="B45" s="98">
        <v>0.77</v>
      </c>
      <c r="C45" s="691">
        <f>IF($C$1="Vazio",0,RELAÇÃO_DE_CARGA!C46:D46)</f>
        <v>0</v>
      </c>
      <c r="D45" s="692"/>
      <c r="E45" s="98">
        <v>0.77</v>
      </c>
      <c r="F45" s="713">
        <f>IF($F$1="Vazio",0,RELAÇÃO_DE_CARGA!F46:G46)</f>
        <v>0</v>
      </c>
      <c r="G45" s="714"/>
      <c r="H45" s="98">
        <v>0.77</v>
      </c>
      <c r="I45" s="713">
        <f>IF(OR($I$1="Vazio",RELAÇÃO_DE_CARGA!$I$1&lt;3),0,RELAÇÃO_DE_CARGA!I46:J46)</f>
        <v>0</v>
      </c>
      <c r="J45" s="714"/>
      <c r="K45" s="98">
        <v>0.77</v>
      </c>
      <c r="L45" s="713">
        <f>IF(OR($L$1="Vazio",RELAÇÃO_DE_CARGA!$I$1&lt;4),0,RELAÇÃO_DE_CARGA!L46:M46)</f>
        <v>0</v>
      </c>
      <c r="M45" s="714"/>
      <c r="N45" s="98">
        <v>0.77</v>
      </c>
      <c r="O45" s="691">
        <f>IF(OR($O$1="Vazio",RELAÇÃO_DE_CARGA!$I$1&lt;5),0,RELAÇÃO_DE_CARGA!O46)</f>
        <v>0</v>
      </c>
      <c r="P45" s="692"/>
      <c r="Q45" s="98">
        <v>0.77</v>
      </c>
      <c r="R45" s="713">
        <f>IF(OR($R$1="Vazio",RELAÇÃO_DE_CARGA!$I$1&lt;6),0,RELAÇÃO_DE_CARGA!R46)</f>
        <v>0</v>
      </c>
      <c r="S45" s="714"/>
      <c r="T45" s="98">
        <v>0.77</v>
      </c>
      <c r="U45" s="713">
        <f>IF(OR($U$1="Vazio",RELAÇÃO_DE_CARGA!$I$1&lt;7),0,RELAÇÃO_DE_CARGA!U46)</f>
        <v>0</v>
      </c>
      <c r="V45" s="714"/>
      <c r="W45" s="98">
        <v>0.77</v>
      </c>
      <c r="X45" s="713">
        <f>IF(OR($X$1="Vazio",RELAÇÃO_DE_CARGA!$I$1&lt;8),0,RELAÇÃO_DE_CARGA!X46)</f>
        <v>0</v>
      </c>
      <c r="Y45" s="714"/>
      <c r="Z45" s="98">
        <v>0.77</v>
      </c>
      <c r="AA45" s="713">
        <f>IF(OR($AA$1="Vazio",RELAÇÃO_DE_CARGA!$I$1&lt;9),0,RELAÇÃO_DE_CARGA!AA46)</f>
        <v>0</v>
      </c>
      <c r="AB45" s="714"/>
      <c r="AC45" s="98">
        <v>0.77</v>
      </c>
      <c r="AD45" s="713">
        <f>IF(OR($AD$1="Vazio",RELAÇÃO_DE_CARGA!$I$1&lt;10),0,RELAÇÃO_DE_CARGA!AD46)</f>
        <v>0</v>
      </c>
      <c r="AE45" s="714"/>
      <c r="AF45" s="98">
        <v>0.77</v>
      </c>
      <c r="AG45" s="713">
        <f>IF(OR($AG$1="Vazio",RELAÇÃO_DE_CARGA!$I$1&lt;11),0,RELAÇÃO_DE_CARGA!AG46)</f>
        <v>0</v>
      </c>
      <c r="AH45" s="714"/>
      <c r="AI45" s="98">
        <v>0.77</v>
      </c>
      <c r="AJ45" s="713">
        <f>IF(OR($AJ$1="Vazio",RELAÇÃO_DE_CARGA!$I$1&lt;12),0,RELAÇÃO_DE_CARGA!AJ46)</f>
        <v>0</v>
      </c>
      <c r="AK45" s="714"/>
      <c r="AL45" s="35"/>
      <c r="AM45" s="35"/>
      <c r="AN45" s="35"/>
      <c r="AO45" s="35"/>
      <c r="AP45" s="35"/>
      <c r="AQ45" s="276">
        <f t="shared" si="48"/>
        <v>0</v>
      </c>
      <c r="AR45" s="276">
        <f t="shared" si="49"/>
        <v>0</v>
      </c>
      <c r="AS45" s="276">
        <f t="shared" si="50"/>
        <v>0</v>
      </c>
      <c r="AT45" s="276">
        <f t="shared" si="51"/>
        <v>0</v>
      </c>
      <c r="AU45" s="276">
        <f t="shared" si="52"/>
        <v>0</v>
      </c>
      <c r="AV45" s="276">
        <f t="shared" si="53"/>
        <v>0</v>
      </c>
      <c r="AW45" s="276">
        <f t="shared" si="54"/>
        <v>0</v>
      </c>
      <c r="AX45" s="276">
        <f t="shared" si="55"/>
        <v>0</v>
      </c>
      <c r="AY45" s="276">
        <f t="shared" si="56"/>
        <v>0</v>
      </c>
      <c r="AZ45" s="276">
        <f t="shared" si="57"/>
        <v>0</v>
      </c>
      <c r="BA45" s="276">
        <f t="shared" si="58"/>
        <v>0</v>
      </c>
      <c r="BB45" s="276">
        <f t="shared" si="59"/>
        <v>0</v>
      </c>
      <c r="BC45" s="172">
        <f t="shared" si="60"/>
        <v>0</v>
      </c>
      <c r="BD45" s="128">
        <f>IF(AND(BC45&gt;0,BD46&lt;1,BD47&lt;1,BD48&lt;1,BD49&lt;1,BD64&lt;1),1,0)</f>
        <v>0</v>
      </c>
      <c r="BE45" s="172">
        <f t="shared" si="47"/>
        <v>0</v>
      </c>
      <c r="BF45" s="128">
        <f>IF(AND(BE45&gt;0,BF46&lt;1,BF47&lt;1,BF48&lt;1,BF49&lt;1,BF64&lt;1),1,0)</f>
        <v>0</v>
      </c>
      <c r="BG45" s="128"/>
      <c r="BH45" s="128"/>
      <c r="BI45" s="128"/>
      <c r="BJ45" s="128"/>
      <c r="BK45" s="51">
        <v>2.95</v>
      </c>
      <c r="BL45" s="98">
        <v>0.73</v>
      </c>
      <c r="BM45">
        <v>4.0410958904109595</v>
      </c>
      <c r="BQ45" s="116">
        <v>2</v>
      </c>
      <c r="BR45" s="51">
        <f t="shared" si="72"/>
        <v>0</v>
      </c>
      <c r="BS45" s="51">
        <f t="shared" si="61"/>
        <v>0</v>
      </c>
      <c r="BT45" s="51">
        <f t="shared" si="62"/>
        <v>0</v>
      </c>
      <c r="BU45" s="51">
        <f t="shared" si="63"/>
        <v>0</v>
      </c>
      <c r="BV45" s="51">
        <f t="shared" si="64"/>
        <v>0</v>
      </c>
      <c r="BW45" s="51">
        <f t="shared" si="65"/>
        <v>0</v>
      </c>
      <c r="BX45" s="51">
        <f t="shared" si="66"/>
        <v>0</v>
      </c>
      <c r="BY45" s="51">
        <f t="shared" si="67"/>
        <v>0</v>
      </c>
      <c r="BZ45" s="51">
        <f t="shared" si="68"/>
        <v>0</v>
      </c>
      <c r="CA45" s="51">
        <f t="shared" si="69"/>
        <v>0</v>
      </c>
      <c r="CB45" s="51">
        <f t="shared" si="70"/>
        <v>0</v>
      </c>
      <c r="CC45" s="51">
        <f t="shared" si="71"/>
        <v>0</v>
      </c>
      <c r="CD45" s="127"/>
      <c r="CE45" s="51"/>
      <c r="CF45" s="51"/>
      <c r="CG45" s="51"/>
      <c r="CK45" s="32"/>
      <c r="CL45" s="84"/>
      <c r="CM45" s="679"/>
      <c r="CN45" s="680"/>
      <c r="CO45" s="89"/>
      <c r="CP45" s="116"/>
      <c r="CQ45" s="205"/>
      <c r="CR45" s="205"/>
      <c r="CS45" s="84"/>
      <c r="CT45" s="32"/>
      <c r="CU45" s="84"/>
      <c r="CV45" s="679"/>
      <c r="CW45" s="680"/>
      <c r="CX45" s="89"/>
      <c r="CY45" s="116"/>
      <c r="CZ45" s="205"/>
      <c r="DA45" s="205"/>
      <c r="DB45" s="84"/>
      <c r="DC45" s="205"/>
      <c r="DD45" s="205"/>
      <c r="DE45" s="84"/>
      <c r="DF45" s="53"/>
      <c r="DG45" s="53"/>
      <c r="DH45" s="89"/>
      <c r="DI45" s="54"/>
      <c r="DJ45" s="54"/>
      <c r="DP45" s="116"/>
      <c r="DQ45" s="51"/>
      <c r="DR45"/>
      <c r="DT45"/>
      <c r="DV45" s="32"/>
      <c r="DW45" s="84"/>
      <c r="DX45" s="205"/>
      <c r="DY45" s="205"/>
      <c r="DZ45" s="89"/>
      <c r="EA45" s="51"/>
      <c r="EB45" s="205"/>
      <c r="EC45" s="205"/>
      <c r="ED45" s="84"/>
      <c r="EE45" s="53"/>
      <c r="EF45" s="53"/>
      <c r="EG45" s="51"/>
      <c r="EH45" s="53"/>
      <c r="EI45" s="53"/>
      <c r="EJ45" s="84"/>
      <c r="EK45" s="53"/>
      <c r="EL45" s="53"/>
      <c r="EM45" s="84"/>
      <c r="EN45" s="205"/>
      <c r="EO45" s="205"/>
      <c r="EP45" s="205"/>
      <c r="EQ45" s="205"/>
      <c r="ER45" s="89"/>
      <c r="ES45" s="51"/>
      <c r="ET45" s="205"/>
      <c r="EU45" s="205"/>
      <c r="EW45" s="53"/>
      <c r="EX45" s="53"/>
      <c r="EY45" s="84"/>
      <c r="EZ45" s="53"/>
      <c r="FA45" s="53"/>
      <c r="FB45" s="84"/>
      <c r="FC45" s="53"/>
      <c r="FM45" s="32"/>
      <c r="FN45" s="84"/>
      <c r="FO45" s="205"/>
      <c r="FP45" s="205"/>
      <c r="FQ45" s="89"/>
      <c r="FR45" s="51"/>
      <c r="FS45" s="53"/>
      <c r="FT45" s="53"/>
      <c r="FU45" s="84"/>
      <c r="FV45" s="53"/>
      <c r="FW45" s="53"/>
      <c r="FX45" s="84"/>
      <c r="FY45" s="53"/>
      <c r="FZ45" s="53"/>
      <c r="GA45" s="84"/>
      <c r="GB45" s="53"/>
      <c r="GC45" s="53"/>
      <c r="GD45" s="84"/>
      <c r="GE45" s="205"/>
      <c r="GF45" s="205"/>
      <c r="GG45" s="84"/>
      <c r="GH45" s="53"/>
      <c r="GI45" s="53"/>
      <c r="GJ45" s="89"/>
      <c r="GK45" s="54"/>
      <c r="GL45" s="54"/>
      <c r="GR45" s="116"/>
      <c r="GS45" s="51"/>
      <c r="HD45" s="32"/>
      <c r="HE45" s="84"/>
      <c r="HF45" s="205"/>
      <c r="HG45" s="205"/>
      <c r="HH45" s="89"/>
      <c r="HI45" s="51"/>
      <c r="HJ45" s="53"/>
      <c r="HK45" s="53"/>
      <c r="HL45" s="84"/>
      <c r="HM45" s="53"/>
      <c r="HN45" s="53"/>
      <c r="HO45" s="84"/>
      <c r="HP45" s="53"/>
      <c r="HQ45" s="53"/>
      <c r="HR45" s="84"/>
      <c r="HS45" s="53"/>
      <c r="HT45" s="53"/>
      <c r="HU45" s="84"/>
      <c r="HV45" s="205"/>
      <c r="HW45" s="205"/>
      <c r="HX45" s="84"/>
      <c r="HY45" s="53"/>
      <c r="HZ45" s="53"/>
      <c r="IA45" s="89"/>
      <c r="IB45" s="54"/>
      <c r="IC45" s="54"/>
      <c r="II45" s="116"/>
      <c r="IJ45" s="51"/>
    </row>
    <row r="46" spans="1:247" ht="13.5" thickBot="1" x14ac:dyDescent="0.25">
      <c r="A46" s="22">
        <v>15</v>
      </c>
      <c r="B46" s="98">
        <v>0.77</v>
      </c>
      <c r="C46" s="691">
        <f>IF($C$1="Vazio",0,RELAÇÃO_DE_CARGA!C47:D47)</f>
        <v>0</v>
      </c>
      <c r="D46" s="692"/>
      <c r="E46" s="98">
        <v>0.77</v>
      </c>
      <c r="F46" s="713">
        <f>IF($F$1="Vazio",0,RELAÇÃO_DE_CARGA!F47:G47)</f>
        <v>0</v>
      </c>
      <c r="G46" s="714"/>
      <c r="H46" s="98">
        <v>0.77</v>
      </c>
      <c r="I46" s="713">
        <f>IF(OR($I$1="Vazio",RELAÇÃO_DE_CARGA!$I$1&lt;3),0,RELAÇÃO_DE_CARGA!I47:J47)</f>
        <v>0</v>
      </c>
      <c r="J46" s="714"/>
      <c r="K46" s="98">
        <v>0.77</v>
      </c>
      <c r="L46" s="713">
        <f>IF(OR($L$1="Vazio",RELAÇÃO_DE_CARGA!$I$1&lt;4),0,RELAÇÃO_DE_CARGA!L47:M47)</f>
        <v>0</v>
      </c>
      <c r="M46" s="714"/>
      <c r="N46" s="98">
        <v>0.77</v>
      </c>
      <c r="O46" s="691">
        <f>IF(OR($O$1="Vazio",RELAÇÃO_DE_CARGA!$I$1&lt;5),0,RELAÇÃO_DE_CARGA!O47)</f>
        <v>0</v>
      </c>
      <c r="P46" s="692"/>
      <c r="Q46" s="98">
        <v>0.77</v>
      </c>
      <c r="R46" s="713">
        <f>IF(OR($R$1="Vazio",RELAÇÃO_DE_CARGA!$I$1&lt;6),0,RELAÇÃO_DE_CARGA!R47)</f>
        <v>0</v>
      </c>
      <c r="S46" s="714"/>
      <c r="T46" s="98">
        <v>0.77</v>
      </c>
      <c r="U46" s="713">
        <f>IF(OR($U$1="Vazio",RELAÇÃO_DE_CARGA!$I$1&lt;7),0,RELAÇÃO_DE_CARGA!U47)</f>
        <v>0</v>
      </c>
      <c r="V46" s="714"/>
      <c r="W46" s="98">
        <v>0.77</v>
      </c>
      <c r="X46" s="713">
        <f>IF(OR($X$1="Vazio",RELAÇÃO_DE_CARGA!$I$1&lt;8),0,RELAÇÃO_DE_CARGA!X47)</f>
        <v>0</v>
      </c>
      <c r="Y46" s="714"/>
      <c r="Z46" s="98">
        <v>0.77</v>
      </c>
      <c r="AA46" s="713">
        <f>IF(OR($AA$1="Vazio",RELAÇÃO_DE_CARGA!$I$1&lt;9),0,RELAÇÃO_DE_CARGA!AA47)</f>
        <v>0</v>
      </c>
      <c r="AB46" s="714"/>
      <c r="AC46" s="98">
        <v>0.77</v>
      </c>
      <c r="AD46" s="713">
        <f>IF(OR($AD$1="Vazio",RELAÇÃO_DE_CARGA!$I$1&lt;10),0,RELAÇÃO_DE_CARGA!AD47)</f>
        <v>0</v>
      </c>
      <c r="AE46" s="714"/>
      <c r="AF46" s="98">
        <v>0.77</v>
      </c>
      <c r="AG46" s="713">
        <f>IF(OR($AG$1="Vazio",RELAÇÃO_DE_CARGA!$I$1&lt;11),0,RELAÇÃO_DE_CARGA!AG47)</f>
        <v>0</v>
      </c>
      <c r="AH46" s="714"/>
      <c r="AI46" s="98">
        <v>0.77</v>
      </c>
      <c r="AJ46" s="713">
        <f>IF(OR($AJ$1="Vazio",RELAÇÃO_DE_CARGA!$I$1&lt;12),0,RELAÇÃO_DE_CARGA!AJ47)</f>
        <v>0</v>
      </c>
      <c r="AK46" s="714"/>
      <c r="AL46" s="35"/>
      <c r="AM46" s="35"/>
      <c r="AN46" s="35"/>
      <c r="AO46" s="35"/>
      <c r="AP46" s="35"/>
      <c r="AQ46" s="276">
        <f t="shared" si="48"/>
        <v>0</v>
      </c>
      <c r="AR46" s="276">
        <f>IF(F46&gt;0,$A46,0)</f>
        <v>0</v>
      </c>
      <c r="AS46" s="276">
        <f t="shared" si="50"/>
        <v>0</v>
      </c>
      <c r="AT46" s="276">
        <f t="shared" si="51"/>
        <v>0</v>
      </c>
      <c r="AU46" s="276">
        <f t="shared" si="52"/>
        <v>0</v>
      </c>
      <c r="AV46" s="276">
        <f t="shared" si="53"/>
        <v>0</v>
      </c>
      <c r="AW46" s="276">
        <f t="shared" si="54"/>
        <v>0</v>
      </c>
      <c r="AX46" s="276">
        <f t="shared" si="55"/>
        <v>0</v>
      </c>
      <c r="AY46" s="276">
        <f t="shared" si="56"/>
        <v>0</v>
      </c>
      <c r="AZ46" s="276">
        <f t="shared" si="57"/>
        <v>0</v>
      </c>
      <c r="BA46" s="276">
        <f t="shared" si="58"/>
        <v>0</v>
      </c>
      <c r="BB46" s="276">
        <f t="shared" si="59"/>
        <v>0</v>
      </c>
      <c r="BC46" s="172">
        <f t="shared" si="60"/>
        <v>0</v>
      </c>
      <c r="BD46" s="128">
        <f>IF(AND(BC46&gt;0,BD47&lt;1,BD48&lt;1,BD49&lt;1),1,0)</f>
        <v>0</v>
      </c>
      <c r="BE46" s="172">
        <f t="shared" si="47"/>
        <v>0</v>
      </c>
      <c r="BF46" s="128">
        <f>IF(AND(BE46&gt;0,BF47&lt;1,BF48&lt;1,BF49&lt;1),1,0)</f>
        <v>0</v>
      </c>
      <c r="BG46" s="128"/>
      <c r="BH46" s="128"/>
      <c r="BI46" s="128"/>
      <c r="BJ46" s="128"/>
      <c r="BK46" s="51">
        <v>3.72</v>
      </c>
      <c r="BL46" s="98">
        <v>0.13</v>
      </c>
      <c r="BM46">
        <v>5.0270270270270272</v>
      </c>
      <c r="BQ46" s="116">
        <v>3</v>
      </c>
      <c r="BR46" s="51">
        <f t="shared" si="72"/>
        <v>0</v>
      </c>
      <c r="BS46" s="51">
        <f t="shared" si="61"/>
        <v>0</v>
      </c>
      <c r="BT46" s="51">
        <f t="shared" si="62"/>
        <v>0</v>
      </c>
      <c r="BU46" s="51">
        <f t="shared" si="63"/>
        <v>0</v>
      </c>
      <c r="BV46" s="51">
        <f t="shared" si="64"/>
        <v>0</v>
      </c>
      <c r="BW46" s="51">
        <f t="shared" si="65"/>
        <v>0</v>
      </c>
      <c r="BX46" s="51">
        <f t="shared" si="66"/>
        <v>0</v>
      </c>
      <c r="BY46" s="51">
        <f t="shared" si="67"/>
        <v>0</v>
      </c>
      <c r="BZ46" s="51">
        <f t="shared" si="68"/>
        <v>0</v>
      </c>
      <c r="CA46" s="51">
        <f t="shared" si="69"/>
        <v>0</v>
      </c>
      <c r="CB46" s="51">
        <f t="shared" si="70"/>
        <v>0</v>
      </c>
      <c r="CC46" s="51">
        <f t="shared" si="71"/>
        <v>0</v>
      </c>
      <c r="CD46" s="176"/>
      <c r="CE46" s="51"/>
      <c r="CF46" s="51"/>
      <c r="CG46" s="51"/>
      <c r="CK46" s="24" t="s">
        <v>60</v>
      </c>
      <c r="CL46" s="85"/>
      <c r="CM46" s="679"/>
      <c r="CN46" s="680"/>
      <c r="CO46" s="204"/>
      <c r="CP46" s="116"/>
      <c r="CQ46" s="204"/>
      <c r="CR46" s="204"/>
      <c r="CS46" s="194"/>
      <c r="CT46" s="24" t="s">
        <v>60</v>
      </c>
      <c r="CU46" s="85"/>
      <c r="CV46" s="679"/>
      <c r="CW46" s="680"/>
      <c r="CX46" s="204"/>
      <c r="CY46" s="116"/>
      <c r="CZ46" s="204"/>
      <c r="DA46" s="204"/>
      <c r="DB46" s="194"/>
      <c r="DC46" s="204"/>
      <c r="DD46" s="204"/>
      <c r="DE46" s="204"/>
      <c r="DF46" s="194"/>
      <c r="DG46" s="194"/>
      <c r="DH46" s="194"/>
      <c r="DI46" s="194"/>
      <c r="DJ46" s="194"/>
      <c r="DP46" s="118"/>
      <c r="DQ46" s="51"/>
      <c r="DR46"/>
      <c r="DT46"/>
      <c r="DV46" s="24" t="s">
        <v>60</v>
      </c>
      <c r="DW46" s="85"/>
      <c r="DX46" s="206"/>
      <c r="DY46" s="204"/>
      <c r="DZ46" s="204"/>
      <c r="EA46" s="51"/>
      <c r="EB46" s="204"/>
      <c r="EC46" s="204"/>
      <c r="ED46" s="194"/>
      <c r="EE46" s="194"/>
      <c r="EF46" s="194"/>
      <c r="EG46" s="51"/>
      <c r="EH46" s="194"/>
      <c r="EI46" s="194"/>
      <c r="EJ46" s="194"/>
      <c r="EK46" s="194"/>
      <c r="EL46" s="194"/>
      <c r="EM46" s="194"/>
      <c r="EN46" s="204"/>
      <c r="EO46" s="204"/>
      <c r="EP46" s="206"/>
      <c r="EQ46" s="204"/>
      <c r="ER46" s="204"/>
      <c r="ES46" s="51"/>
      <c r="ET46" s="204"/>
      <c r="EU46" s="204"/>
      <c r="EW46" s="194"/>
      <c r="EX46" s="194"/>
      <c r="EY46" s="194"/>
      <c r="EZ46" s="194"/>
      <c r="FA46" s="194"/>
      <c r="FB46" s="194"/>
      <c r="FC46" s="194"/>
      <c r="FM46" s="24" t="s">
        <v>60</v>
      </c>
      <c r="FN46" s="85"/>
      <c r="FO46" s="206"/>
      <c r="FP46" s="204"/>
      <c r="FQ46" s="204"/>
      <c r="FR46" s="51"/>
      <c r="FS46" s="194"/>
      <c r="FT46" s="194"/>
      <c r="FU46" s="194"/>
      <c r="FV46" s="194"/>
      <c r="FW46" s="194"/>
      <c r="FX46" s="194"/>
      <c r="FY46" s="194"/>
      <c r="FZ46" s="194"/>
      <c r="GA46" s="194"/>
      <c r="GB46" s="194"/>
      <c r="GC46" s="194"/>
      <c r="GD46" s="194"/>
      <c r="GE46" s="204"/>
      <c r="GF46" s="204"/>
      <c r="GG46" s="204"/>
      <c r="GH46" s="194"/>
      <c r="GI46" s="194"/>
      <c r="GJ46" s="194"/>
      <c r="GK46" s="194"/>
      <c r="GL46" s="194"/>
      <c r="GR46" s="118"/>
      <c r="GS46" s="51"/>
      <c r="HD46" s="24" t="s">
        <v>60</v>
      </c>
      <c r="HE46" s="85"/>
      <c r="HF46" s="206"/>
      <c r="HG46" s="204"/>
      <c r="HH46" s="204"/>
      <c r="HI46" s="51"/>
      <c r="HJ46" s="194"/>
      <c r="HK46" s="194"/>
      <c r="HL46" s="194"/>
      <c r="HM46" s="194"/>
      <c r="HN46" s="194"/>
      <c r="HO46" s="194"/>
      <c r="HP46" s="194"/>
      <c r="HQ46" s="194"/>
      <c r="HR46" s="194"/>
      <c r="HS46" s="194"/>
      <c r="HT46" s="194"/>
      <c r="HU46" s="194"/>
      <c r="HV46" s="204"/>
      <c r="HW46" s="204"/>
      <c r="HX46" s="204"/>
      <c r="HY46" s="194"/>
      <c r="HZ46" s="194"/>
      <c r="IA46" s="194"/>
      <c r="IB46" s="194"/>
      <c r="IC46" s="194"/>
      <c r="II46" s="118"/>
      <c r="IJ46" s="51"/>
    </row>
    <row r="47" spans="1:247" ht="13.5" thickBot="1" x14ac:dyDescent="0.25">
      <c r="A47" s="22">
        <v>20</v>
      </c>
      <c r="B47" s="98">
        <v>0.77</v>
      </c>
      <c r="C47" s="691">
        <f>IF($C$1="Vazio",0,RELAÇÃO_DE_CARGA!C48:D48)</f>
        <v>0</v>
      </c>
      <c r="D47" s="692"/>
      <c r="E47" s="98">
        <v>0.77</v>
      </c>
      <c r="F47" s="713">
        <f>IF($F$1="Vazio",0,RELAÇÃO_DE_CARGA!F48:G48)</f>
        <v>0</v>
      </c>
      <c r="G47" s="714"/>
      <c r="H47" s="98">
        <v>0.77</v>
      </c>
      <c r="I47" s="713">
        <f>IF(OR($I$1="Vazio",RELAÇÃO_DE_CARGA!$I$1&lt;3),0,RELAÇÃO_DE_CARGA!I48:J48)</f>
        <v>0</v>
      </c>
      <c r="J47" s="714"/>
      <c r="K47" s="98">
        <v>0.77</v>
      </c>
      <c r="L47" s="713">
        <f>IF(OR($L$1="Vazio",RELAÇÃO_DE_CARGA!$I$1&lt;4),0,RELAÇÃO_DE_CARGA!L48:M48)</f>
        <v>0</v>
      </c>
      <c r="M47" s="714"/>
      <c r="N47" s="98">
        <v>0.77</v>
      </c>
      <c r="O47" s="691">
        <f>IF(OR($O$1="Vazio",RELAÇÃO_DE_CARGA!$I$1&lt;5),0,RELAÇÃO_DE_CARGA!O48)</f>
        <v>0</v>
      </c>
      <c r="P47" s="692"/>
      <c r="Q47" s="98">
        <v>0.77</v>
      </c>
      <c r="R47" s="713">
        <f>IF(OR($R$1="Vazio",RELAÇÃO_DE_CARGA!$I$1&lt;6),0,RELAÇÃO_DE_CARGA!R48)</f>
        <v>0</v>
      </c>
      <c r="S47" s="714"/>
      <c r="T47" s="98">
        <v>0.77</v>
      </c>
      <c r="U47" s="713">
        <f>IF(OR($U$1="Vazio",RELAÇÃO_DE_CARGA!$I$1&lt;7),0,RELAÇÃO_DE_CARGA!U48)</f>
        <v>0</v>
      </c>
      <c r="V47" s="714"/>
      <c r="W47" s="98">
        <v>0.77</v>
      </c>
      <c r="X47" s="713">
        <f>IF(OR($X$1="Vazio",RELAÇÃO_DE_CARGA!$I$1&lt;8),0,RELAÇÃO_DE_CARGA!X48)</f>
        <v>0</v>
      </c>
      <c r="Y47" s="714"/>
      <c r="Z47" s="98">
        <v>0.77</v>
      </c>
      <c r="AA47" s="713">
        <f>IF(OR($AA$1="Vazio",RELAÇÃO_DE_CARGA!$I$1&lt;9),0,RELAÇÃO_DE_CARGA!AA48)</f>
        <v>0</v>
      </c>
      <c r="AB47" s="714"/>
      <c r="AC47" s="98">
        <v>0.77</v>
      </c>
      <c r="AD47" s="713">
        <f>IF(OR($AD$1="Vazio",RELAÇÃO_DE_CARGA!$I$1&lt;10),0,RELAÇÃO_DE_CARGA!AD48)</f>
        <v>0</v>
      </c>
      <c r="AE47" s="714"/>
      <c r="AF47" s="98">
        <v>0.77</v>
      </c>
      <c r="AG47" s="713">
        <f>IF(OR($AG$1="Vazio",RELAÇÃO_DE_CARGA!$I$1&lt;11),0,RELAÇÃO_DE_CARGA!AG48)</f>
        <v>0</v>
      </c>
      <c r="AH47" s="714"/>
      <c r="AI47" s="98">
        <v>0.77</v>
      </c>
      <c r="AJ47" s="713">
        <f>IF(OR($AJ$1="Vazio",RELAÇÃO_DE_CARGA!$I$1&lt;12),0,RELAÇÃO_DE_CARGA!AJ48)</f>
        <v>0</v>
      </c>
      <c r="AK47" s="714"/>
      <c r="AL47" s="35"/>
      <c r="AM47" s="35"/>
      <c r="AN47" s="35"/>
      <c r="AO47" s="35"/>
      <c r="AP47" s="35"/>
      <c r="AQ47" s="276">
        <f t="shared" si="48"/>
        <v>0</v>
      </c>
      <c r="AR47" s="276">
        <f t="shared" si="49"/>
        <v>0</v>
      </c>
      <c r="AS47" s="276">
        <f t="shared" si="50"/>
        <v>0</v>
      </c>
      <c r="AT47" s="276">
        <f t="shared" si="51"/>
        <v>0</v>
      </c>
      <c r="AU47" s="276">
        <f t="shared" si="52"/>
        <v>0</v>
      </c>
      <c r="AV47" s="276">
        <f t="shared" si="53"/>
        <v>0</v>
      </c>
      <c r="AW47" s="276">
        <f t="shared" si="54"/>
        <v>0</v>
      </c>
      <c r="AX47" s="276">
        <f t="shared" si="55"/>
        <v>0</v>
      </c>
      <c r="AY47" s="276">
        <f t="shared" si="56"/>
        <v>0</v>
      </c>
      <c r="AZ47" s="276">
        <f t="shared" si="57"/>
        <v>0</v>
      </c>
      <c r="BA47" s="276">
        <f t="shared" si="58"/>
        <v>0</v>
      </c>
      <c r="BB47" s="276">
        <f t="shared" si="59"/>
        <v>0</v>
      </c>
      <c r="BC47" s="172">
        <f t="shared" si="60"/>
        <v>0</v>
      </c>
      <c r="BD47" s="128">
        <f>IF(AND(BC47&gt;0,BD48&lt;1,BD49&lt;1),1,0)</f>
        <v>0</v>
      </c>
      <c r="BE47" s="172">
        <f t="shared" si="47"/>
        <v>0</v>
      </c>
      <c r="BF47" s="128">
        <f>IF(AND(BE47&gt;0,BF48&lt;1,BF49&lt;1),1,0)</f>
        <v>0</v>
      </c>
      <c r="BG47" s="128"/>
      <c r="BH47" s="128"/>
      <c r="BI47" s="128"/>
      <c r="BJ47" s="128"/>
      <c r="BK47" s="51">
        <v>4.51</v>
      </c>
      <c r="BL47" s="98">
        <v>0.75</v>
      </c>
      <c r="BM47">
        <v>6.0133333333333328</v>
      </c>
      <c r="BQ47" s="118">
        <v>4</v>
      </c>
      <c r="BR47" s="51">
        <f t="shared" si="72"/>
        <v>0</v>
      </c>
      <c r="BS47" s="51">
        <f t="shared" si="61"/>
        <v>0</v>
      </c>
      <c r="BT47" s="51">
        <f t="shared" si="62"/>
        <v>0</v>
      </c>
      <c r="BU47" s="51">
        <f t="shared" si="63"/>
        <v>0</v>
      </c>
      <c r="BV47" s="51">
        <f t="shared" si="64"/>
        <v>0</v>
      </c>
      <c r="BW47" s="51">
        <f t="shared" si="65"/>
        <v>0</v>
      </c>
      <c r="BX47" s="51">
        <f t="shared" si="66"/>
        <v>0</v>
      </c>
      <c r="BY47" s="51">
        <f t="shared" si="67"/>
        <v>0</v>
      </c>
      <c r="BZ47" s="51">
        <f t="shared" si="68"/>
        <v>0</v>
      </c>
      <c r="CA47" s="51">
        <f t="shared" si="69"/>
        <v>0</v>
      </c>
      <c r="CB47" s="51">
        <f t="shared" si="70"/>
        <v>0</v>
      </c>
      <c r="CC47" s="51">
        <f t="shared" si="71"/>
        <v>0</v>
      </c>
      <c r="CD47" s="177"/>
      <c r="CE47" s="51"/>
      <c r="CF47" s="51"/>
      <c r="CG47" s="51"/>
      <c r="CK47" s="22">
        <v>0.25</v>
      </c>
      <c r="CL47" s="83">
        <f>$B$52</f>
        <v>0.63</v>
      </c>
      <c r="CM47" s="679">
        <f>SUM($C$52,$F$52)</f>
        <v>0</v>
      </c>
      <c r="CN47" s="680"/>
      <c r="CO47" s="51">
        <f>IF($CP$60=CK47,((CM47-1)*$BM$58*0.5)+$BM$58,CM47*0.5*$BM$58)</f>
        <v>0</v>
      </c>
      <c r="CP47" s="116">
        <f>IF(CM47&gt;0,1,0)*$A$52</f>
        <v>0</v>
      </c>
      <c r="CQ47" s="679">
        <f>CM47*$BK$58</f>
        <v>0</v>
      </c>
      <c r="CR47" s="680"/>
      <c r="CS47" s="83"/>
      <c r="CT47" s="22">
        <v>0.25</v>
      </c>
      <c r="CU47" s="83">
        <f>$B$52</f>
        <v>0.63</v>
      </c>
      <c r="CV47" s="679">
        <f>SUM($C$52,$F$52)</f>
        <v>0</v>
      </c>
      <c r="CW47" s="680"/>
      <c r="CX47" s="51">
        <f>IF($CY$60=CT47,((CV47-1)*$BM$58*0.5)+$BM$58,CV47*0.5*$BM$58)</f>
        <v>0</v>
      </c>
      <c r="CY47" s="116">
        <f>IF(CV47&gt;0,1,0)*$A$52</f>
        <v>0</v>
      </c>
      <c r="CZ47" s="679">
        <f>CV47*$BK$58</f>
        <v>0</v>
      </c>
      <c r="DA47" s="680"/>
      <c r="DB47" s="83"/>
      <c r="DC47" s="689"/>
      <c r="DD47" s="690"/>
      <c r="DE47" s="83"/>
      <c r="DF47" s="691"/>
      <c r="DG47" s="692"/>
      <c r="DH47" s="83"/>
      <c r="DI47" s="691"/>
      <c r="DJ47" s="692"/>
      <c r="DP47" s="119"/>
      <c r="DQ47" s="51"/>
      <c r="DR47"/>
      <c r="DT47"/>
      <c r="DV47" s="22">
        <v>0.25</v>
      </c>
      <c r="DW47" s="83">
        <f>$B$52</f>
        <v>0.63</v>
      </c>
      <c r="DX47" s="679">
        <f>SUM(IF($C$1="Residência",$C$52,0),IF($F$1="Residência",$F$52,0),IF($I$1="Residência",$I$52,0),IF($L$1="Residência",$L$52,0))</f>
        <v>0</v>
      </c>
      <c r="DY47" s="680"/>
      <c r="DZ47" s="51">
        <f>IF($EA$60=$DV$47,IF(DX47&gt;0,((DX47-1)*$BM$58*0.5)+$BM$58,DX47*0.5*$BM$58),DX47*0.5*$BM$58)</f>
        <v>0</v>
      </c>
      <c r="EA47" s="116">
        <f>IF(DX47&gt;0,1,0)*$A$52</f>
        <v>0</v>
      </c>
      <c r="EB47" s="679">
        <f>DX47*$BK$58</f>
        <v>0</v>
      </c>
      <c r="EC47" s="680"/>
      <c r="ED47" s="83"/>
      <c r="EE47" s="691"/>
      <c r="EF47" s="692"/>
      <c r="EG47" s="51"/>
      <c r="EH47" s="679">
        <f>SUM(IF($C$1="Residência",0,$C$52),IF($F$1="Residência",0,$F$52),IF($I$1="Residência",0,$I$52),IF($L$1="Residência",0,$L$52))</f>
        <v>0</v>
      </c>
      <c r="EI47" s="680"/>
      <c r="EJ47" s="51">
        <f>IF($EA$60=$DV$47,IF(AND($EH$47&gt;0,$DX$47&lt;1),(($EH$47-1)*$BM$58*0.5)+$BM$58,$EH$47*0.5*$BM$58),$EH$47*0.5*$BM$58)</f>
        <v>0</v>
      </c>
      <c r="EK47" s="116">
        <f>IF(EH47&gt;0,1,0)*$A$52</f>
        <v>0</v>
      </c>
      <c r="EL47" s="679">
        <f>EH47*$BK$58</f>
        <v>0</v>
      </c>
      <c r="EM47" s="680"/>
      <c r="EN47" s="689"/>
      <c r="EO47" s="690"/>
      <c r="EP47" s="679">
        <f>SUM(IF($C$1="Residência",$C$52,0),IF($F$1="Residência",$F$52,0),IF($I$1="Residência",$I$52,0),IF($L$1="Residência",$L$52,0))</f>
        <v>0</v>
      </c>
      <c r="EQ47" s="680"/>
      <c r="ER47" s="51">
        <f>IF($ES$60=$DV$47,IF(EP47&gt;0,((EP47-1)*$BM$58*0.5)+$BM$58,EP47*0.5*$BM$58),EP47*0.5*$BM$58)</f>
        <v>0</v>
      </c>
      <c r="ES47" s="116">
        <f>IF(EP47&gt;0,1,0)*$A$52</f>
        <v>0</v>
      </c>
      <c r="ET47" s="679">
        <f>EP47*$BK$58</f>
        <v>0</v>
      </c>
      <c r="EU47" s="680"/>
      <c r="EW47" s="679">
        <f>SUM(IF($C$1="Residência",0,$C$52),IF($F$1="Residência",0,$F$52),IF($I$1="Residência",0,$I$52),IF($L$1="Residência",0,$L$52))</f>
        <v>0</v>
      </c>
      <c r="EX47" s="680"/>
      <c r="EY47" s="51">
        <f>IF($ES$60=$DV$47,IF(AND($EW$47&gt;0,$DX$47&lt;1),(($EW$47-1)*$BM$58*0.5)+$BM$58,$EW$47*0.5*$BM$58),$EW$47*0.5*$BM$58)</f>
        <v>0</v>
      </c>
      <c r="EZ47" s="116">
        <f>IF(EW47&gt;0,1,0)*$A$52</f>
        <v>0</v>
      </c>
      <c r="FA47" s="679">
        <f>EW47*$BK$58</f>
        <v>0</v>
      </c>
      <c r="FB47" s="680"/>
      <c r="FC47" s="386"/>
      <c r="FM47" s="22">
        <v>0.25</v>
      </c>
      <c r="FN47" s="83">
        <f>$B$52</f>
        <v>0.63</v>
      </c>
      <c r="FO47" s="679">
        <f>SUM($C$52,$F$52)</f>
        <v>0</v>
      </c>
      <c r="FP47" s="680"/>
      <c r="FQ47" s="51">
        <f>IF($FR$60=FM47,((FO47-1)*$BM$58*0.5)+$BM$58,FO47*0.5*$BM$58)</f>
        <v>0</v>
      </c>
      <c r="FR47" s="116">
        <f>IF(FO47&gt;0,1,0)*$A$52</f>
        <v>0</v>
      </c>
      <c r="FS47" s="679">
        <f>FO47*$BK$58</f>
        <v>0</v>
      </c>
      <c r="FT47" s="680"/>
      <c r="FU47" s="83"/>
      <c r="FV47" s="691"/>
      <c r="FW47" s="692"/>
      <c r="FX47" s="83"/>
      <c r="FY47" s="691"/>
      <c r="FZ47" s="692"/>
      <c r="GA47" s="83"/>
      <c r="GB47" s="691"/>
      <c r="GC47" s="692"/>
      <c r="GD47" s="83"/>
      <c r="GE47" s="689"/>
      <c r="GF47" s="690"/>
      <c r="GG47" s="83"/>
      <c r="GH47" s="691"/>
      <c r="GI47" s="692"/>
      <c r="GJ47" s="83"/>
      <c r="GK47" s="691"/>
      <c r="GL47" s="692"/>
      <c r="GR47" s="119"/>
      <c r="GS47" s="51"/>
      <c r="HD47" s="22">
        <v>0.25</v>
      </c>
      <c r="HE47" s="83">
        <f>$B$52</f>
        <v>0.63</v>
      </c>
      <c r="HF47" s="679">
        <f>SUM($I$52,$L$52)</f>
        <v>0</v>
      </c>
      <c r="HG47" s="680"/>
      <c r="HH47" s="51">
        <f>IF($HI$60=HD47,((HF47-1)*$BM$58*0.5)+$BM$58,HF47*0.5*$BM$58)</f>
        <v>0</v>
      </c>
      <c r="HI47" s="116">
        <f>IF(HF47&gt;0,1,0)*$A$52</f>
        <v>0</v>
      </c>
      <c r="HJ47" s="679">
        <f>HF47*$BK$58</f>
        <v>0</v>
      </c>
      <c r="HK47" s="680"/>
      <c r="HL47" s="83"/>
      <c r="HM47" s="691"/>
      <c r="HN47" s="692"/>
      <c r="HO47" s="83"/>
      <c r="HP47" s="691"/>
      <c r="HQ47" s="692"/>
      <c r="HR47" s="83"/>
      <c r="HS47" s="691"/>
      <c r="HT47" s="692"/>
      <c r="HU47" s="83"/>
      <c r="HV47" s="689"/>
      <c r="HW47" s="690"/>
      <c r="HX47" s="83"/>
      <c r="HY47" s="691"/>
      <c r="HZ47" s="692"/>
      <c r="IA47" s="83"/>
      <c r="IB47" s="691"/>
      <c r="IC47" s="692"/>
      <c r="II47" s="119"/>
      <c r="IJ47" s="51"/>
    </row>
    <row r="48" spans="1:247" ht="13.5" thickBot="1" x14ac:dyDescent="0.25">
      <c r="A48" s="22">
        <v>25</v>
      </c>
      <c r="B48" s="98">
        <v>0.81</v>
      </c>
      <c r="C48" s="691">
        <f>IF($C$1="Vazio",0,RELAÇÃO_DE_CARGA!C49:D49)</f>
        <v>0</v>
      </c>
      <c r="D48" s="692"/>
      <c r="E48" s="98">
        <v>0.81</v>
      </c>
      <c r="F48" s="713">
        <f>IF($F$1="Vazio",0,RELAÇÃO_DE_CARGA!F49:G49)</f>
        <v>0</v>
      </c>
      <c r="G48" s="714"/>
      <c r="H48" s="98">
        <v>0.81</v>
      </c>
      <c r="I48" s="713">
        <f>IF(OR($I$1="Vazio",RELAÇÃO_DE_CARGA!$I$1&lt;3),0,RELAÇÃO_DE_CARGA!I49:J49)</f>
        <v>0</v>
      </c>
      <c r="J48" s="714"/>
      <c r="K48" s="98">
        <v>0.81</v>
      </c>
      <c r="L48" s="713">
        <f>IF(OR($L$1="Vazio",RELAÇÃO_DE_CARGA!$I$1&lt;4),0,RELAÇÃO_DE_CARGA!L49:M49)</f>
        <v>0</v>
      </c>
      <c r="M48" s="714"/>
      <c r="N48" s="98">
        <v>0.81</v>
      </c>
      <c r="O48" s="691">
        <f>IF(OR($O$1="Vazio",RELAÇÃO_DE_CARGA!$I$1&lt;5),0,RELAÇÃO_DE_CARGA!O49)</f>
        <v>0</v>
      </c>
      <c r="P48" s="692"/>
      <c r="Q48" s="98">
        <v>0.81</v>
      </c>
      <c r="R48" s="713">
        <f>IF(OR($R$1="Vazio",RELAÇÃO_DE_CARGA!$I$1&lt;6),0,RELAÇÃO_DE_CARGA!R49)</f>
        <v>0</v>
      </c>
      <c r="S48" s="714"/>
      <c r="T48" s="98">
        <v>0.81</v>
      </c>
      <c r="U48" s="713">
        <f>IF(OR($U$1="Vazio",RELAÇÃO_DE_CARGA!$I$1&lt;7),0,RELAÇÃO_DE_CARGA!U49)</f>
        <v>0</v>
      </c>
      <c r="V48" s="714"/>
      <c r="W48" s="98">
        <v>0.81</v>
      </c>
      <c r="X48" s="713">
        <f>IF(OR($X$1="Vazio",RELAÇÃO_DE_CARGA!$I$1&lt;8),0,RELAÇÃO_DE_CARGA!X49)</f>
        <v>0</v>
      </c>
      <c r="Y48" s="714"/>
      <c r="Z48" s="98">
        <v>0.81</v>
      </c>
      <c r="AA48" s="713">
        <f>IF(OR($AA$1="Vazio",RELAÇÃO_DE_CARGA!$I$1&lt;9),0,RELAÇÃO_DE_CARGA!AA49)</f>
        <v>0</v>
      </c>
      <c r="AB48" s="714"/>
      <c r="AC48" s="98">
        <v>0.81</v>
      </c>
      <c r="AD48" s="713">
        <f>IF(OR($AD$1="Vazio",RELAÇÃO_DE_CARGA!$I$1&lt;10),0,RELAÇÃO_DE_CARGA!AD49)</f>
        <v>0</v>
      </c>
      <c r="AE48" s="714"/>
      <c r="AF48" s="98">
        <v>0.81</v>
      </c>
      <c r="AG48" s="713">
        <f>IF(OR($AG$1="Vazio",RELAÇÃO_DE_CARGA!$I$1&lt;11),0,RELAÇÃO_DE_CARGA!AG49)</f>
        <v>0</v>
      </c>
      <c r="AH48" s="714"/>
      <c r="AI48" s="98">
        <v>0.81</v>
      </c>
      <c r="AJ48" s="713">
        <f>IF(OR($AJ$1="Vazio",RELAÇÃO_DE_CARGA!$I$1&lt;12),0,RELAÇÃO_DE_CARGA!AJ49)</f>
        <v>0</v>
      </c>
      <c r="AK48" s="714"/>
      <c r="AL48" s="35"/>
      <c r="AM48" s="35"/>
      <c r="AN48" s="35"/>
      <c r="AO48" s="35"/>
      <c r="AP48" s="35"/>
      <c r="AQ48" s="276">
        <f t="shared" si="48"/>
        <v>0</v>
      </c>
      <c r="AR48" s="276">
        <f t="shared" si="49"/>
        <v>0</v>
      </c>
      <c r="AS48" s="276">
        <f t="shared" si="50"/>
        <v>0</v>
      </c>
      <c r="AT48" s="276">
        <f t="shared" si="51"/>
        <v>0</v>
      </c>
      <c r="AU48" s="276">
        <f t="shared" si="52"/>
        <v>0</v>
      </c>
      <c r="AV48" s="276">
        <f t="shared" si="53"/>
        <v>0</v>
      </c>
      <c r="AW48" s="276">
        <f t="shared" si="54"/>
        <v>0</v>
      </c>
      <c r="AX48" s="276">
        <f t="shared" si="55"/>
        <v>0</v>
      </c>
      <c r="AY48" s="276">
        <f t="shared" si="56"/>
        <v>0</v>
      </c>
      <c r="AZ48" s="276">
        <f t="shared" si="57"/>
        <v>0</v>
      </c>
      <c r="BA48" s="276">
        <f t="shared" si="58"/>
        <v>0</v>
      </c>
      <c r="BB48" s="276">
        <f t="shared" si="59"/>
        <v>0</v>
      </c>
      <c r="BC48" s="172">
        <f t="shared" si="60"/>
        <v>0</v>
      </c>
      <c r="BD48" s="128">
        <f>IF(AND(BC48&gt;0,BD49&lt;1),1,0)</f>
        <v>0</v>
      </c>
      <c r="BE48" s="172">
        <f t="shared" si="47"/>
        <v>0</v>
      </c>
      <c r="BF48" s="128">
        <f>IF(AND(BE48&gt;0,BF49&lt;1),1,0)</f>
        <v>0</v>
      </c>
      <c r="BG48" s="128"/>
      <c r="BH48" s="128"/>
      <c r="BI48" s="128"/>
      <c r="BJ48" s="128"/>
      <c r="BK48" s="51">
        <v>5.53</v>
      </c>
      <c r="BL48" s="98">
        <v>0.76</v>
      </c>
      <c r="BM48">
        <v>7.2763157894736841</v>
      </c>
      <c r="BQ48" s="119">
        <v>5</v>
      </c>
      <c r="BR48" s="51">
        <f t="shared" si="72"/>
        <v>0</v>
      </c>
      <c r="BS48" s="51">
        <f t="shared" si="61"/>
        <v>0</v>
      </c>
      <c r="BT48" s="51">
        <f t="shared" si="62"/>
        <v>0</v>
      </c>
      <c r="BU48" s="51">
        <f t="shared" si="63"/>
        <v>0</v>
      </c>
      <c r="BV48" s="51">
        <f t="shared" si="64"/>
        <v>0</v>
      </c>
      <c r="BW48" s="51">
        <f t="shared" si="65"/>
        <v>0</v>
      </c>
      <c r="BX48" s="51">
        <f t="shared" si="66"/>
        <v>0</v>
      </c>
      <c r="BY48" s="51">
        <f t="shared" si="67"/>
        <v>0</v>
      </c>
      <c r="BZ48" s="51">
        <f t="shared" si="68"/>
        <v>0</v>
      </c>
      <c r="CA48" s="51">
        <f t="shared" si="69"/>
        <v>0</v>
      </c>
      <c r="CB48" s="51">
        <f t="shared" si="70"/>
        <v>0</v>
      </c>
      <c r="CC48" s="51">
        <f t="shared" si="71"/>
        <v>0</v>
      </c>
      <c r="CD48" s="178"/>
      <c r="CE48" s="69"/>
      <c r="CF48" s="69"/>
      <c r="CG48" s="69"/>
      <c r="CK48" s="22">
        <v>0.33333333333333298</v>
      </c>
      <c r="CL48" s="83">
        <f>$B$53</f>
        <v>0.66</v>
      </c>
      <c r="CM48" s="679">
        <f>SUM($C$53,$F$53,IF($E$67="BIFÁSICA",$C$67,0))</f>
        <v>0</v>
      </c>
      <c r="CN48" s="680"/>
      <c r="CO48" s="51">
        <f>IF($CP$60=CK48,IF(CM28&lt;1,((CM48-1)*$BM$59*0.5)+$BM$59,CM48*0.5*$BM$59),CM48*0.5*$BM$59)</f>
        <v>0</v>
      </c>
      <c r="CP48" s="116">
        <f>IF(CM48&gt;0,1,0)*$A$53</f>
        <v>0</v>
      </c>
      <c r="CQ48" s="679">
        <f>CM48*$BK$59</f>
        <v>0</v>
      </c>
      <c r="CR48" s="680"/>
      <c r="CS48" s="83"/>
      <c r="CT48" s="22">
        <v>0.33333333333333298</v>
      </c>
      <c r="CU48" s="83">
        <f>$B$53</f>
        <v>0.66</v>
      </c>
      <c r="CV48" s="679">
        <f>SUM($C$53,$F$53)</f>
        <v>0</v>
      </c>
      <c r="CW48" s="680"/>
      <c r="CX48" s="51">
        <f>IF($CY$60=CT48,IF(CV28&lt;1,((CV48-1)*$BM$59*0.5)+$BM$59,CV48*0.5*$BM$59),CV48*0.5*$BM$59)</f>
        <v>0</v>
      </c>
      <c r="CY48" s="116">
        <f>IF(CV48&gt;0,1,0)*$A$53</f>
        <v>0</v>
      </c>
      <c r="CZ48" s="679">
        <f>CV48*$BK$59</f>
        <v>0</v>
      </c>
      <c r="DA48" s="680"/>
      <c r="DB48" s="83"/>
      <c r="DC48" s="689"/>
      <c r="DD48" s="690"/>
      <c r="DE48" s="83"/>
      <c r="DF48" s="691"/>
      <c r="DG48" s="692"/>
      <c r="DH48" s="83"/>
      <c r="DI48" s="691"/>
      <c r="DJ48" s="692"/>
      <c r="DP48" s="120"/>
      <c r="DQ48" s="51"/>
      <c r="DR48"/>
      <c r="DT48"/>
      <c r="DV48" s="22">
        <v>0.33333333333333298</v>
      </c>
      <c r="DW48" s="83">
        <f>$B$53</f>
        <v>0.66</v>
      </c>
      <c r="DX48" s="679">
        <f>SUM(IF($C$1="Residência",$C$53,0),IF($F$1="Residência",$F$53,0),IF($I$1="Residência",$I$53,0),IF($L$1="Residência",$L$53,0))</f>
        <v>0</v>
      </c>
      <c r="DY48" s="680"/>
      <c r="DZ48" s="51">
        <f>IF($EA$60=$DV$48,IF(AND(DX28&lt;1,EH28&lt;1,DX48&gt;0),((DX48-1)*$BM$59*0.5)+$BM$59,DX48*0.5*$BM$59),DX48*0.5*$BM$59)</f>
        <v>0</v>
      </c>
      <c r="EA48" s="116">
        <f>IF(DX48&gt;0,1,0)*$A$53</f>
        <v>0</v>
      </c>
      <c r="EB48" s="679">
        <f>DX48*$BK$59</f>
        <v>0</v>
      </c>
      <c r="EC48" s="680"/>
      <c r="ED48" s="83"/>
      <c r="EE48" s="691"/>
      <c r="EF48" s="692"/>
      <c r="EG48" s="51"/>
      <c r="EH48" s="679">
        <f>SUM(IF($C$1="Residência",0,$C$53),IF($F$1="Residência",0,$F$53),IF($I$1="Residência",0,$I$53),IF($L$1="Residência",0,$L$53),IF($E$67="BIFÁSICA",$C$67,0))</f>
        <v>0</v>
      </c>
      <c r="EI48" s="680"/>
      <c r="EJ48" s="51">
        <f>IF($EA$60=$DV$48,IF(AND($EH$28&lt;1,$DX$28&lt;1,$EH$48&gt;0,$DX$48&lt;1),(($EH$48-1)*$BM$59*0.5)+$BM$59,$EH$48*0.5*$BM$59),$EH$48*0.5*$BM$59)</f>
        <v>0</v>
      </c>
      <c r="EK48" s="116">
        <f>IF(EH48&gt;0,1,0)*$A$53</f>
        <v>0</v>
      </c>
      <c r="EL48" s="679">
        <f>EH48*$BK$59</f>
        <v>0</v>
      </c>
      <c r="EM48" s="680"/>
      <c r="EN48" s="689"/>
      <c r="EO48" s="690"/>
      <c r="EP48" s="679">
        <f>SUM(IF($C$1="Residência",$C$53,0),IF($F$1="Residência",$F$53,0),IF($I$1="Residência",$I$53,0),IF($L$1="Residência",$L$53,0))</f>
        <v>0</v>
      </c>
      <c r="EQ48" s="680"/>
      <c r="ER48" s="51">
        <f>IF($ES$60=$DV$48,IF(AND(EP28&lt;1,EY28&lt;1,EP48&gt;0),((EP48-1)*$BM$59*0.5)+$BM$59,EP48*0.5*$BM$59),EP48*0.5*$BM$59)</f>
        <v>0</v>
      </c>
      <c r="ES48" s="116">
        <f>IF(EP48&gt;0,1,0)*$A$53</f>
        <v>0</v>
      </c>
      <c r="ET48" s="679">
        <f>EP48*$BK$59</f>
        <v>0</v>
      </c>
      <c r="EU48" s="680"/>
      <c r="EW48" s="679">
        <f>SUM(IF($C$1="Residência",0,$C$53),IF($F$1="Residência",0,$F$53),IF($I$1="Residência",0,$I$53),IF($L$1="Residência",0,$L$53))</f>
        <v>0</v>
      </c>
      <c r="EX48" s="680"/>
      <c r="EY48" s="51">
        <f>IF($ES$60=$DV$48,IF(AND($EW$28&lt;1,$DX$28&lt;1,$EW$48&gt;0,$DX$48&lt;1),(($EW$48-1)*$BM$59*0.5)+$BM$59,$EW$48*0.5*$BM$59),$EW$48*0.5*$BM$59)</f>
        <v>0</v>
      </c>
      <c r="EZ48" s="116">
        <f>IF(EW48&gt;0,1,0)*$A$53</f>
        <v>0</v>
      </c>
      <c r="FA48" s="679">
        <f>EW48*$BK$59</f>
        <v>0</v>
      </c>
      <c r="FB48" s="680"/>
      <c r="FC48" s="386"/>
      <c r="FM48" s="22">
        <v>0.33333333333333298</v>
      </c>
      <c r="FN48" s="83">
        <f>$B$53</f>
        <v>0.66</v>
      </c>
      <c r="FO48" s="679">
        <f>SUM($C$53,$F$53)</f>
        <v>0</v>
      </c>
      <c r="FP48" s="680"/>
      <c r="FQ48" s="51">
        <f>IF($FR$60=FM48,IF(FO28&lt;1,((FO48-1)*$BM$59*0.5)+$BM$59,FO48*0.5*$BM$59),FO48*0.5*$BM$59)</f>
        <v>0</v>
      </c>
      <c r="FR48" s="116">
        <f>IF(FO48&gt;0,1,0)*$A$53</f>
        <v>0</v>
      </c>
      <c r="FS48" s="679">
        <f>FO48*$BK$59</f>
        <v>0</v>
      </c>
      <c r="FT48" s="680"/>
      <c r="FU48" s="83"/>
      <c r="FV48" s="691"/>
      <c r="FW48" s="692"/>
      <c r="FX48" s="83"/>
      <c r="FY48" s="691"/>
      <c r="FZ48" s="692"/>
      <c r="GA48" s="83"/>
      <c r="GB48" s="691"/>
      <c r="GC48" s="692"/>
      <c r="GD48" s="83"/>
      <c r="GE48" s="689"/>
      <c r="GF48" s="690"/>
      <c r="GG48" s="83"/>
      <c r="GH48" s="691"/>
      <c r="GI48" s="692"/>
      <c r="GJ48" s="83"/>
      <c r="GK48" s="691"/>
      <c r="GL48" s="692"/>
      <c r="GR48" s="120"/>
      <c r="GS48" s="51"/>
      <c r="HD48" s="22">
        <v>0.33333333333333298</v>
      </c>
      <c r="HE48" s="83">
        <f>$B$53</f>
        <v>0.66</v>
      </c>
      <c r="HF48" s="679">
        <f>SUM($I$53,$L$53)</f>
        <v>0</v>
      </c>
      <c r="HG48" s="680"/>
      <c r="HH48" s="51">
        <f>IF($HI$60=HD48,IF(HF28&lt;1,((HF48-1)*$BM$59*0.5)+$BM$59,HF48*0.5*$BM$59),HF48*0.5*$BM$59)</f>
        <v>0</v>
      </c>
      <c r="HI48" s="116">
        <f>IF(HF48&gt;0,1,0)*$A$53</f>
        <v>0</v>
      </c>
      <c r="HJ48" s="679">
        <f>HF48*$BK$59</f>
        <v>0</v>
      </c>
      <c r="HK48" s="680"/>
      <c r="HL48" s="83"/>
      <c r="HM48" s="691"/>
      <c r="HN48" s="692"/>
      <c r="HO48" s="83"/>
      <c r="HP48" s="691"/>
      <c r="HQ48" s="692"/>
      <c r="HR48" s="83"/>
      <c r="HS48" s="691"/>
      <c r="HT48" s="692"/>
      <c r="HU48" s="83"/>
      <c r="HV48" s="689"/>
      <c r="HW48" s="690"/>
      <c r="HX48" s="83"/>
      <c r="HY48" s="691"/>
      <c r="HZ48" s="692"/>
      <c r="IA48" s="83"/>
      <c r="IB48" s="691"/>
      <c r="IC48" s="692"/>
      <c r="II48" s="120"/>
      <c r="IJ48" s="51"/>
    </row>
    <row r="49" spans="1:244" ht="13.5" thickBot="1" x14ac:dyDescent="0.25">
      <c r="A49" s="23">
        <v>30</v>
      </c>
      <c r="B49" s="98">
        <v>0.82</v>
      </c>
      <c r="C49" s="691">
        <f>IF($C$1="Vazio",0,RELAÇÃO_DE_CARGA!C50:D50)</f>
        <v>0</v>
      </c>
      <c r="D49" s="692"/>
      <c r="E49" s="98">
        <v>0.82</v>
      </c>
      <c r="F49" s="713">
        <f>IF($F$1="Vazio",0,RELAÇÃO_DE_CARGA!F50:G50)</f>
        <v>0</v>
      </c>
      <c r="G49" s="714"/>
      <c r="H49" s="98">
        <v>0.82</v>
      </c>
      <c r="I49" s="713">
        <f>IF(OR($I$1="Vazio",RELAÇÃO_DE_CARGA!$I$1&lt;3),0,RELAÇÃO_DE_CARGA!I50:J50)</f>
        <v>0</v>
      </c>
      <c r="J49" s="714"/>
      <c r="K49" s="98">
        <v>0.82</v>
      </c>
      <c r="L49" s="713">
        <f>IF(OR($L$1="Vazio",RELAÇÃO_DE_CARGA!$I$1&lt;4),0,RELAÇÃO_DE_CARGA!L50:M50)</f>
        <v>0</v>
      </c>
      <c r="M49" s="714"/>
      <c r="N49" s="98">
        <v>0.82</v>
      </c>
      <c r="O49" s="691">
        <f>IF(OR($O$1="Vazio",RELAÇÃO_DE_CARGA!$I$1&lt;5),0,RELAÇÃO_DE_CARGA!O50)</f>
        <v>0</v>
      </c>
      <c r="P49" s="692"/>
      <c r="Q49" s="98">
        <v>0.82</v>
      </c>
      <c r="R49" s="713">
        <f>IF(OR($R$1="Vazio",RELAÇÃO_DE_CARGA!$I$1&lt;6),0,RELAÇÃO_DE_CARGA!R50)</f>
        <v>0</v>
      </c>
      <c r="S49" s="714"/>
      <c r="T49" s="98">
        <v>0.82</v>
      </c>
      <c r="U49" s="713">
        <f>IF(OR($U$1="Vazio",RELAÇÃO_DE_CARGA!$I$1&lt;7),0,RELAÇÃO_DE_CARGA!U50)</f>
        <v>0</v>
      </c>
      <c r="V49" s="714"/>
      <c r="W49" s="98">
        <v>0.82</v>
      </c>
      <c r="X49" s="713">
        <f>IF(OR($X$1="Vazio",RELAÇÃO_DE_CARGA!$I$1&lt;8),0,RELAÇÃO_DE_CARGA!X50)</f>
        <v>0</v>
      </c>
      <c r="Y49" s="714"/>
      <c r="Z49" s="98">
        <v>0.82</v>
      </c>
      <c r="AA49" s="713">
        <f>IF(OR($AA$1="Vazio",RELAÇÃO_DE_CARGA!$I$1&lt;9),0,RELAÇÃO_DE_CARGA!AA50)</f>
        <v>0</v>
      </c>
      <c r="AB49" s="714"/>
      <c r="AC49" s="98">
        <v>0.82</v>
      </c>
      <c r="AD49" s="713">
        <f>IF(OR($AD$1="Vazio",RELAÇÃO_DE_CARGA!$I$1&lt;10),0,RELAÇÃO_DE_CARGA!AD50)</f>
        <v>0</v>
      </c>
      <c r="AE49" s="714"/>
      <c r="AF49" s="98">
        <v>0.82</v>
      </c>
      <c r="AG49" s="713">
        <f>IF(OR($AG$1="Vazio",RELAÇÃO_DE_CARGA!$I$1&lt;11),0,RELAÇÃO_DE_CARGA!AG50)</f>
        <v>0</v>
      </c>
      <c r="AH49" s="714"/>
      <c r="AI49" s="98">
        <v>0.82</v>
      </c>
      <c r="AJ49" s="713">
        <f>IF(OR($AJ$1="Vazio",RELAÇÃO_DE_CARGA!$I$1&lt;12),0,RELAÇÃO_DE_CARGA!AJ50)</f>
        <v>0</v>
      </c>
      <c r="AK49" s="714"/>
      <c r="AL49" s="35"/>
      <c r="AM49" s="35"/>
      <c r="AN49" s="35"/>
      <c r="AO49" s="35"/>
      <c r="AP49" s="35"/>
      <c r="AQ49" s="276">
        <f t="shared" si="48"/>
        <v>0</v>
      </c>
      <c r="AR49" s="276">
        <f t="shared" si="49"/>
        <v>0</v>
      </c>
      <c r="AS49" s="276">
        <f t="shared" si="50"/>
        <v>0</v>
      </c>
      <c r="AT49" s="276">
        <f t="shared" si="51"/>
        <v>0</v>
      </c>
      <c r="AU49" s="276">
        <f t="shared" si="52"/>
        <v>0</v>
      </c>
      <c r="AV49" s="276">
        <f t="shared" si="53"/>
        <v>0</v>
      </c>
      <c r="AW49" s="276">
        <f t="shared" si="54"/>
        <v>0</v>
      </c>
      <c r="AX49" s="276">
        <f t="shared" si="55"/>
        <v>0</v>
      </c>
      <c r="AY49" s="276">
        <f t="shared" si="56"/>
        <v>0</v>
      </c>
      <c r="AZ49" s="276">
        <f t="shared" si="57"/>
        <v>0</v>
      </c>
      <c r="BA49" s="276">
        <f t="shared" si="58"/>
        <v>0</v>
      </c>
      <c r="BB49" s="276">
        <f t="shared" si="59"/>
        <v>0</v>
      </c>
      <c r="BC49" s="172">
        <f t="shared" si="60"/>
        <v>0</v>
      </c>
      <c r="BD49" s="128">
        <f>IF(BC49&gt;0,1,0)</f>
        <v>0</v>
      </c>
      <c r="BE49" s="172">
        <f>F49+L49</f>
        <v>0</v>
      </c>
      <c r="BF49" s="128">
        <f>IF(BE49&gt;0,1,0)</f>
        <v>0</v>
      </c>
      <c r="BG49" s="128"/>
      <c r="BH49" s="128"/>
      <c r="BI49" s="128"/>
      <c r="BJ49" s="128"/>
      <c r="BK49" s="51">
        <v>6.57</v>
      </c>
      <c r="BL49" s="98">
        <v>0.76</v>
      </c>
      <c r="BM49">
        <v>8.6447368421052637</v>
      </c>
      <c r="BQ49" s="120">
        <v>7</v>
      </c>
      <c r="BR49" s="51">
        <f t="shared" si="72"/>
        <v>0</v>
      </c>
      <c r="BS49" s="51">
        <f t="shared" si="61"/>
        <v>0</v>
      </c>
      <c r="BT49" s="51">
        <f t="shared" si="62"/>
        <v>0</v>
      </c>
      <c r="BU49" s="51">
        <f t="shared" si="63"/>
        <v>0</v>
      </c>
      <c r="BV49" s="51">
        <f t="shared" si="64"/>
        <v>0</v>
      </c>
      <c r="BW49" s="51">
        <f t="shared" si="65"/>
        <v>0</v>
      </c>
      <c r="BX49" s="51">
        <f t="shared" si="66"/>
        <v>0</v>
      </c>
      <c r="BY49" s="51">
        <f t="shared" si="67"/>
        <v>0</v>
      </c>
      <c r="BZ49" s="51">
        <f t="shared" si="68"/>
        <v>0</v>
      </c>
      <c r="CA49" s="51">
        <f t="shared" si="69"/>
        <v>0</v>
      </c>
      <c r="CB49" s="51">
        <f t="shared" si="70"/>
        <v>0</v>
      </c>
      <c r="CC49" s="51">
        <f t="shared" si="71"/>
        <v>0</v>
      </c>
      <c r="CD49" s="127"/>
      <c r="CE49" s="51"/>
      <c r="CF49" s="51"/>
      <c r="CG49" s="51"/>
      <c r="CK49" s="22">
        <v>0.5</v>
      </c>
      <c r="CL49" s="83">
        <f>$B$54</f>
        <v>0.67</v>
      </c>
      <c r="CM49" s="679">
        <f>SUM($C$54,$F$54,IF($E$68="BIFÁSICA",$C$68,0))</f>
        <v>0</v>
      </c>
      <c r="CN49" s="680"/>
      <c r="CO49" s="51">
        <f>IF($CP$60=CK49,IF(CM29&lt;1,((CM49-1)*$BM$60*0.5)+$BM$60,CM49*0.5*$BM$60),CM49*0.5*$BM$60)</f>
        <v>0</v>
      </c>
      <c r="CP49" s="116">
        <f>IF(CM49&gt;0,1,0)*$A$54</f>
        <v>0</v>
      </c>
      <c r="CQ49" s="679">
        <f>CM49*$BK$60</f>
        <v>0</v>
      </c>
      <c r="CR49" s="680"/>
      <c r="CS49" s="83"/>
      <c r="CT49" s="22">
        <v>0.5</v>
      </c>
      <c r="CU49" s="83">
        <f>$B$54</f>
        <v>0.67</v>
      </c>
      <c r="CV49" s="679">
        <f>SUM($C$54,$F$54)</f>
        <v>0</v>
      </c>
      <c r="CW49" s="680"/>
      <c r="CX49" s="51">
        <f>IF($CY$60=CT49,IF(CV29&lt;1,((CV49-1)*$BM$60*0.5)+$BM$60,CV49*0.5*$BM$60),CV49*0.5*$BM$60)</f>
        <v>0</v>
      </c>
      <c r="CY49" s="116">
        <f>IF(CV49&gt;0,1,0)*$A$54</f>
        <v>0</v>
      </c>
      <c r="CZ49" s="679">
        <f>CV49*$BK$60</f>
        <v>0</v>
      </c>
      <c r="DA49" s="680"/>
      <c r="DB49" s="83"/>
      <c r="DC49" s="689"/>
      <c r="DD49" s="690"/>
      <c r="DE49" s="83"/>
      <c r="DF49" s="691"/>
      <c r="DG49" s="692"/>
      <c r="DH49" s="83"/>
      <c r="DI49" s="691"/>
      <c r="DJ49" s="692"/>
      <c r="DP49" s="116"/>
      <c r="DQ49" s="51"/>
      <c r="DR49"/>
      <c r="DT49"/>
      <c r="DV49" s="22">
        <v>0.5</v>
      </c>
      <c r="DW49" s="83">
        <f>$B$54</f>
        <v>0.67</v>
      </c>
      <c r="DX49" s="679">
        <f>SUM(IF($C$1="Residência",$C$54,0),IF($F$1="Residência",$F$54,0),IF($I$1="Residência",$I$54,0),IF($L$1="Residência",$L$54,0))</f>
        <v>0</v>
      </c>
      <c r="DY49" s="680"/>
      <c r="DZ49" s="51">
        <f>IF($EA$60=$DV$49,IF(AND(DX29&lt;1,EH29&lt;1,DX49&gt;0),((DX49-1)*$BM$60*0.5)+$BM$60,DX49*0.5*$BM$60),DX49*0.5*$BM$60)</f>
        <v>0</v>
      </c>
      <c r="EA49" s="116">
        <f>IF(DX49&gt;0,1,0)*$A$54</f>
        <v>0</v>
      </c>
      <c r="EB49" s="679">
        <f>DX49*$BK$60</f>
        <v>0</v>
      </c>
      <c r="EC49" s="680"/>
      <c r="ED49" s="83"/>
      <c r="EE49" s="691"/>
      <c r="EF49" s="692"/>
      <c r="EG49" s="51"/>
      <c r="EH49" s="679">
        <f>SUM(IF($C$1="Residência",0,$C$54),IF($F$1="Residência",0,$F$54),IF($I$1="Residência",0,$I$54),IF($L$1="Residência",0,$L$54),IF($E$68="BIFÁSICA",$C$68,0))</f>
        <v>0</v>
      </c>
      <c r="EI49" s="680"/>
      <c r="EJ49" s="51">
        <f>IF($EA$60=$DV$49,IF(AND($EH$29&lt;1,$DX$29&lt;1,$EH$49&gt;0,$DX$49&lt;1),(($EH$49-1)*$BM$60*0.5)+$BM$60,$EH$49*0.5*$BM$60),$EH$49*0.5*$BM$60)</f>
        <v>0</v>
      </c>
      <c r="EK49" s="116">
        <f>IF(EH49&gt;0,1,0)*$A$54</f>
        <v>0</v>
      </c>
      <c r="EL49" s="679">
        <f>EH49*$BK$60</f>
        <v>0</v>
      </c>
      <c r="EM49" s="680"/>
      <c r="EN49" s="689"/>
      <c r="EO49" s="690"/>
      <c r="EP49" s="679">
        <f>SUM(IF($C$1="Residência",$C$54,0),IF($F$1="Residência",$F$54,0),IF($I$1="Residência",$I$54,0),IF($L$1="Residência",$L$54,0))</f>
        <v>0</v>
      </c>
      <c r="EQ49" s="680"/>
      <c r="ER49" s="51">
        <f>IF($ES$60=$DV$49,IF(AND(EP29&lt;1,EY29&lt;1,EP49&gt;0),((EP49-1)*$BM$60*0.5)+$BM$60,EP49*0.5*$BM$60),EP49*0.5*$BM$60)</f>
        <v>0</v>
      </c>
      <c r="ES49" s="116">
        <f>IF(EP49&gt;0,1,0)*$A$54</f>
        <v>0</v>
      </c>
      <c r="ET49" s="679">
        <f>EP49*$BK$60</f>
        <v>0</v>
      </c>
      <c r="EU49" s="680"/>
      <c r="EW49" s="679">
        <f>SUM(IF($C$1="Residência",0,$C$54),IF($F$1="Residência",0,$F$54),IF($I$1="Residência",0,$I$54),IF($L$1="Residência",0,$L$54))</f>
        <v>0</v>
      </c>
      <c r="EX49" s="680"/>
      <c r="EY49" s="51">
        <f>IF($ES$60=$DV$49,IF(AND($EW$29&lt;1,$DX$29&lt;1,$EW$49&gt;0,$DX$49&lt;1),(($EW$49-1)*$BM$60*0.5)+$BM$60,$EW$49*0.5*$BM$60),$EW$49*0.5*$BM$60)</f>
        <v>0</v>
      </c>
      <c r="EZ49" s="116">
        <f>IF(EW49&gt;0,1,0)*$A$54</f>
        <v>0</v>
      </c>
      <c r="FA49" s="679">
        <f>EW49*$BK$60</f>
        <v>0</v>
      </c>
      <c r="FB49" s="680"/>
      <c r="FC49" s="386"/>
      <c r="FM49" s="22">
        <v>0.5</v>
      </c>
      <c r="FN49" s="83">
        <f>$B$54</f>
        <v>0.67</v>
      </c>
      <c r="FO49" s="679">
        <f>SUM($C$54,$F$54)</f>
        <v>0</v>
      </c>
      <c r="FP49" s="680"/>
      <c r="FQ49" s="51">
        <f>IF($FR$60=FM49,IF(FN29&lt;1,((FO49-1)*$BM$60*0.5)+$BM$60,FO49*0.5*$BM$60),FO49*0.5*$BM$60)</f>
        <v>0</v>
      </c>
      <c r="FR49" s="116">
        <f>IF(FO49&gt;0,1,0)*$A$54</f>
        <v>0</v>
      </c>
      <c r="FS49" s="679">
        <f>FO49*$BK$60</f>
        <v>0</v>
      </c>
      <c r="FT49" s="680"/>
      <c r="FU49" s="83"/>
      <c r="FV49" s="691"/>
      <c r="FW49" s="692"/>
      <c r="FX49" s="83"/>
      <c r="FY49" s="691"/>
      <c r="FZ49" s="692"/>
      <c r="GA49" s="83"/>
      <c r="GB49" s="691"/>
      <c r="GC49" s="692"/>
      <c r="GD49" s="83"/>
      <c r="GE49" s="689"/>
      <c r="GF49" s="690"/>
      <c r="GG49" s="83"/>
      <c r="GH49" s="691"/>
      <c r="GI49" s="692"/>
      <c r="GJ49" s="83"/>
      <c r="GK49" s="691"/>
      <c r="GL49" s="692"/>
      <c r="GR49" s="116"/>
      <c r="GS49" s="51"/>
      <c r="HD49" s="22">
        <v>0.5</v>
      </c>
      <c r="HE49" s="83">
        <f>$B$54</f>
        <v>0.67</v>
      </c>
      <c r="HF49" s="679">
        <f>SUM($I$54,$L$54)</f>
        <v>0</v>
      </c>
      <c r="HG49" s="680"/>
      <c r="HH49" s="51">
        <f>IF($HI$60=HD49,IF(HE29&lt;1,((HF49-1)*$BM$60*0.5)+$BM$60,HF49*0.5*$BM$60),HF49*0.5*$BM$60)</f>
        <v>0</v>
      </c>
      <c r="HI49" s="116">
        <f>IF(HF49&gt;0,1,0)*$A$54</f>
        <v>0</v>
      </c>
      <c r="HJ49" s="679">
        <f>HF49*$BK$60</f>
        <v>0</v>
      </c>
      <c r="HK49" s="680"/>
      <c r="HL49" s="83"/>
      <c r="HM49" s="691"/>
      <c r="HN49" s="692"/>
      <c r="HO49" s="83"/>
      <c r="HP49" s="691"/>
      <c r="HQ49" s="692"/>
      <c r="HR49" s="83"/>
      <c r="HS49" s="691"/>
      <c r="HT49" s="692"/>
      <c r="HU49" s="83"/>
      <c r="HV49" s="689"/>
      <c r="HW49" s="690"/>
      <c r="HX49" s="83"/>
      <c r="HY49" s="691"/>
      <c r="HZ49" s="692"/>
      <c r="IA49" s="83"/>
      <c r="IB49" s="691"/>
      <c r="IC49" s="692"/>
      <c r="II49" s="116"/>
      <c r="IJ49" s="51"/>
    </row>
    <row r="50" spans="1:244" ht="13.5" thickBot="1" x14ac:dyDescent="0.25">
      <c r="A50" s="32"/>
      <c r="B50" s="84"/>
      <c r="C50" s="53"/>
      <c r="D50" s="53"/>
      <c r="E50" s="89"/>
      <c r="F50" s="54"/>
      <c r="G50" s="54"/>
      <c r="H50" s="84"/>
      <c r="I50" s="53"/>
      <c r="J50" s="53"/>
      <c r="K50" s="89"/>
      <c r="L50" s="54"/>
      <c r="M50" s="54"/>
      <c r="N50" s="84"/>
      <c r="O50" s="53"/>
      <c r="P50" s="53"/>
      <c r="Q50" s="89"/>
      <c r="R50" s="54"/>
      <c r="S50" s="54"/>
      <c r="T50" s="84"/>
      <c r="U50" s="53"/>
      <c r="V50" s="53"/>
      <c r="W50" s="89"/>
      <c r="X50" s="54"/>
      <c r="Y50" s="54"/>
      <c r="Z50" s="84"/>
      <c r="AA50" s="53"/>
      <c r="AB50" s="53"/>
      <c r="AC50" s="89"/>
      <c r="AD50" s="54"/>
      <c r="AE50" s="54"/>
      <c r="AF50" s="84"/>
      <c r="AG50" s="53"/>
      <c r="AH50" s="53"/>
      <c r="AI50" s="89"/>
      <c r="AJ50" s="54"/>
      <c r="AK50" s="54"/>
      <c r="AL50" s="54"/>
      <c r="AM50" s="54"/>
      <c r="AN50" s="54"/>
      <c r="AO50" s="54"/>
      <c r="AP50" s="54"/>
      <c r="AQ50" s="51"/>
      <c r="AR50" s="51"/>
      <c r="AS50" s="51"/>
      <c r="AT50" s="51"/>
      <c r="AU50" s="51"/>
      <c r="AV50" s="51"/>
      <c r="AW50" s="51"/>
      <c r="AX50" s="51"/>
      <c r="AY50" s="51"/>
      <c r="AZ50" s="51"/>
      <c r="BA50" s="51"/>
      <c r="BB50" s="51"/>
      <c r="BC50" s="51"/>
      <c r="BD50" s="128">
        <f>SUM(BD33:BD49)</f>
        <v>0</v>
      </c>
      <c r="BF50" s="128">
        <f>SUM(BF33:BF49)</f>
        <v>0</v>
      </c>
      <c r="BG50" s="128"/>
      <c r="BH50" s="128"/>
      <c r="BI50" s="128"/>
      <c r="BJ50" s="128"/>
      <c r="BK50" s="51">
        <v>8.89</v>
      </c>
      <c r="BL50" s="98">
        <v>0.77</v>
      </c>
      <c r="BM50">
        <v>11.545454545454547</v>
      </c>
      <c r="BQ50" s="116">
        <v>7.5</v>
      </c>
      <c r="BR50" s="51">
        <f t="shared" si="72"/>
        <v>0</v>
      </c>
      <c r="BS50" s="51">
        <f t="shared" si="61"/>
        <v>0</v>
      </c>
      <c r="BT50" s="51">
        <f t="shared" si="62"/>
        <v>0</v>
      </c>
      <c r="BU50" s="51">
        <f t="shared" si="63"/>
        <v>0</v>
      </c>
      <c r="BV50" s="51">
        <f t="shared" si="64"/>
        <v>0</v>
      </c>
      <c r="BW50" s="51">
        <f t="shared" si="65"/>
        <v>0</v>
      </c>
      <c r="BX50" s="51">
        <f t="shared" si="66"/>
        <v>0</v>
      </c>
      <c r="BY50" s="51">
        <f t="shared" si="67"/>
        <v>0</v>
      </c>
      <c r="BZ50" s="51">
        <f t="shared" si="68"/>
        <v>0</v>
      </c>
      <c r="CA50" s="51">
        <f t="shared" si="69"/>
        <v>0</v>
      </c>
      <c r="CB50" s="51">
        <f t="shared" si="70"/>
        <v>0</v>
      </c>
      <c r="CC50" s="51">
        <f t="shared" si="71"/>
        <v>0</v>
      </c>
      <c r="CD50" s="127"/>
      <c r="CE50" s="51"/>
      <c r="CF50" s="51"/>
      <c r="CG50" s="51"/>
      <c r="CK50" s="22">
        <v>0.75</v>
      </c>
      <c r="CL50" s="83">
        <f>$B$55</f>
        <v>0.67</v>
      </c>
      <c r="CM50" s="679">
        <f>SUM($C$55,$F$55,IF($E$69="BIFÁSICA",$C$69,0))</f>
        <v>0</v>
      </c>
      <c r="CN50" s="680"/>
      <c r="CO50" s="51">
        <f>IF($CP$60=CK50,IF(CM30&lt;1,((CM50-1)*$BM$61*0.5)+$BM$61,CM50*0.5*$BM$61),CM50*0.5*$BM$61)</f>
        <v>0</v>
      </c>
      <c r="CP50" s="116">
        <f>IF(CM50&gt;0,1,0)*$A$55</f>
        <v>0</v>
      </c>
      <c r="CQ50" s="679">
        <f>CM50*$BK$61</f>
        <v>0</v>
      </c>
      <c r="CR50" s="680"/>
      <c r="CS50" s="83"/>
      <c r="CT50" s="22">
        <v>0.75</v>
      </c>
      <c r="CU50" s="83">
        <f>$B$55</f>
        <v>0.67</v>
      </c>
      <c r="CV50" s="679">
        <f>SUM($C$55,$F$55)</f>
        <v>0</v>
      </c>
      <c r="CW50" s="680"/>
      <c r="CX50" s="51">
        <f>IF($CY$60=CT50,IF(CV30&lt;1,((CV50-1)*$BM$61*0.5)+$BM$61,CV50*0.5*$BM$61),CV50*0.5*$BM$61)</f>
        <v>0</v>
      </c>
      <c r="CY50" s="116">
        <f>IF(CV50&gt;0,1,0)*$A$55</f>
        <v>0</v>
      </c>
      <c r="CZ50" s="679">
        <f>CV50*$BK$61</f>
        <v>0</v>
      </c>
      <c r="DA50" s="680"/>
      <c r="DB50" s="83"/>
      <c r="DC50" s="689"/>
      <c r="DD50" s="690"/>
      <c r="DE50" s="83"/>
      <c r="DF50" s="691"/>
      <c r="DG50" s="692"/>
      <c r="DH50" s="83"/>
      <c r="DI50" s="691"/>
      <c r="DJ50" s="692"/>
      <c r="DP50" s="116"/>
      <c r="DQ50" s="51"/>
      <c r="DR50"/>
      <c r="DT50"/>
      <c r="DV50" s="22">
        <v>0.75</v>
      </c>
      <c r="DW50" s="83">
        <f>$B$55</f>
        <v>0.67</v>
      </c>
      <c r="DX50" s="679">
        <f>SUM(IF($C$1="Residência",$C$55,0),IF($F$1="Residência",$F$55,0),IF($I$1="Residência",$I$55,0),IF($L$1="Residência",$L$55,0))</f>
        <v>0</v>
      </c>
      <c r="DY50" s="680"/>
      <c r="DZ50" s="51">
        <f>IF($EA$60=$DV$50,IF(AND(DX30&lt;1,EH30&lt;1,DX50&gt;0),((DX50-1)*$BM$61*0.5)+$BM$61,DX50*0.5*$BM$61),DX50*0.5*$BM$61)</f>
        <v>0</v>
      </c>
      <c r="EA50" s="116">
        <f>IF(DX50&gt;0,1,0)*$A$55</f>
        <v>0</v>
      </c>
      <c r="EB50" s="679">
        <f>DX50*$BK$61</f>
        <v>0</v>
      </c>
      <c r="EC50" s="680"/>
      <c r="ED50" s="83"/>
      <c r="EE50" s="691"/>
      <c r="EF50" s="692"/>
      <c r="EG50" s="51"/>
      <c r="EH50" s="679">
        <f>SUM(IF($C$1="Residência",0,$C$55),IF($F$1="Residência",0,$F$55),IF($I$1="Residência",0,$I$55),IF($L$1="Residência",0,$L$55),IF($E$69="BIFÁSICA",$C$69,0))</f>
        <v>0</v>
      </c>
      <c r="EI50" s="680"/>
      <c r="EJ50" s="51">
        <f>IF($EA$60=$DV$50,IF(AND($EH$30&lt;1,$DX$30&lt;1,$EH$50&gt;0,$DX$50&lt;1),(($EH$50-1)*$BM$61*0.5)+$BM$61,$EH$50*0.5*$BM$61),$EH$50*0.5*$BM$61)</f>
        <v>0</v>
      </c>
      <c r="EK50" s="116">
        <f>IF(EH50&gt;0,1,0)*$A$55</f>
        <v>0</v>
      </c>
      <c r="EL50" s="679">
        <f>EH50*$BK$61</f>
        <v>0</v>
      </c>
      <c r="EM50" s="680"/>
      <c r="EN50" s="689"/>
      <c r="EO50" s="690"/>
      <c r="EP50" s="679">
        <f>SUM(IF($C$1="Residência",$C$55,0),IF($F$1="Residência",$F$55,0),IF($I$1="Residência",$I$55,0),IF($L$1="Residência",$L$55,0))</f>
        <v>0</v>
      </c>
      <c r="EQ50" s="680"/>
      <c r="ER50" s="51">
        <f>IF($ES$60=$DV$50,IF(AND(EP30&lt;1,EY30&lt;1,EP50&gt;0),((EP50-1)*$BM$61*0.5)+$BM$61,EP50*0.5*$BM$61),EP50*0.5*$BM$61)</f>
        <v>0</v>
      </c>
      <c r="ES50" s="116">
        <f>IF(EP50&gt;0,1,0)*$A$55</f>
        <v>0</v>
      </c>
      <c r="ET50" s="679">
        <f>EP50*$BK$61</f>
        <v>0</v>
      </c>
      <c r="EU50" s="680"/>
      <c r="EW50" s="679">
        <f>SUM(IF($C$1="Residência",0,$C$55),IF($F$1="Residência",0,$F$55),IF($I$1="Residência",0,$I$55),IF($L$1="Residência",0,$L$55))</f>
        <v>0</v>
      </c>
      <c r="EX50" s="680"/>
      <c r="EY50" s="51">
        <f>IF($ES$60=$DV$50,IF(AND($EW$30&lt;1,$DX$30&lt;1,$EW$50&gt;0,$DX$50&lt;1),(($EW$50-1)*$BM$61*0.5)+$BM$61,$EW$50*0.5*$BM$61),$EW$50*0.5*$BM$61)</f>
        <v>0</v>
      </c>
      <c r="EZ50" s="116">
        <f>IF(EW50&gt;0,1,0)*$A$55</f>
        <v>0</v>
      </c>
      <c r="FA50" s="679">
        <f>EW50*$BK$61</f>
        <v>0</v>
      </c>
      <c r="FB50" s="680"/>
      <c r="FC50" s="386"/>
      <c r="FM50" s="22">
        <v>0.75</v>
      </c>
      <c r="FN50" s="83">
        <f>$B$55</f>
        <v>0.67</v>
      </c>
      <c r="FO50" s="679">
        <f>SUM($C$55,$F$55)</f>
        <v>0</v>
      </c>
      <c r="FP50" s="680"/>
      <c r="FQ50" s="51">
        <f>IF($FR$60=FM50,IF(FO30&lt;1,((FO50-1)*$BM$61*0.5)+$BM$61,FO50*0.5*$BM$61),FO50*0.5*$BM$61)</f>
        <v>0</v>
      </c>
      <c r="FR50" s="116">
        <f>IF(FO50&gt;0,1,0)*$A$55</f>
        <v>0</v>
      </c>
      <c r="FS50" s="679">
        <f>FO50*$BK$61</f>
        <v>0</v>
      </c>
      <c r="FT50" s="680"/>
      <c r="FU50" s="83"/>
      <c r="FV50" s="691"/>
      <c r="FW50" s="692"/>
      <c r="FX50" s="83"/>
      <c r="FY50" s="691"/>
      <c r="FZ50" s="692"/>
      <c r="GA50" s="83"/>
      <c r="GB50" s="691"/>
      <c r="GC50" s="692"/>
      <c r="GD50" s="83"/>
      <c r="GE50" s="689"/>
      <c r="GF50" s="690"/>
      <c r="GG50" s="83"/>
      <c r="GH50" s="691"/>
      <c r="GI50" s="692"/>
      <c r="GJ50" s="83"/>
      <c r="GK50" s="691"/>
      <c r="GL50" s="692"/>
      <c r="GR50" s="116"/>
      <c r="GS50" s="51"/>
      <c r="HD50" s="22">
        <v>0.75</v>
      </c>
      <c r="HE50" s="83">
        <f>$B$55</f>
        <v>0.67</v>
      </c>
      <c r="HF50" s="679">
        <f>SUM($I$55,$L$55)</f>
        <v>0</v>
      </c>
      <c r="HG50" s="680"/>
      <c r="HH50" s="51">
        <f>IF($HI$60=HD50,IF(HF30&lt;1,((HF50-1)*$BM$61*0.5)+$BM$61,HF50*0.5*$BM$61),HF50*0.5*$BM$61)</f>
        <v>0</v>
      </c>
      <c r="HI50" s="116">
        <f>IF(HF50&gt;0,1,0)*$A$55</f>
        <v>0</v>
      </c>
      <c r="HJ50" s="679">
        <f>HF50*$BK$61</f>
        <v>0</v>
      </c>
      <c r="HK50" s="680"/>
      <c r="HL50" s="83"/>
      <c r="HM50" s="691"/>
      <c r="HN50" s="692"/>
      <c r="HO50" s="83"/>
      <c r="HP50" s="691"/>
      <c r="HQ50" s="692"/>
      <c r="HR50" s="83"/>
      <c r="HS50" s="691"/>
      <c r="HT50" s="692"/>
      <c r="HU50" s="83"/>
      <c r="HV50" s="689"/>
      <c r="HW50" s="690"/>
      <c r="HX50" s="83"/>
      <c r="HY50" s="691"/>
      <c r="HZ50" s="692"/>
      <c r="IA50" s="83"/>
      <c r="IB50" s="691"/>
      <c r="IC50" s="692"/>
      <c r="II50" s="116"/>
      <c r="IJ50" s="51"/>
    </row>
    <row r="51" spans="1:244" ht="13.5" thickBot="1" x14ac:dyDescent="0.25">
      <c r="A51" s="24" t="s">
        <v>60</v>
      </c>
      <c r="B51" s="85"/>
      <c r="C51" s="503" t="s">
        <v>61</v>
      </c>
      <c r="D51" s="504"/>
      <c r="E51" s="504"/>
      <c r="F51" s="504"/>
      <c r="G51" s="504"/>
      <c r="H51" s="504"/>
      <c r="I51" s="504"/>
      <c r="J51" s="504"/>
      <c r="K51" s="504"/>
      <c r="L51" s="504"/>
      <c r="M51" s="504"/>
      <c r="N51" s="85"/>
      <c r="O51" s="503" t="s">
        <v>61</v>
      </c>
      <c r="P51" s="504"/>
      <c r="Q51" s="504"/>
      <c r="R51" s="504"/>
      <c r="S51" s="504"/>
      <c r="T51" s="504"/>
      <c r="U51" s="504"/>
      <c r="V51" s="504"/>
      <c r="W51" s="504"/>
      <c r="X51" s="504"/>
      <c r="Y51" s="504"/>
      <c r="Z51" s="85"/>
      <c r="AA51" s="503" t="s">
        <v>61</v>
      </c>
      <c r="AB51" s="504"/>
      <c r="AC51" s="504"/>
      <c r="AD51" s="504"/>
      <c r="AE51" s="504"/>
      <c r="AF51" s="504"/>
      <c r="AG51" s="504"/>
      <c r="AH51" s="504"/>
      <c r="AI51" s="504"/>
      <c r="AJ51" s="504"/>
      <c r="AK51" s="504"/>
      <c r="AL51" s="274"/>
      <c r="AM51" s="274"/>
      <c r="AN51" s="274"/>
      <c r="AO51" s="274"/>
      <c r="AP51" s="274"/>
      <c r="AQ51" s="276"/>
      <c r="AR51" s="51"/>
      <c r="AS51" s="51"/>
      <c r="AT51" s="51"/>
      <c r="AU51" s="51"/>
      <c r="AV51" s="51"/>
      <c r="AW51" s="51"/>
      <c r="AX51" s="51"/>
      <c r="AY51" s="51"/>
      <c r="AZ51" s="51"/>
      <c r="BA51" s="51"/>
      <c r="BB51" s="51"/>
      <c r="BC51" s="51"/>
      <c r="BD51" s="128"/>
      <c r="BF51" s="128"/>
      <c r="BG51" s="128"/>
      <c r="BH51" s="128"/>
      <c r="BI51" s="128"/>
      <c r="BJ51" s="128"/>
      <c r="BK51" s="51">
        <v>10.85</v>
      </c>
      <c r="BL51" s="98">
        <v>0.77</v>
      </c>
      <c r="BM51">
        <v>14.09090909090909</v>
      </c>
      <c r="BQ51" s="116">
        <v>10</v>
      </c>
      <c r="BR51" s="51">
        <f t="shared" si="72"/>
        <v>0</v>
      </c>
      <c r="BS51" s="51">
        <f t="shared" si="61"/>
        <v>0</v>
      </c>
      <c r="BT51" s="51">
        <f t="shared" si="62"/>
        <v>0</v>
      </c>
      <c r="BU51" s="51">
        <f t="shared" si="63"/>
        <v>0</v>
      </c>
      <c r="BV51" s="51">
        <f t="shared" si="64"/>
        <v>0</v>
      </c>
      <c r="BW51" s="51">
        <f t="shared" si="65"/>
        <v>0</v>
      </c>
      <c r="BX51" s="51">
        <f t="shared" si="66"/>
        <v>0</v>
      </c>
      <c r="BY51" s="51">
        <f t="shared" si="67"/>
        <v>0</v>
      </c>
      <c r="BZ51" s="51">
        <f t="shared" si="68"/>
        <v>0</v>
      </c>
      <c r="CA51" s="51">
        <f t="shared" si="69"/>
        <v>0</v>
      </c>
      <c r="CB51" s="51">
        <f t="shared" si="70"/>
        <v>0</v>
      </c>
      <c r="CC51" s="51">
        <f t="shared" si="71"/>
        <v>0</v>
      </c>
      <c r="CD51" s="127"/>
      <c r="CE51" s="51"/>
      <c r="CF51" s="51"/>
      <c r="CG51" s="51"/>
      <c r="CK51" s="22">
        <v>1</v>
      </c>
      <c r="CL51" s="83">
        <f>$B$56</f>
        <v>0.73</v>
      </c>
      <c r="CM51" s="679">
        <f>SUM($C$56,$F$56,IF($E$70="BIFÁSICA",$C$70,0))</f>
        <v>0</v>
      </c>
      <c r="CN51" s="680"/>
      <c r="CO51" s="51">
        <f>IF($CP$60=CK51,IF(CM31&lt;1,((CM51-1)*$BM$62*0.5)+$BM$62,CM51*0.5*$BM$62),CM51*0.5*$BM$62)</f>
        <v>0</v>
      </c>
      <c r="CP51" s="116">
        <f>IF(CM51&gt;0,1,0)*$A$56</f>
        <v>0</v>
      </c>
      <c r="CQ51" s="679">
        <f>CM51*$BK$62</f>
        <v>0</v>
      </c>
      <c r="CR51" s="680"/>
      <c r="CS51" s="83"/>
      <c r="CT51" s="22">
        <v>1</v>
      </c>
      <c r="CU51" s="83">
        <f>$B$56</f>
        <v>0.73</v>
      </c>
      <c r="CV51" s="679">
        <f>SUM($C$56,$F$56)</f>
        <v>0</v>
      </c>
      <c r="CW51" s="680"/>
      <c r="CX51" s="51">
        <f>IF($CY$60=CT51,IF(CV31&lt;1,((CV51-1)*$BM$62*0.5)+$BM$62,CV51*0.5*$BM$62),CV51*0.5*$BM$62)</f>
        <v>0</v>
      </c>
      <c r="CY51" s="116">
        <f>IF(CV51&gt;0,1,0)*$A$56</f>
        <v>0</v>
      </c>
      <c r="CZ51" s="679">
        <f>CV51*$BK$62</f>
        <v>0</v>
      </c>
      <c r="DA51" s="680"/>
      <c r="DB51" s="83"/>
      <c r="DC51" s="689"/>
      <c r="DD51" s="690"/>
      <c r="DE51" s="83"/>
      <c r="DF51" s="691"/>
      <c r="DG51" s="692"/>
      <c r="DH51" s="83"/>
      <c r="DI51" s="691"/>
      <c r="DJ51" s="692"/>
      <c r="DP51" s="116"/>
      <c r="DQ51" s="51"/>
      <c r="DR51"/>
      <c r="DT51"/>
      <c r="DV51" s="22">
        <v>1</v>
      </c>
      <c r="DW51" s="83">
        <f>$B$56</f>
        <v>0.73</v>
      </c>
      <c r="DX51" s="679">
        <f>SUM(IF($C$1="Residência",$C$56,0),IF($F$1="Residência",$F$56,0),IF($I$1="Residência",$I$56,0),IF($L$1="Residência",$L$56,0))</f>
        <v>0</v>
      </c>
      <c r="DY51" s="680"/>
      <c r="DZ51" s="51">
        <f>IF($EA$60=$DV$51,IF(AND(DX31&lt;1,EH31&lt;1,DX51&gt;0),((DX51-1)*$BM$62*0.5)+$BM$62,DX51*0.5*$BM$62),DX51*0.5*$BM$62)</f>
        <v>0</v>
      </c>
      <c r="EA51" s="116">
        <f>IF(DX51&gt;0,1,0)*$A$56</f>
        <v>0</v>
      </c>
      <c r="EB51" s="679">
        <f>DX51*$BK$62</f>
        <v>0</v>
      </c>
      <c r="EC51" s="680"/>
      <c r="ED51" s="83"/>
      <c r="EE51" s="691"/>
      <c r="EF51" s="692"/>
      <c r="EG51" s="51"/>
      <c r="EH51" s="679">
        <f>SUM(IF($C$1="Residência",0,$C$56),IF($F$1="Residência",0,$F$56),IF($I$1="Residência",0,$I$56),IF($L$1="Residência",0,$L$56),IF($E$70="BIFÁSICA",$C$70,0))</f>
        <v>0</v>
      </c>
      <c r="EI51" s="680"/>
      <c r="EJ51" s="51">
        <f>IF($EA$60=$DV$51,IF(AND($EH$31&lt;1,$DX$31&lt;1,$EH$51&gt;0,$DX$51&lt;1),(($EH$51-1)*$BM$62*0.5)+$BM$62,$EH$51*0.5*$BM$62),$EH$51*0.5*$BM$62)</f>
        <v>0</v>
      </c>
      <c r="EK51" s="116">
        <f>IF(EH51&gt;0,1,0)*$A$56</f>
        <v>0</v>
      </c>
      <c r="EL51" s="679">
        <f>EH51*$BK$62</f>
        <v>0</v>
      </c>
      <c r="EM51" s="680"/>
      <c r="EN51" s="689"/>
      <c r="EO51" s="690"/>
      <c r="EP51" s="679">
        <f>SUM(IF($C$1="Residência",$C$56,0),IF($F$1="Residência",$F$56,0),IF($I$1="Residência",$I$56,0),IF($L$1="Residência",$L$56,0))</f>
        <v>0</v>
      </c>
      <c r="EQ51" s="680"/>
      <c r="ER51" s="51">
        <f>IF($ES$60=$DV$51,IF(AND(EP31&lt;1,EY31&lt;1,EP51&gt;0),((EP51-1)*$BM$62*0.5)+$BM$62,EP51*0.5*$BM$62),EP51*0.5*$BM$62)</f>
        <v>0</v>
      </c>
      <c r="ES51" s="116">
        <f>IF(EP51&gt;0,1,0)*$A$56</f>
        <v>0</v>
      </c>
      <c r="ET51" s="679">
        <f>EP51*$BK$62</f>
        <v>0</v>
      </c>
      <c r="EU51" s="680"/>
      <c r="EW51" s="679">
        <f>SUM(IF($C$1="Residência",0,$C$56),IF($F$1="Residência",0,$F$56),IF($I$1="Residência",0,$I$56),IF($L$1="Residência",0,$L$56))</f>
        <v>0</v>
      </c>
      <c r="EX51" s="680"/>
      <c r="EY51" s="51">
        <f>IF($ES$60=$DV$51,IF(AND($EW$31&lt;1,$DX$31&lt;1,$EW$51&gt;0,$DX$51&lt;1),(($EW$51-1)*$BM$62*0.5)+$BM$62,$EW$51*0.5*$BM$62),$EW$51*0.5*$BM$62)</f>
        <v>0</v>
      </c>
      <c r="EZ51" s="116">
        <f>IF(EW51&gt;0,1,0)*$A$56</f>
        <v>0</v>
      </c>
      <c r="FA51" s="679">
        <f>EW51*$BK$62</f>
        <v>0</v>
      </c>
      <c r="FB51" s="680"/>
      <c r="FC51" s="386"/>
      <c r="FM51" s="22">
        <v>1</v>
      </c>
      <c r="FN51" s="83">
        <f>$B$56</f>
        <v>0.73</v>
      </c>
      <c r="FO51" s="679">
        <f>SUM($C$56,$F$56)</f>
        <v>0</v>
      </c>
      <c r="FP51" s="680"/>
      <c r="FQ51" s="51">
        <f>IF($FR$60=FM51,IF(FO31&lt;1,((FO51-1)*$BM$62*0.5)+$BM$62,FO51*0.5*$BM$62),FO51*0.5*$BM$62)</f>
        <v>0</v>
      </c>
      <c r="FR51" s="116">
        <f>IF(FO51&gt;0,1,0)*$A$56</f>
        <v>0</v>
      </c>
      <c r="FS51" s="679">
        <f>FO51*$BK$62</f>
        <v>0</v>
      </c>
      <c r="FT51" s="680"/>
      <c r="FU51" s="83"/>
      <c r="FV51" s="691"/>
      <c r="FW51" s="692"/>
      <c r="FX51" s="83"/>
      <c r="FY51" s="691"/>
      <c r="FZ51" s="692"/>
      <c r="GA51" s="83"/>
      <c r="GB51" s="691"/>
      <c r="GC51" s="692"/>
      <c r="GD51" s="83"/>
      <c r="GE51" s="689"/>
      <c r="GF51" s="690"/>
      <c r="GG51" s="83"/>
      <c r="GH51" s="691"/>
      <c r="GI51" s="692"/>
      <c r="GJ51" s="83"/>
      <c r="GK51" s="691"/>
      <c r="GL51" s="692"/>
      <c r="GR51" s="116"/>
      <c r="GS51" s="51"/>
      <c r="HD51" s="22">
        <v>1</v>
      </c>
      <c r="HE51" s="83">
        <f>$B$56</f>
        <v>0.73</v>
      </c>
      <c r="HF51" s="679">
        <f>SUM($I$56,$L$56)</f>
        <v>0</v>
      </c>
      <c r="HG51" s="680"/>
      <c r="HH51" s="51">
        <f>IF($HI$60=HD51,IF(HF31&lt;1,((HF51-1)*$BM$62*0.5)+$BM$62,HF51*0.5*$BM$62),HF51*0.5*$BM$62)</f>
        <v>0</v>
      </c>
      <c r="HI51" s="116">
        <f>IF(HF51&gt;0,1,0)*$A$56</f>
        <v>0</v>
      </c>
      <c r="HJ51" s="679">
        <f>HF51*$BK$62</f>
        <v>0</v>
      </c>
      <c r="HK51" s="680"/>
      <c r="HL51" s="83"/>
      <c r="HM51" s="691"/>
      <c r="HN51" s="692"/>
      <c r="HO51" s="83"/>
      <c r="HP51" s="691"/>
      <c r="HQ51" s="692"/>
      <c r="HR51" s="83"/>
      <c r="HS51" s="691"/>
      <c r="HT51" s="692"/>
      <c r="HU51" s="83"/>
      <c r="HV51" s="689"/>
      <c r="HW51" s="690"/>
      <c r="HX51" s="83"/>
      <c r="HY51" s="691"/>
      <c r="HZ51" s="692"/>
      <c r="IA51" s="83"/>
      <c r="IB51" s="691"/>
      <c r="IC51" s="692"/>
      <c r="II51" s="116"/>
      <c r="IJ51" s="51"/>
    </row>
    <row r="52" spans="1:244" ht="13.5" thickBot="1" x14ac:dyDescent="0.25">
      <c r="A52" s="22">
        <v>0.25</v>
      </c>
      <c r="B52" s="70">
        <v>0.63</v>
      </c>
      <c r="C52" s="691">
        <f>IF($C$1="Vazio",0,RELAÇÃO_DE_CARGA!C53:D53)</f>
        <v>0</v>
      </c>
      <c r="D52" s="692"/>
      <c r="E52" s="70">
        <v>0.63</v>
      </c>
      <c r="F52" s="713">
        <f>IF($F$1="Vazio",0,RELAÇÃO_DE_CARGA!F53:G53)</f>
        <v>0</v>
      </c>
      <c r="G52" s="714"/>
      <c r="H52" s="70">
        <v>0.63</v>
      </c>
      <c r="I52" s="713">
        <f>IF(OR($I$1="Vazio",RELAÇÃO_DE_CARGA!$I$1&lt;3),0,RELAÇÃO_DE_CARGA!I53:J53)</f>
        <v>0</v>
      </c>
      <c r="J52" s="714"/>
      <c r="K52" s="70">
        <v>0.63</v>
      </c>
      <c r="L52" s="713">
        <f>IF(OR($L$1="Vazio",RELAÇÃO_DE_CARGA!$I$1&lt;4),0,RELAÇÃO_DE_CARGA!L53:M53)</f>
        <v>0</v>
      </c>
      <c r="M52" s="714"/>
      <c r="N52" s="70">
        <v>0.63</v>
      </c>
      <c r="O52" s="691">
        <f>IF(OR($O$1="Vazio",RELAÇÃO_DE_CARGA!$I$1&lt;5),0,RELAÇÃO_DE_CARGA!O53)</f>
        <v>0</v>
      </c>
      <c r="P52" s="692"/>
      <c r="Q52" s="70">
        <v>0.63</v>
      </c>
      <c r="R52" s="713">
        <f>IF(OR($R$1="Vazio",RELAÇÃO_DE_CARGA!$I$1&lt;6),0,RELAÇÃO_DE_CARGA!R53)</f>
        <v>0</v>
      </c>
      <c r="S52" s="714"/>
      <c r="T52" s="70">
        <v>0.63</v>
      </c>
      <c r="U52" s="713">
        <f>IF(OR($U$1="Vazio",RELAÇÃO_DE_CARGA!$I$1&lt;7),0,RELAÇÃO_DE_CARGA!U53)</f>
        <v>0</v>
      </c>
      <c r="V52" s="714"/>
      <c r="W52" s="70">
        <v>0.63</v>
      </c>
      <c r="X52" s="713">
        <f>IF(OR($X$1="Vazio",RELAÇÃO_DE_CARGA!$I$1&lt;8),0,RELAÇÃO_DE_CARGA!X53)</f>
        <v>0</v>
      </c>
      <c r="Y52" s="714"/>
      <c r="Z52" s="70">
        <v>0.63</v>
      </c>
      <c r="AA52" s="713">
        <f>IF(OR($AA$1="Vazio",RELAÇÃO_DE_CARGA!$I$1&lt;9),0,RELAÇÃO_DE_CARGA!AA53)</f>
        <v>0</v>
      </c>
      <c r="AB52" s="714"/>
      <c r="AC52" s="70">
        <v>0.63</v>
      </c>
      <c r="AD52" s="713">
        <f>IF(OR($AD$1="Vazio",RELAÇÃO_DE_CARGA!$I$1&lt;10),0,RELAÇÃO_DE_CARGA!AD53)</f>
        <v>0</v>
      </c>
      <c r="AE52" s="714"/>
      <c r="AF52" s="70">
        <v>0.63</v>
      </c>
      <c r="AG52" s="713">
        <f>IF(OR($AG$1="Vazio",RELAÇÃO_DE_CARGA!$I$1&lt;11),0,RELAÇÃO_DE_CARGA!AG53)</f>
        <v>0</v>
      </c>
      <c r="AH52" s="714"/>
      <c r="AI52" s="70">
        <v>0.63</v>
      </c>
      <c r="AJ52" s="713">
        <f>IF(OR($AJ$1="Vazio",RELAÇÃO_DE_CARGA!$I$1&lt;12),0,RELAÇÃO_DE_CARGA!AJ53)</f>
        <v>0</v>
      </c>
      <c r="AK52" s="714"/>
      <c r="AL52" s="35"/>
      <c r="AM52" s="35"/>
      <c r="AN52" s="35"/>
      <c r="AO52" s="35"/>
      <c r="AP52" s="35"/>
      <c r="AQ52" s="276">
        <f t="shared" ref="AQ52:AQ64" si="73">IF(C52&gt;0,$A52,0)</f>
        <v>0</v>
      </c>
      <c r="AR52" s="276">
        <f t="shared" ref="AR52:AR64" si="74">IF(F52&gt;0,$A52,0)</f>
        <v>0</v>
      </c>
      <c r="AS52" s="276">
        <f t="shared" ref="AS52:AS64" si="75">IF(I52&gt;0,$A52,0)</f>
        <v>0</v>
      </c>
      <c r="AT52" s="276">
        <f t="shared" ref="AT52:AT64" si="76">IF(L52&gt;0,$A52,0)</f>
        <v>0</v>
      </c>
      <c r="AU52" s="276">
        <f t="shared" ref="AU52:AU64" si="77">IF(O52&gt;0,$A52,0)</f>
        <v>0</v>
      </c>
      <c r="AV52" s="276">
        <f t="shared" ref="AV52:AV64" si="78">IF(R52&gt;0,$A52,0)</f>
        <v>0</v>
      </c>
      <c r="AW52" s="276">
        <f t="shared" ref="AW52:AW64" si="79">IF(U52&gt;0,$A52,0)</f>
        <v>0</v>
      </c>
      <c r="AX52" s="276">
        <f t="shared" ref="AX52:AX64" si="80">IF(X52&gt;0,$A52,0)</f>
        <v>0</v>
      </c>
      <c r="AY52" s="276">
        <f t="shared" ref="AY52:AY64" si="81">IF(AA52&gt;0,$A52,0)</f>
        <v>0</v>
      </c>
      <c r="AZ52" s="276">
        <f t="shared" ref="AZ52:AZ64" si="82">IF(AD52&gt;0,$A52,0)</f>
        <v>0</v>
      </c>
      <c r="BA52" s="276">
        <f t="shared" ref="BA52:BA64" si="83">IF(AG52&gt;0,$A52,0)</f>
        <v>0</v>
      </c>
      <c r="BB52" s="276">
        <f t="shared" ref="BB52:BB64" si="84">IF(AJ52&gt;0,$A52,0)</f>
        <v>0</v>
      </c>
      <c r="BC52" s="172">
        <f t="shared" ref="BC52:BC64" si="85">C52+I52</f>
        <v>0</v>
      </c>
      <c r="BD52" s="128">
        <f>IF(AND(BC52&gt;0,BD34&lt;1,BD35&lt;1,BD36&lt;1,BD37&lt;1,BD53&lt;1,BD38&lt;1,BD39&lt;1,BD54&lt;1,BD40&lt;1,BD55&lt;1,BD56&lt;1,BD41&lt;1,BD33&lt;1,BD57&lt;1,BD42&lt;1,BD43&lt;1,BD58&lt;1,BD59&lt;1,BD44&lt;1,BD60&lt;1,BD45&lt;1,BD61&lt;1,BD46&lt;1,BD62&lt;1,BD47&lt;1,BD63&lt;1,BD48&lt;1,BD49&lt;1,BD64&lt;1),1,0)</f>
        <v>0</v>
      </c>
      <c r="BE52" s="172">
        <f t="shared" ref="BE52:BE63" si="86">F52+L52</f>
        <v>0</v>
      </c>
      <c r="BF52" s="128">
        <f>IF(AND(BE52&gt;0,BF34&lt;1,BF35&lt;1,BF36&lt;1,BF37&lt;1,BF53&lt;1,BF38&lt;1,BF39&lt;1,BF54&lt;1,BF40&lt;1,BF55&lt;1,BF56&lt;1,BF41&lt;1,BF33&lt;1,BF57&lt;1,BF42&lt;1,BF43&lt;1,BF58&lt;1,BF59&lt;1,BF44&lt;1,BF60&lt;1,BF45&lt;1,BF61&lt;1,BF46&lt;1,BF62&lt;1,BF47&lt;1,BF63&lt;1,BF48&lt;1,BF49&lt;1,BF64&lt;1),1,0)</f>
        <v>0</v>
      </c>
      <c r="BG52" s="128"/>
      <c r="BH52" s="128"/>
      <c r="BI52" s="128"/>
      <c r="BJ52" s="128"/>
      <c r="BK52" s="51">
        <v>12.82</v>
      </c>
      <c r="BL52" s="98">
        <v>0.77</v>
      </c>
      <c r="BM52">
        <v>16.649350649350648</v>
      </c>
      <c r="BQ52" s="116">
        <v>12.5</v>
      </c>
      <c r="BR52" s="51">
        <f t="shared" si="72"/>
        <v>0</v>
      </c>
      <c r="BS52" s="51">
        <f t="shared" si="61"/>
        <v>0</v>
      </c>
      <c r="BT52" s="51">
        <f t="shared" si="62"/>
        <v>0</v>
      </c>
      <c r="BU52" s="51">
        <f t="shared" si="63"/>
        <v>0</v>
      </c>
      <c r="BV52" s="51">
        <f t="shared" si="64"/>
        <v>0</v>
      </c>
      <c r="BW52" s="51">
        <f t="shared" si="65"/>
        <v>0</v>
      </c>
      <c r="BX52" s="51">
        <f t="shared" si="66"/>
        <v>0</v>
      </c>
      <c r="BY52" s="51">
        <f t="shared" si="67"/>
        <v>0</v>
      </c>
      <c r="BZ52" s="51">
        <f t="shared" si="68"/>
        <v>0</v>
      </c>
      <c r="CA52" s="51">
        <f t="shared" si="69"/>
        <v>0</v>
      </c>
      <c r="CB52" s="51">
        <f t="shared" si="70"/>
        <v>0</v>
      </c>
      <c r="CC52" s="51">
        <f t="shared" si="71"/>
        <v>0</v>
      </c>
      <c r="CD52" s="127"/>
      <c r="CE52" s="51"/>
      <c r="CF52" s="51"/>
      <c r="CG52" s="51"/>
      <c r="CK52" s="22">
        <v>1.5</v>
      </c>
      <c r="CL52" s="83">
        <f>$B$57</f>
        <v>0.71</v>
      </c>
      <c r="CM52" s="679">
        <f>SUM($C$57,$F$57,IF($E$71="BIFÁSICA",$C$71,0))</f>
        <v>0</v>
      </c>
      <c r="CN52" s="680"/>
      <c r="CO52" s="51">
        <f>IF($CP$60=CK52,IF(CM32&lt;1,((CM52-1)*$BM$63*0.5)+$BM$63,CM52*0.5*$BM$63),CM52*0.5*$BM$63)</f>
        <v>0</v>
      </c>
      <c r="CP52" s="116">
        <f>IF(CM52&gt;0,1,0)*$A$57</f>
        <v>0</v>
      </c>
      <c r="CQ52" s="679">
        <f>CM52*$BK$63</f>
        <v>0</v>
      </c>
      <c r="CR52" s="680"/>
      <c r="CS52" s="83"/>
      <c r="CT52" s="22">
        <v>1.5</v>
      </c>
      <c r="CU52" s="83">
        <f>$B$57</f>
        <v>0.71</v>
      </c>
      <c r="CV52" s="679">
        <f>SUM($C$57,$F$57)</f>
        <v>0</v>
      </c>
      <c r="CW52" s="680"/>
      <c r="CX52" s="51">
        <f>IF($CY$60=CT52,IF(CV32&lt;1,((CV52-1)*$BM$63*0.5)+$BM$63,CV52*0.5*$BM$63),CV52*0.5*$BM$63)</f>
        <v>0</v>
      </c>
      <c r="CY52" s="116">
        <f>IF(CV52&gt;0,1,0)*$A$57</f>
        <v>0</v>
      </c>
      <c r="CZ52" s="679">
        <f>CV52*$BK$63</f>
        <v>0</v>
      </c>
      <c r="DA52" s="680"/>
      <c r="DB52" s="83"/>
      <c r="DC52" s="689"/>
      <c r="DD52" s="690"/>
      <c r="DE52" s="83"/>
      <c r="DF52" s="691"/>
      <c r="DG52" s="692"/>
      <c r="DH52" s="83"/>
      <c r="DI52" s="691"/>
      <c r="DJ52" s="692"/>
      <c r="DP52" s="116"/>
      <c r="DQ52" s="51"/>
      <c r="DR52"/>
      <c r="DT52"/>
      <c r="DV52" s="22">
        <v>1.5</v>
      </c>
      <c r="DW52" s="83">
        <f>$B$57</f>
        <v>0.71</v>
      </c>
      <c r="DX52" s="679">
        <f>SUM(IF($C$1="Residência",$C$57,0),IF($F$1="Residência",$F$57,0),IF($I$1="Residência",$I$57,0),IF($L$1="Residência",$L$57,0))</f>
        <v>0</v>
      </c>
      <c r="DY52" s="680"/>
      <c r="DZ52" s="51">
        <f>IF($EA$60=$DV$52,IF(AND(DX32&lt;1,EH32&lt;1,DX52&gt;0),((DX52-1)*$BM$63*0.5)+$BM$63,DX52*0.5*$BM$63),DX52*0.5*$BM$63)</f>
        <v>0</v>
      </c>
      <c r="EA52" s="116">
        <f>IF(DX52&gt;0,1,0)*$A$57</f>
        <v>0</v>
      </c>
      <c r="EB52" s="679">
        <f>DX52*$BK$63</f>
        <v>0</v>
      </c>
      <c r="EC52" s="680"/>
      <c r="ED52" s="83"/>
      <c r="EE52" s="691"/>
      <c r="EF52" s="692"/>
      <c r="EG52" s="51"/>
      <c r="EH52" s="679">
        <f>SUM(IF($C$1="Residência",0,$C$57),IF($F$1="Residência",0,$F$57),IF($I$1="Residência",0,$I$57),IF($L$1="Residência",0,$L$57),IF($E$71="BIFÁSICA",$C$71,0))</f>
        <v>0</v>
      </c>
      <c r="EI52" s="680"/>
      <c r="EJ52" s="51">
        <f>IF($EA$60=$DV$52,IF(AND($EH$32&lt;1,$DX$32&lt;1,$EH$52&gt;0,$DX$52&lt;1),(($EH$52-1)*$BM$63*0.5)+$BM$63,$EH$52*0.5*$BM$63),$EH$52*0.5*$BM$63)</f>
        <v>0</v>
      </c>
      <c r="EK52" s="116">
        <f>IF(EH52&gt;0,1,0)*$A$57</f>
        <v>0</v>
      </c>
      <c r="EL52" s="679">
        <f>EH52*$BK$63</f>
        <v>0</v>
      </c>
      <c r="EM52" s="680"/>
      <c r="EN52" s="689"/>
      <c r="EO52" s="690"/>
      <c r="EP52" s="679">
        <f>SUM(IF($C$1="Residência",$C$57,0),IF($F$1="Residência",$F$57,0),IF($I$1="Residência",$I$57,0),IF($L$1="Residência",$L$57,0))</f>
        <v>0</v>
      </c>
      <c r="EQ52" s="680"/>
      <c r="ER52" s="51">
        <f>IF($ES$60=$DV$52,IF(AND(EP32&lt;1,EY32&lt;1,EP52&gt;0),((EP52-1)*$BM$63*0.5)+$BM$63,EP52*0.5*$BM$63),EP52*0.5*$BM$63)</f>
        <v>0</v>
      </c>
      <c r="ES52" s="116">
        <f>IF(EP52&gt;0,1,0)*$A$57</f>
        <v>0</v>
      </c>
      <c r="ET52" s="679">
        <f>EP52*$BK$63</f>
        <v>0</v>
      </c>
      <c r="EU52" s="680"/>
      <c r="EW52" s="679">
        <f>SUM(IF($C$1="Residência",0,$C$57),IF($F$1="Residência",0,$F$57),IF($I$1="Residência",0,$I$57),IF($L$1="Residência",0,$L$57))</f>
        <v>0</v>
      </c>
      <c r="EX52" s="680"/>
      <c r="EY52" s="51">
        <f>IF($ES$60=$DV$52,IF(AND($EW$32&lt;1,$DX$32&lt;1,$EW$52&gt;0,$DX$52&lt;1),(($EW$52-1)*$BM$63*0.5)+$BM$63,$EW$52*0.5*$BM$63),$EW$52*0.5*$BM$63)</f>
        <v>0</v>
      </c>
      <c r="EZ52" s="116">
        <f>IF(EW52&gt;0,1,0)*$A$57</f>
        <v>0</v>
      </c>
      <c r="FA52" s="679">
        <f>EW52*$BK$63</f>
        <v>0</v>
      </c>
      <c r="FB52" s="680"/>
      <c r="FC52" s="386"/>
      <c r="FM52" s="22">
        <v>1.5</v>
      </c>
      <c r="FN52" s="83">
        <f>$B$57</f>
        <v>0.71</v>
      </c>
      <c r="FO52" s="679">
        <f>SUM($C$57,$F$57)</f>
        <v>0</v>
      </c>
      <c r="FP52" s="680"/>
      <c r="FQ52" s="51">
        <f>IF($FR$60=FM52,IF(FO32&lt;1,((FO52-1)*$BM$63*0.5)+$BM$63,FO52*0.5*$BM$63),FO52*0.5*$BM$63)</f>
        <v>0</v>
      </c>
      <c r="FR52" s="116">
        <f>IF(FO52&gt;0,1,0)*$A$57</f>
        <v>0</v>
      </c>
      <c r="FS52" s="679">
        <f>FO52*$BK$63</f>
        <v>0</v>
      </c>
      <c r="FT52" s="680"/>
      <c r="FU52" s="83"/>
      <c r="FV52" s="691"/>
      <c r="FW52" s="692"/>
      <c r="FX52" s="83"/>
      <c r="FY52" s="691"/>
      <c r="FZ52" s="692"/>
      <c r="GA52" s="83"/>
      <c r="GB52" s="691"/>
      <c r="GC52" s="692"/>
      <c r="GD52" s="83"/>
      <c r="GE52" s="689"/>
      <c r="GF52" s="690"/>
      <c r="GG52" s="83"/>
      <c r="GH52" s="691"/>
      <c r="GI52" s="692"/>
      <c r="GJ52" s="83"/>
      <c r="GK52" s="691"/>
      <c r="GL52" s="692"/>
      <c r="GR52" s="116"/>
      <c r="GS52" s="51"/>
      <c r="HD52" s="22">
        <v>1.5</v>
      </c>
      <c r="HE52" s="83">
        <f>$B$57</f>
        <v>0.71</v>
      </c>
      <c r="HF52" s="679">
        <f>SUM($I$57,$L$57)</f>
        <v>0</v>
      </c>
      <c r="HG52" s="680"/>
      <c r="HH52" s="51">
        <f>IF($HI$60=HD52,IF(HF32&lt;1,((HF52-1)*$BM$63*0.5)+$BM$63,HF52*0.5*$BM$63),HF52*0.5*$BM$63)</f>
        <v>0</v>
      </c>
      <c r="HI52" s="116">
        <f>IF(HF52&gt;0,1,0)*$A$57</f>
        <v>0</v>
      </c>
      <c r="HJ52" s="679">
        <f>HF52*$BK$63</f>
        <v>0</v>
      </c>
      <c r="HK52" s="680"/>
      <c r="HL52" s="83"/>
      <c r="HM52" s="691"/>
      <c r="HN52" s="692"/>
      <c r="HO52" s="83"/>
      <c r="HP52" s="691"/>
      <c r="HQ52" s="692"/>
      <c r="HR52" s="83"/>
      <c r="HS52" s="691"/>
      <c r="HT52" s="692"/>
      <c r="HU52" s="83"/>
      <c r="HV52" s="689"/>
      <c r="HW52" s="690"/>
      <c r="HX52" s="83"/>
      <c r="HY52" s="691"/>
      <c r="HZ52" s="692"/>
      <c r="IA52" s="83"/>
      <c r="IB52" s="691"/>
      <c r="IC52" s="692"/>
      <c r="II52" s="116"/>
      <c r="IJ52" s="51"/>
    </row>
    <row r="53" spans="1:244" ht="13.5" thickBot="1" x14ac:dyDescent="0.25">
      <c r="A53" s="22">
        <v>0.33333333333333298</v>
      </c>
      <c r="B53" s="70">
        <v>0.66</v>
      </c>
      <c r="C53" s="691">
        <f>IF($C$1="Vazio",0,RELAÇÃO_DE_CARGA!C54:D54)</f>
        <v>0</v>
      </c>
      <c r="D53" s="692"/>
      <c r="E53" s="70">
        <v>0.66</v>
      </c>
      <c r="F53" s="713">
        <f>IF($F$1="Vazio",0,RELAÇÃO_DE_CARGA!F54:G54)</f>
        <v>0</v>
      </c>
      <c r="G53" s="714"/>
      <c r="H53" s="70">
        <v>0.66</v>
      </c>
      <c r="I53" s="713">
        <f>IF(OR($I$1="Vazio",RELAÇÃO_DE_CARGA!$I$1&lt;3),0,RELAÇÃO_DE_CARGA!I54:J54)</f>
        <v>0</v>
      </c>
      <c r="J53" s="714"/>
      <c r="K53" s="70">
        <v>0.66</v>
      </c>
      <c r="L53" s="713">
        <f>IF(OR($L$1="Vazio",RELAÇÃO_DE_CARGA!$I$1&lt;4),0,RELAÇÃO_DE_CARGA!L54:M54)</f>
        <v>0</v>
      </c>
      <c r="M53" s="714"/>
      <c r="N53" s="70">
        <v>0.66</v>
      </c>
      <c r="O53" s="691">
        <f>IF(OR($O$1="Vazio",RELAÇÃO_DE_CARGA!$I$1&lt;5),0,RELAÇÃO_DE_CARGA!O54)</f>
        <v>0</v>
      </c>
      <c r="P53" s="692"/>
      <c r="Q53" s="70">
        <v>0.66</v>
      </c>
      <c r="R53" s="713">
        <f>IF(OR($R$1="Vazio",RELAÇÃO_DE_CARGA!$I$1&lt;6),0,RELAÇÃO_DE_CARGA!R54)</f>
        <v>0</v>
      </c>
      <c r="S53" s="714"/>
      <c r="T53" s="70">
        <v>0.66</v>
      </c>
      <c r="U53" s="713">
        <f>IF(OR($U$1="Vazio",RELAÇÃO_DE_CARGA!$I$1&lt;7),0,RELAÇÃO_DE_CARGA!U54)</f>
        <v>0</v>
      </c>
      <c r="V53" s="714"/>
      <c r="W53" s="70">
        <v>0.66</v>
      </c>
      <c r="X53" s="713">
        <f>IF(OR($X$1="Vazio",RELAÇÃO_DE_CARGA!$I$1&lt;8),0,RELAÇÃO_DE_CARGA!X54)</f>
        <v>0</v>
      </c>
      <c r="Y53" s="714"/>
      <c r="Z53" s="70">
        <v>0.66</v>
      </c>
      <c r="AA53" s="713">
        <f>IF(OR($AA$1="Vazio",RELAÇÃO_DE_CARGA!$I$1&lt;9),0,RELAÇÃO_DE_CARGA!AA54)</f>
        <v>0</v>
      </c>
      <c r="AB53" s="714"/>
      <c r="AC53" s="70">
        <v>0.66</v>
      </c>
      <c r="AD53" s="713">
        <f>IF(OR($AD$1="Vazio",RELAÇÃO_DE_CARGA!$I$1&lt;10),0,RELAÇÃO_DE_CARGA!AD54)</f>
        <v>0</v>
      </c>
      <c r="AE53" s="714"/>
      <c r="AF53" s="70">
        <v>0.66</v>
      </c>
      <c r="AG53" s="713">
        <f>IF(OR($AG$1="Vazio",RELAÇÃO_DE_CARGA!$I$1&lt;11),0,RELAÇÃO_DE_CARGA!AG54)</f>
        <v>0</v>
      </c>
      <c r="AH53" s="714"/>
      <c r="AI53" s="70">
        <v>0.66</v>
      </c>
      <c r="AJ53" s="713">
        <f>IF(OR($AJ$1="Vazio",RELAÇÃO_DE_CARGA!$I$1&lt;12),0,RELAÇÃO_DE_CARGA!AJ54)</f>
        <v>0</v>
      </c>
      <c r="AK53" s="714"/>
      <c r="AL53" s="35"/>
      <c r="AM53" s="35"/>
      <c r="AN53" s="35"/>
      <c r="AO53" s="35"/>
      <c r="AP53" s="35"/>
      <c r="AQ53" s="276">
        <f t="shared" si="73"/>
        <v>0</v>
      </c>
      <c r="AR53" s="276">
        <f t="shared" si="74"/>
        <v>0</v>
      </c>
      <c r="AS53" s="276">
        <f t="shared" si="75"/>
        <v>0</v>
      </c>
      <c r="AT53" s="276">
        <f t="shared" si="76"/>
        <v>0</v>
      </c>
      <c r="AU53" s="276">
        <f t="shared" si="77"/>
        <v>0</v>
      </c>
      <c r="AV53" s="276">
        <f t="shared" si="78"/>
        <v>0</v>
      </c>
      <c r="AW53" s="276">
        <f t="shared" si="79"/>
        <v>0</v>
      </c>
      <c r="AX53" s="276">
        <f t="shared" si="80"/>
        <v>0</v>
      </c>
      <c r="AY53" s="276">
        <f t="shared" si="81"/>
        <v>0</v>
      </c>
      <c r="AZ53" s="276">
        <f t="shared" si="82"/>
        <v>0</v>
      </c>
      <c r="BA53" s="276">
        <f t="shared" si="83"/>
        <v>0</v>
      </c>
      <c r="BB53" s="276">
        <f t="shared" si="84"/>
        <v>0</v>
      </c>
      <c r="BC53" s="172">
        <f t="shared" si="85"/>
        <v>0</v>
      </c>
      <c r="BD53" s="128">
        <f>IF(AND(BC53&gt;0,BD35&lt;1,BD36&lt;1,BD37&lt;1,BD38&lt;1,BD54&lt;1,BD39&lt;1,BD40&lt;1,BD55&lt;1,BD41&lt;1,BD56&lt;1,BD57&lt;1,BD42&lt;1,BD34&lt;1,BD58&lt;1,BD43&lt;1,BD33&lt;1,BD44&lt;1,BD59&lt;1,BD60&lt;1,BD45&lt;1,BD61&lt;1,BD46&lt;1,BD62&lt;1,BD47&lt;1,BD63&lt;1,BD48&lt;1,BD64&lt;1,BD49&lt;1),1,0)</f>
        <v>0</v>
      </c>
      <c r="BE53" s="172">
        <f t="shared" si="86"/>
        <v>0</v>
      </c>
      <c r="BF53" s="128">
        <f>IF(AND(BE53&gt;0,BF35&lt;1,BF36&lt;1,BF37&lt;1,BF38&lt;1,BF54&lt;1,BF39&lt;1,BF40&lt;1,BF55&lt;1,BF41&lt;1,BF56&lt;1,BF57&lt;1,BF42&lt;1,BF34&lt;1,BF58&lt;1,BF43&lt;1,BF33&lt;1,BF44&lt;1,BF59&lt;1,BF60&lt;1,BF45&lt;1,BF61&lt;1,BF46&lt;1,BF62&lt;1,BF47&lt;1,BF63&lt;1,BF48&lt;1,BF64&lt;1,BF49&lt;1),1,0)</f>
        <v>0</v>
      </c>
      <c r="BG53" s="128"/>
      <c r="BH53" s="128"/>
      <c r="BI53" s="128"/>
      <c r="BJ53" s="128"/>
      <c r="BK53" s="51">
        <v>17.010000000000002</v>
      </c>
      <c r="BL53" s="98">
        <v>0.77</v>
      </c>
      <c r="BM53">
        <v>22.090909090909093</v>
      </c>
      <c r="BQ53" s="116">
        <v>15</v>
      </c>
      <c r="BR53" s="51">
        <f t="shared" si="72"/>
        <v>0</v>
      </c>
      <c r="BS53" s="51">
        <f t="shared" si="61"/>
        <v>0</v>
      </c>
      <c r="BT53" s="51">
        <f t="shared" si="62"/>
        <v>0</v>
      </c>
      <c r="BU53" s="51">
        <f t="shared" si="63"/>
        <v>0</v>
      </c>
      <c r="BV53" s="51">
        <f t="shared" si="64"/>
        <v>0</v>
      </c>
      <c r="BW53" s="51">
        <f t="shared" si="65"/>
        <v>0</v>
      </c>
      <c r="BX53" s="51">
        <f t="shared" si="66"/>
        <v>0</v>
      </c>
      <c r="BY53" s="51">
        <f t="shared" si="67"/>
        <v>0</v>
      </c>
      <c r="BZ53" s="51">
        <f t="shared" si="68"/>
        <v>0</v>
      </c>
      <c r="CA53" s="51">
        <f t="shared" si="69"/>
        <v>0</v>
      </c>
      <c r="CB53" s="51">
        <f t="shared" si="70"/>
        <v>0</v>
      </c>
      <c r="CC53" s="51">
        <f t="shared" si="71"/>
        <v>0</v>
      </c>
      <c r="CD53" s="127"/>
      <c r="CE53" s="51"/>
      <c r="CF53" s="51"/>
      <c r="CG53" s="51"/>
      <c r="CK53" s="22">
        <v>2</v>
      </c>
      <c r="CL53" s="83">
        <f>$B$58</f>
        <v>0.73</v>
      </c>
      <c r="CM53" s="679">
        <f>SUM($C$58,$F$58,IF($E$72="BIFÁSICA",$C$72,0))</f>
        <v>0</v>
      </c>
      <c r="CN53" s="680"/>
      <c r="CO53" s="51">
        <f>IF($CP$60=CK53,IF(CM33&lt;1,((CM53-1)*$BM$64*0.5)+$BM$64,CM53*0.5*$BM$64),CM53*0.5*$BM$64)</f>
        <v>0</v>
      </c>
      <c r="CP53" s="116">
        <f>IF(CM53&gt;0,1,0)*$A$58</f>
        <v>0</v>
      </c>
      <c r="CQ53" s="679">
        <f>CM53*$BK$64</f>
        <v>0</v>
      </c>
      <c r="CR53" s="680"/>
      <c r="CS53" s="83"/>
      <c r="CT53" s="22">
        <v>2</v>
      </c>
      <c r="CU53" s="83">
        <f>$B$58</f>
        <v>0.73</v>
      </c>
      <c r="CV53" s="679">
        <f>SUM($C$58,$F$58)</f>
        <v>0</v>
      </c>
      <c r="CW53" s="680"/>
      <c r="CX53" s="51">
        <f>IF($CY$60=CT53,IF(CV33&lt;1,((CV53-1)*$BM$64*0.5)+$BM$64,CV53*0.5*$BM$64),CV53*0.5*$BM$64)</f>
        <v>0</v>
      </c>
      <c r="CY53" s="116">
        <f>IF(CV53&gt;0,1,0)*$A$58</f>
        <v>0</v>
      </c>
      <c r="CZ53" s="679">
        <f>CV53*$BK$64</f>
        <v>0</v>
      </c>
      <c r="DA53" s="680"/>
      <c r="DB53" s="83"/>
      <c r="DC53" s="689"/>
      <c r="DD53" s="690"/>
      <c r="DE53" s="83"/>
      <c r="DF53" s="691"/>
      <c r="DG53" s="692"/>
      <c r="DH53" s="83"/>
      <c r="DI53" s="691"/>
      <c r="DJ53" s="692"/>
      <c r="DP53" s="116"/>
      <c r="DQ53" s="51"/>
      <c r="DR53"/>
      <c r="DT53"/>
      <c r="DV53" s="22">
        <v>2</v>
      </c>
      <c r="DW53" s="83">
        <f>$B$58</f>
        <v>0.73</v>
      </c>
      <c r="DX53" s="679">
        <f>SUM(IF($C$1="Residência",$C$58,0),IF($F$1="Residência",$F$58,0),IF($I$1="Residência",$I$58,0),IF($L$1="Residência",$L$58,0))</f>
        <v>0</v>
      </c>
      <c r="DY53" s="680"/>
      <c r="DZ53" s="51">
        <f>IF($EA$60=$DV$53,IF(AND(DX33&lt;1,EH33&lt;1,DX53&gt;0),((DX53-1)*$BM$64*0.5)+$BM$64,DX53*0.5*$BM$64),DX53*0.5*$BM$64)</f>
        <v>0</v>
      </c>
      <c r="EA53" s="116">
        <f>IF(DX53&gt;0,1,0)*$A$58</f>
        <v>0</v>
      </c>
      <c r="EB53" s="679">
        <f>DX53*$BK$64</f>
        <v>0</v>
      </c>
      <c r="EC53" s="680"/>
      <c r="ED53" s="83"/>
      <c r="EE53" s="691"/>
      <c r="EF53" s="692"/>
      <c r="EG53" s="51"/>
      <c r="EH53" s="679">
        <f>SUM(IF($C$1="Residência",0,$C$58),IF($F$1="Residência",0,$F$58),IF($I$1="Residência",0,$I$58),IF($L$1="Residência",0,$L$58),IF($E$72="BIFÁSICA",$C$72,0))</f>
        <v>0</v>
      </c>
      <c r="EI53" s="680"/>
      <c r="EJ53" s="51">
        <f>IF($EA$60=$DV$53,IF(AND($EH$33&lt;1,$DX$33&lt;1,$EH$53&gt;0,$DX$53&lt;1),(($EH$53-1)*$BM$64*0.5)+$BM$64,$EH$53*0.5*$BM$64),$EH$53*0.5*$BM$64)</f>
        <v>0</v>
      </c>
      <c r="EK53" s="116">
        <f>IF(EH53&gt;0,1,0)*$A$58</f>
        <v>0</v>
      </c>
      <c r="EL53" s="679">
        <f>EH53*$BK$64</f>
        <v>0</v>
      </c>
      <c r="EM53" s="680"/>
      <c r="EN53" s="689"/>
      <c r="EO53" s="690"/>
      <c r="EP53" s="679">
        <f>SUM(IF($C$1="Residência",$C$58,0),IF($F$1="Residência",$F$58,0),IF($I$1="Residência",$I$58,0),IF($L$1="Residência",$L$58,0))</f>
        <v>0</v>
      </c>
      <c r="EQ53" s="680"/>
      <c r="ER53" s="51">
        <f>IF($ES$60=$DV$53,IF(AND(EP33&lt;1,EY33&lt;1,EP53&gt;0),((EP53-1)*$BM$64*0.5)+$BM$64,EP53*0.5*$BM$64),EP53*0.5*$BM$64)</f>
        <v>0</v>
      </c>
      <c r="ES53" s="116">
        <f>IF(EP53&gt;0,1,0)*$A$58</f>
        <v>0</v>
      </c>
      <c r="ET53" s="679">
        <f>EP53*$BK$64</f>
        <v>0</v>
      </c>
      <c r="EU53" s="680"/>
      <c r="EW53" s="679">
        <f>SUM(IF($C$1="Residência",0,$C$58),IF($F$1="Residência",0,$F$58),IF($I$1="Residência",0,$I$58),IF($L$1="Residência",0,$L$58))</f>
        <v>0</v>
      </c>
      <c r="EX53" s="680"/>
      <c r="EY53" s="51">
        <f>IF($ES$60=$DV$53,IF(AND($EW$33&lt;1,$DX$33&lt;1,$EW$53&gt;0,$DX$53&lt;1),(($EW$53-1)*$BM$64*0.5)+$BM$64,$EW$53*0.5*$BM$64),$EW$53*0.5*$BM$64)</f>
        <v>0</v>
      </c>
      <c r="EZ53" s="116">
        <f>IF(EW53&gt;0,1,0)*$A$58</f>
        <v>0</v>
      </c>
      <c r="FA53" s="679">
        <f>EW53*$BK$64</f>
        <v>0</v>
      </c>
      <c r="FB53" s="680"/>
      <c r="FC53" s="386"/>
      <c r="FM53" s="22">
        <v>2</v>
      </c>
      <c r="FN53" s="83">
        <f>$B$58</f>
        <v>0.73</v>
      </c>
      <c r="FO53" s="679">
        <f>SUM($C$58,$F$58)</f>
        <v>0</v>
      </c>
      <c r="FP53" s="680"/>
      <c r="FQ53" s="51">
        <f>IF($FR$60=FM53,IF(FO33&lt;1,((FO53-1)*$BM$64*0.5)+$BM$64,FO53*0.5*$BM$64),FO53*0.5*$BM$64)</f>
        <v>0</v>
      </c>
      <c r="FR53" s="116">
        <f>IF(FO53&gt;0,1,0)*$A$58</f>
        <v>0</v>
      </c>
      <c r="FS53" s="679">
        <f>FO53*$BK$64</f>
        <v>0</v>
      </c>
      <c r="FT53" s="680"/>
      <c r="FU53" s="83"/>
      <c r="FV53" s="691"/>
      <c r="FW53" s="692"/>
      <c r="FX53" s="83"/>
      <c r="FY53" s="691"/>
      <c r="FZ53" s="692"/>
      <c r="GA53" s="83"/>
      <c r="GB53" s="691"/>
      <c r="GC53" s="692"/>
      <c r="GD53" s="83"/>
      <c r="GE53" s="689"/>
      <c r="GF53" s="690"/>
      <c r="GG53" s="83"/>
      <c r="GH53" s="691"/>
      <c r="GI53" s="692"/>
      <c r="GJ53" s="83"/>
      <c r="GK53" s="691"/>
      <c r="GL53" s="692"/>
      <c r="GR53" s="116"/>
      <c r="GS53" s="51"/>
      <c r="HD53" s="22">
        <v>2</v>
      </c>
      <c r="HE53" s="83">
        <f>$B$58</f>
        <v>0.73</v>
      </c>
      <c r="HF53" s="679">
        <f>SUM($I$58,$L$58)</f>
        <v>0</v>
      </c>
      <c r="HG53" s="680"/>
      <c r="HH53" s="51">
        <f>IF($HI$60=HD53,IF(HF33&lt;1,((HF53-1)*$BM$64*0.5)+$BM$64,HF53*0.5*$BM$64),HF53*0.5*$BM$64)</f>
        <v>0</v>
      </c>
      <c r="HI53" s="116">
        <f>IF(HF53&gt;0,1,0)*$A$58</f>
        <v>0</v>
      </c>
      <c r="HJ53" s="679">
        <f>HF53*$BK$64</f>
        <v>0</v>
      </c>
      <c r="HK53" s="680"/>
      <c r="HL53" s="83"/>
      <c r="HM53" s="691"/>
      <c r="HN53" s="692"/>
      <c r="HO53" s="83"/>
      <c r="HP53" s="691"/>
      <c r="HQ53" s="692"/>
      <c r="HR53" s="83"/>
      <c r="HS53" s="691"/>
      <c r="HT53" s="692"/>
      <c r="HU53" s="83"/>
      <c r="HV53" s="689"/>
      <c r="HW53" s="690"/>
      <c r="HX53" s="83"/>
      <c r="HY53" s="691"/>
      <c r="HZ53" s="692"/>
      <c r="IA53" s="83"/>
      <c r="IB53" s="691"/>
      <c r="IC53" s="692"/>
      <c r="II53" s="116"/>
      <c r="IJ53" s="51"/>
    </row>
    <row r="54" spans="1:244" ht="13.5" thickBot="1" x14ac:dyDescent="0.25">
      <c r="A54" s="22">
        <v>0.5</v>
      </c>
      <c r="B54" s="70">
        <v>0.67</v>
      </c>
      <c r="C54" s="691">
        <f>IF($C$1="Vazio",0,RELAÇÃO_DE_CARGA!C55:D55)</f>
        <v>0</v>
      </c>
      <c r="D54" s="692"/>
      <c r="E54" s="70">
        <v>0.67</v>
      </c>
      <c r="F54" s="713">
        <f>IF($F$1="Vazio",0,RELAÇÃO_DE_CARGA!F55:G55)</f>
        <v>0</v>
      </c>
      <c r="G54" s="714"/>
      <c r="H54" s="70">
        <v>0.67</v>
      </c>
      <c r="I54" s="713">
        <f>IF(OR($I$1="Vazio",RELAÇÃO_DE_CARGA!$I$1&lt;3),0,RELAÇÃO_DE_CARGA!I55:J55)</f>
        <v>0</v>
      </c>
      <c r="J54" s="714"/>
      <c r="K54" s="70">
        <v>0.67</v>
      </c>
      <c r="L54" s="713">
        <f>IF(OR($L$1="Vazio",RELAÇÃO_DE_CARGA!$I$1&lt;4),0,RELAÇÃO_DE_CARGA!L55:M55)</f>
        <v>0</v>
      </c>
      <c r="M54" s="714"/>
      <c r="N54" s="70">
        <v>0.67</v>
      </c>
      <c r="O54" s="691">
        <f>IF(OR($O$1="Vazio",RELAÇÃO_DE_CARGA!$I$1&lt;5),0,RELAÇÃO_DE_CARGA!O55)</f>
        <v>0</v>
      </c>
      <c r="P54" s="692"/>
      <c r="Q54" s="70">
        <v>0.67</v>
      </c>
      <c r="R54" s="713">
        <f>IF(OR($R$1="Vazio",RELAÇÃO_DE_CARGA!$I$1&lt;6),0,RELAÇÃO_DE_CARGA!R55)</f>
        <v>0</v>
      </c>
      <c r="S54" s="714"/>
      <c r="T54" s="70">
        <v>0.67</v>
      </c>
      <c r="U54" s="713">
        <f>IF(OR($U$1="Vazio",RELAÇÃO_DE_CARGA!$I$1&lt;7),0,RELAÇÃO_DE_CARGA!U55)</f>
        <v>0</v>
      </c>
      <c r="V54" s="714"/>
      <c r="W54" s="70">
        <v>0.67</v>
      </c>
      <c r="X54" s="713">
        <f>IF(OR($X$1="Vazio",RELAÇÃO_DE_CARGA!$I$1&lt;8),0,RELAÇÃO_DE_CARGA!X55)</f>
        <v>0</v>
      </c>
      <c r="Y54" s="714"/>
      <c r="Z54" s="70">
        <v>0.67</v>
      </c>
      <c r="AA54" s="713">
        <f>IF(OR($AA$1="Vazio",RELAÇÃO_DE_CARGA!$I$1&lt;9),0,RELAÇÃO_DE_CARGA!AA55)</f>
        <v>0</v>
      </c>
      <c r="AB54" s="714"/>
      <c r="AC54" s="70">
        <v>0.67</v>
      </c>
      <c r="AD54" s="713">
        <f>IF(OR($AD$1="Vazio",RELAÇÃO_DE_CARGA!$I$1&lt;10),0,RELAÇÃO_DE_CARGA!AD55)</f>
        <v>0</v>
      </c>
      <c r="AE54" s="714"/>
      <c r="AF54" s="70">
        <v>0.67</v>
      </c>
      <c r="AG54" s="713">
        <f>IF(OR($AG$1="Vazio",RELAÇÃO_DE_CARGA!$I$1&lt;11),0,RELAÇÃO_DE_CARGA!AG55)</f>
        <v>0</v>
      </c>
      <c r="AH54" s="714"/>
      <c r="AI54" s="70">
        <v>0.67</v>
      </c>
      <c r="AJ54" s="713">
        <f>IF(OR($AJ$1="Vazio",RELAÇÃO_DE_CARGA!$I$1&lt;12),0,RELAÇÃO_DE_CARGA!AJ55)</f>
        <v>0</v>
      </c>
      <c r="AK54" s="714"/>
      <c r="AL54" s="35"/>
      <c r="AM54" s="35"/>
      <c r="AN54" s="35"/>
      <c r="AO54" s="35"/>
      <c r="AP54" s="35"/>
      <c r="AQ54" s="276">
        <f t="shared" si="73"/>
        <v>0</v>
      </c>
      <c r="AR54" s="276">
        <f t="shared" si="74"/>
        <v>0</v>
      </c>
      <c r="AS54" s="276">
        <f t="shared" si="75"/>
        <v>0</v>
      </c>
      <c r="AT54" s="276">
        <f t="shared" si="76"/>
        <v>0</v>
      </c>
      <c r="AU54" s="276">
        <f t="shared" si="77"/>
        <v>0</v>
      </c>
      <c r="AV54" s="276">
        <f t="shared" si="78"/>
        <v>0</v>
      </c>
      <c r="AW54" s="276">
        <f t="shared" si="79"/>
        <v>0</v>
      </c>
      <c r="AX54" s="276">
        <f t="shared" si="80"/>
        <v>0</v>
      </c>
      <c r="AY54" s="276">
        <f t="shared" si="81"/>
        <v>0</v>
      </c>
      <c r="AZ54" s="276">
        <f t="shared" si="82"/>
        <v>0</v>
      </c>
      <c r="BA54" s="276">
        <f t="shared" si="83"/>
        <v>0</v>
      </c>
      <c r="BB54" s="276">
        <f t="shared" si="84"/>
        <v>0</v>
      </c>
      <c r="BC54" s="172">
        <f t="shared" si="85"/>
        <v>0</v>
      </c>
      <c r="BD54" s="128">
        <f>IF(AND(BC54&gt;0,BD36&lt;1,BD37&lt;1,BD38&lt;1,BD39&lt;1,BD55&lt;1,BD40&lt;1,BD41&lt;1,BD56&lt;1,BD42&lt;1,BD57&lt;1,BD58&lt;1,BD43&lt;1,BD35&lt;1,BD59&lt;1,BD44&lt;1,BD34&lt;1,BD45&lt;1,BD60&lt;1,BD61&lt;1,BD46&lt;1,BD62&lt;1,BD47&lt;1,BD63&lt;1,BD48&lt;1,BD64&lt;1,BD49&lt;1),1,0)</f>
        <v>0</v>
      </c>
      <c r="BE54" s="172">
        <f t="shared" si="86"/>
        <v>0</v>
      </c>
      <c r="BF54" s="128">
        <f>IF(AND(BE54&gt;0,BF36&lt;1,BF37&lt;1,BF38&lt;1,BF39&lt;1,BF55&lt;1,BF40&lt;1,BF41&lt;1,BF56&lt;1,BF42&lt;1,BF57&lt;1,BF58&lt;1,BF43&lt;1,BF35&lt;1,BF59&lt;1,BF44&lt;1,BF34&lt;1,BF45&lt;1,BF60&lt;1,BF61&lt;1,BF46&lt;1,BF62&lt;1,BF47&lt;1,BF63&lt;1,BF48&lt;1,BF64&lt;1,BF49&lt;1),1,0)</f>
        <v>0</v>
      </c>
      <c r="BG54" s="128"/>
      <c r="BH54" s="128"/>
      <c r="BI54" s="128"/>
      <c r="BJ54" s="128"/>
      <c r="BK54" s="51">
        <v>20.92</v>
      </c>
      <c r="BL54" s="98">
        <v>0.81</v>
      </c>
      <c r="BM54">
        <v>25.827160493827162</v>
      </c>
      <c r="BQ54" s="116">
        <v>20</v>
      </c>
      <c r="BR54" s="51">
        <f t="shared" si="72"/>
        <v>0</v>
      </c>
      <c r="BS54" s="51">
        <f t="shared" si="61"/>
        <v>0</v>
      </c>
      <c r="BT54" s="51">
        <f t="shared" si="62"/>
        <v>0</v>
      </c>
      <c r="BU54" s="51">
        <f t="shared" si="63"/>
        <v>0</v>
      </c>
      <c r="BV54" s="51">
        <f t="shared" si="64"/>
        <v>0</v>
      </c>
      <c r="BW54" s="51">
        <f t="shared" si="65"/>
        <v>0</v>
      </c>
      <c r="BX54" s="51">
        <f t="shared" si="66"/>
        <v>0</v>
      </c>
      <c r="BY54" s="51">
        <f t="shared" si="67"/>
        <v>0</v>
      </c>
      <c r="BZ54" s="51">
        <f t="shared" si="68"/>
        <v>0</v>
      </c>
      <c r="CA54" s="51">
        <f t="shared" si="69"/>
        <v>0</v>
      </c>
      <c r="CB54" s="51">
        <f t="shared" si="70"/>
        <v>0</v>
      </c>
      <c r="CC54" s="51">
        <f t="shared" si="71"/>
        <v>0</v>
      </c>
      <c r="CD54" s="127"/>
      <c r="CE54" s="51"/>
      <c r="CF54" s="51"/>
      <c r="CG54" s="51"/>
      <c r="CK54" s="22">
        <v>3</v>
      </c>
      <c r="CL54" s="83">
        <f>$B$59</f>
        <v>0.79</v>
      </c>
      <c r="CM54" s="679">
        <f>SUM($C$59,$F$59,IF($E$73="BIFÁSICA",$C$73,0))</f>
        <v>0</v>
      </c>
      <c r="CN54" s="680"/>
      <c r="CO54" s="51">
        <f>IF($CP$60=CK54,IF(CM34&lt;1,((CM54-1)*$BM$65*0.5)+$BM$65,CM54*0.5*$BM$65),CM54*0.5*$BM$65)</f>
        <v>0</v>
      </c>
      <c r="CP54" s="116">
        <f>IF(CM54&gt;0,1,0)*$A$59</f>
        <v>0</v>
      </c>
      <c r="CQ54" s="679">
        <f>CM54*$BK$65</f>
        <v>0</v>
      </c>
      <c r="CR54" s="680"/>
      <c r="CS54" s="83"/>
      <c r="CT54" s="22">
        <v>3</v>
      </c>
      <c r="CU54" s="83">
        <f>$B$59</f>
        <v>0.79</v>
      </c>
      <c r="CV54" s="679">
        <f>SUM($C$59,$F$59)</f>
        <v>0</v>
      </c>
      <c r="CW54" s="680"/>
      <c r="CX54" s="51">
        <f>IF($CY$60=CT54,IF(CV34&lt;1,((CV54-1)*$BM$65*0.5)+$BM$65,CV54*0.5*$BM$65),CV54*0.5*$BM$65)</f>
        <v>0</v>
      </c>
      <c r="CY54" s="116">
        <f>IF(CV54&gt;0,1,0)*$A$59</f>
        <v>0</v>
      </c>
      <c r="CZ54" s="679">
        <f>CV54*$BK$65</f>
        <v>0</v>
      </c>
      <c r="DA54" s="680"/>
      <c r="DB54" s="83"/>
      <c r="DC54" s="689"/>
      <c r="DD54" s="690"/>
      <c r="DE54" s="83"/>
      <c r="DF54" s="691"/>
      <c r="DG54" s="692"/>
      <c r="DH54" s="83"/>
      <c r="DI54" s="691"/>
      <c r="DJ54" s="692"/>
      <c r="DP54" s="116"/>
      <c r="DQ54" s="51"/>
      <c r="DR54"/>
      <c r="DT54"/>
      <c r="DV54" s="22">
        <v>3</v>
      </c>
      <c r="DW54" s="83">
        <f>$B$59</f>
        <v>0.79</v>
      </c>
      <c r="DX54" s="679">
        <f>SUM(IF($C$1="Residência",$C$59,0),IF($F$1="Residência",$F$59,0),IF($I$1="Residência",$I$59,0),IF($L$1="Residência",$L$59,0))</f>
        <v>0</v>
      </c>
      <c r="DY54" s="680"/>
      <c r="DZ54" s="51">
        <f>IF($EA$60=$DV$54,IF(AND(DX34&lt;1,EH34&lt;1,DX54&gt;0),((DX54-1)*$BM$65*0.5)+$BM$65,DX54*0.5*$BM$65),DX54*0.5*$BM$65)</f>
        <v>0</v>
      </c>
      <c r="EA54" s="116">
        <f>IF(DX54&gt;0,1,0)*$A$59</f>
        <v>0</v>
      </c>
      <c r="EB54" s="679">
        <f>DX54*$BK$65</f>
        <v>0</v>
      </c>
      <c r="EC54" s="680"/>
      <c r="ED54" s="83"/>
      <c r="EE54" s="691"/>
      <c r="EF54" s="692"/>
      <c r="EG54" s="51"/>
      <c r="EH54" s="679">
        <f>SUM(IF($C$1="Residência",0,$C$59),IF($F$1="Residência",0,$F$59),IF($I$1="Residência",0,$I$59),IF($L$1="Residência",0,$L$59),IF($E$73="BIFÁSICA",$C$73,0))</f>
        <v>0</v>
      </c>
      <c r="EI54" s="680"/>
      <c r="EJ54" s="51">
        <f>IF($EA$60=$DV$54,IF(AND($EH$34&lt;1,$DX$34&lt;1,$EH$54&gt;0,$DX$54&lt;1),(($EH$54-1)*$BM$65*0.5)+$BM$65,$EH$54*0.5*$BM$65),$EH$54*0.5*$BM$65)</f>
        <v>0</v>
      </c>
      <c r="EK54" s="116">
        <f>IF(EH54&gt;0,1,0)*$A$59</f>
        <v>0</v>
      </c>
      <c r="EL54" s="679">
        <f>EH54*$BK$65</f>
        <v>0</v>
      </c>
      <c r="EM54" s="680"/>
      <c r="EN54" s="689"/>
      <c r="EO54" s="690"/>
      <c r="EP54" s="679">
        <f>SUM(IF($C$1="Residência",$C$59,0),IF($F$1="Residência",$F$59,0),IF($I$1="Residência",$I$59,0),IF($L$1="Residência",$L$59,0))</f>
        <v>0</v>
      </c>
      <c r="EQ54" s="680"/>
      <c r="ER54" s="51">
        <f>IF($ES$60=$DV$54,IF(AND(EP34&lt;1,EY34&lt;1,EP54&gt;0),((EP54-1)*$BM$65*0.5)+$BM$65,EP54*0.5*$BM$65),EP54*0.5*$BM$65)</f>
        <v>0</v>
      </c>
      <c r="ES54" s="116">
        <f>IF(EP54&gt;0,1,0)*$A$59</f>
        <v>0</v>
      </c>
      <c r="ET54" s="679">
        <f>EP54*$BK$65</f>
        <v>0</v>
      </c>
      <c r="EU54" s="680"/>
      <c r="EW54" s="679">
        <f>SUM(IF($C$1="Residência",0,$C$59),IF($F$1="Residência",0,$F$59),IF($I$1="Residência",0,$I$59),IF($L$1="Residência",0,$L$59))</f>
        <v>0</v>
      </c>
      <c r="EX54" s="680"/>
      <c r="EY54" s="51">
        <f>IF($ES$60=$DV$54,IF(AND($EW$34&lt;1,$DX$34&lt;1,$EW$54&gt;0,$DX$54&lt;1),(($EW$54-1)*$BM$65*0.5)+$BM$65,$EW$54*0.5*$BM$65),$EW$54*0.5*$BM$65)</f>
        <v>0</v>
      </c>
      <c r="EZ54" s="116">
        <f>IF(EW54&gt;0,1,0)*$A$59</f>
        <v>0</v>
      </c>
      <c r="FA54" s="679">
        <f>EW54*$BK$65</f>
        <v>0</v>
      </c>
      <c r="FB54" s="680"/>
      <c r="FC54" s="386"/>
      <c r="FM54" s="22">
        <v>3</v>
      </c>
      <c r="FN54" s="83">
        <f>$B$59</f>
        <v>0.79</v>
      </c>
      <c r="FO54" s="679">
        <f>SUM($C$59,$F$59)</f>
        <v>0</v>
      </c>
      <c r="FP54" s="680"/>
      <c r="FQ54" s="51">
        <f>IF($FR$60=FM54,IF(FO34&lt;1,((FO54-1)*$BM$65*0.5)+$BM$65,FO54*0.5*$BM$65),FO54*0.5*$BM$65)</f>
        <v>0</v>
      </c>
      <c r="FR54" s="116">
        <f>IF(FO54&gt;0,1,0)*$A$59</f>
        <v>0</v>
      </c>
      <c r="FS54" s="679">
        <f>FO54*$BK$65</f>
        <v>0</v>
      </c>
      <c r="FT54" s="680"/>
      <c r="FU54" s="83"/>
      <c r="FV54" s="691"/>
      <c r="FW54" s="692"/>
      <c r="FX54" s="83"/>
      <c r="FY54" s="691"/>
      <c r="FZ54" s="692"/>
      <c r="GA54" s="83"/>
      <c r="GB54" s="691"/>
      <c r="GC54" s="692"/>
      <c r="GD54" s="83"/>
      <c r="GE54" s="689"/>
      <c r="GF54" s="690"/>
      <c r="GG54" s="83"/>
      <c r="GH54" s="691"/>
      <c r="GI54" s="692"/>
      <c r="GJ54" s="83"/>
      <c r="GK54" s="691"/>
      <c r="GL54" s="692"/>
      <c r="GR54" s="116"/>
      <c r="GS54" s="51"/>
      <c r="HD54" s="22">
        <v>3</v>
      </c>
      <c r="HE54" s="83">
        <f>$B$59</f>
        <v>0.79</v>
      </c>
      <c r="HF54" s="679">
        <f>SUM($I$59,$L$59)</f>
        <v>0</v>
      </c>
      <c r="HG54" s="680"/>
      <c r="HH54" s="51">
        <f>IF($HI$60=HD54,IF(HF34&lt;1,((HF54-1)*$BM$65*0.5)+$BM$65,HF54*0.5*$BM$65),HF54*0.5*$BM$65)</f>
        <v>0</v>
      </c>
      <c r="HI54" s="116">
        <f>IF(HF54&gt;0,1,0)*$A$59</f>
        <v>0</v>
      </c>
      <c r="HJ54" s="679">
        <f>HF54*$BK$65</f>
        <v>0</v>
      </c>
      <c r="HK54" s="680"/>
      <c r="HL54" s="83"/>
      <c r="HM54" s="691"/>
      <c r="HN54" s="692"/>
      <c r="HO54" s="83"/>
      <c r="HP54" s="691"/>
      <c r="HQ54" s="692"/>
      <c r="HR54" s="83"/>
      <c r="HS54" s="691"/>
      <c r="HT54" s="692"/>
      <c r="HU54" s="83"/>
      <c r="HV54" s="689"/>
      <c r="HW54" s="690"/>
      <c r="HX54" s="83"/>
      <c r="HY54" s="691"/>
      <c r="HZ54" s="692"/>
      <c r="IA54" s="83"/>
      <c r="IB54" s="691"/>
      <c r="IC54" s="692"/>
      <c r="II54" s="116"/>
      <c r="IJ54" s="51"/>
    </row>
    <row r="55" spans="1:244" ht="13.5" thickBot="1" x14ac:dyDescent="0.25">
      <c r="A55" s="22">
        <v>0.75</v>
      </c>
      <c r="B55" s="70">
        <v>0.67</v>
      </c>
      <c r="C55" s="691">
        <f>IF($C$1="Vazio",0,RELAÇÃO_DE_CARGA!C56:D56)</f>
        <v>0</v>
      </c>
      <c r="D55" s="692"/>
      <c r="E55" s="70">
        <v>0.67</v>
      </c>
      <c r="F55" s="713">
        <f>IF($F$1="Vazio",0,RELAÇÃO_DE_CARGA!F56:G56)</f>
        <v>0</v>
      </c>
      <c r="G55" s="714"/>
      <c r="H55" s="70">
        <v>0.67</v>
      </c>
      <c r="I55" s="713">
        <f>IF(OR($I$1="Vazio",RELAÇÃO_DE_CARGA!$I$1&lt;3),0,RELAÇÃO_DE_CARGA!I56:J56)</f>
        <v>0</v>
      </c>
      <c r="J55" s="714"/>
      <c r="K55" s="70">
        <v>0.67</v>
      </c>
      <c r="L55" s="713">
        <f>IF(OR($L$1="Vazio",RELAÇÃO_DE_CARGA!$I$1&lt;4),0,RELAÇÃO_DE_CARGA!L56:M56)</f>
        <v>0</v>
      </c>
      <c r="M55" s="714"/>
      <c r="N55" s="70">
        <v>0.67</v>
      </c>
      <c r="O55" s="691">
        <f>IF(OR($O$1="Vazio",RELAÇÃO_DE_CARGA!$I$1&lt;5),0,RELAÇÃO_DE_CARGA!O56)</f>
        <v>0</v>
      </c>
      <c r="P55" s="692"/>
      <c r="Q55" s="70">
        <v>0.67</v>
      </c>
      <c r="R55" s="713">
        <f>IF(OR($R$1="Vazio",RELAÇÃO_DE_CARGA!$I$1&lt;6),0,RELAÇÃO_DE_CARGA!R56)</f>
        <v>0</v>
      </c>
      <c r="S55" s="714"/>
      <c r="T55" s="70">
        <v>0.67</v>
      </c>
      <c r="U55" s="713">
        <f>IF(OR($U$1="Vazio",RELAÇÃO_DE_CARGA!$I$1&lt;7),0,RELAÇÃO_DE_CARGA!U56)</f>
        <v>0</v>
      </c>
      <c r="V55" s="714"/>
      <c r="W55" s="70">
        <v>0.67</v>
      </c>
      <c r="X55" s="713">
        <f>IF(OR($X$1="Vazio",RELAÇÃO_DE_CARGA!$I$1&lt;8),0,RELAÇÃO_DE_CARGA!X56)</f>
        <v>0</v>
      </c>
      <c r="Y55" s="714"/>
      <c r="Z55" s="70">
        <v>0.67</v>
      </c>
      <c r="AA55" s="713">
        <f>IF(OR($AA$1="Vazio",RELAÇÃO_DE_CARGA!$I$1&lt;9),0,RELAÇÃO_DE_CARGA!AA56)</f>
        <v>0</v>
      </c>
      <c r="AB55" s="714"/>
      <c r="AC55" s="70">
        <v>0.67</v>
      </c>
      <c r="AD55" s="713">
        <f>IF(OR($AD$1="Vazio",RELAÇÃO_DE_CARGA!$I$1&lt;10),0,RELAÇÃO_DE_CARGA!AD56)</f>
        <v>0</v>
      </c>
      <c r="AE55" s="714"/>
      <c r="AF55" s="70">
        <v>0.67</v>
      </c>
      <c r="AG55" s="713">
        <f>IF(OR($AG$1="Vazio",RELAÇÃO_DE_CARGA!$I$1&lt;11),0,RELAÇÃO_DE_CARGA!AG56)</f>
        <v>0</v>
      </c>
      <c r="AH55" s="714"/>
      <c r="AI55" s="70">
        <v>0.67</v>
      </c>
      <c r="AJ55" s="713">
        <f>IF(OR($AJ$1="Vazio",RELAÇÃO_DE_CARGA!$I$1&lt;12),0,RELAÇÃO_DE_CARGA!AJ56)</f>
        <v>0</v>
      </c>
      <c r="AK55" s="714"/>
      <c r="AL55" s="35"/>
      <c r="AM55" s="35"/>
      <c r="AN55" s="35"/>
      <c r="AO55" s="35"/>
      <c r="AP55" s="35"/>
      <c r="AQ55" s="276">
        <f t="shared" si="73"/>
        <v>0</v>
      </c>
      <c r="AR55" s="276">
        <f t="shared" si="74"/>
        <v>0</v>
      </c>
      <c r="AS55" s="276">
        <f t="shared" si="75"/>
        <v>0</v>
      </c>
      <c r="AT55" s="276">
        <f t="shared" si="76"/>
        <v>0</v>
      </c>
      <c r="AU55" s="276">
        <f t="shared" si="77"/>
        <v>0</v>
      </c>
      <c r="AV55" s="276">
        <f t="shared" si="78"/>
        <v>0</v>
      </c>
      <c r="AW55" s="276">
        <f t="shared" si="79"/>
        <v>0</v>
      </c>
      <c r="AX55" s="276">
        <f t="shared" si="80"/>
        <v>0</v>
      </c>
      <c r="AY55" s="276">
        <f t="shared" si="81"/>
        <v>0</v>
      </c>
      <c r="AZ55" s="276">
        <f t="shared" si="82"/>
        <v>0</v>
      </c>
      <c r="BA55" s="276">
        <f t="shared" si="83"/>
        <v>0</v>
      </c>
      <c r="BB55" s="276">
        <f t="shared" si="84"/>
        <v>0</v>
      </c>
      <c r="BC55" s="172">
        <f t="shared" si="85"/>
        <v>0</v>
      </c>
      <c r="BD55" s="128">
        <f>IF(AND(BC55&gt;0,BD37&lt;1,BD38&lt;1,BD39&lt;1,BD40&lt;1,BD56&lt;1,BD41&lt;1,BD42&lt;1,BD57&lt;1,BD43&lt;1,BD58&lt;1,BD59&lt;1,BD44&lt;1,BD36&lt;1,BD60&lt;1,BD45&lt;1,BD35&lt;1,BD46&lt;1,BD61&lt;1,BD62&lt;1,BD47&lt;1,BD63&lt;1,BD48&lt;1,BD64&lt;1,BD49&lt;1),1,0)</f>
        <v>0</v>
      </c>
      <c r="BE55" s="172">
        <f t="shared" si="86"/>
        <v>0</v>
      </c>
      <c r="BF55" s="128">
        <f>IF(AND(BE55&gt;0,BF37&lt;1,BF38&lt;1,BF39&lt;1,BF40&lt;1,BF56&lt;1,BF41&lt;1,BF42&lt;1,BF57&lt;1,BF43&lt;1,BF58&lt;1,BF59&lt;1,BF44&lt;1,BF36&lt;1,BF60&lt;1,BF45&lt;1,BF35&lt;1,BF46&lt;1,BF61&lt;1,BF62&lt;1,BF47&lt;1,BF63&lt;1,BF48&lt;1,BF64&lt;1,BF49&lt;1),1,0)</f>
        <v>0</v>
      </c>
      <c r="BG55" s="128"/>
      <c r="BH55" s="128"/>
      <c r="BI55" s="128"/>
      <c r="BJ55" s="128"/>
      <c r="BK55" s="51">
        <v>25.03</v>
      </c>
      <c r="BL55" s="98">
        <v>0.82</v>
      </c>
      <c r="BM55">
        <v>30.524390243902442</v>
      </c>
      <c r="BQ55" s="116">
        <v>25</v>
      </c>
      <c r="BR55" s="51">
        <f t="shared" si="72"/>
        <v>0</v>
      </c>
      <c r="BS55" s="51">
        <f t="shared" si="61"/>
        <v>0</v>
      </c>
      <c r="BT55" s="51">
        <f t="shared" si="62"/>
        <v>0</v>
      </c>
      <c r="BU55" s="51">
        <f t="shared" si="63"/>
        <v>0</v>
      </c>
      <c r="BV55" s="51">
        <f t="shared" si="64"/>
        <v>0</v>
      </c>
      <c r="BW55" s="51">
        <f t="shared" si="65"/>
        <v>0</v>
      </c>
      <c r="BX55" s="51">
        <f t="shared" si="66"/>
        <v>0</v>
      </c>
      <c r="BY55" s="51">
        <f t="shared" si="67"/>
        <v>0</v>
      </c>
      <c r="BZ55" s="51">
        <f t="shared" si="68"/>
        <v>0</v>
      </c>
      <c r="CA55" s="51">
        <f t="shared" si="69"/>
        <v>0</v>
      </c>
      <c r="CB55" s="51">
        <f t="shared" si="70"/>
        <v>0</v>
      </c>
      <c r="CC55" s="51">
        <f t="shared" si="71"/>
        <v>0</v>
      </c>
      <c r="CD55" s="127"/>
      <c r="CE55" s="51"/>
      <c r="CF55" s="51"/>
      <c r="CG55" s="51"/>
      <c r="CK55" s="22">
        <v>5</v>
      </c>
      <c r="CL55" s="83">
        <f>$B$60</f>
        <v>0.83</v>
      </c>
      <c r="CM55" s="679">
        <f>SUM($C$60,$F$60,IF($E$74="BIFÁSICA",$C$74,0))</f>
        <v>0</v>
      </c>
      <c r="CN55" s="680"/>
      <c r="CO55" s="51">
        <f>IF($CP$60=CK55,IF(CM36&lt;1,((CM55-1)*$BM$66*0.5)+$BM$66,CM55*0.5*$BM$66),CM55*0.5*$BM$66)</f>
        <v>0</v>
      </c>
      <c r="CP55" s="116">
        <f>IF(CM55&gt;0,1,0)*$A$60</f>
        <v>0</v>
      </c>
      <c r="CQ55" s="679">
        <f>CM55*$BK$66</f>
        <v>0</v>
      </c>
      <c r="CR55" s="680"/>
      <c r="CS55" s="83"/>
      <c r="CT55" s="22">
        <v>5</v>
      </c>
      <c r="CU55" s="83">
        <f>$B$60</f>
        <v>0.83</v>
      </c>
      <c r="CV55" s="679">
        <f>SUM($C$60,$F$60)</f>
        <v>0</v>
      </c>
      <c r="CW55" s="680"/>
      <c r="CX55" s="51">
        <f>IF($CY$60=CT55,IF(CV36&lt;1,((CV55-1)*$BM$66*0.5)+$BM$66,CV55*0.5*$BM$66),CV55*0.5*$BM$66)</f>
        <v>0</v>
      </c>
      <c r="CY55" s="116">
        <f>IF(CV55&gt;0,1,0)*$A$60</f>
        <v>0</v>
      </c>
      <c r="CZ55" s="679">
        <f>CV55*$BK$66</f>
        <v>0</v>
      </c>
      <c r="DA55" s="680"/>
      <c r="DB55" s="83"/>
      <c r="DC55" s="689"/>
      <c r="DD55" s="690"/>
      <c r="DE55" s="83"/>
      <c r="DF55" s="691"/>
      <c r="DG55" s="692"/>
      <c r="DH55" s="83"/>
      <c r="DI55" s="691"/>
      <c r="DJ55" s="692"/>
      <c r="DP55" s="116"/>
      <c r="DQ55" s="51"/>
      <c r="DR55"/>
      <c r="DT55"/>
      <c r="DV55" s="22">
        <v>5</v>
      </c>
      <c r="DW55" s="83">
        <f>$B$60</f>
        <v>0.83</v>
      </c>
      <c r="DX55" s="679">
        <f>SUM(IF($C$1="Residência",$C$60,0),IF($F$1="Residência",$F$60,0),IF($I$1="Residência",$I$60,0),IF($L$1="Residência",$L$60,0))</f>
        <v>0</v>
      </c>
      <c r="DY55" s="680"/>
      <c r="DZ55" s="51">
        <f>IF($EA$60=$DV$55,IF(AND(DX36&lt;1,EH36&lt;1,DX55&gt;0),((DX55-1)*$BM$66*0.5)+$BM$66,DX55*0.5*$BM$66),DX55*0.5*$BM$66)</f>
        <v>0</v>
      </c>
      <c r="EA55" s="116">
        <f>IF(DX55&gt;0,1,0)*$A$60</f>
        <v>0</v>
      </c>
      <c r="EB55" s="679">
        <f>DX55*$BK$66</f>
        <v>0</v>
      </c>
      <c r="EC55" s="680"/>
      <c r="ED55" s="83"/>
      <c r="EE55" s="691"/>
      <c r="EF55" s="692"/>
      <c r="EG55" s="51"/>
      <c r="EH55" s="679">
        <f>SUM(IF($C$1="Residência",0,$C$60),IF($F$1="Residência",0,$F$60),IF($I$1="Residência",0,$I$60),IF($L$1="Residência",0,$L$60),IF($E$74="BIFÁSICA",$C$74,0))</f>
        <v>0</v>
      </c>
      <c r="EI55" s="680"/>
      <c r="EJ55" s="51">
        <f>IF($EA$60=$DV$55,IF(AND($EH$36&lt;1,$DX$36&lt;1,$EH$55&gt;0,$DX$55&lt;1),(($EH$55-1)*$BM$66*0.5)+$BM$66,$EH$55*0.5*$BM$66),$EH$55*0.5*$BM$66)</f>
        <v>0</v>
      </c>
      <c r="EK55" s="116">
        <f>IF(EH55&gt;0,1,0)*$A$60</f>
        <v>0</v>
      </c>
      <c r="EL55" s="679">
        <f>EH55*$BK$66</f>
        <v>0</v>
      </c>
      <c r="EM55" s="680"/>
      <c r="EN55" s="689"/>
      <c r="EO55" s="690"/>
      <c r="EP55" s="679">
        <f>SUM(IF($C$1="Residência",$C$60,0),IF($F$1="Residência",$F$60,0),IF($I$1="Residência",$I$60,0),IF($L$1="Residência",$L$60,0))</f>
        <v>0</v>
      </c>
      <c r="EQ55" s="680"/>
      <c r="ER55" s="51">
        <f>IF($ES$60=$DV$55,IF(AND(EP36&lt;1,EY36&lt;1,EP55&gt;0),((EP55-1)*$BM$66*0.5)+$BM$66,EP55*0.5*$BM$66),EP55*0.5*$BM$66)</f>
        <v>0</v>
      </c>
      <c r="ES55" s="116">
        <f>IF(EP55&gt;0,1,0)*$A$60</f>
        <v>0</v>
      </c>
      <c r="ET55" s="679">
        <f>EP55*$BK$66</f>
        <v>0</v>
      </c>
      <c r="EU55" s="680"/>
      <c r="EW55" s="679">
        <f>SUM(IF($C$1="Residência",0,$C$60),IF($F$1="Residência",0,$F$60),IF($I$1="Residência",0,$I$60),IF($L$1="Residência",0,$L$60))</f>
        <v>0</v>
      </c>
      <c r="EX55" s="680"/>
      <c r="EY55" s="51">
        <f>IF($ES$60=$DV$55,IF(AND($EW$36&lt;1,$DX$36&lt;1,$EW$55&gt;0,$DX$55&lt;1),(($EW$55-1)*$BM$66*0.5)+$BM$66,$EW$55*0.5*$BM$66),$EW$55*0.5*$BM$66)</f>
        <v>0</v>
      </c>
      <c r="EZ55" s="116">
        <f>IF(EW55&gt;0,1,0)*$A$60</f>
        <v>0</v>
      </c>
      <c r="FA55" s="679">
        <f>EW55*$BK$66</f>
        <v>0</v>
      </c>
      <c r="FB55" s="680"/>
      <c r="FC55" s="386"/>
      <c r="FM55" s="22">
        <v>5</v>
      </c>
      <c r="FN55" s="83">
        <f>$B$60</f>
        <v>0.83</v>
      </c>
      <c r="FO55" s="679">
        <f>SUM($C$60,$F$60)</f>
        <v>0</v>
      </c>
      <c r="FP55" s="680"/>
      <c r="FQ55" s="51">
        <f>IF($FR$60=FM55,IF(FO36&lt;1,((FO55-1)*$BM$66*0.5)+$BM$66,FO55*0.5*$BM$66),FO55*0.5*$BM$66)</f>
        <v>0</v>
      </c>
      <c r="FR55" s="116">
        <f>IF(FO55&gt;0,1,0)*$A$60</f>
        <v>0</v>
      </c>
      <c r="FS55" s="679">
        <f>FO55*$BK$66</f>
        <v>0</v>
      </c>
      <c r="FT55" s="680"/>
      <c r="FU55" s="83"/>
      <c r="FV55" s="691"/>
      <c r="FW55" s="692"/>
      <c r="FX55" s="83"/>
      <c r="FY55" s="691"/>
      <c r="FZ55" s="692"/>
      <c r="GA55" s="83"/>
      <c r="GB55" s="691"/>
      <c r="GC55" s="692"/>
      <c r="GD55" s="83"/>
      <c r="GE55" s="689"/>
      <c r="GF55" s="690"/>
      <c r="GG55" s="83"/>
      <c r="GH55" s="691"/>
      <c r="GI55" s="692"/>
      <c r="GJ55" s="83"/>
      <c r="GK55" s="691"/>
      <c r="GL55" s="692"/>
      <c r="GR55" s="116"/>
      <c r="GS55" s="51"/>
      <c r="HD55" s="22">
        <v>5</v>
      </c>
      <c r="HE55" s="83">
        <f>$B$60</f>
        <v>0.83</v>
      </c>
      <c r="HF55" s="679">
        <f>SUM($I$60,$L$60)</f>
        <v>0</v>
      </c>
      <c r="HG55" s="680"/>
      <c r="HH55" s="51">
        <f>IF($HI$60=HD55,IF(HF36&lt;1,((HF55-1)*$BM$66*0.5)+$BM$66,HF55*0.5*$BM$66),HF55*0.5*$BM$66)</f>
        <v>0</v>
      </c>
      <c r="HI55" s="116">
        <f>IF(HF55&gt;0,1,0)*$A$60</f>
        <v>0</v>
      </c>
      <c r="HJ55" s="679">
        <f>HF55*$BK$66</f>
        <v>0</v>
      </c>
      <c r="HK55" s="680"/>
      <c r="HL55" s="83"/>
      <c r="HM55" s="691"/>
      <c r="HN55" s="692"/>
      <c r="HO55" s="83"/>
      <c r="HP55" s="691"/>
      <c r="HQ55" s="692"/>
      <c r="HR55" s="83"/>
      <c r="HS55" s="691"/>
      <c r="HT55" s="692"/>
      <c r="HU55" s="83"/>
      <c r="HV55" s="689"/>
      <c r="HW55" s="690"/>
      <c r="HX55" s="83"/>
      <c r="HY55" s="691"/>
      <c r="HZ55" s="692"/>
      <c r="IA55" s="83"/>
      <c r="IB55" s="691"/>
      <c r="IC55" s="692"/>
      <c r="II55" s="116"/>
      <c r="IJ55" s="51"/>
    </row>
    <row r="56" spans="1:244" ht="13.5" thickBot="1" x14ac:dyDescent="0.25">
      <c r="A56" s="22">
        <v>1</v>
      </c>
      <c r="B56" s="70">
        <v>0.73</v>
      </c>
      <c r="C56" s="691">
        <f>IF($C$1="Vazio",0,RELAÇÃO_DE_CARGA!C57:D57)</f>
        <v>0</v>
      </c>
      <c r="D56" s="692"/>
      <c r="E56" s="70">
        <v>0.73</v>
      </c>
      <c r="F56" s="713">
        <f>IF($F$1="Vazio",0,RELAÇÃO_DE_CARGA!F57:G57)</f>
        <v>0</v>
      </c>
      <c r="G56" s="714"/>
      <c r="H56" s="70">
        <v>0.73</v>
      </c>
      <c r="I56" s="713">
        <f>IF(OR($I$1="Vazio",RELAÇÃO_DE_CARGA!$I$1&lt;3),0,RELAÇÃO_DE_CARGA!I57:J57)</f>
        <v>0</v>
      </c>
      <c r="J56" s="714"/>
      <c r="K56" s="70">
        <v>0.73</v>
      </c>
      <c r="L56" s="713">
        <f>IF(OR($L$1="Vazio",RELAÇÃO_DE_CARGA!$I$1&lt;4),0,RELAÇÃO_DE_CARGA!L57:M57)</f>
        <v>0</v>
      </c>
      <c r="M56" s="714"/>
      <c r="N56" s="70">
        <v>0.73</v>
      </c>
      <c r="O56" s="691">
        <f>IF(OR($O$1="Vazio",RELAÇÃO_DE_CARGA!$I$1&lt;5),0,RELAÇÃO_DE_CARGA!O57)</f>
        <v>0</v>
      </c>
      <c r="P56" s="692"/>
      <c r="Q56" s="70">
        <v>0.73</v>
      </c>
      <c r="R56" s="713">
        <f>IF(OR($R$1="Vazio",RELAÇÃO_DE_CARGA!$I$1&lt;6),0,RELAÇÃO_DE_CARGA!R57)</f>
        <v>0</v>
      </c>
      <c r="S56" s="714"/>
      <c r="T56" s="70">
        <v>0.73</v>
      </c>
      <c r="U56" s="713">
        <f>IF(OR($U$1="Vazio",RELAÇÃO_DE_CARGA!$I$1&lt;7),0,RELAÇÃO_DE_CARGA!U57)</f>
        <v>0</v>
      </c>
      <c r="V56" s="714"/>
      <c r="W56" s="70">
        <v>0.73</v>
      </c>
      <c r="X56" s="713">
        <f>IF(OR($X$1="Vazio",RELAÇÃO_DE_CARGA!$I$1&lt;8),0,RELAÇÃO_DE_CARGA!X57)</f>
        <v>0</v>
      </c>
      <c r="Y56" s="714"/>
      <c r="Z56" s="70">
        <v>0.73</v>
      </c>
      <c r="AA56" s="713">
        <f>IF(OR($AA$1="Vazio",RELAÇÃO_DE_CARGA!$I$1&lt;9),0,RELAÇÃO_DE_CARGA!AA57)</f>
        <v>0</v>
      </c>
      <c r="AB56" s="714"/>
      <c r="AC56" s="70">
        <v>0.73</v>
      </c>
      <c r="AD56" s="713">
        <f>IF(OR($AD$1="Vazio",RELAÇÃO_DE_CARGA!$I$1&lt;10),0,RELAÇÃO_DE_CARGA!AD57)</f>
        <v>0</v>
      </c>
      <c r="AE56" s="714"/>
      <c r="AF56" s="70">
        <v>0.73</v>
      </c>
      <c r="AG56" s="713">
        <f>IF(OR($AG$1="Vazio",RELAÇÃO_DE_CARGA!$I$1&lt;11),0,RELAÇÃO_DE_CARGA!AG57)</f>
        <v>0</v>
      </c>
      <c r="AH56" s="714"/>
      <c r="AI56" s="70">
        <v>0.73</v>
      </c>
      <c r="AJ56" s="713">
        <f>IF(OR($AJ$1="Vazio",RELAÇÃO_DE_CARGA!$I$1&lt;12),0,RELAÇÃO_DE_CARGA!AJ57)</f>
        <v>0</v>
      </c>
      <c r="AK56" s="714"/>
      <c r="AL56" s="35"/>
      <c r="AM56" s="35"/>
      <c r="AN56" s="35"/>
      <c r="AO56" s="35"/>
      <c r="AP56" s="35"/>
      <c r="AQ56" s="276">
        <f t="shared" si="73"/>
        <v>0</v>
      </c>
      <c r="AR56" s="276">
        <f t="shared" si="74"/>
        <v>0</v>
      </c>
      <c r="AS56" s="276">
        <f t="shared" si="75"/>
        <v>0</v>
      </c>
      <c r="AT56" s="276">
        <f t="shared" si="76"/>
        <v>0</v>
      </c>
      <c r="AU56" s="276">
        <f t="shared" si="77"/>
        <v>0</v>
      </c>
      <c r="AV56" s="276">
        <f t="shared" si="78"/>
        <v>0</v>
      </c>
      <c r="AW56" s="276">
        <f t="shared" si="79"/>
        <v>0</v>
      </c>
      <c r="AX56" s="276">
        <f t="shared" si="80"/>
        <v>0</v>
      </c>
      <c r="AY56" s="276">
        <f t="shared" si="81"/>
        <v>0</v>
      </c>
      <c r="AZ56" s="276">
        <f t="shared" si="82"/>
        <v>0</v>
      </c>
      <c r="BA56" s="276">
        <f t="shared" si="83"/>
        <v>0</v>
      </c>
      <c r="BB56" s="276">
        <f t="shared" si="84"/>
        <v>0</v>
      </c>
      <c r="BC56" s="172">
        <f t="shared" si="85"/>
        <v>0</v>
      </c>
      <c r="BD56" s="128">
        <f>IF(AND(BC56&gt;0,BD38&lt;1,BD39&lt;1,BD40&lt;1,BD41&lt;1,BD57&lt;1,BD42&lt;1,BD43&lt;1,BD58&lt;1,BD44&lt;1,BD59&lt;1,BD60&lt;1,BD45&lt;1,BD37&lt;1,BD61&lt;1,BD46&lt;1,BD36&lt;1,BD47&lt;1,BD62&lt;1,BD63&lt;1,BD48&lt;1,BD64&lt;1,BD49&lt;1),1,0)</f>
        <v>0</v>
      </c>
      <c r="BE56" s="172">
        <f t="shared" si="86"/>
        <v>0</v>
      </c>
      <c r="BF56" s="128">
        <f>IF(AND(BE56&gt;0,BF38&lt;1,BF39&lt;1,BF40&lt;1,BF41&lt;1,BF57&lt;1,BF42&lt;1,BF43&lt;1,BF58&lt;1,BF44&lt;1,BF59&lt;1,BF60&lt;1,BF45&lt;1,BF37&lt;1,BF61&lt;1,BF46&lt;1,BF36&lt;1,BF47&lt;1,BF62&lt;1,BF63&lt;1,BF48&lt;1,BF64&lt;1,BF49&lt;1),1,0)</f>
        <v>0</v>
      </c>
      <c r="BG56" s="128"/>
      <c r="BH56" s="128"/>
      <c r="BI56" s="128"/>
      <c r="BJ56" s="128"/>
      <c r="BK56" s="51"/>
      <c r="BL56" s="70"/>
      <c r="BM56" s="20"/>
      <c r="BN56" s="20"/>
      <c r="BO56" s="72"/>
      <c r="BP56" s="72"/>
      <c r="BQ56" s="116">
        <v>30</v>
      </c>
      <c r="BR56" s="51">
        <f t="shared" si="72"/>
        <v>0</v>
      </c>
      <c r="BS56" s="51">
        <f t="shared" si="61"/>
        <v>0</v>
      </c>
      <c r="BT56" s="51">
        <f t="shared" si="62"/>
        <v>0</v>
      </c>
      <c r="BU56" s="51">
        <f t="shared" si="63"/>
        <v>0</v>
      </c>
      <c r="BV56" s="51">
        <f>IF($AU$65=$A49,IF(O49&gt;0,((O49-1)*$BM55*0.5)+$BM55,0),$BM55*0.5*O49)</f>
        <v>0</v>
      </c>
      <c r="BW56" s="51">
        <f t="shared" si="65"/>
        <v>0</v>
      </c>
      <c r="BX56" s="51">
        <f t="shared" si="66"/>
        <v>0</v>
      </c>
      <c r="BY56" s="51">
        <f t="shared" si="67"/>
        <v>0</v>
      </c>
      <c r="BZ56" s="51">
        <f t="shared" si="68"/>
        <v>0</v>
      </c>
      <c r="CA56" s="51">
        <f t="shared" si="69"/>
        <v>0</v>
      </c>
      <c r="CB56" s="51">
        <f t="shared" si="70"/>
        <v>0</v>
      </c>
      <c r="CC56" s="51">
        <f t="shared" si="71"/>
        <v>0</v>
      </c>
      <c r="CD56" s="179"/>
      <c r="CG56" s="51"/>
      <c r="CH56" s="51"/>
      <c r="CI56" s="51"/>
      <c r="CJ56" s="51"/>
      <c r="CK56" s="22">
        <v>7.5</v>
      </c>
      <c r="CL56" s="83">
        <f>$B$61</f>
        <v>0.8</v>
      </c>
      <c r="CM56" s="679">
        <f>SUM($C$61,$F$61)</f>
        <v>0</v>
      </c>
      <c r="CN56" s="680"/>
      <c r="CO56" s="51">
        <f>IF($CP$60=CK56,IF(CM37&lt;1,((CM56-1)*$BM$67*0.5)+$BM$67,CM56*0.5*$BM$67),CM56*0.5*$BM$67)</f>
        <v>0</v>
      </c>
      <c r="CP56" s="116">
        <f>IF(CM56&gt;0,1,0)*$A$61</f>
        <v>0</v>
      </c>
      <c r="CQ56" s="679">
        <f>CM56*$BK$67</f>
        <v>0</v>
      </c>
      <c r="CR56" s="680"/>
      <c r="CS56" s="83"/>
      <c r="CT56" s="22">
        <v>7.5</v>
      </c>
      <c r="CU56" s="83">
        <f>$B$61</f>
        <v>0.8</v>
      </c>
      <c r="CV56" s="679">
        <f>SUM($C$61,$F$61)</f>
        <v>0</v>
      </c>
      <c r="CW56" s="680"/>
      <c r="CX56" s="51">
        <f>IF($CY$60=CT56,IF(CV37&lt;1,((CV56-1)*$BM$67*0.5)+$BM$67,CV56*0.5*$BM$67),CV56*0.5*$BM$67)</f>
        <v>0</v>
      </c>
      <c r="CY56" s="116">
        <f>IF(CV56&gt;0,1,0)*$A$61</f>
        <v>0</v>
      </c>
      <c r="CZ56" s="679">
        <f>CV56*$BK$67</f>
        <v>0</v>
      </c>
      <c r="DA56" s="680"/>
      <c r="DB56" s="83"/>
      <c r="DC56" s="689"/>
      <c r="DD56" s="690"/>
      <c r="DE56" s="83"/>
      <c r="DF56" s="691"/>
      <c r="DG56" s="692"/>
      <c r="DH56" s="83"/>
      <c r="DI56" s="691"/>
      <c r="DJ56" s="692"/>
      <c r="DL56" s="20"/>
      <c r="DM56" s="20"/>
      <c r="DN56" s="72"/>
      <c r="DO56" s="72"/>
      <c r="DP56"/>
      <c r="DQ56"/>
      <c r="DR56"/>
      <c r="DS56" s="290"/>
      <c r="DT56" s="51"/>
      <c r="DV56" s="22">
        <v>7.5</v>
      </c>
      <c r="DW56" s="83">
        <f>$B$61</f>
        <v>0.8</v>
      </c>
      <c r="DX56" s="679">
        <f>SUM(IF($C$1="Residência",$C$61,0),IF($F$1="Residência",$F$61,0),IF($I$1="Residência",$I$61,0),IF($L$1="Residência",$L$61,0))</f>
        <v>0</v>
      </c>
      <c r="DY56" s="680"/>
      <c r="DZ56" s="51">
        <f>IF($EA$60=$DV$56,IF(AND(DX37&lt;1,EH37&lt;1,DX56&gt;0),((DX56-1)*$BM$67*0.5)+$BM$67,DX56*0.5*$BM$67),DX56*0.5*$BM$67)</f>
        <v>0</v>
      </c>
      <c r="EA56" s="116">
        <f>IF(DX56&gt;0,1,0)*$A$61</f>
        <v>0</v>
      </c>
      <c r="EB56" s="679">
        <f>DX56*$BK$67</f>
        <v>0</v>
      </c>
      <c r="EC56" s="680"/>
      <c r="ED56" s="83"/>
      <c r="EE56" s="691"/>
      <c r="EF56" s="692"/>
      <c r="EG56" s="51"/>
      <c r="EH56" s="679">
        <f>SUM(IF($C$1="Residência",0,$C$61),IF($F$1="Residência",0,$F$61),IF($I$1="Residência",0,$I$61),IF($L$1="Residência",0,$L$61))</f>
        <v>0</v>
      </c>
      <c r="EI56" s="680"/>
      <c r="EJ56" s="51">
        <f>IF($EA$60=$DV$56,IF(AND($EH$37&lt;1,$DX$37&lt;1,$EH$56&gt;0,$DX$56&lt;1),(($EH$56-1)*$BM$67*0.5)+$BM$67,$EH$56*0.5*$BM$67),$EH$56*0.5*$BM$67)</f>
        <v>0</v>
      </c>
      <c r="EK56" s="116">
        <f>IF(EH56&gt;0,1,0)*$A$61</f>
        <v>0</v>
      </c>
      <c r="EL56" s="679">
        <f>EH56*$BK$67</f>
        <v>0</v>
      </c>
      <c r="EM56" s="680"/>
      <c r="EN56" s="689"/>
      <c r="EO56" s="690"/>
      <c r="EP56" s="679">
        <f>SUM(IF($C$1="Residência",$C$61,0),IF($F$1="Residência",$F$61,0),IF($I$1="Residência",$I$61,0),IF($L$1="Residência",$L$61,0))</f>
        <v>0</v>
      </c>
      <c r="EQ56" s="680"/>
      <c r="ER56" s="51">
        <f>IF($ES$60=$DV$56,IF(AND(EP37&lt;1,EY37&lt;1,EP56&gt;0),((EP56-1)*$BM$67*0.5)+$BM$67,EP56*0.5*$BM$67),EP56*0.5*$BM$67)</f>
        <v>0</v>
      </c>
      <c r="ES56" s="116">
        <f>IF(EP56&gt;0,1,0)*$A$61</f>
        <v>0</v>
      </c>
      <c r="ET56" s="679">
        <f>EP56*$BK$67</f>
        <v>0</v>
      </c>
      <c r="EU56" s="680"/>
      <c r="EW56" s="679">
        <f>SUM(IF($C$1="Residência",0,$C$61),IF($F$1="Residência",0,$F$61),IF($I$1="Residência",0,$I$61),IF($L$1="Residência",0,$L$61))</f>
        <v>0</v>
      </c>
      <c r="EX56" s="680"/>
      <c r="EY56" s="51">
        <f>IF($ES$60=$DV$56,IF(AND($EW$37&lt;1,$DX$37&lt;1,$EW$56&gt;0,$DX$56&lt;1),(($EW$56-1)*$BM$67*0.5)+$BM$67,$EW$56*0.5*$BM$67),$EW$56*0.5*$BM$67)</f>
        <v>0</v>
      </c>
      <c r="EZ56" s="116">
        <f>IF(EW56&gt;0,1,0)*$A$61</f>
        <v>0</v>
      </c>
      <c r="FA56" s="679">
        <f>EW56*$BK$67</f>
        <v>0</v>
      </c>
      <c r="FB56" s="680"/>
      <c r="FC56" s="386"/>
      <c r="FK56" s="51"/>
      <c r="FM56" s="22">
        <v>7.5</v>
      </c>
      <c r="FN56" s="83">
        <f>$B$61</f>
        <v>0.8</v>
      </c>
      <c r="FO56" s="679">
        <f>SUM($C$61,$F$61)</f>
        <v>0</v>
      </c>
      <c r="FP56" s="680"/>
      <c r="FQ56" s="51">
        <f>IF($FR$60=FM56,IF(FO37&lt;1,((FO56-1)*$BM$67*0.5)+$BM$67,FO56*0.5*$BM$67),FO56*0.5*$BM$67)</f>
        <v>0</v>
      </c>
      <c r="FR56" s="116">
        <f>IF(FO56&gt;0,1,0)*$A$61</f>
        <v>0</v>
      </c>
      <c r="FS56" s="679">
        <f>FO56*$BK$67</f>
        <v>0</v>
      </c>
      <c r="FT56" s="680"/>
      <c r="FU56" s="83"/>
      <c r="FV56" s="691"/>
      <c r="FW56" s="692"/>
      <c r="FX56" s="83"/>
      <c r="FY56" s="691"/>
      <c r="FZ56" s="692"/>
      <c r="GA56" s="83"/>
      <c r="GB56" s="691"/>
      <c r="GC56" s="692"/>
      <c r="GD56" s="83"/>
      <c r="GE56" s="689"/>
      <c r="GF56" s="690"/>
      <c r="GG56" s="83"/>
      <c r="GH56" s="691"/>
      <c r="GI56" s="692"/>
      <c r="GJ56" s="83"/>
      <c r="GK56" s="691"/>
      <c r="GL56" s="692"/>
      <c r="GN56" s="20"/>
      <c r="GO56" s="20"/>
      <c r="GP56" s="72"/>
      <c r="GQ56" s="72"/>
      <c r="HB56" s="51"/>
      <c r="HD56" s="22">
        <v>7.5</v>
      </c>
      <c r="HE56" s="83">
        <f>$B$61</f>
        <v>0.8</v>
      </c>
      <c r="HF56" s="679">
        <f>SUM($I$61,$L$61)</f>
        <v>0</v>
      </c>
      <c r="HG56" s="680"/>
      <c r="HH56" s="51">
        <f>IF($HI$60=HD56,IF(HF37&lt;1,((HF56-1)*$BM$67*0.5)+$BM$67,HF56*0.5*$BM$67),HF56*0.5*$BM$67)</f>
        <v>0</v>
      </c>
      <c r="HI56" s="116">
        <f>IF(HF56&gt;0,1,0)*$A$61</f>
        <v>0</v>
      </c>
      <c r="HJ56" s="679">
        <f>HF56*$BK$67</f>
        <v>0</v>
      </c>
      <c r="HK56" s="680"/>
      <c r="HL56" s="83"/>
      <c r="HM56" s="691"/>
      <c r="HN56" s="692"/>
      <c r="HO56" s="83"/>
      <c r="HP56" s="691"/>
      <c r="HQ56" s="692"/>
      <c r="HR56" s="83"/>
      <c r="HS56" s="691"/>
      <c r="HT56" s="692"/>
      <c r="HU56" s="83"/>
      <c r="HV56" s="689"/>
      <c r="HW56" s="690"/>
      <c r="HX56" s="83"/>
      <c r="HY56" s="691"/>
      <c r="HZ56" s="692"/>
      <c r="IA56" s="83"/>
      <c r="IB56" s="691"/>
      <c r="IC56" s="692"/>
      <c r="IE56" s="20"/>
      <c r="IF56" s="20"/>
      <c r="IG56" s="72"/>
      <c r="IH56" s="72"/>
    </row>
    <row r="57" spans="1:244" ht="13.5" thickBot="1" x14ac:dyDescent="0.25">
      <c r="A57" s="22">
        <v>1.5</v>
      </c>
      <c r="B57" s="70">
        <v>0.71</v>
      </c>
      <c r="C57" s="691">
        <f>IF($C$1="Vazio",0,RELAÇÃO_DE_CARGA!C58:D58)</f>
        <v>0</v>
      </c>
      <c r="D57" s="692"/>
      <c r="E57" s="70">
        <v>0.71</v>
      </c>
      <c r="F57" s="713">
        <f>IF($F$1="Vazio",0,RELAÇÃO_DE_CARGA!F58:G58)</f>
        <v>0</v>
      </c>
      <c r="G57" s="714"/>
      <c r="H57" s="70">
        <v>0.71</v>
      </c>
      <c r="I57" s="713">
        <f>IF(OR($I$1="Vazio",RELAÇÃO_DE_CARGA!$I$1&lt;3),0,RELAÇÃO_DE_CARGA!I58:J58)</f>
        <v>0</v>
      </c>
      <c r="J57" s="714"/>
      <c r="K57" s="70">
        <v>0.71</v>
      </c>
      <c r="L57" s="713">
        <f>IF(OR($L$1="Vazio",RELAÇÃO_DE_CARGA!$I$1&lt;4),0,RELAÇÃO_DE_CARGA!L58:M58)</f>
        <v>0</v>
      </c>
      <c r="M57" s="714"/>
      <c r="N57" s="70">
        <v>0.71</v>
      </c>
      <c r="O57" s="691">
        <f>IF(OR($O$1="Vazio",RELAÇÃO_DE_CARGA!$I$1&lt;5),0,RELAÇÃO_DE_CARGA!O58)</f>
        <v>0</v>
      </c>
      <c r="P57" s="692"/>
      <c r="Q57" s="70">
        <v>0.71</v>
      </c>
      <c r="R57" s="713">
        <f>IF(OR($R$1="Vazio",RELAÇÃO_DE_CARGA!$I$1&lt;6),0,RELAÇÃO_DE_CARGA!R58)</f>
        <v>0</v>
      </c>
      <c r="S57" s="714"/>
      <c r="T57" s="70">
        <v>0.71</v>
      </c>
      <c r="U57" s="713">
        <f>IF(OR($U$1="Vazio",RELAÇÃO_DE_CARGA!$I$1&lt;7),0,RELAÇÃO_DE_CARGA!U58)</f>
        <v>0</v>
      </c>
      <c r="V57" s="714"/>
      <c r="W57" s="70">
        <v>0.71</v>
      </c>
      <c r="X57" s="713">
        <f>IF(OR($X$1="Vazio",RELAÇÃO_DE_CARGA!$I$1&lt;8),0,RELAÇÃO_DE_CARGA!X58)</f>
        <v>0</v>
      </c>
      <c r="Y57" s="714"/>
      <c r="Z57" s="70">
        <v>0.71</v>
      </c>
      <c r="AA57" s="713">
        <f>IF(OR($AA$1="Vazio",RELAÇÃO_DE_CARGA!$I$1&lt;9),0,RELAÇÃO_DE_CARGA!AA58)</f>
        <v>0</v>
      </c>
      <c r="AB57" s="714"/>
      <c r="AC57" s="70">
        <v>0.71</v>
      </c>
      <c r="AD57" s="713">
        <f>IF(OR($AD$1="Vazio",RELAÇÃO_DE_CARGA!$I$1&lt;10),0,RELAÇÃO_DE_CARGA!AD58)</f>
        <v>0</v>
      </c>
      <c r="AE57" s="714"/>
      <c r="AF57" s="70">
        <v>0.71</v>
      </c>
      <c r="AG57" s="713">
        <f>IF(OR($AG$1="Vazio",RELAÇÃO_DE_CARGA!$I$1&lt;11),0,RELAÇÃO_DE_CARGA!AG58)</f>
        <v>0</v>
      </c>
      <c r="AH57" s="714"/>
      <c r="AI57" s="70">
        <v>0.71</v>
      </c>
      <c r="AJ57" s="713">
        <f>IF(OR($AJ$1="Vazio",RELAÇÃO_DE_CARGA!$I$1&lt;12),0,RELAÇÃO_DE_CARGA!AJ58)</f>
        <v>0</v>
      </c>
      <c r="AK57" s="714"/>
      <c r="AL57" s="35"/>
      <c r="AM57" s="35"/>
      <c r="AN57" s="35"/>
      <c r="AO57" s="35"/>
      <c r="AP57" s="35"/>
      <c r="AQ57" s="276">
        <f t="shared" si="73"/>
        <v>0</v>
      </c>
      <c r="AR57" s="276">
        <f t="shared" si="74"/>
        <v>0</v>
      </c>
      <c r="AS57" s="276">
        <f t="shared" si="75"/>
        <v>0</v>
      </c>
      <c r="AT57" s="276">
        <f t="shared" si="76"/>
        <v>0</v>
      </c>
      <c r="AU57" s="276">
        <f t="shared" si="77"/>
        <v>0</v>
      </c>
      <c r="AV57" s="276">
        <f t="shared" si="78"/>
        <v>0</v>
      </c>
      <c r="AW57" s="276">
        <f t="shared" si="79"/>
        <v>0</v>
      </c>
      <c r="AX57" s="276">
        <f t="shared" si="80"/>
        <v>0</v>
      </c>
      <c r="AY57" s="276">
        <f t="shared" si="81"/>
        <v>0</v>
      </c>
      <c r="AZ57" s="276">
        <f t="shared" si="82"/>
        <v>0</v>
      </c>
      <c r="BA57" s="276">
        <f t="shared" si="83"/>
        <v>0</v>
      </c>
      <c r="BB57" s="276">
        <f t="shared" si="84"/>
        <v>0</v>
      </c>
      <c r="BC57" s="172">
        <f t="shared" si="85"/>
        <v>0</v>
      </c>
      <c r="BD57" s="128">
        <f>IF(AND(BC57&gt;0,BD39&lt;1,BD40&lt;1,BD41&lt;1,BD42&lt;1,BD58&lt;1,BD43&lt;1,BD44&lt;1,BD59&lt;1,BD45&lt;1,BD60&lt;1,BD61&lt;1,BD46&lt;1,BD38&lt;1,BD62&lt;1,BD47&lt;1,BD37&lt;1,BD48&lt;1,BD63&lt;1,BD64&lt;1,BD49&lt;1),1,0)</f>
        <v>0</v>
      </c>
      <c r="BE57" s="172">
        <f t="shared" si="86"/>
        <v>0</v>
      </c>
      <c r="BF57" s="128">
        <f>IF(AND(BE57&gt;0,BF39&lt;1,BF40&lt;1,BF41&lt;1,BF42&lt;1,BF58&lt;1,BF43&lt;1,BF44&lt;1,BF59&lt;1,BF45&lt;1,BF60&lt;1,BF61&lt;1,BF46&lt;1,BF38&lt;1,BF62&lt;1,BF47&lt;1,BF37&lt;1,BF48&lt;1,BF63&lt;1,BF64&lt;1,BF49&lt;1),1,0)</f>
        <v>0</v>
      </c>
      <c r="BG57" s="128"/>
      <c r="BH57" s="128"/>
      <c r="BI57" s="128"/>
      <c r="BJ57" s="128"/>
      <c r="BK57" s="52" t="s">
        <v>41</v>
      </c>
      <c r="BL57" s="122" t="s">
        <v>135</v>
      </c>
      <c r="BM57" s="696"/>
      <c r="BN57" s="696"/>
      <c r="BO57" s="696"/>
      <c r="BP57" s="696"/>
      <c r="BQ57" s="696" t="s">
        <v>61</v>
      </c>
      <c r="BR57" s="696"/>
      <c r="BS57" s="696"/>
      <c r="BT57" s="696"/>
      <c r="BU57" s="696"/>
      <c r="BV57" s="696" t="s">
        <v>61</v>
      </c>
      <c r="BW57" s="696"/>
      <c r="BX57" s="696"/>
      <c r="BY57" s="696"/>
      <c r="BZ57" s="696"/>
      <c r="CA57" s="51"/>
      <c r="CB57" s="51"/>
      <c r="CC57" s="51"/>
      <c r="CD57" s="128"/>
      <c r="CE57" s="51"/>
      <c r="CF57" s="51"/>
      <c r="CG57" s="51"/>
      <c r="CK57" s="22">
        <v>10</v>
      </c>
      <c r="CL57" s="83">
        <f>$B$62</f>
        <v>0.8</v>
      </c>
      <c r="CM57" s="679">
        <f>SUM($C$62,$F$62)</f>
        <v>0</v>
      </c>
      <c r="CN57" s="680"/>
      <c r="CO57" s="51">
        <f>IF($CP$60=CK57,IF(CM39&lt;1,((CM57-1)*$BM$68*0.5)+$BM$68,CM57*0.5*$BM$68),CM57*0.5*$BM$68)</f>
        <v>0</v>
      </c>
      <c r="CP57" s="116">
        <f>IF(CM57&gt;0,1,0)*$A$62</f>
        <v>0</v>
      </c>
      <c r="CQ57" s="679">
        <f>CM57*$BK$68</f>
        <v>0</v>
      </c>
      <c r="CR57" s="680"/>
      <c r="CS57" s="83"/>
      <c r="CT57" s="22">
        <v>10</v>
      </c>
      <c r="CU57" s="83">
        <f>$B$62</f>
        <v>0.8</v>
      </c>
      <c r="CV57" s="679">
        <f>SUM($C$62,$F$62)</f>
        <v>0</v>
      </c>
      <c r="CW57" s="680"/>
      <c r="CX57" s="51">
        <f>IF($CY$60=CT57,IF(CV39&lt;1,((CV57-1)*$BM$68*0.5)+$BM$68,CV57*0.5*$BM$68),CV57*0.5*$BM$68)</f>
        <v>0</v>
      </c>
      <c r="CY57" s="116">
        <f>IF(CV57&gt;0,1,0)*$A$62</f>
        <v>0</v>
      </c>
      <c r="CZ57" s="679">
        <f>CV57*$BK$68</f>
        <v>0</v>
      </c>
      <c r="DA57" s="680"/>
      <c r="DB57" s="83"/>
      <c r="DC57" s="689"/>
      <c r="DD57" s="690"/>
      <c r="DE57" s="83"/>
      <c r="DF57" s="691"/>
      <c r="DG57" s="692"/>
      <c r="DH57" s="83"/>
      <c r="DI57" s="691"/>
      <c r="DJ57" s="692"/>
      <c r="DL57" s="696"/>
      <c r="DM57" s="696"/>
      <c r="DN57" s="696"/>
      <c r="DO57" s="696"/>
      <c r="DP57" s="51"/>
      <c r="DQ57" s="20"/>
      <c r="DR57"/>
      <c r="DT57"/>
      <c r="DV57" s="22">
        <v>10</v>
      </c>
      <c r="DW57" s="83">
        <f>$B$62</f>
        <v>0.8</v>
      </c>
      <c r="DX57" s="679">
        <f>SUM(IF($C$1="Residência",$C$62,0),IF($F$1="Residência",$F$62,0),IF($I$1="Residência",$I$62,0),IF($L$1="Residência",$L$62,0))</f>
        <v>0</v>
      </c>
      <c r="DY57" s="680"/>
      <c r="DZ57" s="51">
        <f>IF($EA$60=$DV$57,IF(AND(DX39&lt;1,EH39&lt;1,DX57&gt;0),((DX57-1)*$BM$68*0.5)+$BM$68,DX57*0.5*$BM$68),DX57*0.5*$BM$68)</f>
        <v>0</v>
      </c>
      <c r="EA57" s="116">
        <f>IF(DX57&gt;0,1,0)*$A$62</f>
        <v>0</v>
      </c>
      <c r="EB57" s="679">
        <f>DX57*$BK$68</f>
        <v>0</v>
      </c>
      <c r="EC57" s="680"/>
      <c r="ED57" s="83"/>
      <c r="EE57" s="691"/>
      <c r="EF57" s="692"/>
      <c r="EG57" s="51"/>
      <c r="EH57" s="679">
        <f>SUM(IF($C$1="Residência",0,$C$62),IF($F$1="Residência",0,$F$62),IF($I$1="Residência",0,$I$62),IF($L$1="Residência",0,$L$62))</f>
        <v>0</v>
      </c>
      <c r="EI57" s="680"/>
      <c r="EJ57" s="51">
        <f>IF($EA$60=$DV$57,IF(AND($EH$39&lt;1,$DX$39&lt;1,$EH$57&gt;0,$DX$57&lt;1),(($EH$57-1)*$BM$68*0.5)+$BM$68,$EH$57*0.5*$BM$68),$EH$57*0.5*$BM$68)</f>
        <v>0</v>
      </c>
      <c r="EK57" s="116">
        <f>IF(EH57&gt;0,1,0)*$A$62</f>
        <v>0</v>
      </c>
      <c r="EL57" s="679">
        <f>EH57*$BK$68</f>
        <v>0</v>
      </c>
      <c r="EM57" s="680"/>
      <c r="EN57" s="689"/>
      <c r="EO57" s="690"/>
      <c r="EP57" s="679">
        <f>SUM(IF($C$1="Residência",$C$62,0),IF($F$1="Residência",$F$62,0),IF($I$1="Residência",$I$62,0),IF($L$1="Residência",$L$62,0))</f>
        <v>0</v>
      </c>
      <c r="EQ57" s="680"/>
      <c r="ER57" s="51">
        <f>IF($ES$60=$DV$57,IF(AND(EP39&lt;1,EY39&lt;1,EP57&gt;0),((EP57-1)*$BM$68*0.5)+$BM$68,EP57*0.5*$BM$68),EP57*0.5*$BM$68)</f>
        <v>0</v>
      </c>
      <c r="ES57" s="116">
        <f>IF(EP57&gt;0,1,0)*$A$62</f>
        <v>0</v>
      </c>
      <c r="ET57" s="679">
        <f>EP57*$BK$68</f>
        <v>0</v>
      </c>
      <c r="EU57" s="680"/>
      <c r="EW57" s="679">
        <f>SUM(IF($C$1="Residência",0,$C$62),IF($F$1="Residência",0,$F$62),IF($I$1="Residência",0,$I$62),IF($L$1="Residência",0,$L$62))</f>
        <v>0</v>
      </c>
      <c r="EX57" s="680"/>
      <c r="EY57" s="51">
        <f>IF($ES$60=$DV$57,IF(AND($EW$39&lt;1,$DX$39&lt;1,$EW$57&gt;0,$DX$57&lt;1),(($EW$57-1)*$BM$68*0.5)+$BM$68,$EW$57*0.5*$BM$68),$EW$57*0.5*$BM$68)</f>
        <v>0</v>
      </c>
      <c r="EZ57" s="116">
        <f>IF(EW57&gt;0,1,0)*$A$62</f>
        <v>0</v>
      </c>
      <c r="FA57" s="679">
        <f>EW57*$BK$68</f>
        <v>0</v>
      </c>
      <c r="FB57" s="680"/>
      <c r="FC57" s="386"/>
      <c r="FM57" s="22">
        <v>10</v>
      </c>
      <c r="FN57" s="83">
        <f>$B$62</f>
        <v>0.8</v>
      </c>
      <c r="FO57" s="679">
        <f>SUM($C$62,$F$62)</f>
        <v>0</v>
      </c>
      <c r="FP57" s="680"/>
      <c r="FQ57" s="51">
        <f>IF($FR$60=FM57,IF(FO39&lt;1,((FO57-1)*$BM$68*0.5)+$BM$68,FO57*0.5*$BM$68),FO57*0.5*$BM$68)</f>
        <v>0</v>
      </c>
      <c r="FR57" s="116">
        <f>IF(FO57&gt;0,1,0)*$A$62</f>
        <v>0</v>
      </c>
      <c r="FS57" s="679">
        <f>FO57*$BK$68</f>
        <v>0</v>
      </c>
      <c r="FT57" s="680"/>
      <c r="FU57" s="83"/>
      <c r="FV57" s="691"/>
      <c r="FW57" s="692"/>
      <c r="FX57" s="83"/>
      <c r="FY57" s="691"/>
      <c r="FZ57" s="692"/>
      <c r="GA57" s="83"/>
      <c r="GB57" s="691"/>
      <c r="GC57" s="692"/>
      <c r="GD57" s="83"/>
      <c r="GE57" s="689"/>
      <c r="GF57" s="690"/>
      <c r="GG57" s="83"/>
      <c r="GH57" s="691"/>
      <c r="GI57" s="692"/>
      <c r="GJ57" s="83"/>
      <c r="GK57" s="691"/>
      <c r="GL57" s="692"/>
      <c r="GN57" s="696"/>
      <c r="GO57" s="696"/>
      <c r="GP57" s="696"/>
      <c r="GQ57" s="696"/>
      <c r="GR57" s="51"/>
      <c r="GS57" s="20"/>
      <c r="HD57" s="22">
        <v>10</v>
      </c>
      <c r="HE57" s="83">
        <f>$B$62</f>
        <v>0.8</v>
      </c>
      <c r="HF57" s="679">
        <f>SUM($I$62,$L$62)</f>
        <v>0</v>
      </c>
      <c r="HG57" s="680"/>
      <c r="HH57" s="51">
        <f>IF($HI$60=HD57,IF(HF39&lt;1,((HF57-1)*$BM$68*0.5)+$BM$68,HF57*0.5*$BM$68),0)</f>
        <v>0</v>
      </c>
      <c r="HI57" s="116">
        <f>IF(HF57&gt;0,1,0)*$A$62</f>
        <v>0</v>
      </c>
      <c r="HJ57" s="679">
        <f>HF57*$BK$68</f>
        <v>0</v>
      </c>
      <c r="HK57" s="680"/>
      <c r="HL57" s="83"/>
      <c r="HM57" s="691"/>
      <c r="HN57" s="692"/>
      <c r="HO57" s="83"/>
      <c r="HP57" s="691"/>
      <c r="HQ57" s="692"/>
      <c r="HR57" s="83"/>
      <c r="HS57" s="691"/>
      <c r="HT57" s="692"/>
      <c r="HU57" s="83"/>
      <c r="HV57" s="689"/>
      <c r="HW57" s="690"/>
      <c r="HX57" s="83"/>
      <c r="HY57" s="691"/>
      <c r="HZ57" s="692"/>
      <c r="IA57" s="83"/>
      <c r="IB57" s="691"/>
      <c r="IC57" s="692"/>
      <c r="IE57" s="696"/>
      <c r="IF57" s="696"/>
      <c r="IG57" s="696"/>
      <c r="IH57" s="696"/>
      <c r="II57" s="51"/>
      <c r="IJ57" s="20"/>
    </row>
    <row r="58" spans="1:244" ht="13.5" thickBot="1" x14ac:dyDescent="0.25">
      <c r="A58" s="22">
        <v>2</v>
      </c>
      <c r="B58" s="70">
        <v>0.73</v>
      </c>
      <c r="C58" s="691">
        <f>IF($C$1="Vazio",0,RELAÇÃO_DE_CARGA!C59:D59)</f>
        <v>0</v>
      </c>
      <c r="D58" s="692"/>
      <c r="E58" s="70">
        <v>0.73</v>
      </c>
      <c r="F58" s="713">
        <f>IF($F$1="Vazio",0,RELAÇÃO_DE_CARGA!F59:G59)</f>
        <v>0</v>
      </c>
      <c r="G58" s="714"/>
      <c r="H58" s="70">
        <v>0.73</v>
      </c>
      <c r="I58" s="713">
        <f>IF(OR($I$1="Vazio",RELAÇÃO_DE_CARGA!$I$1&lt;3),0,RELAÇÃO_DE_CARGA!I59:J59)</f>
        <v>0</v>
      </c>
      <c r="J58" s="714"/>
      <c r="K58" s="70">
        <v>0.73</v>
      </c>
      <c r="L58" s="713">
        <f>IF(OR($L$1="Vazio",RELAÇÃO_DE_CARGA!$I$1&lt;4),0,RELAÇÃO_DE_CARGA!L59:M59)</f>
        <v>0</v>
      </c>
      <c r="M58" s="714"/>
      <c r="N58" s="70">
        <v>0.73</v>
      </c>
      <c r="O58" s="691">
        <f>IF(OR($O$1="Vazio",RELAÇÃO_DE_CARGA!$I$1&lt;5),0,RELAÇÃO_DE_CARGA!O59)</f>
        <v>0</v>
      </c>
      <c r="P58" s="692"/>
      <c r="Q58" s="70">
        <v>0.73</v>
      </c>
      <c r="R58" s="713">
        <f>IF(OR($R$1="Vazio",RELAÇÃO_DE_CARGA!$I$1&lt;6),0,RELAÇÃO_DE_CARGA!R59)</f>
        <v>0</v>
      </c>
      <c r="S58" s="714"/>
      <c r="T58" s="70">
        <v>0.73</v>
      </c>
      <c r="U58" s="713">
        <f>IF(OR($U$1="Vazio",RELAÇÃO_DE_CARGA!$I$1&lt;7),0,RELAÇÃO_DE_CARGA!U59)</f>
        <v>0</v>
      </c>
      <c r="V58" s="714"/>
      <c r="W58" s="70">
        <v>0.73</v>
      </c>
      <c r="X58" s="713">
        <f>IF(OR($X$1="Vazio",RELAÇÃO_DE_CARGA!$I$1&lt;8),0,RELAÇÃO_DE_CARGA!X59)</f>
        <v>0</v>
      </c>
      <c r="Y58" s="714"/>
      <c r="Z58" s="70">
        <v>0.73</v>
      </c>
      <c r="AA58" s="713">
        <f>IF(OR($AA$1="Vazio",RELAÇÃO_DE_CARGA!$I$1&lt;9),0,RELAÇÃO_DE_CARGA!AA59)</f>
        <v>0</v>
      </c>
      <c r="AB58" s="714"/>
      <c r="AC58" s="70">
        <v>0.73</v>
      </c>
      <c r="AD58" s="713">
        <f>IF(OR($AD$1="Vazio",RELAÇÃO_DE_CARGA!$I$1&lt;10),0,RELAÇÃO_DE_CARGA!AD59)</f>
        <v>0</v>
      </c>
      <c r="AE58" s="714"/>
      <c r="AF58" s="70">
        <v>0.73</v>
      </c>
      <c r="AG58" s="713">
        <f>IF(OR($AG$1="Vazio",RELAÇÃO_DE_CARGA!$I$1&lt;11),0,RELAÇÃO_DE_CARGA!AG59)</f>
        <v>0</v>
      </c>
      <c r="AH58" s="714"/>
      <c r="AI58" s="70">
        <v>0.73</v>
      </c>
      <c r="AJ58" s="713">
        <f>IF(OR($AJ$1="Vazio",RELAÇÃO_DE_CARGA!$I$1&lt;12),0,RELAÇÃO_DE_CARGA!AJ59)</f>
        <v>0</v>
      </c>
      <c r="AK58" s="714"/>
      <c r="AL58" s="35"/>
      <c r="AM58" s="35"/>
      <c r="AN58" s="35"/>
      <c r="AO58" s="35"/>
      <c r="AP58" s="35"/>
      <c r="AQ58" s="276">
        <f t="shared" si="73"/>
        <v>0</v>
      </c>
      <c r="AR58" s="276">
        <f t="shared" si="74"/>
        <v>0</v>
      </c>
      <c r="AS58" s="276">
        <f t="shared" si="75"/>
        <v>0</v>
      </c>
      <c r="AT58" s="276">
        <f t="shared" si="76"/>
        <v>0</v>
      </c>
      <c r="AU58" s="276">
        <f t="shared" si="77"/>
        <v>0</v>
      </c>
      <c r="AV58" s="276">
        <f t="shared" si="78"/>
        <v>0</v>
      </c>
      <c r="AW58" s="276">
        <f t="shared" si="79"/>
        <v>0</v>
      </c>
      <c r="AX58" s="276">
        <f t="shared" si="80"/>
        <v>0</v>
      </c>
      <c r="AY58" s="276">
        <f t="shared" si="81"/>
        <v>0</v>
      </c>
      <c r="AZ58" s="276">
        <f t="shared" si="82"/>
        <v>0</v>
      </c>
      <c r="BA58" s="276">
        <f t="shared" si="83"/>
        <v>0</v>
      </c>
      <c r="BB58" s="276">
        <f t="shared" si="84"/>
        <v>0</v>
      </c>
      <c r="BC58" s="172">
        <f t="shared" si="85"/>
        <v>0</v>
      </c>
      <c r="BD58" s="128">
        <f>IF(AND(BC58&gt;0,BD40&lt;1,BD41&lt;1,BD42&lt;1,BD43&lt;1,BD59&lt;1,BD44&lt;1,BD45&lt;1,BD60&lt;1,BD46&lt;1,BD61&lt;1,BD62&lt;1,BD47&lt;1,BD39&lt;1,BD63&lt;1,BD48&lt;1,BD38&lt;1,BD49&lt;1,BD64&lt;1),1,0)</f>
        <v>0</v>
      </c>
      <c r="BE58" s="172">
        <f t="shared" si="86"/>
        <v>0</v>
      </c>
      <c r="BF58" s="128">
        <f>IF(AND(BE58&gt;0,BF40&lt;1,BF41&lt;1,BF42&lt;1,BF43&lt;1,BF59&lt;1,BF44&lt;1,BF45&lt;1,BF60&lt;1,BF46&lt;1,BF61&lt;1,BF62&lt;1,BF47&lt;1,BF39&lt;1,BF63&lt;1,BF48&lt;1,BF38&lt;1,BF49&lt;1,BF64&lt;1),1,0)</f>
        <v>0</v>
      </c>
      <c r="BG58" s="128"/>
      <c r="BH58" s="128"/>
      <c r="BI58" s="128"/>
      <c r="BJ58" s="128"/>
      <c r="BK58" s="51">
        <v>0.42</v>
      </c>
      <c r="BL58" s="70">
        <v>0.63</v>
      </c>
      <c r="BM58">
        <f t="shared" ref="BM58:BM70" si="87">IF(B52&lt;BL58,BK58/B52,BK58/BL58)</f>
        <v>0.66666666666666663</v>
      </c>
      <c r="BN58">
        <f t="shared" ref="BN58:BN70" si="88">IF(E52&lt;BL58,BK58/E52,BK58/BL58)</f>
        <v>0.66666666666666663</v>
      </c>
      <c r="BO58">
        <f t="shared" ref="BO58:BO70" si="89">IF(H52&lt;BL58,BK58/H52,BK58/BL58)</f>
        <v>0.66666666666666663</v>
      </c>
      <c r="BP58">
        <f t="shared" ref="BP58:BP70" si="90">IF(K52&lt;BL58,BK58/K52,BK58/BL58)</f>
        <v>0.66666666666666663</v>
      </c>
      <c r="BQ58" s="51" t="s">
        <v>60</v>
      </c>
      <c r="BR58" s="20" t="s">
        <v>106</v>
      </c>
      <c r="BS58" s="20" t="s">
        <v>107</v>
      </c>
      <c r="BT58" s="72" t="s">
        <v>108</v>
      </c>
      <c r="BU58" s="72" t="s">
        <v>109</v>
      </c>
      <c r="BV58" s="72">
        <v>5</v>
      </c>
      <c r="BW58" s="72">
        <v>6</v>
      </c>
      <c r="BX58" s="72">
        <v>7</v>
      </c>
      <c r="BY58" s="72">
        <v>8</v>
      </c>
      <c r="BZ58" s="72">
        <v>9</v>
      </c>
      <c r="CA58" s="72">
        <v>10</v>
      </c>
      <c r="CB58" s="72">
        <v>11</v>
      </c>
      <c r="CC58" s="72">
        <v>12</v>
      </c>
      <c r="CD58" s="127"/>
      <c r="CE58" s="51"/>
      <c r="CF58" s="51"/>
      <c r="CG58" s="51"/>
      <c r="CK58" s="22">
        <v>12.5</v>
      </c>
      <c r="CL58" s="83">
        <f>$B$63</f>
        <v>0.78</v>
      </c>
      <c r="CM58" s="679">
        <f>SUM($C$63,$F$63)</f>
        <v>0</v>
      </c>
      <c r="CN58" s="680"/>
      <c r="CO58" s="51">
        <f>IF($CP$60=CK58,IF(CM40&lt;1,((CM58-1)*$BM$69*0.5)+$BM$69,CM58*0.5*$BM$69),CM58*0.5*$BM$69)</f>
        <v>0</v>
      </c>
      <c r="CP58" s="116">
        <f>IF(CM58&gt;0,1,0)*$A$63</f>
        <v>0</v>
      </c>
      <c r="CQ58" s="679">
        <f>CM58*$BK$69</f>
        <v>0</v>
      </c>
      <c r="CR58" s="680"/>
      <c r="CS58" s="83"/>
      <c r="CT58" s="22">
        <v>12.5</v>
      </c>
      <c r="CU58" s="83">
        <f>$B$63</f>
        <v>0.78</v>
      </c>
      <c r="CV58" s="679">
        <f>SUM($C$63,$F$63)</f>
        <v>0</v>
      </c>
      <c r="CW58" s="680"/>
      <c r="CX58" s="51">
        <f>IF($CY$60=CT58,IF(CV40&lt;1,((CV58-1)*$BM$69*0.5)+$BM$69,CV58*0.5*$BM$69),CV58*0.5*$BM$69)</f>
        <v>0</v>
      </c>
      <c r="CY58" s="116">
        <f>IF(CV58&gt;0,1,0)*$A$63</f>
        <v>0</v>
      </c>
      <c r="CZ58" s="679">
        <f>CV58*$BK$69</f>
        <v>0</v>
      </c>
      <c r="DA58" s="680"/>
      <c r="DB58" s="83"/>
      <c r="DC58" s="689"/>
      <c r="DD58" s="690"/>
      <c r="DE58" s="83"/>
      <c r="DF58" s="691"/>
      <c r="DG58" s="692"/>
      <c r="DH58" s="83"/>
      <c r="DI58" s="691"/>
      <c r="DJ58" s="692"/>
      <c r="DP58" s="116"/>
      <c r="DQ58" s="51"/>
      <c r="DR58"/>
      <c r="DT58"/>
      <c r="DV58" s="22">
        <v>12.5</v>
      </c>
      <c r="DW58" s="83">
        <f>$B$63</f>
        <v>0.78</v>
      </c>
      <c r="DX58" s="679">
        <f>SUM(IF($C$1="Residência",$C$63,0),IF($F$1="Residência",$F$63,0),IF($I$1="Residência",$I$63,0),IF($L$1="Residência",$L$63,0))</f>
        <v>0</v>
      </c>
      <c r="DY58" s="680"/>
      <c r="DZ58" s="51">
        <f>IF($EA$60=$DV$58,IF(AND(DX40&lt;1,EH40&lt;1,DX58&gt;0),((DX58-1)*$BM$69*0.5)+$BM$69,DX58*0.5*$BM$69),DX58*0.5*$BM$69)</f>
        <v>0</v>
      </c>
      <c r="EA58" s="116">
        <f>IF(DX58&gt;0,1,0)*$A$63</f>
        <v>0</v>
      </c>
      <c r="EB58" s="679">
        <f>DX58*$BK$69</f>
        <v>0</v>
      </c>
      <c r="EC58" s="680"/>
      <c r="ED58" s="83"/>
      <c r="EE58" s="691"/>
      <c r="EF58" s="692"/>
      <c r="EG58" s="51"/>
      <c r="EH58" s="679">
        <f>SUM(IF($C$1="Residência",0,$C$63),IF($F$1="Residência",0,$F$63),IF($I$1="Residência",0,$I$63),IF($L$1="Residência",0,$L$63))</f>
        <v>0</v>
      </c>
      <c r="EI58" s="680"/>
      <c r="EJ58" s="51">
        <f>IF($EA$60=$DV$58,IF(AND($EH$40&lt;1,$DX$40&lt;1,$EH$58&gt;0,$DX$58&lt;1),(($EH$58-1)*$BM$69*0.5)+$BM$69,$EH$58*0.5*$BM$69),$EH$58*0.5*$BM$69)</f>
        <v>0</v>
      </c>
      <c r="EK58" s="116">
        <f>IF(EH58&gt;0,1,0)*$A$63</f>
        <v>0</v>
      </c>
      <c r="EL58" s="679">
        <f>EH58*$BK$69</f>
        <v>0</v>
      </c>
      <c r="EM58" s="680"/>
      <c r="EN58" s="689"/>
      <c r="EO58" s="690"/>
      <c r="EP58" s="679">
        <f>SUM(IF($C$1="Residência",$C$63,0),IF($F$1="Residência",$F$63,0),IF($I$1="Residência",$I$63,0),IF($L$1="Residência",$L$63,0))</f>
        <v>0</v>
      </c>
      <c r="EQ58" s="680"/>
      <c r="ER58" s="51">
        <f>IF($ES$60=$DV$58,IF(AND(EP40&lt;1,EY40&lt;1,EP58&gt;0),((EP58-1)*$BM$69*0.5)+$BM$69,EP58*0.5*$BM$69),EP58*0.5*$BM$69)</f>
        <v>0</v>
      </c>
      <c r="ES58" s="116">
        <f>IF(EP58&gt;0,1,0)*$A$63</f>
        <v>0</v>
      </c>
      <c r="ET58" s="679">
        <f>EP58*$BK$69</f>
        <v>0</v>
      </c>
      <c r="EU58" s="680"/>
      <c r="EW58" s="679">
        <f>SUM(IF($C$1="Residência",0,$C$63),IF($F$1="Residência",0,$F$63),IF($I$1="Residência",0,$I$63),IF($L$1="Residência",0,$L$63))</f>
        <v>0</v>
      </c>
      <c r="EX58" s="680"/>
      <c r="EY58" s="51">
        <f>IF($ES$60=$DV$58,IF(AND($EW$40&lt;1,$DX$40&lt;1,$EW$58&gt;0,$DX$58&lt;1),(($EW$58-1)*$BM$69*0.5)+$BM$69,$EW$58*0.5*$BM$69),$EW$58*0.5*$BM$69)</f>
        <v>0</v>
      </c>
      <c r="EZ58" s="116">
        <f>IF(EW58&gt;0,1,0)*$A$63</f>
        <v>0</v>
      </c>
      <c r="FA58" s="679">
        <f>EW58*$BK$69</f>
        <v>0</v>
      </c>
      <c r="FB58" s="680"/>
      <c r="FC58" s="386"/>
      <c r="FM58" s="22">
        <v>12.5</v>
      </c>
      <c r="FN58" s="83">
        <f>$B$63</f>
        <v>0.78</v>
      </c>
      <c r="FO58" s="679">
        <f>SUM($C$63,$F$63)</f>
        <v>0</v>
      </c>
      <c r="FP58" s="680"/>
      <c r="FQ58" s="51">
        <f>IF($FR$60=FM58,IF(FO40&lt;1,((FO58-1)*$BM$69*0.5)+$BM$69,FO58*0.5*$BM$69),0)</f>
        <v>0</v>
      </c>
      <c r="FR58" s="116">
        <f>IF(FO58&gt;0,1,0)*$A$63</f>
        <v>0</v>
      </c>
      <c r="FS58" s="679">
        <f>FO58*$BK$69</f>
        <v>0</v>
      </c>
      <c r="FT58" s="680"/>
      <c r="FU58" s="83"/>
      <c r="FV58" s="691"/>
      <c r="FW58" s="692"/>
      <c r="FX58" s="83"/>
      <c r="FY58" s="691"/>
      <c r="FZ58" s="692"/>
      <c r="GA58" s="83"/>
      <c r="GB58" s="691"/>
      <c r="GC58" s="692"/>
      <c r="GD58" s="83"/>
      <c r="GE58" s="689"/>
      <c r="GF58" s="690"/>
      <c r="GG58" s="83"/>
      <c r="GH58" s="691"/>
      <c r="GI58" s="692"/>
      <c r="GJ58" s="83"/>
      <c r="GK58" s="691"/>
      <c r="GL58" s="692"/>
      <c r="GR58" s="116"/>
      <c r="GS58" s="51"/>
      <c r="HD58" s="22">
        <v>12.5</v>
      </c>
      <c r="HE58" s="83">
        <f>$B$63</f>
        <v>0.78</v>
      </c>
      <c r="HF58" s="679">
        <f>SUM($I$63,$L$63)</f>
        <v>0</v>
      </c>
      <c r="HG58" s="680"/>
      <c r="HH58" s="51">
        <f>IF($HI$60=HD58,IF(HF40&lt;1,((HF58-1)*$BM$69*0.5)+$BM$69,HF58*0.5*$BM$69),0)</f>
        <v>0</v>
      </c>
      <c r="HI58" s="116">
        <f>IF(HF58&gt;0,1,0)*$A$63</f>
        <v>0</v>
      </c>
      <c r="HJ58" s="679">
        <f>HF58*$BK$69</f>
        <v>0</v>
      </c>
      <c r="HK58" s="680"/>
      <c r="HL58" s="83"/>
      <c r="HM58" s="691"/>
      <c r="HN58" s="692"/>
      <c r="HO58" s="83"/>
      <c r="HP58" s="691"/>
      <c r="HQ58" s="692"/>
      <c r="HR58" s="83"/>
      <c r="HS58" s="691"/>
      <c r="HT58" s="692"/>
      <c r="HU58" s="83"/>
      <c r="HV58" s="689"/>
      <c r="HW58" s="690"/>
      <c r="HX58" s="83"/>
      <c r="HY58" s="691"/>
      <c r="HZ58" s="692"/>
      <c r="IA58" s="83"/>
      <c r="IB58" s="691"/>
      <c r="IC58" s="692"/>
      <c r="II58" s="116"/>
      <c r="IJ58" s="51"/>
    </row>
    <row r="59" spans="1:244" ht="13.5" thickBot="1" x14ac:dyDescent="0.25">
      <c r="A59" s="22">
        <v>3</v>
      </c>
      <c r="B59" s="70">
        <v>0.79</v>
      </c>
      <c r="C59" s="691">
        <f>IF($C$1="Vazio",0,RELAÇÃO_DE_CARGA!C60:D60)</f>
        <v>0</v>
      </c>
      <c r="D59" s="692"/>
      <c r="E59" s="70">
        <v>0.79</v>
      </c>
      <c r="F59" s="713">
        <f>IF($F$1="Vazio",0,RELAÇÃO_DE_CARGA!F60:G60)</f>
        <v>0</v>
      </c>
      <c r="G59" s="714"/>
      <c r="H59" s="70">
        <v>0.79</v>
      </c>
      <c r="I59" s="713">
        <f>IF(OR($I$1="Vazio",RELAÇÃO_DE_CARGA!$I$1&lt;3),0,RELAÇÃO_DE_CARGA!I60:J60)</f>
        <v>0</v>
      </c>
      <c r="J59" s="714"/>
      <c r="K59" s="70">
        <v>0.79</v>
      </c>
      <c r="L59" s="713">
        <f>IF(OR($L$1="Vazio",RELAÇÃO_DE_CARGA!$I$1&lt;4),0,RELAÇÃO_DE_CARGA!L60:M60)</f>
        <v>0</v>
      </c>
      <c r="M59" s="714"/>
      <c r="N59" s="70">
        <v>0.79</v>
      </c>
      <c r="O59" s="691">
        <f>IF(OR($O$1="Vazio",RELAÇÃO_DE_CARGA!$I$1&lt;5),0,RELAÇÃO_DE_CARGA!O60)</f>
        <v>0</v>
      </c>
      <c r="P59" s="692"/>
      <c r="Q59" s="70">
        <v>0.79</v>
      </c>
      <c r="R59" s="713">
        <f>IF(OR($R$1="Vazio",RELAÇÃO_DE_CARGA!$I$1&lt;6),0,RELAÇÃO_DE_CARGA!R60)</f>
        <v>0</v>
      </c>
      <c r="S59" s="714"/>
      <c r="T59" s="70">
        <v>0.79</v>
      </c>
      <c r="U59" s="713">
        <f>IF(OR($U$1="Vazio",RELAÇÃO_DE_CARGA!$I$1&lt;7),0,RELAÇÃO_DE_CARGA!U60)</f>
        <v>0</v>
      </c>
      <c r="V59" s="714"/>
      <c r="W59" s="70">
        <v>0.79</v>
      </c>
      <c r="X59" s="713">
        <f>IF(OR($X$1="Vazio",RELAÇÃO_DE_CARGA!$I$1&lt;8),0,RELAÇÃO_DE_CARGA!X60)</f>
        <v>0</v>
      </c>
      <c r="Y59" s="714"/>
      <c r="Z59" s="70">
        <v>0.79</v>
      </c>
      <c r="AA59" s="713">
        <f>IF(OR($AA$1="Vazio",RELAÇÃO_DE_CARGA!$I$1&lt;9),0,RELAÇÃO_DE_CARGA!AA60)</f>
        <v>0</v>
      </c>
      <c r="AB59" s="714"/>
      <c r="AC59" s="70">
        <v>0.79</v>
      </c>
      <c r="AD59" s="713">
        <f>IF(OR($AD$1="Vazio",RELAÇÃO_DE_CARGA!$I$1&lt;10),0,RELAÇÃO_DE_CARGA!AD60)</f>
        <v>0</v>
      </c>
      <c r="AE59" s="714"/>
      <c r="AF59" s="70">
        <v>0.79</v>
      </c>
      <c r="AG59" s="713">
        <f>IF(OR($AG$1="Vazio",RELAÇÃO_DE_CARGA!$I$1&lt;11),0,RELAÇÃO_DE_CARGA!AG60)</f>
        <v>0</v>
      </c>
      <c r="AH59" s="714"/>
      <c r="AI59" s="70">
        <v>0.79</v>
      </c>
      <c r="AJ59" s="713">
        <f>IF(OR($AJ$1="Vazio",RELAÇÃO_DE_CARGA!$I$1&lt;12),0,RELAÇÃO_DE_CARGA!AJ60)</f>
        <v>0</v>
      </c>
      <c r="AK59" s="714"/>
      <c r="AL59" s="35"/>
      <c r="AM59" s="35"/>
      <c r="AN59" s="35"/>
      <c r="AO59" s="35"/>
      <c r="AP59" s="35"/>
      <c r="AQ59" s="276">
        <f t="shared" si="73"/>
        <v>0</v>
      </c>
      <c r="AR59" s="276">
        <f t="shared" si="74"/>
        <v>0</v>
      </c>
      <c r="AS59" s="276">
        <f t="shared" si="75"/>
        <v>0</v>
      </c>
      <c r="AT59" s="276">
        <f t="shared" si="76"/>
        <v>0</v>
      </c>
      <c r="AU59" s="276">
        <f t="shared" si="77"/>
        <v>0</v>
      </c>
      <c r="AV59" s="276">
        <f t="shared" si="78"/>
        <v>0</v>
      </c>
      <c r="AW59" s="276">
        <f t="shared" si="79"/>
        <v>0</v>
      </c>
      <c r="AX59" s="276">
        <f t="shared" si="80"/>
        <v>0</v>
      </c>
      <c r="AY59" s="276">
        <f t="shared" si="81"/>
        <v>0</v>
      </c>
      <c r="AZ59" s="276">
        <f t="shared" si="82"/>
        <v>0</v>
      </c>
      <c r="BA59" s="276">
        <f t="shared" si="83"/>
        <v>0</v>
      </c>
      <c r="BB59" s="276">
        <f t="shared" si="84"/>
        <v>0</v>
      </c>
      <c r="BC59" s="172">
        <f t="shared" si="85"/>
        <v>0</v>
      </c>
      <c r="BD59" s="128">
        <f>IF(AND(BC59&gt;0,BD41&lt;1,BD42&lt;1,BD43&lt;1,BD44&lt;1,BD60&lt;1,BD45&lt;1,BD46&lt;1,BD61&lt;1,BD47&lt;1,BD62&lt;1,BD63&lt;1,BD48&lt;1,BD40&lt;1,BD64&lt;1,BD49&lt;1,BD39&lt;1),1,0)</f>
        <v>0</v>
      </c>
      <c r="BE59" s="172">
        <f t="shared" si="86"/>
        <v>0</v>
      </c>
      <c r="BF59" s="128">
        <f>IF(AND(BE59&gt;0,BF41&lt;1,BF42&lt;1,BF43&lt;1,BF44&lt;1,BF60&lt;1,BF45&lt;1,BF46&lt;1,BF61&lt;1,BF47&lt;1,BF62&lt;1,BF63&lt;1,BF48&lt;1,BF40&lt;1,BF64&lt;1,BF49&lt;1,BF39&lt;1),1,0)</f>
        <v>0</v>
      </c>
      <c r="BG59" s="128"/>
      <c r="BH59" s="128"/>
      <c r="BI59" s="128"/>
      <c r="BJ59" s="128"/>
      <c r="BK59" s="51">
        <v>0.51</v>
      </c>
      <c r="BL59" s="70">
        <v>0.66</v>
      </c>
      <c r="BM59">
        <f t="shared" si="87"/>
        <v>0.77272727272727271</v>
      </c>
      <c r="BN59">
        <f t="shared" si="88"/>
        <v>0.77272727272727271</v>
      </c>
      <c r="BO59">
        <f t="shared" si="89"/>
        <v>0.77272727272727271</v>
      </c>
      <c r="BP59">
        <f t="shared" si="90"/>
        <v>0.77272727272727271</v>
      </c>
      <c r="BQ59" s="116">
        <v>0.25</v>
      </c>
      <c r="BR59" s="51">
        <f>IF($AQ$65=$A52,IF(C52&gt;1,((C52-1)*$BM58*0.5)+$BM58,$BM58),0.5*$BM58*C52)</f>
        <v>0</v>
      </c>
      <c r="BS59" s="51">
        <f>IF($AR$65=$A52,IF(F52&gt;1,((F52-1)*$BM58*0.5)+$BM58,$BM58),0.5*$BM58*F52)</f>
        <v>0</v>
      </c>
      <c r="BT59" s="51">
        <f>IF($AS$65=$A52,IF(I52&gt;1,((I52-1)*$BM58*0.5)+$BM58,$BM58),0.5*$BM58*I52)</f>
        <v>0</v>
      </c>
      <c r="BU59" s="51">
        <f>IF($AT$65=$A52,IF(L52&gt;1,((L52-1)*$BM58*0.5)+$BM58,$BM58),0.5*$BM58*L52)</f>
        <v>0</v>
      </c>
      <c r="BV59" s="51">
        <f>IF($AU$65=$A52,IF(O52&gt;1,((O52-1)*$BM58*0.5)+$BM58,$BM58),0.5*$BM58*O52)</f>
        <v>0</v>
      </c>
      <c r="BW59" s="51">
        <f>IF($AV$65=$A52,IF(R52&gt;1,((R52-1)*$BM58*0.5)+$BM58,$BM58),0.5*$BM58*R52)</f>
        <v>0</v>
      </c>
      <c r="BX59" s="51">
        <f>IF($AW$65=$A52,IF(U52&gt;1,((U52-1)*$BM58*0.5)+$BM58,$BM58),0.5*$BM58*U52)</f>
        <v>0</v>
      </c>
      <c r="BY59" s="51">
        <f>IF($AX$65=$A52,IF(X52&gt;1,((X52-1)*$BM58*0.5)+$BM58,$BM58),0.5*$BM58*X52)</f>
        <v>0</v>
      </c>
      <c r="BZ59" s="51">
        <f>IF($AY$65=$A52,IF(AA52&gt;1,((AA52-1)*$BM58*0.5)+$BM58,$BM58),0.5*$BM58*AA52)</f>
        <v>0</v>
      </c>
      <c r="CA59" s="51">
        <f>IF($AZ$65=$A52,IF(AD52&gt;1,((AD52-1)*$BM58*0.5)+$BM58,$BM58),0.5*$BM58*AD52)</f>
        <v>0</v>
      </c>
      <c r="CB59" s="51">
        <f>IF($BA$65=$A52,IF(AG52&gt;1,((AG52-1)*$BM58*0.5)+$BM58,$BM58),0.5*$BM58*AG52)</f>
        <v>0</v>
      </c>
      <c r="CC59" s="51">
        <f>IF($BB$65=$A52,IF(AJ52&gt;1,((AJ52-1)*$BM58*0.5)+$BM58,$BM58),0.5*$BM58*AJ52)</f>
        <v>0</v>
      </c>
      <c r="CD59" s="127"/>
      <c r="CE59" s="51"/>
      <c r="CF59" s="51"/>
      <c r="CG59" s="51"/>
      <c r="CK59" s="23">
        <v>15</v>
      </c>
      <c r="CL59" s="83">
        <f>$B$64</f>
        <v>0.81</v>
      </c>
      <c r="CM59" s="689">
        <f>SUM($C$64,$F$64)</f>
        <v>0</v>
      </c>
      <c r="CN59" s="690"/>
      <c r="CO59" s="51">
        <f>IF($CP$60=CK59,IF(CM41&lt;1,((CM59-1)*$BM$70*0.5)+$BM$70,CM59*0.5*$BM$70),CM59*0.5*$BM$70)</f>
        <v>0</v>
      </c>
      <c r="CP59" s="116">
        <f>IF(CM59&gt;0,1,0)*$A$64</f>
        <v>0</v>
      </c>
      <c r="CQ59" s="679">
        <f>CM59*$BK$70</f>
        <v>0</v>
      </c>
      <c r="CR59" s="680"/>
      <c r="CS59" s="83"/>
      <c r="CT59" s="23">
        <v>15</v>
      </c>
      <c r="CU59" s="83">
        <f>$B$64</f>
        <v>0.81</v>
      </c>
      <c r="CV59" s="689">
        <f>SUM($C$64,$F$64)</f>
        <v>0</v>
      </c>
      <c r="CW59" s="690"/>
      <c r="CX59" s="51">
        <f>IF($CY$60=CT59,IF(CV41&lt;1,((CV59-1)*$BM$70*0.5)+$BM$70,CV59*0.5*$BM$70),CV59*0.5*$BM$70)</f>
        <v>0</v>
      </c>
      <c r="CY59" s="116">
        <f>IF(CV59&gt;0,1,0)*$A$64</f>
        <v>0</v>
      </c>
      <c r="CZ59" s="679">
        <f>CV59*$BK$70</f>
        <v>0</v>
      </c>
      <c r="DA59" s="680"/>
      <c r="DB59" s="83"/>
      <c r="DC59" s="689"/>
      <c r="DD59" s="690"/>
      <c r="DE59" s="83"/>
      <c r="DF59" s="691"/>
      <c r="DG59" s="692"/>
      <c r="DH59" s="83"/>
      <c r="DI59" s="691"/>
      <c r="DJ59" s="692"/>
      <c r="DP59" s="116"/>
      <c r="DQ59" s="51"/>
      <c r="DR59"/>
      <c r="DT59"/>
      <c r="DV59" s="23">
        <v>15</v>
      </c>
      <c r="DW59" s="83">
        <f>$B$64</f>
        <v>0.81</v>
      </c>
      <c r="DX59" s="679">
        <f>SUM(IF($C$1="Residência",$C$64,0),IF($F$1="Residência",$F$64,0),IF($I$1="Residência",$I$64,0),IF($L$1="Residência",$L$64,0))</f>
        <v>0</v>
      </c>
      <c r="DY59" s="680"/>
      <c r="DZ59" s="51">
        <f>IF($EA$60=$DV$59,IF(AND(DX41&lt;1,EH41&lt;1,DX59&gt;0),((DX59-1)*$BM$70*0.5)+$BM$70,DX59*0.5*$BM$70),DX59*0.5*$BM$70)</f>
        <v>0</v>
      </c>
      <c r="EA59" s="116">
        <f>IF(DX59&gt;0,1,0)*$A$64</f>
        <v>0</v>
      </c>
      <c r="EB59" s="679">
        <f>DX59*$BK$70</f>
        <v>0</v>
      </c>
      <c r="EC59" s="680"/>
      <c r="ED59" s="83"/>
      <c r="EE59" s="691"/>
      <c r="EF59" s="692"/>
      <c r="EG59" s="51"/>
      <c r="EH59" s="679">
        <f>SUM(IF($C$1="Residência",0,$C$64),IF($F$1="Residência",0,$F$64),IF($I$1="Residência",0,$I$64),IF($L$1="Residência",0,$L$64))</f>
        <v>0</v>
      </c>
      <c r="EI59" s="680"/>
      <c r="EJ59" s="51">
        <f>IF($EA$60=$DV$59,IF(AND($EH$41&lt;1,$DX$41&lt;1,$EH$59&gt;0,$DX$59&lt;1),(($EH$59-1)*$BM$70*0.5)+$BM$70,$EH$59*0.5*$BM$70),$EH$59*0.5*$BM$70)</f>
        <v>0</v>
      </c>
      <c r="EK59" s="116">
        <f>IF(EH59&gt;0,1,0)*$A$64</f>
        <v>0</v>
      </c>
      <c r="EL59" s="679">
        <f>EH59*$BK$70</f>
        <v>0</v>
      </c>
      <c r="EM59" s="680"/>
      <c r="EN59" s="689"/>
      <c r="EO59" s="690"/>
      <c r="EP59" s="679">
        <f>SUM(IF($C$1="Residência",$C$64,0),IF($F$1="Residência",$F$64,0),IF($I$1="Residência",$I$64,0),IF($L$1="Residência",$L$64,0))</f>
        <v>0</v>
      </c>
      <c r="EQ59" s="680"/>
      <c r="ER59" s="51">
        <f>IF($ES$60=$DV$59,IF(AND(EP41&lt;1,EY41&lt;1,EP59&gt;0),((EP59-1)*$BM$70*0.5)+$BM$70,EP59*0.5*$BM$70),EP59*0.5*$BM$70)</f>
        <v>0</v>
      </c>
      <c r="ES59" s="116">
        <f>IF(EP59&gt;0,1,0)*$A$64</f>
        <v>0</v>
      </c>
      <c r="ET59" s="679">
        <f>EP59*$BK$70</f>
        <v>0</v>
      </c>
      <c r="EU59" s="680"/>
      <c r="EW59" s="679">
        <f>SUM(IF($C$1="Residência",0,$C$64),IF($F$1="Residência",0,$F$64),IF($I$1="Residência",0,$I$64),IF($L$1="Residência",0,$L$64))</f>
        <v>0</v>
      </c>
      <c r="EX59" s="680"/>
      <c r="EY59" s="51">
        <f>IF($ES$60=$DV$59,IF(AND($EW$41&lt;1,$DX$41&lt;1,$EW$59&gt;0,$DX$59&lt;1),(($EW$59-1)*$BM$70*0.5)+$BM$70,$EW$59*0.5*$BM$70),$EW$59*0.5*$BM$70)</f>
        <v>0</v>
      </c>
      <c r="EZ59" s="116">
        <f>IF(EW59&gt;0,1,0)*$A$64</f>
        <v>0</v>
      </c>
      <c r="FA59" s="679">
        <f>EW59*$BK$70</f>
        <v>0</v>
      </c>
      <c r="FB59" s="680"/>
      <c r="FC59" s="386"/>
      <c r="FM59" s="23">
        <v>15</v>
      </c>
      <c r="FN59" s="83">
        <f>$B$64</f>
        <v>0.81</v>
      </c>
      <c r="FO59" s="689">
        <f>SUM($C$64,$F$64)</f>
        <v>0</v>
      </c>
      <c r="FP59" s="690"/>
      <c r="FQ59" s="51">
        <f>IF($FR$60=FM59,IF(FO41&lt;1,((FO59-1)*$BM$70*0.5)+$BM$70,FO59*0.5*$BM$70),0)</f>
        <v>0</v>
      </c>
      <c r="FR59" s="116">
        <f>IF(FO59&gt;0,1,0)*$A$64</f>
        <v>0</v>
      </c>
      <c r="FS59" s="679">
        <f>FO59*$BK$70</f>
        <v>0</v>
      </c>
      <c r="FT59" s="680"/>
      <c r="FU59" s="83"/>
      <c r="FV59" s="691"/>
      <c r="FW59" s="692"/>
      <c r="FX59" s="83"/>
      <c r="FY59" s="691"/>
      <c r="FZ59" s="692"/>
      <c r="GA59" s="83"/>
      <c r="GB59" s="691"/>
      <c r="GC59" s="692"/>
      <c r="GD59" s="83"/>
      <c r="GE59" s="689"/>
      <c r="GF59" s="690"/>
      <c r="GG59" s="83"/>
      <c r="GH59" s="691"/>
      <c r="GI59" s="692"/>
      <c r="GJ59" s="83"/>
      <c r="GK59" s="691"/>
      <c r="GL59" s="692"/>
      <c r="GR59" s="116"/>
      <c r="GS59" s="51"/>
      <c r="HD59" s="23">
        <v>15</v>
      </c>
      <c r="HE59" s="83">
        <f>$B$64</f>
        <v>0.81</v>
      </c>
      <c r="HF59" s="689">
        <f>SUM($I$64,$L$64)</f>
        <v>0</v>
      </c>
      <c r="HG59" s="690"/>
      <c r="HH59" s="51">
        <f>IF($HI$60=HD59,IF(HF41&lt;1,((HF59-1)*$BM$70*0.5)+$BM$70,HF59*0.5*$BM$70),0)</f>
        <v>0</v>
      </c>
      <c r="HI59" s="116">
        <f>IF(HF59&gt;0,1,0)*$A$64</f>
        <v>0</v>
      </c>
      <c r="HJ59" s="679">
        <f>HF59*$BK$70</f>
        <v>0</v>
      </c>
      <c r="HK59" s="680"/>
      <c r="HL59" s="83"/>
      <c r="HM59" s="691"/>
      <c r="HN59" s="692"/>
      <c r="HO59" s="83"/>
      <c r="HP59" s="691"/>
      <c r="HQ59" s="692"/>
      <c r="HR59" s="83"/>
      <c r="HS59" s="691"/>
      <c r="HT59" s="692"/>
      <c r="HU59" s="83"/>
      <c r="HV59" s="689"/>
      <c r="HW59" s="690"/>
      <c r="HX59" s="83"/>
      <c r="HY59" s="691"/>
      <c r="HZ59" s="692"/>
      <c r="IA59" s="83"/>
      <c r="IB59" s="691"/>
      <c r="IC59" s="692"/>
      <c r="II59" s="116"/>
      <c r="IJ59" s="51"/>
    </row>
    <row r="60" spans="1:244" ht="13.5" thickBot="1" x14ac:dyDescent="0.25">
      <c r="A60" s="22">
        <v>5</v>
      </c>
      <c r="B60" s="70">
        <v>0.83</v>
      </c>
      <c r="C60" s="691">
        <f>IF($C$1="Vazio",0,RELAÇÃO_DE_CARGA!C61:D61)</f>
        <v>0</v>
      </c>
      <c r="D60" s="692"/>
      <c r="E60" s="70">
        <v>0.83</v>
      </c>
      <c r="F60" s="713">
        <f>IF($F$1="Vazio",0,RELAÇÃO_DE_CARGA!F61:G61)</f>
        <v>0</v>
      </c>
      <c r="G60" s="714"/>
      <c r="H60" s="70">
        <v>0.83</v>
      </c>
      <c r="I60" s="713">
        <f>IF(OR($I$1="Vazio",RELAÇÃO_DE_CARGA!$I$1&lt;3),0,RELAÇÃO_DE_CARGA!I61:J61)</f>
        <v>0</v>
      </c>
      <c r="J60" s="714"/>
      <c r="K60" s="70">
        <v>0.83</v>
      </c>
      <c r="L60" s="713">
        <f>IF(OR($L$1="Vazio",RELAÇÃO_DE_CARGA!$I$1&lt;4),0,RELAÇÃO_DE_CARGA!L61:M61)</f>
        <v>0</v>
      </c>
      <c r="M60" s="714"/>
      <c r="N60" s="70">
        <v>0.83</v>
      </c>
      <c r="O60" s="691">
        <f>IF(OR($O$1="Vazio",RELAÇÃO_DE_CARGA!$I$1&lt;5),0,RELAÇÃO_DE_CARGA!O61)</f>
        <v>0</v>
      </c>
      <c r="P60" s="692"/>
      <c r="Q60" s="70">
        <v>0.83</v>
      </c>
      <c r="R60" s="713">
        <f>IF(OR($R$1="Vazio",RELAÇÃO_DE_CARGA!$I$1&lt;6),0,RELAÇÃO_DE_CARGA!R61)</f>
        <v>0</v>
      </c>
      <c r="S60" s="714"/>
      <c r="T60" s="70">
        <v>0.83</v>
      </c>
      <c r="U60" s="713">
        <f>IF(OR($U$1="Vazio",RELAÇÃO_DE_CARGA!$I$1&lt;7),0,RELAÇÃO_DE_CARGA!U61)</f>
        <v>0</v>
      </c>
      <c r="V60" s="714"/>
      <c r="W60" s="70">
        <v>0.83</v>
      </c>
      <c r="X60" s="713">
        <f>IF(OR($X$1="Vazio",RELAÇÃO_DE_CARGA!$I$1&lt;8),0,RELAÇÃO_DE_CARGA!X61)</f>
        <v>0</v>
      </c>
      <c r="Y60" s="714"/>
      <c r="Z60" s="70">
        <v>0.83</v>
      </c>
      <c r="AA60" s="713">
        <f>IF(OR($AA$1="Vazio",RELAÇÃO_DE_CARGA!$I$1&lt;9),0,RELAÇÃO_DE_CARGA!AA61)</f>
        <v>0</v>
      </c>
      <c r="AB60" s="714"/>
      <c r="AC60" s="70">
        <v>0.83</v>
      </c>
      <c r="AD60" s="713">
        <f>IF(OR($AD$1="Vazio",RELAÇÃO_DE_CARGA!$I$1&lt;10),0,RELAÇÃO_DE_CARGA!AD61)</f>
        <v>0</v>
      </c>
      <c r="AE60" s="714"/>
      <c r="AF60" s="70">
        <v>0.83</v>
      </c>
      <c r="AG60" s="713">
        <f>IF(OR($AG$1="Vazio",RELAÇÃO_DE_CARGA!$I$1&lt;11),0,RELAÇÃO_DE_CARGA!AG61)</f>
        <v>0</v>
      </c>
      <c r="AH60" s="714"/>
      <c r="AI60" s="70">
        <v>0.83</v>
      </c>
      <c r="AJ60" s="713">
        <f>IF(OR($AJ$1="Vazio",RELAÇÃO_DE_CARGA!$I$1&lt;12),0,RELAÇÃO_DE_CARGA!AJ61)</f>
        <v>0</v>
      </c>
      <c r="AK60" s="714"/>
      <c r="AL60" s="35"/>
      <c r="AM60" s="35"/>
      <c r="AN60" s="35"/>
      <c r="AO60" s="35"/>
      <c r="AP60" s="35"/>
      <c r="AQ60" s="276">
        <f t="shared" si="73"/>
        <v>0</v>
      </c>
      <c r="AR60" s="276">
        <f t="shared" si="74"/>
        <v>0</v>
      </c>
      <c r="AS60" s="276">
        <f t="shared" si="75"/>
        <v>0</v>
      </c>
      <c r="AT60" s="276">
        <f t="shared" si="76"/>
        <v>0</v>
      </c>
      <c r="AU60" s="276">
        <f t="shared" si="77"/>
        <v>0</v>
      </c>
      <c r="AV60" s="276">
        <f t="shared" si="78"/>
        <v>0</v>
      </c>
      <c r="AW60" s="276">
        <f t="shared" si="79"/>
        <v>0</v>
      </c>
      <c r="AX60" s="276">
        <f t="shared" si="80"/>
        <v>0</v>
      </c>
      <c r="AY60" s="276">
        <f t="shared" si="81"/>
        <v>0</v>
      </c>
      <c r="AZ60" s="276">
        <f t="shared" si="82"/>
        <v>0</v>
      </c>
      <c r="BA60" s="276">
        <f t="shared" si="83"/>
        <v>0</v>
      </c>
      <c r="BB60" s="276">
        <f t="shared" si="84"/>
        <v>0</v>
      </c>
      <c r="BC60" s="172">
        <f t="shared" si="85"/>
        <v>0</v>
      </c>
      <c r="BD60" s="128">
        <f>IF(AND(BC60&gt;0,BD42&lt;1,BD43&lt;1,BD44&lt;1,BD45&lt;1,BD61&lt;1,BD46&lt;1,BD47&lt;1,BD62&lt;1,BD48&lt;1,BD63&lt;1,BD64&lt;1,BD49&lt;1,BD41&lt;1),1,0)</f>
        <v>0</v>
      </c>
      <c r="BE60" s="172">
        <f t="shared" si="86"/>
        <v>0</v>
      </c>
      <c r="BF60" s="128">
        <f>IF(AND(BE60&gt;0,BF42&lt;1,BF43&lt;1,BF44&lt;1,BF45&lt;1,BF61&lt;1,BF46&lt;1,BF47&lt;1,BF62&lt;1,BF48&lt;1,BF63&lt;1,BF64&lt;1,BF49&lt;1,BF41&lt;1),1,0)</f>
        <v>0</v>
      </c>
      <c r="BG60" s="128"/>
      <c r="BH60" s="128"/>
      <c r="BI60" s="128"/>
      <c r="BJ60" s="128"/>
      <c r="BK60" s="51">
        <v>0.79</v>
      </c>
      <c r="BL60" s="70">
        <v>0.67</v>
      </c>
      <c r="BM60">
        <f t="shared" si="87"/>
        <v>1.1791044776119404</v>
      </c>
      <c r="BN60">
        <f t="shared" si="88"/>
        <v>1.1791044776119404</v>
      </c>
      <c r="BO60">
        <f t="shared" si="89"/>
        <v>1.1791044776119404</v>
      </c>
      <c r="BP60">
        <f t="shared" si="90"/>
        <v>1.1791044776119404</v>
      </c>
      <c r="BQ60" s="116">
        <v>0.33333333333333298</v>
      </c>
      <c r="BR60" s="51">
        <f>IF(AND($AQ$65=$A53,C33&lt;1),IF(C53&gt;1,((C53-1)*$BM59*0.5)+$BM59,$BM59),0.5*$BM59*C53)</f>
        <v>0</v>
      </c>
      <c r="BS60" s="51">
        <f t="shared" ref="BS60:BS66" si="91">IF(AND($AR$65=$A53,F33&lt;1),IF(F53&gt;1,((F53-1)*$BM59*0.5)+$BM59,$BM59),0.5*$BM59*F53)</f>
        <v>0</v>
      </c>
      <c r="BT60" s="51">
        <f t="shared" ref="BT60:BT66" si="92">IF(AND($AS$65=$A53,I33&lt;1),IF(I53&gt;1,((I53-1)*$BM59*0.5)+$BM59,$BM59),0.5*$BM59*I53)</f>
        <v>0</v>
      </c>
      <c r="BU60" s="51">
        <f t="shared" ref="BU60:BU66" si="93">IF(AND($AT$65=$A53,L33&lt;1),IF(L53&gt;1,((L53-1)*$BM59*0.5)+$BM59,$BM59),0.5*$BM59*L53)</f>
        <v>0</v>
      </c>
      <c r="BV60" s="51">
        <f t="shared" ref="BV60:BV66" si="94">IF(AND($AU$65=$A53,O33&lt;1),IF(O53&gt;1,((O53-1)*$BM59*0.5)+$BM59,$BM59),0.5*$BM59*O53)</f>
        <v>0</v>
      </c>
      <c r="BW60" s="51">
        <f t="shared" ref="BW60:BW66" si="95">IF(AND($AV$65=$A53,R33&lt;1),IF(R53&gt;1,((R53-1)*$BM59*0.5)+$BM59,$BM59),0.5*$BM59*R53)</f>
        <v>0</v>
      </c>
      <c r="BX60" s="51">
        <f t="shared" ref="BX60:BX66" si="96">IF(AND($AW$65=$A53,U33&lt;1),IF(U53&gt;1,((U53-1)*$BM59*0.5)+$BM59,$BM59),0.5*$BM59*U53)</f>
        <v>0</v>
      </c>
      <c r="BY60" s="51">
        <f t="shared" ref="BY60:BY66" si="97">IF(AND($AX$65=$A53,X33&lt;1),IF(X53&gt;1,((X53-1)*$BM59*0.5)+$BM59,$BM59),0.5*$BM59*X53)</f>
        <v>0</v>
      </c>
      <c r="BZ60" s="51">
        <f t="shared" ref="BZ60:BZ66" si="98">IF(AND($AY$65=$A53,AA33&lt;1),IF(AA53&gt;1,((AA53-1)*$BM59*0.5)+$BM59,$BM59),0.5*$BM59*AA53)</f>
        <v>0</v>
      </c>
      <c r="CA60" s="51">
        <f t="shared" ref="CA60:CA66" si="99">IF(AND($AZ$65=$A53,AD33&lt;1),IF(AD53&gt;1,((AD53-1)*$BM59*0.5)+$BM59,$BM59),0.5*$BM59*AD53)</f>
        <v>0</v>
      </c>
      <c r="CB60" s="51">
        <f t="shared" ref="CB60:CB66" si="100">IF(AND($BA$65=$A53,AG33&lt;1),IF(AG53&gt;1,((AG53-1)*$BM59*0.5)+$BM59,$BM59),0.5*$BM59*AG53)</f>
        <v>0</v>
      </c>
      <c r="CC60" s="51">
        <f t="shared" ref="CC60:CC66" si="101">IF(AND($BB$65=$A53,AJ33&lt;1),IF(AJ53&gt;1,((AJ53-1)*$BM59*0.5)+$BM59,$BM59),0.5*$BM59*AJ53)</f>
        <v>0</v>
      </c>
      <c r="CD60" s="127"/>
      <c r="CE60" s="51"/>
      <c r="CF60" s="51"/>
      <c r="CG60" s="51"/>
      <c r="CK60" s="25"/>
      <c r="CL60" s="87"/>
      <c r="CM60" s="679"/>
      <c r="CN60" s="680"/>
      <c r="CO60" s="92"/>
      <c r="CP60" s="87">
        <f>LARGE(CP28:CP59,1)</f>
        <v>0</v>
      </c>
      <c r="CQ60" s="35"/>
      <c r="CR60" s="35"/>
      <c r="CS60" s="87"/>
      <c r="CT60" s="25"/>
      <c r="CU60" s="87"/>
      <c r="CV60" s="679"/>
      <c r="CW60" s="680"/>
      <c r="CX60" s="92"/>
      <c r="CY60" s="87">
        <f>LARGE(CY28:CY59,1)</f>
        <v>0</v>
      </c>
      <c r="CZ60" s="35"/>
      <c r="DA60" s="35"/>
      <c r="DB60" s="87"/>
      <c r="DC60" s="170"/>
      <c r="DD60" s="170"/>
      <c r="DE60" s="87"/>
      <c r="DF60" s="35"/>
      <c r="DG60" s="35"/>
      <c r="DH60" s="92"/>
      <c r="DI60" s="33"/>
      <c r="DJ60" s="33"/>
      <c r="DP60" s="116"/>
      <c r="DQ60" s="51"/>
      <c r="DR60"/>
      <c r="DT60"/>
      <c r="DV60" s="25"/>
      <c r="DW60" s="87"/>
      <c r="DX60" s="170"/>
      <c r="DY60" s="170"/>
      <c r="DZ60" s="92"/>
      <c r="EA60" s="87">
        <f>LARGE(EB60:EK60,1)</f>
        <v>0</v>
      </c>
      <c r="EB60" s="298">
        <f>LARGE(EA28:EA59,1)</f>
        <v>0</v>
      </c>
      <c r="EC60" s="35"/>
      <c r="ED60" s="87"/>
      <c r="EE60" s="35"/>
      <c r="EF60" s="35"/>
      <c r="EG60" s="87"/>
      <c r="EH60" s="35"/>
      <c r="EI60" s="35"/>
      <c r="EJ60" s="87"/>
      <c r="EK60" s="298">
        <f>LARGE(EK28:EK59,1)</f>
        <v>0</v>
      </c>
      <c r="EL60" s="35"/>
      <c r="EM60" s="87"/>
      <c r="EN60" s="170"/>
      <c r="EO60" s="170"/>
      <c r="EP60" s="170"/>
      <c r="EQ60" s="170"/>
      <c r="ER60" s="92"/>
      <c r="ES60" s="87">
        <f>LARGE(ET60:EZ60,1)</f>
        <v>0</v>
      </c>
      <c r="ET60" s="298">
        <f>LARGE(ES28:ES59,1)</f>
        <v>0</v>
      </c>
      <c r="EU60" s="35"/>
      <c r="EW60" s="693"/>
      <c r="EX60" s="693"/>
      <c r="EY60" s="87"/>
      <c r="EZ60" s="298">
        <f>LARGE(EZ28:EZ59,1)</f>
        <v>0</v>
      </c>
      <c r="FA60" s="35"/>
      <c r="FB60" s="87"/>
      <c r="FC60" s="387"/>
      <c r="FM60" s="25"/>
      <c r="FN60" s="87"/>
      <c r="FO60" s="170"/>
      <c r="FP60" s="170"/>
      <c r="FQ60" s="92"/>
      <c r="FR60" s="87">
        <f>LARGE(FR28:FR59,1)</f>
        <v>0</v>
      </c>
      <c r="FS60" s="35"/>
      <c r="FT60" s="35"/>
      <c r="FU60" s="87"/>
      <c r="FV60" s="35"/>
      <c r="FW60" s="35"/>
      <c r="FX60" s="87"/>
      <c r="FY60" s="35"/>
      <c r="FZ60" s="35"/>
      <c r="GA60" s="87"/>
      <c r="GB60" s="35"/>
      <c r="GC60" s="35"/>
      <c r="GD60" s="87"/>
      <c r="GE60" s="170"/>
      <c r="GF60" s="170"/>
      <c r="GG60" s="87"/>
      <c r="GH60" s="35"/>
      <c r="GI60" s="35"/>
      <c r="GJ60" s="92"/>
      <c r="GK60" s="33"/>
      <c r="GL60" s="33"/>
      <c r="GR60" s="116"/>
      <c r="GS60" s="51"/>
      <c r="HD60" s="25"/>
      <c r="HE60" s="87"/>
      <c r="HF60" s="170"/>
      <c r="HG60" s="170"/>
      <c r="HH60" s="92"/>
      <c r="HI60" s="87">
        <f>LARGE(HI28:HI59,1)</f>
        <v>0</v>
      </c>
      <c r="HJ60" s="35"/>
      <c r="HK60" s="35"/>
      <c r="HL60" s="87"/>
      <c r="HM60" s="35"/>
      <c r="HN60" s="35"/>
      <c r="HO60" s="87"/>
      <c r="HP60" s="35"/>
      <c r="HQ60" s="35"/>
      <c r="HR60" s="87"/>
      <c r="HS60" s="35"/>
      <c r="HT60" s="35"/>
      <c r="HU60" s="87"/>
      <c r="HV60" s="170"/>
      <c r="HW60" s="170"/>
      <c r="HX60" s="87"/>
      <c r="HY60" s="35"/>
      <c r="HZ60" s="35"/>
      <c r="IA60" s="92"/>
      <c r="IB60" s="33"/>
      <c r="IC60" s="33"/>
      <c r="II60" s="116"/>
      <c r="IJ60" s="51"/>
    </row>
    <row r="61" spans="1:244" ht="13.5" thickBot="1" x14ac:dyDescent="0.25">
      <c r="A61" s="22">
        <v>7.5</v>
      </c>
      <c r="B61" s="70">
        <v>0.8</v>
      </c>
      <c r="C61" s="691">
        <f>IF($C$1="Vazio",0,RELAÇÃO_DE_CARGA!C62:D62)</f>
        <v>0</v>
      </c>
      <c r="D61" s="692"/>
      <c r="E61" s="70">
        <v>0.8</v>
      </c>
      <c r="F61" s="713">
        <f>IF($F$1="Vazio",0,RELAÇÃO_DE_CARGA!F62:G62)</f>
        <v>0</v>
      </c>
      <c r="G61" s="714"/>
      <c r="H61" s="70">
        <v>0.8</v>
      </c>
      <c r="I61" s="713">
        <f>IF(OR($I$1="Vazio",RELAÇÃO_DE_CARGA!$I$1&lt;3),0,RELAÇÃO_DE_CARGA!I62:J62)</f>
        <v>0</v>
      </c>
      <c r="J61" s="714"/>
      <c r="K61" s="70">
        <v>0.8</v>
      </c>
      <c r="L61" s="713">
        <f>IF(OR($L$1="Vazio",RELAÇÃO_DE_CARGA!$I$1&lt;4),0,RELAÇÃO_DE_CARGA!L62:M62)</f>
        <v>0</v>
      </c>
      <c r="M61" s="714"/>
      <c r="N61" s="70">
        <v>0.8</v>
      </c>
      <c r="O61" s="691">
        <f>IF(OR($O$1="Vazio",RELAÇÃO_DE_CARGA!$I$1&lt;5),0,RELAÇÃO_DE_CARGA!O62)</f>
        <v>0</v>
      </c>
      <c r="P61" s="692"/>
      <c r="Q61" s="70">
        <v>0.8</v>
      </c>
      <c r="R61" s="713">
        <f>IF(OR($R$1="Vazio",RELAÇÃO_DE_CARGA!$I$1&lt;6),0,RELAÇÃO_DE_CARGA!R62)</f>
        <v>0</v>
      </c>
      <c r="S61" s="714"/>
      <c r="T61" s="70">
        <v>0.8</v>
      </c>
      <c r="U61" s="713">
        <f>IF(OR($U$1="Vazio",RELAÇÃO_DE_CARGA!$I$1&lt;7),0,RELAÇÃO_DE_CARGA!U62)</f>
        <v>0</v>
      </c>
      <c r="V61" s="714"/>
      <c r="W61" s="70">
        <v>0.8</v>
      </c>
      <c r="X61" s="713">
        <f>IF(OR($X$1="Vazio",RELAÇÃO_DE_CARGA!$I$1&lt;8),0,RELAÇÃO_DE_CARGA!X62)</f>
        <v>0</v>
      </c>
      <c r="Y61" s="714"/>
      <c r="Z61" s="70">
        <v>0.8</v>
      </c>
      <c r="AA61" s="713">
        <f>IF(OR($AA$1="Vazio",RELAÇÃO_DE_CARGA!$I$1&lt;9),0,RELAÇÃO_DE_CARGA!AA62)</f>
        <v>0</v>
      </c>
      <c r="AB61" s="714"/>
      <c r="AC61" s="70">
        <v>0.8</v>
      </c>
      <c r="AD61" s="713">
        <f>IF(OR($AD$1="Vazio",RELAÇÃO_DE_CARGA!$I$1&lt;10),0,RELAÇÃO_DE_CARGA!AD62)</f>
        <v>0</v>
      </c>
      <c r="AE61" s="714"/>
      <c r="AF61" s="70">
        <v>0.8</v>
      </c>
      <c r="AG61" s="713">
        <f>IF(OR($AG$1="Vazio",RELAÇÃO_DE_CARGA!$I$1&lt;11),0,RELAÇÃO_DE_CARGA!AG62)</f>
        <v>0</v>
      </c>
      <c r="AH61" s="714"/>
      <c r="AI61" s="70">
        <v>0.8</v>
      </c>
      <c r="AJ61" s="713">
        <f>IF(OR($AJ$1="Vazio",RELAÇÃO_DE_CARGA!$I$1&lt;12),0,RELAÇÃO_DE_CARGA!AJ62)</f>
        <v>0</v>
      </c>
      <c r="AK61" s="714"/>
      <c r="AL61" s="35"/>
      <c r="AM61" s="35"/>
      <c r="AN61" s="35"/>
      <c r="AO61" s="35"/>
      <c r="AP61" s="35"/>
      <c r="AQ61" s="276">
        <f t="shared" si="73"/>
        <v>0</v>
      </c>
      <c r="AR61" s="276">
        <f t="shared" si="74"/>
        <v>0</v>
      </c>
      <c r="AS61" s="276">
        <f t="shared" si="75"/>
        <v>0</v>
      </c>
      <c r="AT61" s="276">
        <f t="shared" si="76"/>
        <v>0</v>
      </c>
      <c r="AU61" s="276">
        <f t="shared" si="77"/>
        <v>0</v>
      </c>
      <c r="AV61" s="276">
        <f t="shared" si="78"/>
        <v>0</v>
      </c>
      <c r="AW61" s="276">
        <f t="shared" si="79"/>
        <v>0</v>
      </c>
      <c r="AX61" s="276">
        <f t="shared" si="80"/>
        <v>0</v>
      </c>
      <c r="AY61" s="276">
        <f t="shared" si="81"/>
        <v>0</v>
      </c>
      <c r="AZ61" s="276">
        <f t="shared" si="82"/>
        <v>0</v>
      </c>
      <c r="BA61" s="276">
        <f t="shared" si="83"/>
        <v>0</v>
      </c>
      <c r="BB61" s="276">
        <f t="shared" si="84"/>
        <v>0</v>
      </c>
      <c r="BC61" s="172">
        <f t="shared" si="85"/>
        <v>0</v>
      </c>
      <c r="BD61" s="128">
        <f>IF(AND(BC61&gt;0,BD43&lt;1,BD44&lt;1,BD45&lt;1,BD46&lt;1,BD62&lt;1,BD47&lt;1,BD48&lt;1,BD63&lt;1,BD49&lt;1,BD64&lt;1),1,0)</f>
        <v>0</v>
      </c>
      <c r="BE61" s="172">
        <f t="shared" si="86"/>
        <v>0</v>
      </c>
      <c r="BF61" s="128">
        <f>IF(AND(BE61&gt;0,BF43&lt;1,BF44&lt;1,BF45&lt;1,BF46&lt;1,BF62&lt;1,BF47&lt;1,BF48&lt;1,BF63&lt;1,BF49&lt;1,BF64&lt;1),1,0)</f>
        <v>0</v>
      </c>
      <c r="BG61" s="128"/>
      <c r="BH61" s="128"/>
      <c r="BI61" s="128"/>
      <c r="BJ61" s="128"/>
      <c r="BK61" s="51">
        <v>0.9</v>
      </c>
      <c r="BL61" s="70">
        <v>0.67</v>
      </c>
      <c r="BM61">
        <f t="shared" si="87"/>
        <v>1.3432835820895521</v>
      </c>
      <c r="BN61">
        <f t="shared" si="88"/>
        <v>1.3432835820895521</v>
      </c>
      <c r="BO61">
        <f t="shared" si="89"/>
        <v>1.3432835820895521</v>
      </c>
      <c r="BP61">
        <f t="shared" si="90"/>
        <v>1.3432835820895521</v>
      </c>
      <c r="BQ61" s="116">
        <v>0.5</v>
      </c>
      <c r="BR61" s="51">
        <f t="shared" ref="BR61:BR66" si="102">IF(AND($AQ$65=$A54,C34&lt;1),IF(C54&gt;1,((C54-1)*$BM60*0.5)+$BM60,$BM60),0.5*$BM60*C54)</f>
        <v>0</v>
      </c>
      <c r="BS61" s="51">
        <f t="shared" si="91"/>
        <v>0</v>
      </c>
      <c r="BT61" s="51">
        <f t="shared" si="92"/>
        <v>0</v>
      </c>
      <c r="BU61" s="51">
        <f t="shared" si="93"/>
        <v>0</v>
      </c>
      <c r="BV61" s="51">
        <f t="shared" si="94"/>
        <v>0</v>
      </c>
      <c r="BW61" s="51">
        <f t="shared" si="95"/>
        <v>0</v>
      </c>
      <c r="BX61" s="51">
        <f t="shared" si="96"/>
        <v>0</v>
      </c>
      <c r="BY61" s="51">
        <f t="shared" si="97"/>
        <v>0</v>
      </c>
      <c r="BZ61" s="51">
        <f t="shared" si="98"/>
        <v>0</v>
      </c>
      <c r="CA61" s="51">
        <f t="shared" si="99"/>
        <v>0</v>
      </c>
      <c r="CB61" s="51">
        <f t="shared" si="100"/>
        <v>0</v>
      </c>
      <c r="CC61" s="51">
        <f t="shared" si="101"/>
        <v>0</v>
      </c>
      <c r="CD61" s="176"/>
      <c r="CE61" s="51"/>
      <c r="CF61" s="51"/>
      <c r="CG61" s="51"/>
      <c r="CK61" s="21" t="s">
        <v>60</v>
      </c>
      <c r="CL61" s="85"/>
      <c r="CM61" s="679"/>
      <c r="CN61" s="680"/>
      <c r="CO61" s="204"/>
      <c r="CP61" s="194"/>
      <c r="CQ61" s="194"/>
      <c r="CR61" s="194"/>
      <c r="CS61" s="194"/>
      <c r="CT61" s="194"/>
      <c r="CU61" s="194"/>
      <c r="CV61" s="194"/>
      <c r="CW61" s="194"/>
      <c r="CX61" s="194"/>
      <c r="CY61" s="194"/>
      <c r="CZ61" s="194"/>
      <c r="DA61" s="194"/>
      <c r="DB61" s="194"/>
      <c r="DC61" s="204"/>
      <c r="DD61" s="204"/>
      <c r="DE61" s="204"/>
      <c r="DF61" s="194"/>
      <c r="DG61" s="194"/>
      <c r="DH61" s="194"/>
      <c r="DI61" s="194"/>
      <c r="DJ61" s="194"/>
      <c r="DP61" s="118"/>
      <c r="DQ61" s="51"/>
      <c r="DR61"/>
      <c r="DT61"/>
      <c r="DV61" s="21"/>
      <c r="DW61" s="85"/>
      <c r="DX61" s="206"/>
      <c r="DY61" s="204"/>
      <c r="DZ61" s="204">
        <f>SUM(DZ47:DZ59,DZ28:DZ44,$DZ$26,$DY$6)*$DU$2</f>
        <v>0</v>
      </c>
      <c r="EA61" s="194"/>
      <c r="EB61" s="194"/>
      <c r="EC61" s="194"/>
      <c r="ED61" s="194"/>
      <c r="EE61" s="194"/>
      <c r="EF61" s="194"/>
      <c r="EG61" s="194"/>
      <c r="EH61" s="194"/>
      <c r="EI61" s="194"/>
      <c r="EJ61" s="299">
        <f>SUM(EJ47:EJ59,EJ28:EJ44,$EX$8,$FC$6,$EZ$6,$EW$6,$ET$6,$EQ$6,$EN$6,$EK$6,$EH$6,$EE$6,$EB$6,EL26)</f>
        <v>0</v>
      </c>
      <c r="EK61" s="194"/>
      <c r="EL61" s="194"/>
      <c r="EM61" s="194"/>
      <c r="EN61" s="204"/>
      <c r="EO61" s="204"/>
      <c r="EP61" s="206"/>
      <c r="EQ61" s="204"/>
      <c r="ER61" s="204">
        <f>SUM(ER47:ER59,ER28:ER44,$DZ$26,$DY$6)*$DU$2</f>
        <v>0</v>
      </c>
      <c r="ES61" s="194"/>
      <c r="ET61" s="194"/>
      <c r="EU61" s="194"/>
      <c r="EW61" s="204"/>
      <c r="EX61" s="194"/>
      <c r="EY61" s="204">
        <f>SUM(EY47:EY59,EY28:EY44,$EX$8,$FC$6,$EZ$6,$EW$6,$ET$6,$EQ$6,$EN$6,$EK$6,$EH$6,$EE$6,$EB$6,EL26)</f>
        <v>0</v>
      </c>
      <c r="EZ61" s="194"/>
      <c r="FA61" s="194"/>
      <c r="FB61" s="194"/>
      <c r="FC61" s="204"/>
    </row>
    <row r="62" spans="1:244" ht="13.5" thickBot="1" x14ac:dyDescent="0.25">
      <c r="A62" s="22">
        <v>10</v>
      </c>
      <c r="B62" s="70">
        <v>0.8</v>
      </c>
      <c r="C62" s="691">
        <f>IF($C$1="Vazio",0,RELAÇÃO_DE_CARGA!C63:D63)</f>
        <v>0</v>
      </c>
      <c r="D62" s="692"/>
      <c r="E62" s="70">
        <v>0.8</v>
      </c>
      <c r="F62" s="713">
        <f>IF($F$1="Vazio",0,RELAÇÃO_DE_CARGA!F63:G63)</f>
        <v>0</v>
      </c>
      <c r="G62" s="714"/>
      <c r="H62" s="70">
        <v>0.8</v>
      </c>
      <c r="I62" s="713">
        <f>IF(OR($I$1="Vazio",RELAÇÃO_DE_CARGA!$I$1&lt;3),0,RELAÇÃO_DE_CARGA!I63:J63)</f>
        <v>0</v>
      </c>
      <c r="J62" s="714"/>
      <c r="K62" s="70">
        <v>0.8</v>
      </c>
      <c r="L62" s="713">
        <f>IF(OR($L$1="Vazio",RELAÇÃO_DE_CARGA!$I$1&lt;4),0,RELAÇÃO_DE_CARGA!L63:M63)</f>
        <v>0</v>
      </c>
      <c r="M62" s="714"/>
      <c r="N62" s="70">
        <v>0.8</v>
      </c>
      <c r="O62" s="691">
        <f>IF(OR($O$1="Vazio",RELAÇÃO_DE_CARGA!$I$1&lt;5),0,RELAÇÃO_DE_CARGA!O63)</f>
        <v>0</v>
      </c>
      <c r="P62" s="692"/>
      <c r="Q62" s="70">
        <v>0.8</v>
      </c>
      <c r="R62" s="713">
        <f>IF(OR($R$1="Vazio",RELAÇÃO_DE_CARGA!$I$1&lt;6),0,RELAÇÃO_DE_CARGA!R63)</f>
        <v>0</v>
      </c>
      <c r="S62" s="714"/>
      <c r="T62" s="70">
        <v>0.8</v>
      </c>
      <c r="U62" s="713">
        <f>IF(OR($U$1="Vazio",RELAÇÃO_DE_CARGA!$I$1&lt;7),0,RELAÇÃO_DE_CARGA!U63)</f>
        <v>0</v>
      </c>
      <c r="V62" s="714"/>
      <c r="W62" s="70">
        <v>0.8</v>
      </c>
      <c r="X62" s="713">
        <f>IF(OR($X$1="Vazio",RELAÇÃO_DE_CARGA!$I$1&lt;8),0,RELAÇÃO_DE_CARGA!X63)</f>
        <v>0</v>
      </c>
      <c r="Y62" s="714"/>
      <c r="Z62" s="70">
        <v>0.8</v>
      </c>
      <c r="AA62" s="713">
        <f>IF(OR($AA$1="Vazio",RELAÇÃO_DE_CARGA!$I$1&lt;9),0,RELAÇÃO_DE_CARGA!AA63)</f>
        <v>0</v>
      </c>
      <c r="AB62" s="714"/>
      <c r="AC62" s="70">
        <v>0.8</v>
      </c>
      <c r="AD62" s="713">
        <f>IF(OR($AD$1="Vazio",RELAÇÃO_DE_CARGA!$I$1&lt;10),0,RELAÇÃO_DE_CARGA!AD63)</f>
        <v>0</v>
      </c>
      <c r="AE62" s="714"/>
      <c r="AF62" s="70">
        <v>0.8</v>
      </c>
      <c r="AG62" s="713">
        <f>IF(OR($AG$1="Vazio",RELAÇÃO_DE_CARGA!$I$1&lt;11),0,RELAÇÃO_DE_CARGA!AG63)</f>
        <v>0</v>
      </c>
      <c r="AH62" s="714"/>
      <c r="AI62" s="70">
        <v>0.8</v>
      </c>
      <c r="AJ62" s="713">
        <f>IF(OR($AJ$1="Vazio",RELAÇÃO_DE_CARGA!$I$1&lt;12),0,RELAÇÃO_DE_CARGA!AJ63)</f>
        <v>0</v>
      </c>
      <c r="AK62" s="714"/>
      <c r="AL62" s="35"/>
      <c r="AM62" s="35"/>
      <c r="AN62" s="35"/>
      <c r="AO62" s="35"/>
      <c r="AP62" s="35"/>
      <c r="AQ62" s="276">
        <f t="shared" si="73"/>
        <v>0</v>
      </c>
      <c r="AR62" s="276">
        <f t="shared" si="74"/>
        <v>0</v>
      </c>
      <c r="AS62" s="276">
        <f t="shared" si="75"/>
        <v>0</v>
      </c>
      <c r="AT62" s="276">
        <f t="shared" si="76"/>
        <v>0</v>
      </c>
      <c r="AU62" s="276">
        <f t="shared" si="77"/>
        <v>0</v>
      </c>
      <c r="AV62" s="276">
        <f t="shared" si="78"/>
        <v>0</v>
      </c>
      <c r="AW62" s="276">
        <f t="shared" si="79"/>
        <v>0</v>
      </c>
      <c r="AX62" s="276">
        <f t="shared" si="80"/>
        <v>0</v>
      </c>
      <c r="AY62" s="276">
        <f t="shared" si="81"/>
        <v>0</v>
      </c>
      <c r="AZ62" s="276">
        <f t="shared" si="82"/>
        <v>0</v>
      </c>
      <c r="BA62" s="276">
        <f t="shared" si="83"/>
        <v>0</v>
      </c>
      <c r="BB62" s="276">
        <f t="shared" si="84"/>
        <v>0</v>
      </c>
      <c r="BC62" s="172">
        <f t="shared" si="85"/>
        <v>0</v>
      </c>
      <c r="BD62" s="128">
        <f>IF(AND(BC62&gt;0,BD44&lt;1,BD45&lt;1,BD46&lt;1,BD47&lt;1,BD63&lt;1,BD48&lt;1,BD49&lt;1,BD64&lt;1),1,0)</f>
        <v>0</v>
      </c>
      <c r="BE62" s="172">
        <f t="shared" si="86"/>
        <v>0</v>
      </c>
      <c r="BF62" s="128">
        <f>IF(AND(BE62&gt;0,BF44&lt;1,BF45&lt;1,BF46&lt;1,BF47&lt;1,BF63&lt;1,BF48&lt;1,BF49&lt;1,BF64&lt;1),1,0)</f>
        <v>0</v>
      </c>
      <c r="BG62" s="128"/>
      <c r="BH62" s="128"/>
      <c r="BI62" s="128"/>
      <c r="BJ62" s="128"/>
      <c r="BK62" s="51">
        <v>1.1399999999999999</v>
      </c>
      <c r="BL62" s="70">
        <v>0.73</v>
      </c>
      <c r="BM62">
        <f t="shared" si="87"/>
        <v>1.5616438356164382</v>
      </c>
      <c r="BN62">
        <f t="shared" si="88"/>
        <v>1.5616438356164382</v>
      </c>
      <c r="BO62">
        <f t="shared" si="89"/>
        <v>1.5616438356164382</v>
      </c>
      <c r="BP62">
        <f t="shared" si="90"/>
        <v>1.5616438356164382</v>
      </c>
      <c r="BQ62" s="118">
        <v>0.75</v>
      </c>
      <c r="BR62" s="51">
        <f t="shared" si="102"/>
        <v>0</v>
      </c>
      <c r="BS62" s="51">
        <f t="shared" si="91"/>
        <v>0</v>
      </c>
      <c r="BT62" s="51">
        <f t="shared" si="92"/>
        <v>0</v>
      </c>
      <c r="BU62" s="51">
        <f t="shared" si="93"/>
        <v>0</v>
      </c>
      <c r="BV62" s="51">
        <f t="shared" si="94"/>
        <v>0</v>
      </c>
      <c r="BW62" s="51">
        <f t="shared" si="95"/>
        <v>0</v>
      </c>
      <c r="BX62" s="51">
        <f t="shared" si="96"/>
        <v>0</v>
      </c>
      <c r="BY62" s="51">
        <f t="shared" si="97"/>
        <v>0</v>
      </c>
      <c r="BZ62" s="51">
        <f t="shared" si="98"/>
        <v>0</v>
      </c>
      <c r="CA62" s="51">
        <f t="shared" si="99"/>
        <v>0</v>
      </c>
      <c r="CB62" s="51">
        <f t="shared" si="100"/>
        <v>0</v>
      </c>
      <c r="CC62" s="51">
        <f t="shared" si="101"/>
        <v>0</v>
      </c>
      <c r="CD62" s="177"/>
      <c r="CE62" s="51"/>
      <c r="CF62" s="51"/>
      <c r="CG62" s="51"/>
      <c r="CK62" s="22">
        <f>A67</f>
        <v>0.33333333333333298</v>
      </c>
      <c r="CL62" s="22">
        <f>CENTRO_DE_MEDIÇÃO!I30</f>
        <v>0</v>
      </c>
      <c r="CM62" s="679">
        <f>C67</f>
        <v>0</v>
      </c>
      <c r="CN62" s="680"/>
      <c r="CO62" s="51">
        <f>IF($CP$70=CK62,((CM62-1)*$BM$39*0.5)+$BM$39,CM62*0.5*$BM$39)</f>
        <v>0</v>
      </c>
      <c r="CP62" s="116">
        <f>IF(CM62&gt;0,1,0)*$A$33</f>
        <v>0</v>
      </c>
      <c r="CQ62" s="679">
        <f>CM62*$BK$39</f>
        <v>0</v>
      </c>
      <c r="CR62" s="680"/>
      <c r="CS62" s="83"/>
      <c r="CT62" s="691"/>
      <c r="CU62" s="692"/>
      <c r="CV62" s="83"/>
      <c r="CW62" s="691"/>
      <c r="CX62" s="692"/>
      <c r="CY62" s="83"/>
      <c r="CZ62" s="691"/>
      <c r="DA62" s="692"/>
      <c r="DB62" s="83"/>
      <c r="DC62" s="689"/>
      <c r="DD62" s="690"/>
      <c r="DE62" s="83"/>
      <c r="DF62" s="691"/>
      <c r="DG62" s="692"/>
      <c r="DH62" s="83"/>
      <c r="DI62" s="691"/>
      <c r="DJ62" s="692"/>
      <c r="DP62" s="119"/>
      <c r="DQ62" s="51"/>
      <c r="DR62"/>
      <c r="DT62"/>
      <c r="DV62" s="22"/>
      <c r="DW62" s="83"/>
      <c r="DX62" s="679"/>
      <c r="DY62" s="680"/>
      <c r="DZ62" s="83"/>
      <c r="EA62" s="83"/>
      <c r="EB62" s="694"/>
      <c r="EC62" s="695"/>
      <c r="ED62" s="83"/>
      <c r="EE62" s="691"/>
      <c r="EF62" s="692"/>
      <c r="EG62" s="83"/>
      <c r="EH62" s="691"/>
      <c r="EI62" s="692"/>
      <c r="EJ62" s="83"/>
      <c r="EK62" s="691"/>
      <c r="EL62" s="692"/>
      <c r="EM62" s="83"/>
      <c r="EN62" s="689"/>
      <c r="EO62" s="690"/>
      <c r="EP62" s="83"/>
      <c r="EQ62" s="691"/>
      <c r="ER62" s="692"/>
      <c r="ES62" s="83"/>
      <c r="ET62" s="691"/>
      <c r="EU62" s="692"/>
      <c r="FA62" s="119"/>
      <c r="FB62" s="51"/>
    </row>
    <row r="63" spans="1:244" ht="13.5" thickBot="1" x14ac:dyDescent="0.25">
      <c r="A63" s="22">
        <v>12.5</v>
      </c>
      <c r="B63" s="70">
        <v>0.78</v>
      </c>
      <c r="C63" s="691">
        <f>IF($C$1="Vazio",0,RELAÇÃO_DE_CARGA!C64:D64)</f>
        <v>0</v>
      </c>
      <c r="D63" s="692"/>
      <c r="E63" s="70">
        <v>0.78</v>
      </c>
      <c r="F63" s="713">
        <f>IF($F$1="Vazio",0,RELAÇÃO_DE_CARGA!F64:G64)</f>
        <v>0</v>
      </c>
      <c r="G63" s="714"/>
      <c r="H63" s="70">
        <v>0.78</v>
      </c>
      <c r="I63" s="713">
        <f>IF(OR($I$1="Vazio",RELAÇÃO_DE_CARGA!$I$1&lt;3),0,RELAÇÃO_DE_CARGA!I64:J64)</f>
        <v>0</v>
      </c>
      <c r="J63" s="714"/>
      <c r="K63" s="70">
        <v>0.78</v>
      </c>
      <c r="L63" s="713">
        <f>IF(OR($L$1="Vazio",RELAÇÃO_DE_CARGA!$I$1&lt;4),0,RELAÇÃO_DE_CARGA!L64:M64)</f>
        <v>0</v>
      </c>
      <c r="M63" s="714"/>
      <c r="N63" s="70">
        <v>0.78</v>
      </c>
      <c r="O63" s="691">
        <f>IF(OR($O$1="Vazio",RELAÇÃO_DE_CARGA!$I$1&lt;5),0,RELAÇÃO_DE_CARGA!O64)</f>
        <v>0</v>
      </c>
      <c r="P63" s="692"/>
      <c r="Q63" s="70">
        <v>0.78</v>
      </c>
      <c r="R63" s="713">
        <f>IF(OR($R$1="Vazio",RELAÇÃO_DE_CARGA!$I$1&lt;6),0,RELAÇÃO_DE_CARGA!R64)</f>
        <v>0</v>
      </c>
      <c r="S63" s="714"/>
      <c r="T63" s="70">
        <v>0.78</v>
      </c>
      <c r="U63" s="713">
        <f>IF(OR($U$1="Vazio",RELAÇÃO_DE_CARGA!$I$1&lt;7),0,RELAÇÃO_DE_CARGA!U64)</f>
        <v>0</v>
      </c>
      <c r="V63" s="714"/>
      <c r="W63" s="70">
        <v>0.78</v>
      </c>
      <c r="X63" s="713">
        <f>IF(OR($X$1="Vazio",RELAÇÃO_DE_CARGA!$I$1&lt;8),0,RELAÇÃO_DE_CARGA!X64)</f>
        <v>0</v>
      </c>
      <c r="Y63" s="714"/>
      <c r="Z63" s="70">
        <v>0.78</v>
      </c>
      <c r="AA63" s="713">
        <f>IF(OR($AA$1="Vazio",RELAÇÃO_DE_CARGA!$I$1&lt;9),0,RELAÇÃO_DE_CARGA!AA64)</f>
        <v>0</v>
      </c>
      <c r="AB63" s="714"/>
      <c r="AC63" s="70">
        <v>0.78</v>
      </c>
      <c r="AD63" s="713">
        <f>IF(OR($AD$1="Vazio",RELAÇÃO_DE_CARGA!$I$1&lt;10),0,RELAÇÃO_DE_CARGA!AD64)</f>
        <v>0</v>
      </c>
      <c r="AE63" s="714"/>
      <c r="AF63" s="70">
        <v>0.78</v>
      </c>
      <c r="AG63" s="713">
        <f>IF(OR($AG$1="Vazio",RELAÇÃO_DE_CARGA!$I$1&lt;11),0,RELAÇÃO_DE_CARGA!AG64)</f>
        <v>0</v>
      </c>
      <c r="AH63" s="714"/>
      <c r="AI63" s="70">
        <v>0.78</v>
      </c>
      <c r="AJ63" s="713">
        <f>IF(OR($AJ$1="Vazio",RELAÇÃO_DE_CARGA!$I$1&lt;12),0,RELAÇÃO_DE_CARGA!AJ64)</f>
        <v>0</v>
      </c>
      <c r="AK63" s="714"/>
      <c r="AL63" s="35"/>
      <c r="AM63" s="35"/>
      <c r="AN63" s="35"/>
      <c r="AO63" s="35"/>
      <c r="AP63" s="35"/>
      <c r="AQ63" s="276">
        <f t="shared" si="73"/>
        <v>0</v>
      </c>
      <c r="AR63" s="276">
        <f t="shared" si="74"/>
        <v>0</v>
      </c>
      <c r="AS63" s="276">
        <f t="shared" si="75"/>
        <v>0</v>
      </c>
      <c r="AT63" s="276">
        <f t="shared" si="76"/>
        <v>0</v>
      </c>
      <c r="AU63" s="276">
        <f t="shared" si="77"/>
        <v>0</v>
      </c>
      <c r="AV63" s="276">
        <f t="shared" si="78"/>
        <v>0</v>
      </c>
      <c r="AW63" s="276">
        <f t="shared" si="79"/>
        <v>0</v>
      </c>
      <c r="AX63" s="276">
        <f t="shared" si="80"/>
        <v>0</v>
      </c>
      <c r="AY63" s="276">
        <f t="shared" si="81"/>
        <v>0</v>
      </c>
      <c r="AZ63" s="276">
        <f t="shared" si="82"/>
        <v>0</v>
      </c>
      <c r="BA63" s="276">
        <f t="shared" si="83"/>
        <v>0</v>
      </c>
      <c r="BB63" s="276">
        <f t="shared" si="84"/>
        <v>0</v>
      </c>
      <c r="BC63" s="172">
        <f t="shared" si="85"/>
        <v>0</v>
      </c>
      <c r="BD63" s="128">
        <f>IF(AND(BC63&gt;0,BD45&lt;1,BD46&lt;1,BD47&lt;1,BD48&lt;1,BD64&lt;1,BD49&lt;1),1,0)</f>
        <v>0</v>
      </c>
      <c r="BE63" s="172">
        <f t="shared" si="86"/>
        <v>0</v>
      </c>
      <c r="BF63" s="128">
        <f>IF(AND(BE63&gt;0,BF45&lt;1,BF46&lt;1,BF47&lt;1,BF48&lt;1,BF64&lt;1,BF49&lt;1),1,0)</f>
        <v>0</v>
      </c>
      <c r="BG63" s="128"/>
      <c r="BH63" s="128"/>
      <c r="BI63" s="128"/>
      <c r="BJ63" s="128"/>
      <c r="BK63" s="51">
        <v>1.67</v>
      </c>
      <c r="BL63" s="70">
        <v>0.71</v>
      </c>
      <c r="BM63">
        <f t="shared" si="87"/>
        <v>2.352112676056338</v>
      </c>
      <c r="BN63">
        <f t="shared" si="88"/>
        <v>2.352112676056338</v>
      </c>
      <c r="BO63">
        <f t="shared" si="89"/>
        <v>2.352112676056338</v>
      </c>
      <c r="BP63">
        <f t="shared" si="90"/>
        <v>2.352112676056338</v>
      </c>
      <c r="BQ63" s="119">
        <v>1</v>
      </c>
      <c r="BR63" s="51">
        <f t="shared" si="102"/>
        <v>0</v>
      </c>
      <c r="BS63" s="51">
        <f t="shared" si="91"/>
        <v>0</v>
      </c>
      <c r="BT63" s="51">
        <f t="shared" si="92"/>
        <v>0</v>
      </c>
      <c r="BU63" s="51">
        <f t="shared" si="93"/>
        <v>0</v>
      </c>
      <c r="BV63" s="51">
        <f t="shared" si="94"/>
        <v>0</v>
      </c>
      <c r="BW63" s="51">
        <f t="shared" si="95"/>
        <v>0</v>
      </c>
      <c r="BX63" s="51">
        <f t="shared" si="96"/>
        <v>0</v>
      </c>
      <c r="BY63" s="51">
        <f t="shared" si="97"/>
        <v>0</v>
      </c>
      <c r="BZ63" s="51">
        <f t="shared" si="98"/>
        <v>0</v>
      </c>
      <c r="CA63" s="51">
        <f t="shared" si="99"/>
        <v>0</v>
      </c>
      <c r="CB63" s="51">
        <f t="shared" si="100"/>
        <v>0</v>
      </c>
      <c r="CC63" s="51">
        <f t="shared" si="101"/>
        <v>0</v>
      </c>
      <c r="CD63" s="178"/>
      <c r="CE63" s="51"/>
      <c r="CF63" s="51"/>
      <c r="CG63" s="51"/>
      <c r="CK63" s="22">
        <f t="shared" ref="CK63:CK68" si="103">A68</f>
        <v>0.5</v>
      </c>
      <c r="CL63" s="22">
        <f t="shared" ref="CL63:CL69" si="104">CL62</f>
        <v>0</v>
      </c>
      <c r="CM63" s="679">
        <f t="shared" ref="CM63:CM69" si="105">C68</f>
        <v>0</v>
      </c>
      <c r="CN63" s="680"/>
      <c r="CO63" s="51">
        <f>IF($CP$70=CK63,IF(CM63&gt;0,((CM63-1)*$BM$40*0.5)+$BM$40,CM63*0.5*$BM$40),CM63*0.5*$BM$40)</f>
        <v>0</v>
      </c>
      <c r="CP63" s="116">
        <f>IF(CM63&gt;0,1,0)*$A$34</f>
        <v>0</v>
      </c>
      <c r="CQ63" s="679">
        <f>CM63*$BK$40</f>
        <v>0</v>
      </c>
      <c r="CR63" s="680"/>
      <c r="CS63" s="83"/>
      <c r="CT63" s="691"/>
      <c r="CU63" s="692"/>
      <c r="CV63" s="83"/>
      <c r="CW63" s="691"/>
      <c r="CX63" s="692"/>
      <c r="CY63" s="83"/>
      <c r="CZ63" s="691"/>
      <c r="DA63" s="692"/>
      <c r="DB63" s="83"/>
      <c r="DC63" s="689"/>
      <c r="DD63" s="690"/>
      <c r="DE63" s="83"/>
      <c r="DF63" s="691"/>
      <c r="DG63" s="692"/>
      <c r="DH63" s="83"/>
      <c r="DI63" s="691"/>
      <c r="DJ63" s="692"/>
      <c r="DP63" s="120"/>
      <c r="DQ63" s="51"/>
      <c r="DR63"/>
      <c r="DT63"/>
      <c r="DV63" s="22"/>
      <c r="DW63" s="83"/>
      <c r="DX63" s="679"/>
      <c r="DY63" s="680"/>
      <c r="DZ63" s="83"/>
      <c r="EA63" s="83"/>
      <c r="EB63" s="694"/>
      <c r="EC63" s="695"/>
      <c r="ED63" s="83"/>
      <c r="EE63" s="691"/>
      <c r="EF63" s="692"/>
      <c r="EG63" s="83"/>
      <c r="EH63" s="691"/>
      <c r="EI63" s="692"/>
      <c r="EJ63" s="83"/>
      <c r="EK63" s="691"/>
      <c r="EL63" s="692"/>
      <c r="EM63" s="83"/>
      <c r="EN63" s="689"/>
      <c r="EO63" s="690"/>
      <c r="EP63" s="83"/>
      <c r="EQ63" s="691"/>
      <c r="ER63" s="692"/>
      <c r="ES63" s="83"/>
      <c r="ET63" s="691"/>
      <c r="EU63" s="692"/>
      <c r="FA63" s="120"/>
      <c r="FB63" s="51"/>
    </row>
    <row r="64" spans="1:244" ht="13.5" thickBot="1" x14ac:dyDescent="0.25">
      <c r="A64" s="23">
        <v>15</v>
      </c>
      <c r="B64" s="70">
        <v>0.81</v>
      </c>
      <c r="C64" s="691">
        <f>IF($C$1="Vazio",0,RELAÇÃO_DE_CARGA!C65:D65)</f>
        <v>0</v>
      </c>
      <c r="D64" s="692"/>
      <c r="E64" s="70">
        <v>0.81</v>
      </c>
      <c r="F64" s="713">
        <f>IF($F$1="Vazio",0,RELAÇÃO_DE_CARGA!F65:G65)</f>
        <v>0</v>
      </c>
      <c r="G64" s="714"/>
      <c r="H64" s="70">
        <v>0.81</v>
      </c>
      <c r="I64" s="713">
        <f>IF(OR($I$1="Vazio",RELAÇÃO_DE_CARGA!$I$1&lt;3),0,RELAÇÃO_DE_CARGA!I65:J65)</f>
        <v>0</v>
      </c>
      <c r="J64" s="714"/>
      <c r="K64" s="70">
        <v>0.81</v>
      </c>
      <c r="L64" s="713">
        <f>IF(OR($L$1="Vazio",RELAÇÃO_DE_CARGA!$I$1&lt;4),0,RELAÇÃO_DE_CARGA!L65:M65)</f>
        <v>0</v>
      </c>
      <c r="M64" s="714"/>
      <c r="N64" s="70">
        <v>0.81</v>
      </c>
      <c r="O64" s="691">
        <f>IF(OR($O$1="Vazio",RELAÇÃO_DE_CARGA!$I$1&lt;5),0,RELAÇÃO_DE_CARGA!O65)</f>
        <v>0</v>
      </c>
      <c r="P64" s="692"/>
      <c r="Q64" s="70">
        <v>0.81</v>
      </c>
      <c r="R64" s="713">
        <f>IF(OR($R$1="Vazio",RELAÇÃO_DE_CARGA!$I$1&lt;6),0,RELAÇÃO_DE_CARGA!R65)</f>
        <v>0</v>
      </c>
      <c r="S64" s="714"/>
      <c r="T64" s="70">
        <v>0.81</v>
      </c>
      <c r="U64" s="713">
        <f>IF(OR($U$1="Vazio",RELAÇÃO_DE_CARGA!$I$1&lt;7),0,RELAÇÃO_DE_CARGA!U65)</f>
        <v>0</v>
      </c>
      <c r="V64" s="714"/>
      <c r="W64" s="70">
        <v>0.81</v>
      </c>
      <c r="X64" s="713">
        <f>IF(OR($X$1="Vazio",RELAÇÃO_DE_CARGA!$I$1&lt;8),0,RELAÇÃO_DE_CARGA!X65)</f>
        <v>0</v>
      </c>
      <c r="Y64" s="714"/>
      <c r="Z64" s="70">
        <v>0.81</v>
      </c>
      <c r="AA64" s="713">
        <f>IF(OR($AA$1="Vazio",RELAÇÃO_DE_CARGA!$I$1&lt;9),0,RELAÇÃO_DE_CARGA!AA65)</f>
        <v>0</v>
      </c>
      <c r="AB64" s="714"/>
      <c r="AC64" s="70">
        <v>0.81</v>
      </c>
      <c r="AD64" s="713">
        <f>IF(OR($AD$1="Vazio",RELAÇÃO_DE_CARGA!$I$1&lt;10),0,RELAÇÃO_DE_CARGA!AD65)</f>
        <v>0</v>
      </c>
      <c r="AE64" s="714"/>
      <c r="AF64" s="70">
        <v>0.81</v>
      </c>
      <c r="AG64" s="713">
        <f>IF(OR($AG$1="Vazio",RELAÇÃO_DE_CARGA!$I$1&lt;11),0,RELAÇÃO_DE_CARGA!AG65)</f>
        <v>0</v>
      </c>
      <c r="AH64" s="714"/>
      <c r="AI64" s="70">
        <v>0.81</v>
      </c>
      <c r="AJ64" s="713">
        <f>IF(OR($AJ$1="Vazio",RELAÇÃO_DE_CARGA!$I$1&lt;12),0,RELAÇÃO_DE_CARGA!AJ65)</f>
        <v>0</v>
      </c>
      <c r="AK64" s="714"/>
      <c r="AL64" s="35"/>
      <c r="AM64" s="35"/>
      <c r="AN64" s="35"/>
      <c r="AO64" s="35"/>
      <c r="AP64" s="35"/>
      <c r="AQ64" s="276">
        <f t="shared" si="73"/>
        <v>0</v>
      </c>
      <c r="AR64" s="276">
        <f t="shared" si="74"/>
        <v>0</v>
      </c>
      <c r="AS64" s="276">
        <f t="shared" si="75"/>
        <v>0</v>
      </c>
      <c r="AT64" s="276">
        <f t="shared" si="76"/>
        <v>0</v>
      </c>
      <c r="AU64" s="276">
        <f t="shared" si="77"/>
        <v>0</v>
      </c>
      <c r="AV64" s="276">
        <f t="shared" si="78"/>
        <v>0</v>
      </c>
      <c r="AW64" s="276">
        <f t="shared" si="79"/>
        <v>0</v>
      </c>
      <c r="AX64" s="276">
        <f t="shared" si="80"/>
        <v>0</v>
      </c>
      <c r="AY64" s="276">
        <f t="shared" si="81"/>
        <v>0</v>
      </c>
      <c r="AZ64" s="276">
        <f t="shared" si="82"/>
        <v>0</v>
      </c>
      <c r="BA64" s="276">
        <f t="shared" si="83"/>
        <v>0</v>
      </c>
      <c r="BB64" s="276">
        <f t="shared" si="84"/>
        <v>0</v>
      </c>
      <c r="BC64" s="172">
        <f t="shared" si="85"/>
        <v>0</v>
      </c>
      <c r="BD64" s="128">
        <f>IF(AND(BC64&gt;0,BD46&lt;1,BD47&lt;1,BD48&lt;1,BD49&lt;1),1,0)</f>
        <v>0</v>
      </c>
      <c r="BE64" s="172">
        <f>F64+L64</f>
        <v>0</v>
      </c>
      <c r="BF64" s="128">
        <f>IF(AND(BE64&gt;0,BF46&lt;1,BF47&lt;1,BF48&lt;1,BF49&lt;1),1,0)</f>
        <v>0</v>
      </c>
      <c r="BG64" s="128"/>
      <c r="BH64" s="128"/>
      <c r="BI64" s="128"/>
      <c r="BJ64" s="128"/>
      <c r="BK64" s="51">
        <v>2.17</v>
      </c>
      <c r="BL64" s="70">
        <v>0.73</v>
      </c>
      <c r="BM64">
        <f t="shared" si="87"/>
        <v>2.9726027397260273</v>
      </c>
      <c r="BN64">
        <f t="shared" si="88"/>
        <v>2.9726027397260273</v>
      </c>
      <c r="BO64">
        <f t="shared" si="89"/>
        <v>2.9726027397260273</v>
      </c>
      <c r="BP64">
        <f t="shared" si="90"/>
        <v>2.9726027397260273</v>
      </c>
      <c r="BQ64" s="120">
        <v>1.5</v>
      </c>
      <c r="BR64" s="51">
        <f t="shared" si="102"/>
        <v>0</v>
      </c>
      <c r="BS64" s="51">
        <f t="shared" si="91"/>
        <v>0</v>
      </c>
      <c r="BT64" s="51">
        <f t="shared" si="92"/>
        <v>0</v>
      </c>
      <c r="BU64" s="51">
        <f t="shared" si="93"/>
        <v>0</v>
      </c>
      <c r="BV64" s="51">
        <f t="shared" si="94"/>
        <v>0</v>
      </c>
      <c r="BW64" s="51">
        <f t="shared" si="95"/>
        <v>0</v>
      </c>
      <c r="BX64" s="51">
        <f t="shared" si="96"/>
        <v>0</v>
      </c>
      <c r="BY64" s="51">
        <f t="shared" si="97"/>
        <v>0</v>
      </c>
      <c r="BZ64" s="51">
        <f t="shared" si="98"/>
        <v>0</v>
      </c>
      <c r="CA64" s="51">
        <f t="shared" si="99"/>
        <v>0</v>
      </c>
      <c r="CB64" s="51">
        <f t="shared" si="100"/>
        <v>0</v>
      </c>
      <c r="CC64" s="51">
        <f t="shared" si="101"/>
        <v>0</v>
      </c>
      <c r="CD64" s="127"/>
      <c r="CE64" s="51"/>
      <c r="CF64" s="51"/>
      <c r="CG64" s="51"/>
      <c r="CK64" s="22">
        <f t="shared" si="103"/>
        <v>0.75</v>
      </c>
      <c r="CL64" s="22">
        <f t="shared" si="104"/>
        <v>0</v>
      </c>
      <c r="CM64" s="679">
        <f t="shared" si="105"/>
        <v>0</v>
      </c>
      <c r="CN64" s="680"/>
      <c r="CO64" s="51">
        <f>IF($CP$70=CK64,IF(CM64&gt;0,((CM64-1)*$BM$41*0.5)+$BM$41,CM64*0.5*$BM$41),CM64*0.5*$BM$41)</f>
        <v>0</v>
      </c>
      <c r="CP64" s="116">
        <f>IF(CM64&gt;0,1,0)*$A$35</f>
        <v>0</v>
      </c>
      <c r="CQ64" s="679">
        <f>CM64*$BK$41</f>
        <v>0</v>
      </c>
      <c r="CR64" s="680"/>
      <c r="CS64" s="83"/>
      <c r="CT64" s="691"/>
      <c r="CU64" s="692"/>
      <c r="CV64" s="83"/>
      <c r="CW64" s="691"/>
      <c r="CX64" s="692"/>
      <c r="CY64" s="83"/>
      <c r="CZ64" s="691"/>
      <c r="DA64" s="692"/>
      <c r="DB64" s="83"/>
      <c r="DC64" s="689"/>
      <c r="DD64" s="690"/>
      <c r="DE64" s="83"/>
      <c r="DF64" s="691"/>
      <c r="DG64" s="692"/>
      <c r="DH64" s="83"/>
      <c r="DI64" s="691"/>
      <c r="DJ64" s="692"/>
      <c r="DP64" s="116"/>
      <c r="DQ64" s="51"/>
      <c r="DR64"/>
      <c r="DT64"/>
      <c r="DV64" s="22"/>
      <c r="DW64" s="83"/>
      <c r="DX64" s="679"/>
      <c r="DY64" s="680"/>
      <c r="DZ64" s="83"/>
      <c r="EA64" s="83"/>
      <c r="EB64" s="694"/>
      <c r="EC64" s="695"/>
      <c r="ED64" s="83"/>
      <c r="EE64" s="691"/>
      <c r="EF64" s="692"/>
      <c r="EG64" s="83"/>
      <c r="EH64" s="691"/>
      <c r="EI64" s="692"/>
      <c r="EJ64" s="83"/>
      <c r="EK64" s="691"/>
      <c r="EL64" s="692"/>
      <c r="EM64" s="83"/>
      <c r="EN64" s="689"/>
      <c r="EO64" s="690"/>
      <c r="EP64" s="83"/>
      <c r="EQ64" s="691"/>
      <c r="ER64" s="692"/>
      <c r="ES64" s="83"/>
      <c r="ET64" s="691"/>
      <c r="EU64" s="692"/>
      <c r="FA64" s="116"/>
      <c r="FB64" s="51"/>
    </row>
    <row r="65" spans="1:166" ht="13.5" thickBot="1" x14ac:dyDescent="0.25">
      <c r="A65" s="25"/>
      <c r="B65" s="87"/>
      <c r="C65" s="35"/>
      <c r="D65" s="35"/>
      <c r="E65" s="92"/>
      <c r="F65" s="33"/>
      <c r="G65" s="33"/>
      <c r="H65" s="87"/>
      <c r="I65" s="35"/>
      <c r="J65" s="35"/>
      <c r="K65" s="92"/>
      <c r="L65" s="33"/>
      <c r="M65" s="33"/>
      <c r="N65" s="87"/>
      <c r="O65" s="35"/>
      <c r="P65" s="35"/>
      <c r="Q65" s="92"/>
      <c r="R65" s="33"/>
      <c r="S65" s="33"/>
      <c r="T65" s="87"/>
      <c r="U65" s="35"/>
      <c r="V65" s="35"/>
      <c r="W65" s="92"/>
      <c r="X65" s="33"/>
      <c r="Y65" s="33"/>
      <c r="Z65" s="87"/>
      <c r="AA65" s="35"/>
      <c r="AB65" s="35"/>
      <c r="AC65" s="92"/>
      <c r="AD65" s="33"/>
      <c r="AE65" s="33"/>
      <c r="AF65" s="87"/>
      <c r="AG65" s="35"/>
      <c r="AH65" s="35"/>
      <c r="AI65" s="92"/>
      <c r="AJ65" s="33"/>
      <c r="AK65" s="33"/>
      <c r="AL65" s="33"/>
      <c r="AM65" s="33"/>
      <c r="AN65" s="33"/>
      <c r="AO65" s="33"/>
      <c r="AP65" s="33"/>
      <c r="AQ65" s="277">
        <f>LARGE(AQ33:AQ63,1)</f>
        <v>0</v>
      </c>
      <c r="AR65" s="277">
        <f t="shared" ref="AR65:BB65" si="106">LARGE(AR33:AR63,1)</f>
        <v>0</v>
      </c>
      <c r="AS65" s="277">
        <f t="shared" si="106"/>
        <v>0</v>
      </c>
      <c r="AT65" s="277">
        <f t="shared" si="106"/>
        <v>0</v>
      </c>
      <c r="AU65" s="277">
        <f t="shared" si="106"/>
        <v>0</v>
      </c>
      <c r="AV65" s="277">
        <f t="shared" si="106"/>
        <v>0</v>
      </c>
      <c r="AW65" s="277">
        <f t="shared" si="106"/>
        <v>0</v>
      </c>
      <c r="AX65" s="277">
        <f t="shared" si="106"/>
        <v>0</v>
      </c>
      <c r="AY65" s="277">
        <f t="shared" si="106"/>
        <v>0</v>
      </c>
      <c r="AZ65" s="277">
        <f t="shared" si="106"/>
        <v>0</v>
      </c>
      <c r="BA65" s="277">
        <f t="shared" si="106"/>
        <v>0</v>
      </c>
      <c r="BB65" s="277">
        <f t="shared" si="106"/>
        <v>0</v>
      </c>
      <c r="BF65" s="51"/>
      <c r="BG65" s="51"/>
      <c r="BH65" s="51"/>
      <c r="BI65" s="51"/>
      <c r="BJ65" s="51"/>
      <c r="BK65" s="51">
        <v>3.22</v>
      </c>
      <c r="BL65" s="70">
        <v>0.79</v>
      </c>
      <c r="BM65">
        <f t="shared" si="87"/>
        <v>4.075949367088608</v>
      </c>
      <c r="BN65">
        <f t="shared" si="88"/>
        <v>4.075949367088608</v>
      </c>
      <c r="BO65">
        <f t="shared" si="89"/>
        <v>4.075949367088608</v>
      </c>
      <c r="BP65">
        <f t="shared" si="90"/>
        <v>4.075949367088608</v>
      </c>
      <c r="BQ65" s="116">
        <v>2</v>
      </c>
      <c r="BR65" s="51">
        <f t="shared" si="102"/>
        <v>0</v>
      </c>
      <c r="BS65" s="51">
        <f t="shared" si="91"/>
        <v>0</v>
      </c>
      <c r="BT65" s="51">
        <f t="shared" si="92"/>
        <v>0</v>
      </c>
      <c r="BU65" s="51">
        <f t="shared" si="93"/>
        <v>0</v>
      </c>
      <c r="BV65" s="51">
        <f t="shared" si="94"/>
        <v>0</v>
      </c>
      <c r="BW65" s="51">
        <f t="shared" si="95"/>
        <v>0</v>
      </c>
      <c r="BX65" s="51">
        <f t="shared" si="96"/>
        <v>0</v>
      </c>
      <c r="BY65" s="51">
        <f t="shared" si="97"/>
        <v>0</v>
      </c>
      <c r="BZ65" s="51">
        <f t="shared" si="98"/>
        <v>0</v>
      </c>
      <c r="CA65" s="51">
        <f t="shared" si="99"/>
        <v>0</v>
      </c>
      <c r="CB65" s="51">
        <f t="shared" si="100"/>
        <v>0</v>
      </c>
      <c r="CC65" s="51">
        <f t="shared" si="101"/>
        <v>0</v>
      </c>
      <c r="CD65" s="127"/>
      <c r="CE65" s="51"/>
      <c r="CF65" s="51"/>
      <c r="CG65" s="51"/>
      <c r="CK65" s="22">
        <f t="shared" si="103"/>
        <v>1</v>
      </c>
      <c r="CL65" s="22">
        <f t="shared" si="104"/>
        <v>0</v>
      </c>
      <c r="CM65" s="679">
        <f t="shared" si="105"/>
        <v>0</v>
      </c>
      <c r="CN65" s="680"/>
      <c r="CO65" s="51">
        <f>IF($CP$70=CK65,IF(CM65&gt;0,((CM65-1)*$BM$42*0.5)+$BM$42,CM65*0.5*$BM$42),CM65*0.5*$BM$42)</f>
        <v>0</v>
      </c>
      <c r="CP65" s="116">
        <f>IF(CM65&gt;0,1,0)*$A$36</f>
        <v>0</v>
      </c>
      <c r="CQ65" s="679">
        <f>CM65*$BK$42</f>
        <v>0</v>
      </c>
      <c r="CR65" s="680"/>
      <c r="CS65" s="83"/>
      <c r="CT65" s="691"/>
      <c r="CU65" s="692"/>
      <c r="CV65" s="83"/>
      <c r="CW65" s="691"/>
      <c r="CX65" s="692"/>
      <c r="CY65" s="83"/>
      <c r="CZ65" s="691"/>
      <c r="DA65" s="692"/>
      <c r="DB65" s="83"/>
      <c r="DC65" s="689"/>
      <c r="DD65" s="690"/>
      <c r="DE65" s="83"/>
      <c r="DF65" s="691"/>
      <c r="DG65" s="692"/>
      <c r="DH65" s="83"/>
      <c r="DI65" s="691"/>
      <c r="DJ65" s="692"/>
      <c r="DP65" s="116"/>
      <c r="DQ65" s="51"/>
      <c r="DR65"/>
      <c r="DT65"/>
      <c r="DV65" s="22"/>
      <c r="DW65" s="294"/>
      <c r="DX65" s="679"/>
      <c r="DY65" s="680"/>
      <c r="DZ65" s="83"/>
      <c r="EA65" s="83"/>
      <c r="EB65" s="694"/>
      <c r="EC65" s="695"/>
      <c r="ED65" s="83"/>
      <c r="EE65" s="691"/>
      <c r="EF65" s="692"/>
      <c r="EG65" s="83"/>
      <c r="EH65" s="691"/>
      <c r="EI65" s="692"/>
      <c r="EJ65" s="83"/>
      <c r="EK65" s="691"/>
      <c r="EL65" s="692"/>
      <c r="EM65" s="83"/>
      <c r="EN65" s="689"/>
      <c r="EO65" s="690"/>
      <c r="EP65" s="83"/>
      <c r="EQ65" s="691"/>
      <c r="ER65" s="692"/>
      <c r="ES65" s="83"/>
      <c r="ET65" s="691"/>
      <c r="EU65" s="692"/>
      <c r="FA65" s="116"/>
      <c r="FB65" s="51"/>
    </row>
    <row r="66" spans="1:166" ht="13.5" thickBot="1" x14ac:dyDescent="0.25">
      <c r="A66" s="21" t="s">
        <v>60</v>
      </c>
      <c r="B66" s="85"/>
      <c r="C66" s="503" t="s">
        <v>62</v>
      </c>
      <c r="D66" s="504"/>
      <c r="E66" s="504"/>
      <c r="F66" s="504"/>
      <c r="G66" s="504"/>
      <c r="H66" s="504"/>
      <c r="I66" s="504"/>
      <c r="J66" s="504"/>
      <c r="K66" s="504"/>
      <c r="L66" s="504"/>
      <c r="M66" s="504"/>
      <c r="N66" s="85"/>
      <c r="O66" s="503" t="s">
        <v>62</v>
      </c>
      <c r="P66" s="504"/>
      <c r="Q66" s="504"/>
      <c r="R66" s="504"/>
      <c r="S66" s="504"/>
      <c r="T66" s="504"/>
      <c r="U66" s="504"/>
      <c r="V66" s="504"/>
      <c r="W66" s="504"/>
      <c r="X66" s="504"/>
      <c r="Y66" s="504"/>
      <c r="Z66" s="85"/>
      <c r="AA66" s="503" t="s">
        <v>62</v>
      </c>
      <c r="AB66" s="504"/>
      <c r="AC66" s="504"/>
      <c r="AD66" s="504"/>
      <c r="AE66" s="504"/>
      <c r="AF66" s="504"/>
      <c r="AG66" s="504"/>
      <c r="AH66" s="504"/>
      <c r="AI66" s="504"/>
      <c r="AJ66" s="504"/>
      <c r="AK66" s="504"/>
      <c r="AL66" s="274"/>
      <c r="AM66" s="274"/>
      <c r="AN66" s="274"/>
      <c r="AO66" s="274"/>
      <c r="AP66" s="274"/>
      <c r="AQ66" s="51">
        <v>1</v>
      </c>
      <c r="AR66" s="51">
        <v>2</v>
      </c>
      <c r="AS66" s="51">
        <v>3</v>
      </c>
      <c r="AT66" s="51"/>
      <c r="AU66" s="51"/>
      <c r="AV66" s="51"/>
      <c r="AW66" s="51"/>
      <c r="AX66" s="51"/>
      <c r="AY66" s="51"/>
      <c r="AZ66" s="51"/>
      <c r="BA66" s="51"/>
      <c r="BB66" s="51"/>
      <c r="BC66" s="207"/>
      <c r="BD66" s="51"/>
      <c r="BF66" s="51"/>
      <c r="BG66" s="51"/>
      <c r="BH66" s="51"/>
      <c r="BI66" s="51"/>
      <c r="BJ66" s="51"/>
      <c r="BK66" s="51">
        <v>5.1100000000000003</v>
      </c>
      <c r="BL66" s="70">
        <v>0.83</v>
      </c>
      <c r="BM66">
        <f t="shared" si="87"/>
        <v>6.1566265060240974</v>
      </c>
      <c r="BN66">
        <f t="shared" si="88"/>
        <v>6.1566265060240974</v>
      </c>
      <c r="BO66">
        <f t="shared" si="89"/>
        <v>6.1566265060240974</v>
      </c>
      <c r="BP66">
        <f t="shared" si="90"/>
        <v>6.1566265060240974</v>
      </c>
      <c r="BQ66" s="116">
        <v>3</v>
      </c>
      <c r="BR66" s="51">
        <f t="shared" si="102"/>
        <v>0</v>
      </c>
      <c r="BS66" s="51">
        <f t="shared" si="91"/>
        <v>0</v>
      </c>
      <c r="BT66" s="51">
        <f t="shared" si="92"/>
        <v>0</v>
      </c>
      <c r="BU66" s="51">
        <f t="shared" si="93"/>
        <v>0</v>
      </c>
      <c r="BV66" s="51">
        <f t="shared" si="94"/>
        <v>0</v>
      </c>
      <c r="BW66" s="51">
        <f t="shared" si="95"/>
        <v>0</v>
      </c>
      <c r="BX66" s="51">
        <f t="shared" si="96"/>
        <v>0</v>
      </c>
      <c r="BY66" s="51">
        <f t="shared" si="97"/>
        <v>0</v>
      </c>
      <c r="BZ66" s="51">
        <f t="shared" si="98"/>
        <v>0</v>
      </c>
      <c r="CA66" s="51">
        <f t="shared" si="99"/>
        <v>0</v>
      </c>
      <c r="CB66" s="51">
        <f t="shared" si="100"/>
        <v>0</v>
      </c>
      <c r="CC66" s="51">
        <f t="shared" si="101"/>
        <v>0</v>
      </c>
      <c r="CD66" s="127"/>
      <c r="CE66" s="51"/>
      <c r="CF66" s="51"/>
      <c r="CG66" s="51"/>
      <c r="CK66" s="22">
        <f t="shared" si="103"/>
        <v>1.5</v>
      </c>
      <c r="CL66" s="22">
        <f t="shared" si="104"/>
        <v>0</v>
      </c>
      <c r="CM66" s="679">
        <f t="shared" si="105"/>
        <v>0</v>
      </c>
      <c r="CN66" s="680"/>
      <c r="CO66" s="51">
        <f>IF($CP$70=CK66,IF(CM66&gt;0,((CM66-1)*$BM$43*0.5)+$BM$43,CM66*0.5*$BM$43),CM66*0.5*$BM$43)</f>
        <v>0</v>
      </c>
      <c r="CP66" s="116">
        <f>IF(CM66&gt;0,1,0)*$A$37</f>
        <v>0</v>
      </c>
      <c r="CQ66" s="679">
        <f>CM66*$BK$43</f>
        <v>0</v>
      </c>
      <c r="CR66" s="680"/>
      <c r="CS66" s="83"/>
      <c r="CT66" s="691"/>
      <c r="CU66" s="692"/>
      <c r="CV66" s="83"/>
      <c r="CW66" s="691"/>
      <c r="CX66" s="692"/>
      <c r="CY66" s="83"/>
      <c r="CZ66" s="691"/>
      <c r="DA66" s="692"/>
      <c r="DB66" s="83"/>
      <c r="DC66" s="689"/>
      <c r="DD66" s="690"/>
      <c r="DE66" s="83"/>
      <c r="DF66" s="691"/>
      <c r="DG66" s="692"/>
      <c r="DH66" s="83"/>
      <c r="DI66" s="691"/>
      <c r="DJ66" s="692"/>
      <c r="DP66" s="116"/>
      <c r="DQ66" s="51"/>
      <c r="DR66"/>
      <c r="DT66"/>
      <c r="DV66" s="22"/>
      <c r="DW66" s="83"/>
      <c r="DX66" s="679"/>
      <c r="DY66" s="680"/>
      <c r="DZ66" s="83"/>
      <c r="EA66" s="83"/>
      <c r="EB66" s="694"/>
      <c r="EC66" s="695"/>
      <c r="ED66" s="83"/>
      <c r="EE66" s="691"/>
      <c r="EF66" s="692"/>
      <c r="EG66" s="83"/>
      <c r="EH66" s="691"/>
      <c r="EI66" s="692"/>
      <c r="EJ66" s="83"/>
      <c r="EK66" s="691"/>
      <c r="EL66" s="692"/>
      <c r="EM66" s="83"/>
      <c r="EN66" s="689"/>
      <c r="EO66" s="690"/>
      <c r="EP66" s="83"/>
      <c r="EQ66" s="691"/>
      <c r="ER66" s="692"/>
      <c r="ES66" s="83"/>
      <c r="ET66" s="691"/>
      <c r="EU66" s="692"/>
      <c r="FA66" s="116"/>
      <c r="FB66" s="51"/>
    </row>
    <row r="67" spans="1:166" ht="13.5" thickBot="1" x14ac:dyDescent="0.25">
      <c r="A67" s="22">
        <v>0.33333333333333298</v>
      </c>
      <c r="B67" s="98">
        <v>0.61</v>
      </c>
      <c r="C67" s="691">
        <f>IF($C$1="Vazio",0,RELAÇÃO_DE_CARGA!C68:D68)</f>
        <v>0</v>
      </c>
      <c r="D67" s="692"/>
      <c r="E67" s="98" t="str">
        <f>RELAÇÃO_DE_CARGA!E68:G68</f>
        <v>BIFÁSICA</v>
      </c>
      <c r="F67" s="691"/>
      <c r="G67" s="692"/>
      <c r="H67" s="98"/>
      <c r="I67" s="691"/>
      <c r="J67" s="692"/>
      <c r="K67" s="98"/>
      <c r="L67" s="691"/>
      <c r="M67" s="692"/>
      <c r="N67" s="98"/>
      <c r="O67" s="691"/>
      <c r="P67" s="692"/>
      <c r="Q67" s="98"/>
      <c r="R67" s="691"/>
      <c r="S67" s="692"/>
      <c r="T67" s="98"/>
      <c r="U67" s="691"/>
      <c r="V67" s="692"/>
      <c r="W67" s="98"/>
      <c r="X67" s="691"/>
      <c r="Y67" s="692"/>
      <c r="Z67" s="98"/>
      <c r="AA67" s="691"/>
      <c r="AB67" s="692"/>
      <c r="AC67" s="98"/>
      <c r="AD67" s="691"/>
      <c r="AE67" s="692"/>
      <c r="AF67" s="98"/>
      <c r="AG67" s="691"/>
      <c r="AH67" s="692"/>
      <c r="AI67" s="98"/>
      <c r="AJ67" s="691"/>
      <c r="AK67" s="692"/>
      <c r="AL67" s="35"/>
      <c r="AM67" s="35"/>
      <c r="AN67" s="35"/>
      <c r="AO67" s="35"/>
      <c r="AP67" s="35"/>
      <c r="AQ67" s="276">
        <f>IF(C67&gt;0,$A67,0)</f>
        <v>0</v>
      </c>
      <c r="AR67" s="276">
        <f t="shared" ref="AR67:AR83" si="107">IF(F67&gt;0,$A67,0)</f>
        <v>0</v>
      </c>
      <c r="AS67" s="276">
        <f t="shared" ref="AS67:AS83" si="108">IF(I67&gt;0,$A67,0)</f>
        <v>0</v>
      </c>
      <c r="AT67" s="276"/>
      <c r="AU67" s="276"/>
      <c r="AV67" s="276"/>
      <c r="AW67" s="276"/>
      <c r="AX67" s="276"/>
      <c r="AY67" s="276"/>
      <c r="AZ67" s="276"/>
      <c r="BA67" s="276"/>
      <c r="BB67" s="276"/>
      <c r="BC67" s="207">
        <f t="shared" ref="BC67:BC83" si="109">C67+I67</f>
        <v>0</v>
      </c>
      <c r="BD67" s="51"/>
      <c r="BE67" s="172">
        <f t="shared" ref="BE67:BE82" si="110">F67+L67</f>
        <v>0</v>
      </c>
      <c r="BF67" s="51"/>
      <c r="BG67" s="51"/>
      <c r="BH67" s="51"/>
      <c r="BI67" s="51"/>
      <c r="BJ67" s="51"/>
      <c r="BK67" s="51">
        <v>7.07</v>
      </c>
      <c r="BL67" s="70">
        <v>0.8</v>
      </c>
      <c r="BM67">
        <f t="shared" si="87"/>
        <v>8.8375000000000004</v>
      </c>
      <c r="BN67">
        <f t="shared" si="88"/>
        <v>8.8375000000000004</v>
      </c>
      <c r="BO67">
        <f t="shared" si="89"/>
        <v>8.8375000000000004</v>
      </c>
      <c r="BP67">
        <f t="shared" si="90"/>
        <v>8.8375000000000004</v>
      </c>
      <c r="BQ67" s="116">
        <v>5</v>
      </c>
      <c r="BR67" s="51">
        <f>IF(AND($AQ$65=$A60,C41&lt;1),IF(C60&gt;1,((C60-1)*$BM66*0.5)+$BM66,$BM66),0.5*$BM66*C60)</f>
        <v>0</v>
      </c>
      <c r="BS67" s="51">
        <f>IF(AND($AR$65=$A60,F41&lt;1),IF(F60&gt;1,((F60-1)*$BM66*0.5)+$BM66,$BM66),0.5*$BM66*F60)</f>
        <v>0</v>
      </c>
      <c r="BT67" s="51">
        <f>IF(AND($AS$65=$A60,I41&lt;1),IF(I60&gt;1,((I60-1)*$BM66*0.5)+$BM66,$BM66),0.5*$BM66*I60)</f>
        <v>0</v>
      </c>
      <c r="BU67" s="51">
        <f>IF(AND($AT$65=$A60,L41&lt;1),IF(L60&gt;1,((L60-1)*$BM66*0.5)+$BM66,$BM66),0.5*$BM66*L60)</f>
        <v>0</v>
      </c>
      <c r="BV67" s="51">
        <f>IF(AND($AU$65=$A60,O41&lt;1),IF(O60&gt;1,((O60-1)*$BM66*0.5)+$BM66,$BM66),0.5*$BM66*O60)</f>
        <v>0</v>
      </c>
      <c r="BW67" s="51">
        <f>IF(AND($AV$65=$A60,R41&lt;1),IF(R60&gt;1,((R60-1)*$BM66*0.5)+$BM66,$BM66),0.5*$BM66*R60)</f>
        <v>0</v>
      </c>
      <c r="BX67" s="51">
        <f>IF(AND($AW$65=$A60,U41&lt;1),IF(U60&gt;1,((U60-1)*$BM66*0.5)+$BM66,$BM66),0.5*$BM66*U60)</f>
        <v>0</v>
      </c>
      <c r="BY67" s="51">
        <f>IF(AND($AX$65=$A60,X41&lt;1),IF(X60&gt;1,((X60-1)*$BM66*0.5)+$BM66,$BM66),0.5*$BM66*X60)</f>
        <v>0</v>
      </c>
      <c r="BZ67" s="51">
        <f>IF(AND($AY$65=$A60,AA41&lt;1),IF(AA60&gt;1,((AA60-1)*$BM66*0.5)+$BM66,$BM66),0.5*$BM66*AA60)</f>
        <v>0</v>
      </c>
      <c r="CA67" s="51">
        <f>IF(AND($AZ$65=$A60,AD41&lt;1),IF(AD60&gt;1,((AD60-1)*$BM66*0.5)+$BM66,$BM66),0.5*$BM66*AD60)</f>
        <v>0</v>
      </c>
      <c r="CB67" s="51">
        <f>IF(AND($BA$65=$A60,AG41&lt;1),IF(AG60&gt;1,((AG60-1)*$BM66*0.5)+$BM66,$BM66),0.5*$BM66*AG60)</f>
        <v>0</v>
      </c>
      <c r="CC67" s="51">
        <f>IF(AND($BB$65=$A60,AJ41&lt;1),IF(AJ60&gt;1,((AJ60-1)*$BM66*0.5)+$BM66,$BM66),0.5*$BM66*AJ60)</f>
        <v>0</v>
      </c>
      <c r="CD67" s="127"/>
      <c r="CE67" s="51"/>
      <c r="CF67" s="51"/>
      <c r="CG67" s="51"/>
      <c r="CK67" s="22">
        <f t="shared" si="103"/>
        <v>2</v>
      </c>
      <c r="CL67" s="22">
        <f t="shared" si="104"/>
        <v>0</v>
      </c>
      <c r="CM67" s="679">
        <f t="shared" si="105"/>
        <v>0</v>
      </c>
      <c r="CN67" s="680"/>
      <c r="CO67" s="51">
        <f>IF($CP$70=CK67,IF(CM67&gt;0,((CM67-1)*$BM$44*0.5)+$BM$44,CM67*0.5*$BM$44),CM67*0.5*$BM$44)</f>
        <v>0</v>
      </c>
      <c r="CP67" s="116">
        <f>IF(CM67&gt;0,1,0)*$A$38</f>
        <v>0</v>
      </c>
      <c r="CQ67" s="679">
        <f>CM67*$BK$44</f>
        <v>0</v>
      </c>
      <c r="CR67" s="680"/>
      <c r="CS67" s="83"/>
      <c r="CT67" s="691"/>
      <c r="CU67" s="692"/>
      <c r="CV67" s="83"/>
      <c r="CW67" s="691"/>
      <c r="CX67" s="692"/>
      <c r="CY67" s="83"/>
      <c r="CZ67" s="691"/>
      <c r="DA67" s="692"/>
      <c r="DB67" s="83"/>
      <c r="DC67" s="689"/>
      <c r="DD67" s="690"/>
      <c r="DE67" s="83"/>
      <c r="DF67" s="691"/>
      <c r="DG67" s="692"/>
      <c r="DH67" s="83"/>
      <c r="DI67" s="691"/>
      <c r="DJ67" s="692"/>
      <c r="DP67" s="116"/>
      <c r="DQ67" s="51"/>
      <c r="DR67"/>
      <c r="DT67"/>
      <c r="DV67" s="22"/>
      <c r="DW67" s="83"/>
      <c r="DX67" s="679"/>
      <c r="DY67" s="680"/>
      <c r="DZ67" s="83"/>
      <c r="EA67" s="83"/>
      <c r="EB67" s="694"/>
      <c r="EC67" s="695"/>
      <c r="ED67" s="83"/>
      <c r="EE67" s="691"/>
      <c r="EF67" s="692"/>
      <c r="EG67" s="83"/>
      <c r="EH67" s="691"/>
      <c r="EI67" s="692"/>
      <c r="EJ67" s="83"/>
      <c r="EK67" s="691"/>
      <c r="EL67" s="692"/>
      <c r="EM67" s="83"/>
      <c r="EN67" s="689"/>
      <c r="EO67" s="690"/>
      <c r="EP67" s="83"/>
      <c r="EQ67" s="691"/>
      <c r="ER67" s="692"/>
      <c r="ES67" s="83"/>
      <c r="ET67" s="691"/>
      <c r="EU67" s="692"/>
      <c r="FA67" s="116"/>
      <c r="FB67" s="51"/>
    </row>
    <row r="68" spans="1:166" ht="13.5" thickBot="1" x14ac:dyDescent="0.25">
      <c r="A68" s="22">
        <v>0.5</v>
      </c>
      <c r="B68" s="98">
        <v>0.66</v>
      </c>
      <c r="C68" s="691">
        <f>IF($C$1="Vazio",0,RELAÇÃO_DE_CARGA!C69:D69)</f>
        <v>0</v>
      </c>
      <c r="D68" s="692"/>
      <c r="E68" s="98" t="str">
        <f>RELAÇÃO_DE_CARGA!E69:G69</f>
        <v>BIFÁSICA</v>
      </c>
      <c r="F68" s="691"/>
      <c r="G68" s="692"/>
      <c r="H68" s="98"/>
      <c r="I68" s="691"/>
      <c r="J68" s="692"/>
      <c r="K68" s="98"/>
      <c r="L68" s="691"/>
      <c r="M68" s="692"/>
      <c r="N68" s="98"/>
      <c r="O68" s="691"/>
      <c r="P68" s="692"/>
      <c r="Q68" s="98"/>
      <c r="R68" s="691"/>
      <c r="S68" s="692"/>
      <c r="T68" s="98"/>
      <c r="U68" s="691"/>
      <c r="V68" s="692"/>
      <c r="W68" s="98"/>
      <c r="X68" s="691"/>
      <c r="Y68" s="692"/>
      <c r="Z68" s="98"/>
      <c r="AA68" s="691"/>
      <c r="AB68" s="692"/>
      <c r="AC68" s="98"/>
      <c r="AD68" s="691"/>
      <c r="AE68" s="692"/>
      <c r="AF68" s="98"/>
      <c r="AG68" s="691"/>
      <c r="AH68" s="692"/>
      <c r="AI68" s="98"/>
      <c r="AJ68" s="691"/>
      <c r="AK68" s="692"/>
      <c r="AL68" s="35"/>
      <c r="AM68" s="35"/>
      <c r="AN68" s="35"/>
      <c r="AO68" s="35"/>
      <c r="AP68" s="35"/>
      <c r="AQ68" s="276">
        <f t="shared" ref="AQ68:AQ83" si="111">IF(C68&gt;0,$A68,0)</f>
        <v>0</v>
      </c>
      <c r="AR68" s="276">
        <f t="shared" si="107"/>
        <v>0</v>
      </c>
      <c r="AS68" s="276">
        <f t="shared" si="108"/>
        <v>0</v>
      </c>
      <c r="AT68" s="276"/>
      <c r="AU68" s="276"/>
      <c r="AV68" s="276"/>
      <c r="AW68" s="276"/>
      <c r="AX68" s="276"/>
      <c r="AY68" s="276"/>
      <c r="AZ68" s="276"/>
      <c r="BA68" s="276"/>
      <c r="BB68" s="276"/>
      <c r="BC68" s="207">
        <f t="shared" si="109"/>
        <v>0</v>
      </c>
      <c r="BD68" s="51"/>
      <c r="BE68" s="172">
        <f t="shared" si="110"/>
        <v>0</v>
      </c>
      <c r="BF68" s="51"/>
      <c r="BG68" s="51"/>
      <c r="BH68" s="51"/>
      <c r="BI68" s="51"/>
      <c r="BJ68" s="51"/>
      <c r="BK68" s="51">
        <v>9.31</v>
      </c>
      <c r="BL68" s="70">
        <v>0.8</v>
      </c>
      <c r="BM68">
        <f t="shared" si="87"/>
        <v>11.637499999999999</v>
      </c>
      <c r="BN68">
        <f t="shared" si="88"/>
        <v>11.637499999999999</v>
      </c>
      <c r="BO68">
        <f t="shared" si="89"/>
        <v>11.637499999999999</v>
      </c>
      <c r="BP68">
        <f t="shared" si="90"/>
        <v>11.637499999999999</v>
      </c>
      <c r="BQ68" s="116">
        <v>7.5</v>
      </c>
      <c r="BR68" s="51">
        <f>IF(AND($AQ$65=$A61,C43&lt;1),IF(C61&gt;1,((C61-1)*$BM67*0.5)+$BM67,$BM67),0.5*$BM67*C61)</f>
        <v>0</v>
      </c>
      <c r="BS68" s="51">
        <f>IF(AND($AR$65=$A61,F43&lt;1),IF(F61&gt;1,((F61-1)*$BM67*0.5)+$BM67,$BM67),0.5*$BM67*F61)</f>
        <v>0</v>
      </c>
      <c r="BT68" s="51">
        <f>IF(AND($AS$65=$A61,I43&lt;1),IF(I61&gt;1,((I61-1)*$BM67*0.5)+$BM67,$BM67),0.5*$BM67*I61)</f>
        <v>0</v>
      </c>
      <c r="BU68" s="51">
        <f>IF(AND($AT$65=$A61,L43&lt;1),IF(L61&gt;1,((L61-1)*$BM67*0.5)+$BM67,$BM67),0.5*$BM67*L61)</f>
        <v>0</v>
      </c>
      <c r="BV68" s="51">
        <f>IF(AND($AU$65=$A61,O43&lt;1),IF(O61&gt;1,((O61-1)*$BM67*0.5)+$BM67,$BM67),0.5*$BM67*O61)</f>
        <v>0</v>
      </c>
      <c r="BW68" s="51">
        <f>IF(AND($AV$65=$A61,R43&lt;1),IF(R61&gt;1,((R61-1)*$BM67*0.5)+$BM67,$BM67),0.5*$BM67*R61)</f>
        <v>0</v>
      </c>
      <c r="BX68" s="51">
        <f>IF(AND($AW$65=$A61,U43&lt;1),IF(U61&gt;1,((U61-1)*$BM67*0.5)+$BM67,$BM67),0.5*$BM67*U61)</f>
        <v>0</v>
      </c>
      <c r="BY68" s="51">
        <f>IF(AND($AX$65=$A61,X43&lt;1),IF(X61&gt;1,((X61-1)*$BM67*0.5)+$BM67,$BM67),0.5*$BM67*X61)</f>
        <v>0</v>
      </c>
      <c r="BZ68" s="51">
        <f>IF(AND($AY$65=$A61,AA43&lt;1),IF(AA61&gt;1,((AA61-1)*$BM67*0.5)+$BM67,$BM67),0.5*$BM67*AA61)</f>
        <v>0</v>
      </c>
      <c r="CA68" s="51">
        <f>IF(AND($AZ$65=$A61,AD43&lt;1),IF(AD61&gt;1,((AD61-1)*$BM67*0.5)+$BM67,$BM67),0.5*$BM67*AD61)</f>
        <v>0</v>
      </c>
      <c r="CB68" s="51">
        <f>IF(AND($BA$65=$A61,AG43&lt;1),IF(AG61&gt;1,((AG61-1)*$BM67*0.5)+$BM67,$BM67),0.5*$BM67*AG61)</f>
        <v>0</v>
      </c>
      <c r="CC68" s="51">
        <f>IF(AND($BB$65=$A61,AJ43&lt;1),IF(AJ61&gt;1,((AJ61-1)*$BM67*0.5)+$BM67,$BM67),0.5*$BM67*AJ61)</f>
        <v>0</v>
      </c>
      <c r="CD68" s="127"/>
      <c r="CE68" s="51"/>
      <c r="CF68" s="51"/>
      <c r="CG68" s="51"/>
      <c r="CK68" s="22">
        <f t="shared" si="103"/>
        <v>3</v>
      </c>
      <c r="CL68" s="22">
        <f t="shared" si="104"/>
        <v>0</v>
      </c>
      <c r="CM68" s="679">
        <f t="shared" si="105"/>
        <v>0</v>
      </c>
      <c r="CN68" s="680"/>
      <c r="CO68" s="51">
        <f>IF($CP$70=CK68,IF(CM68&gt;0,((CM68-1)*$BM$45*0.5)+$BM$45,CM68*0.5*$BM$45),CM68*0.5*$BM$45)</f>
        <v>0</v>
      </c>
      <c r="CP68" s="116">
        <f>IF(CM68&gt;0,1,0)*$A$39</f>
        <v>0</v>
      </c>
      <c r="CQ68" s="679">
        <f>CM68*$BK$45</f>
        <v>0</v>
      </c>
      <c r="CR68" s="680"/>
      <c r="CS68" s="83"/>
      <c r="CT68" s="691"/>
      <c r="CU68" s="692"/>
      <c r="CV68" s="83"/>
      <c r="CW68" s="691"/>
      <c r="CX68" s="692"/>
      <c r="CY68" s="83"/>
      <c r="CZ68" s="691"/>
      <c r="DA68" s="692"/>
      <c r="DB68" s="83"/>
      <c r="DC68" s="689"/>
      <c r="DD68" s="690"/>
      <c r="DE68" s="83"/>
      <c r="DF68" s="691"/>
      <c r="DG68" s="692"/>
      <c r="DH68" s="83"/>
      <c r="DI68" s="691"/>
      <c r="DJ68" s="692"/>
      <c r="DP68" s="116"/>
      <c r="DQ68" s="51"/>
      <c r="DR68"/>
      <c r="DT68"/>
      <c r="DV68" s="22"/>
      <c r="DW68" s="83"/>
      <c r="DX68" s="679"/>
      <c r="DY68" s="680"/>
      <c r="DZ68" s="83"/>
      <c r="EA68" s="83"/>
      <c r="EB68" s="694"/>
      <c r="EC68" s="695"/>
      <c r="ED68" s="83"/>
      <c r="EE68" s="691"/>
      <c r="EF68" s="692"/>
      <c r="EG68" s="83"/>
      <c r="EH68" s="691"/>
      <c r="EI68" s="692"/>
      <c r="EJ68" s="83"/>
      <c r="EK68" s="691"/>
      <c r="EL68" s="692"/>
      <c r="EM68" s="83"/>
      <c r="EN68" s="689"/>
      <c r="EO68" s="690"/>
      <c r="EP68" s="83"/>
      <c r="EQ68" s="691"/>
      <c r="ER68" s="692"/>
      <c r="ES68" s="83"/>
      <c r="ET68" s="691"/>
      <c r="EU68" s="692"/>
      <c r="FA68" s="116"/>
      <c r="FB68" s="51"/>
      <c r="FI68" s="22"/>
      <c r="FJ68" s="171"/>
    </row>
    <row r="69" spans="1:166" ht="13.5" thickBot="1" x14ac:dyDescent="0.25">
      <c r="A69" s="22">
        <v>0.75</v>
      </c>
      <c r="B69" s="98">
        <v>0.66</v>
      </c>
      <c r="C69" s="691">
        <f>IF($C$1="Vazio",0,RELAÇÃO_DE_CARGA!C70:D70)</f>
        <v>0</v>
      </c>
      <c r="D69" s="692"/>
      <c r="E69" s="98" t="str">
        <f>RELAÇÃO_DE_CARGA!E70:G70</f>
        <v>BIFÁSICA</v>
      </c>
      <c r="F69" s="691"/>
      <c r="G69" s="692"/>
      <c r="H69" s="98"/>
      <c r="I69" s="691"/>
      <c r="J69" s="692"/>
      <c r="K69" s="98"/>
      <c r="L69" s="691"/>
      <c r="M69" s="692"/>
      <c r="N69" s="98"/>
      <c r="O69" s="691"/>
      <c r="P69" s="692"/>
      <c r="Q69" s="98"/>
      <c r="R69" s="691"/>
      <c r="S69" s="692"/>
      <c r="T69" s="98"/>
      <c r="U69" s="691"/>
      <c r="V69" s="692"/>
      <c r="W69" s="98"/>
      <c r="X69" s="691"/>
      <c r="Y69" s="692"/>
      <c r="Z69" s="98"/>
      <c r="AA69" s="691"/>
      <c r="AB69" s="692"/>
      <c r="AC69" s="98"/>
      <c r="AD69" s="691"/>
      <c r="AE69" s="692"/>
      <c r="AF69" s="98"/>
      <c r="AG69" s="691"/>
      <c r="AH69" s="692"/>
      <c r="AI69" s="98"/>
      <c r="AJ69" s="691"/>
      <c r="AK69" s="692"/>
      <c r="AL69" s="35"/>
      <c r="AM69" s="35"/>
      <c r="AN69" s="35"/>
      <c r="AO69" s="35"/>
      <c r="AP69" s="35"/>
      <c r="AQ69" s="276">
        <f t="shared" si="111"/>
        <v>0</v>
      </c>
      <c r="AR69" s="276">
        <f t="shared" si="107"/>
        <v>0</v>
      </c>
      <c r="AS69" s="276">
        <f t="shared" si="108"/>
        <v>0</v>
      </c>
      <c r="AT69" s="276"/>
      <c r="AU69" s="276"/>
      <c r="AV69" s="276"/>
      <c r="AW69" s="276"/>
      <c r="AX69" s="276"/>
      <c r="AY69" s="276"/>
      <c r="AZ69" s="276"/>
      <c r="BA69" s="276"/>
      <c r="BB69" s="276"/>
      <c r="BC69" s="207">
        <f t="shared" si="109"/>
        <v>0</v>
      </c>
      <c r="BD69" s="51"/>
      <c r="BE69" s="172">
        <f t="shared" si="110"/>
        <v>0</v>
      </c>
      <c r="BF69" s="51"/>
      <c r="BG69" s="51"/>
      <c r="BH69" s="51"/>
      <c r="BI69" s="51"/>
      <c r="BJ69" s="51"/>
      <c r="BK69" s="51">
        <v>11.58</v>
      </c>
      <c r="BL69" s="70">
        <v>0.78</v>
      </c>
      <c r="BM69">
        <f t="shared" si="87"/>
        <v>14.846153846153845</v>
      </c>
      <c r="BN69">
        <f t="shared" si="88"/>
        <v>14.846153846153845</v>
      </c>
      <c r="BO69">
        <f t="shared" si="89"/>
        <v>14.846153846153845</v>
      </c>
      <c r="BP69">
        <f t="shared" si="90"/>
        <v>14.846153846153845</v>
      </c>
      <c r="BQ69" s="116">
        <v>10</v>
      </c>
      <c r="BR69" s="51">
        <f>IF(AND($AQ$65=$A62,C44&lt;1),IF(C62&gt;1,((C62-1)*$BM68*0.5)+$BM68,$BM68),0.5*$BM68*C62)</f>
        <v>0</v>
      </c>
      <c r="BS69" s="51">
        <f>IF(AND($AR$65=$A62,F44&lt;1),IF(F62&gt;1,((F62-1)*$BM68*0.5)+$BM68,$BM68),0.5*$BM68*F62)</f>
        <v>0</v>
      </c>
      <c r="BT69" s="51">
        <f>IF(AND($AS$65=$A62,I44&lt;1),IF(I62&gt;1,((I62-1)*$BM68*0.5)+$BM68,$BM68),0.5*$BM68*I62)</f>
        <v>0</v>
      </c>
      <c r="BU69" s="51">
        <f>IF(AND($AT$65=$A62,L44&lt;1),IF(L62&gt;1,((L62-1)*$BM68*0.5)+$BM68,$BM68),0.5*$BM68*L62)</f>
        <v>0</v>
      </c>
      <c r="BV69" s="51">
        <f>IF(AND($AU$65=$A62,O44&lt;1),IF(O62&gt;1,((O62-1)*$BM68*0.5)+$BM68,$BM68),0.5*$BM68*O62)</f>
        <v>0</v>
      </c>
      <c r="BW69" s="51">
        <f>IF(AND($AV$65=$A62,R44&lt;1),IF(R62&gt;1,((R62-1)*$BM68*0.5)+$BM68,$BM68),0.5*$BM68*R62)</f>
        <v>0</v>
      </c>
      <c r="BX69" s="51">
        <f>IF(AND($AW$65=$A62,U44&lt;1),IF(U62&gt;1,((U62-1)*$BM68*0.5)+$BM68,$BM68),0.5*$BM68*U62)</f>
        <v>0</v>
      </c>
      <c r="BY69" s="51">
        <f>IF(AND($AX$65=$A62,X44&lt;1),IF(X62&gt;1,((X62-1)*$BM68*0.5)+$BM68,$BM68),0.5*$BM68*X62)</f>
        <v>0</v>
      </c>
      <c r="BZ69" s="51">
        <f>IF(AND($AY$65=$A62,AA44&lt;1),IF(AA62&gt;1,((AA62-1)*$BM68*0.5)+$BM68,$BM68),0.5*$BM68*AA62)</f>
        <v>0</v>
      </c>
      <c r="CA69" s="51">
        <f>IF(AND($AZ$65=$A62,AD44&lt;1),IF(AD62&gt;1,((AD62-1)*$BM68*0.5)+$BM68,$BM68),0.5*$BM68*AD62)</f>
        <v>0</v>
      </c>
      <c r="CB69" s="51">
        <f>IF(AND($BA$65=$A62,AG44&lt;1),IF(AG62&gt;1,((AG62-1)*$BM68*0.5)+$BM68,$BM68),0.5*$BM68*AG62)</f>
        <v>0</v>
      </c>
      <c r="CC69" s="51">
        <f>IF(AND($BB$65=$A62,AJ44&lt;1),IF(AJ62&gt;1,((AJ62-1)*$BM68*0.5)+$BM68,$BM68),0.5*$BM68*AJ62)</f>
        <v>0</v>
      </c>
      <c r="CD69" s="127"/>
      <c r="CE69" s="51"/>
      <c r="CF69" s="51"/>
      <c r="CG69" s="51"/>
      <c r="CK69" s="22">
        <f>A74</f>
        <v>5</v>
      </c>
      <c r="CL69" s="22">
        <f t="shared" si="104"/>
        <v>0</v>
      </c>
      <c r="CM69" s="679">
        <f t="shared" si="105"/>
        <v>0</v>
      </c>
      <c r="CN69" s="680"/>
      <c r="CO69" s="51">
        <f>IF($CP$70=CK69,IF(CM69&gt;0,((CM69-1)*$BM$47*0.5)+$BM$47,CM69*0.5*$BM$47),CM69*0.5*$BM$47)</f>
        <v>0</v>
      </c>
      <c r="CP69" s="116">
        <f>IF(CM69&gt;0,1,0)*$A$41</f>
        <v>0</v>
      </c>
      <c r="CQ69" s="679">
        <f>CM69*$BK$47</f>
        <v>0</v>
      </c>
      <c r="CR69" s="680"/>
      <c r="CS69" s="83"/>
      <c r="CT69" s="691"/>
      <c r="CU69" s="692"/>
      <c r="CV69" s="83"/>
      <c r="CW69" s="691"/>
      <c r="CX69" s="692"/>
      <c r="CY69" s="83"/>
      <c r="CZ69" s="691"/>
      <c r="DA69" s="692"/>
      <c r="DB69" s="83"/>
      <c r="DC69" s="689"/>
      <c r="DD69" s="690"/>
      <c r="DE69" s="83"/>
      <c r="DF69" s="691"/>
      <c r="DG69" s="692"/>
      <c r="DH69" s="83"/>
      <c r="DI69" s="691"/>
      <c r="DJ69" s="692"/>
      <c r="DP69" s="116"/>
      <c r="DQ69" s="51"/>
      <c r="DR69"/>
      <c r="DT69"/>
      <c r="DV69" s="22"/>
      <c r="DW69" s="83"/>
      <c r="DX69" s="679"/>
      <c r="DY69" s="680"/>
      <c r="DZ69" s="83"/>
      <c r="EA69" s="83"/>
      <c r="EB69" s="694"/>
      <c r="EC69" s="695"/>
      <c r="ED69" s="83"/>
      <c r="EE69" s="691"/>
      <c r="EF69" s="692"/>
      <c r="EG69" s="83"/>
      <c r="EH69" s="691"/>
      <c r="EI69" s="692"/>
      <c r="EJ69" s="83"/>
      <c r="EK69" s="691"/>
      <c r="EL69" s="692"/>
      <c r="EM69" s="83"/>
      <c r="EN69" s="689"/>
      <c r="EO69" s="690"/>
      <c r="EP69" s="83"/>
      <c r="EQ69" s="691"/>
      <c r="ER69" s="692"/>
      <c r="ES69" s="83"/>
      <c r="ET69" s="691"/>
      <c r="EU69" s="692"/>
      <c r="FA69" s="116"/>
      <c r="FB69" s="51"/>
      <c r="FI69" s="22"/>
      <c r="FJ69" s="171"/>
    </row>
    <row r="70" spans="1:166" ht="13.5" thickBot="1" x14ac:dyDescent="0.25">
      <c r="A70" s="22">
        <v>1</v>
      </c>
      <c r="B70" s="98">
        <v>0.69</v>
      </c>
      <c r="C70" s="691">
        <f>IF($C$1="Vazio",0,RELAÇÃO_DE_CARGA!C71:D71)</f>
        <v>0</v>
      </c>
      <c r="D70" s="692"/>
      <c r="E70" s="98" t="str">
        <f>RELAÇÃO_DE_CARGA!E71:G71</f>
        <v>BIFÁSICA</v>
      </c>
      <c r="F70" s="691"/>
      <c r="G70" s="692"/>
      <c r="H70" s="98"/>
      <c r="I70" s="691"/>
      <c r="J70" s="692"/>
      <c r="K70" s="98"/>
      <c r="L70" s="691"/>
      <c r="M70" s="692"/>
      <c r="N70" s="98"/>
      <c r="O70" s="691"/>
      <c r="P70" s="692"/>
      <c r="Q70" s="98"/>
      <c r="R70" s="691"/>
      <c r="S70" s="692"/>
      <c r="T70" s="98"/>
      <c r="U70" s="691"/>
      <c r="V70" s="692"/>
      <c r="W70" s="98"/>
      <c r="X70" s="691"/>
      <c r="Y70" s="692"/>
      <c r="Z70" s="98"/>
      <c r="AA70" s="691"/>
      <c r="AB70" s="692"/>
      <c r="AC70" s="98"/>
      <c r="AD70" s="691"/>
      <c r="AE70" s="692"/>
      <c r="AF70" s="98"/>
      <c r="AG70" s="691"/>
      <c r="AH70" s="692"/>
      <c r="AI70" s="98"/>
      <c r="AJ70" s="691"/>
      <c r="AK70" s="692"/>
      <c r="AL70" s="35"/>
      <c r="AM70" s="35"/>
      <c r="AN70" s="35"/>
      <c r="AO70" s="35"/>
      <c r="AP70" s="35"/>
      <c r="AQ70" s="276">
        <f t="shared" si="111"/>
        <v>0</v>
      </c>
      <c r="AR70" s="276">
        <f t="shared" si="107"/>
        <v>0</v>
      </c>
      <c r="AS70" s="276">
        <f t="shared" si="108"/>
        <v>0</v>
      </c>
      <c r="AT70" s="276"/>
      <c r="AU70" s="276"/>
      <c r="AV70" s="276"/>
      <c r="AW70" s="276"/>
      <c r="AX70" s="276"/>
      <c r="AY70" s="276"/>
      <c r="AZ70" s="276"/>
      <c r="BA70" s="276"/>
      <c r="BB70" s="276"/>
      <c r="BC70" s="207">
        <f t="shared" si="109"/>
        <v>0</v>
      </c>
      <c r="BD70" s="51"/>
      <c r="BE70" s="172">
        <f t="shared" si="110"/>
        <v>0</v>
      </c>
      <c r="BF70" s="51"/>
      <c r="BG70" s="51"/>
      <c r="BH70" s="51"/>
      <c r="BI70" s="51"/>
      <c r="BJ70" s="51"/>
      <c r="BK70" s="51">
        <v>13.72</v>
      </c>
      <c r="BL70" s="70">
        <v>0.81</v>
      </c>
      <c r="BM70">
        <f t="shared" si="87"/>
        <v>16.938271604938272</v>
      </c>
      <c r="BN70">
        <f t="shared" si="88"/>
        <v>16.938271604938272</v>
      </c>
      <c r="BO70">
        <f t="shared" si="89"/>
        <v>16.938271604938272</v>
      </c>
      <c r="BP70">
        <f t="shared" si="90"/>
        <v>16.938271604938272</v>
      </c>
      <c r="BQ70" s="116">
        <v>12.5</v>
      </c>
      <c r="BR70" s="51">
        <f>IF(AND($AQ$65=$A63,C45&lt;1),IF(C63&gt;1,((C63-1)*$BM69*0.5)+$BM69,$BM69),0.5*$BM69*C63)</f>
        <v>0</v>
      </c>
      <c r="BS70" s="51">
        <f>IF(AND($AR$65=$A63,F45&lt;1),IF(F63&gt;1,((F63-1)*$BM69*0.5)+$BM69,$BM69),0.5*$BM69*F63)</f>
        <v>0</v>
      </c>
      <c r="BT70" s="51">
        <f>IF(AND($AS$65=$A63,I45&lt;1),IF(I63&gt;1,((I63-1)*$BM69*0.5)+$BM69,$BM69),0.5*$BM69*I63)</f>
        <v>0</v>
      </c>
      <c r="BU70" s="51">
        <f>IF(AND($AT$65=$A63,L45&lt;1),IF(L63&gt;1,((L63-1)*$BM69*0.5)+$BM69,$BM69),0.5*$BM69*L63)</f>
        <v>0</v>
      </c>
      <c r="BV70" s="51">
        <f>IF(AND($AU$65=$A63,O45&lt;1),IF(O63&gt;1,((O63-1)*$BM69*0.5)+$BM69,$BM69),0.5*$BM69*O63)</f>
        <v>0</v>
      </c>
      <c r="BW70" s="51">
        <f>IF(AND($AV$65=$A63,R45&lt;1),IF(R63&gt;1,((R63-1)*$BM69*0.5)+$BM69,$BM69),0.5*$BM69*R63)</f>
        <v>0</v>
      </c>
      <c r="BX70" s="51">
        <f>IF(AND($AW$65=$A63,U45&lt;1),IF(U63&gt;1,((U63-1)*$BM69*0.5)+$BM69,$BM69),0.5*$BM69*U63)</f>
        <v>0</v>
      </c>
      <c r="BY70" s="51">
        <f>IF(AND($AX$65=$A63,X45&lt;1),IF(X63&gt;1,((X63-1)*$BM69*0.5)+$BM69,$BM69),0.5*$BM69*X63)</f>
        <v>0</v>
      </c>
      <c r="BZ70" s="51">
        <f>IF(AND($AY$65=$A63,AA45&lt;1),IF(AA63&gt;1,((AA63-1)*$BM69*0.5)+$BM69,$BM69),0.5*$BM69*AA63)</f>
        <v>0</v>
      </c>
      <c r="CA70" s="51">
        <f>IF(AND($AZ$65=$A63,AD45&lt;1),IF(AD63&gt;1,((AD63-1)*$BM69*0.5)+$BM69,$BM69),0.5*$BM69*AD63)</f>
        <v>0</v>
      </c>
      <c r="CB70" s="51">
        <f>IF(AND($BA$65=$A63,AG45&lt;1),IF(AG63&gt;1,((AG63-1)*$BM69*0.5)+$BM69,$BM69),0.5*$BM69*AG63)</f>
        <v>0</v>
      </c>
      <c r="CC70" s="51">
        <f>IF(AND($BB$65=$A63,AJ45&lt;1),IF(AJ63&gt;1,((AJ63-1)*$BM69*0.5)+$BM69,$BM69),0.5*$BM69*AJ63)</f>
        <v>0</v>
      </c>
      <c r="CD70" s="128"/>
      <c r="CE70" s="51"/>
      <c r="CF70" s="51"/>
      <c r="CG70" s="51"/>
      <c r="CK70" s="22"/>
      <c r="CL70" s="83"/>
      <c r="CM70" s="679"/>
      <c r="CN70" s="680"/>
      <c r="CO70" s="83"/>
      <c r="CP70" s="87">
        <f>LARGE(CP62:CP69,1)</f>
        <v>0</v>
      </c>
      <c r="CQ70" s="679"/>
      <c r="CR70" s="680"/>
      <c r="CS70" s="83"/>
      <c r="CT70" s="691"/>
      <c r="CU70" s="692"/>
      <c r="CV70" s="83"/>
      <c r="CW70" s="691"/>
      <c r="CX70" s="692"/>
      <c r="CY70" s="83"/>
      <c r="CZ70" s="691"/>
      <c r="DA70" s="692"/>
      <c r="DB70" s="83"/>
      <c r="DC70" s="689"/>
      <c r="DD70" s="690"/>
      <c r="DE70" s="83"/>
      <c r="DF70" s="691"/>
      <c r="DG70" s="692"/>
      <c r="DH70" s="83"/>
      <c r="DI70" s="691"/>
      <c r="DJ70" s="692"/>
      <c r="DP70" s="116"/>
      <c r="DQ70" s="51"/>
      <c r="DR70"/>
      <c r="DT70"/>
      <c r="DV70" s="22"/>
      <c r="DW70" s="83"/>
      <c r="DX70" s="679"/>
      <c r="DY70" s="680"/>
      <c r="DZ70" s="83"/>
      <c r="EA70" s="83"/>
      <c r="EB70" s="694"/>
      <c r="EC70" s="695"/>
      <c r="ED70" s="83"/>
      <c r="EE70" s="691"/>
      <c r="EF70" s="692"/>
      <c r="EG70" s="83"/>
      <c r="EH70" s="691"/>
      <c r="EI70" s="692"/>
      <c r="EJ70" s="83"/>
      <c r="EK70" s="691"/>
      <c r="EL70" s="692"/>
      <c r="EM70" s="83"/>
      <c r="EN70" s="689"/>
      <c r="EO70" s="690"/>
      <c r="EP70" s="83"/>
      <c r="EQ70" s="691"/>
      <c r="ER70" s="692"/>
      <c r="ES70" s="83"/>
      <c r="ET70" s="691"/>
      <c r="EU70" s="692"/>
      <c r="FA70" s="116"/>
      <c r="FB70" s="51"/>
      <c r="FI70" s="22"/>
      <c r="FJ70" s="171"/>
    </row>
    <row r="71" spans="1:166" ht="13.5" thickBot="1" x14ac:dyDescent="0.25">
      <c r="A71" s="22">
        <v>1.5</v>
      </c>
      <c r="B71" s="98">
        <v>0.75</v>
      </c>
      <c r="C71" s="691">
        <f>IF($C$1="Vazio",0,RELAÇÃO_DE_CARGA!C72:D72)</f>
        <v>0</v>
      </c>
      <c r="D71" s="692"/>
      <c r="E71" s="98" t="str">
        <f>RELAÇÃO_DE_CARGA!E72:G72</f>
        <v>BIFÁSICA</v>
      </c>
      <c r="F71" s="691"/>
      <c r="G71" s="692"/>
      <c r="H71" s="98"/>
      <c r="I71" s="691"/>
      <c r="J71" s="692"/>
      <c r="K71" s="98"/>
      <c r="L71" s="691"/>
      <c r="M71" s="692"/>
      <c r="N71" s="98"/>
      <c r="O71" s="691"/>
      <c r="P71" s="692"/>
      <c r="Q71" s="98"/>
      <c r="R71" s="691"/>
      <c r="S71" s="692"/>
      <c r="T71" s="98"/>
      <c r="U71" s="691"/>
      <c r="V71" s="692"/>
      <c r="W71" s="98"/>
      <c r="X71" s="691"/>
      <c r="Y71" s="692"/>
      <c r="Z71" s="98"/>
      <c r="AA71" s="691"/>
      <c r="AB71" s="692"/>
      <c r="AC71" s="98"/>
      <c r="AD71" s="691"/>
      <c r="AE71" s="692"/>
      <c r="AF71" s="98"/>
      <c r="AG71" s="691"/>
      <c r="AH71" s="692"/>
      <c r="AI71" s="98"/>
      <c r="AJ71" s="691"/>
      <c r="AK71" s="692"/>
      <c r="AL71" s="35"/>
      <c r="AM71" s="35"/>
      <c r="AN71" s="35"/>
      <c r="AO71" s="35"/>
      <c r="AP71" s="35"/>
      <c r="AQ71" s="276">
        <f t="shared" si="111"/>
        <v>0</v>
      </c>
      <c r="AR71" s="276">
        <f t="shared" si="107"/>
        <v>0</v>
      </c>
      <c r="AS71" s="276">
        <f t="shared" si="108"/>
        <v>0</v>
      </c>
      <c r="AT71" s="276"/>
      <c r="AU71" s="276"/>
      <c r="AV71" s="276"/>
      <c r="AW71" s="276"/>
      <c r="AX71" s="276"/>
      <c r="AY71" s="276"/>
      <c r="AZ71" s="276"/>
      <c r="BA71" s="276"/>
      <c r="BB71" s="276"/>
      <c r="BC71" s="207">
        <f t="shared" si="109"/>
        <v>0</v>
      </c>
      <c r="BD71" s="51"/>
      <c r="BE71" s="172">
        <f t="shared" si="110"/>
        <v>0</v>
      </c>
      <c r="BF71" s="696"/>
      <c r="BG71" s="696"/>
      <c r="BH71" s="696"/>
      <c r="BI71" s="696"/>
      <c r="BJ71" s="696"/>
      <c r="BK71" s="696"/>
      <c r="BL71" s="696"/>
      <c r="BM71" s="696"/>
      <c r="BN71" s="696"/>
      <c r="BO71" s="51"/>
      <c r="BP71" s="51"/>
      <c r="BQ71" s="116">
        <v>15</v>
      </c>
      <c r="BR71" s="51">
        <f>IF(AND($AQ$65=$A64,C46&lt;1),IF(C64&gt;1,((C64-1)*$BM70*0.5)+$BM70,$BM70),0.5*$BM70*C64)</f>
        <v>0</v>
      </c>
      <c r="BS71" s="51">
        <f>IF(AND($AR$65=$A64,F46&lt;1),IF(F64&gt;1,((F64-1)*$BM70*0.5)+$BM70,$BM70),0.5*$BM70*F64)</f>
        <v>0</v>
      </c>
      <c r="BT71" s="51">
        <f>IF(AND($AS$65=$A64,I46&lt;1),IF(I64&gt;1,((I64-1)*$BM70*0.5)+$BM70,$BM70),0.5*$BM70*I64)</f>
        <v>0</v>
      </c>
      <c r="BU71" s="51">
        <f>IF(AND($AT$65=$A64,L46&lt;1),IF(L64&gt;1,((L64-1)*$BM70*0.5)+$BM70,$BM70),0.5*$BM70*L64)</f>
        <v>0</v>
      </c>
      <c r="BV71" s="51">
        <f>IF(AND($AU$65=$A64,O46&lt;1),IF(O64&gt;1,((O64-1)*$BM70*0.5)+$BM70,$BM70),0.5*$BM70*O64)</f>
        <v>0</v>
      </c>
      <c r="BW71" s="51">
        <f>IF(AND($AV$65=$A64,R46&lt;1),IF(R64&gt;1,((R64-1)*$BM70*0.5)+$BM70,$BM70),0.5*$BM70*R64)</f>
        <v>0</v>
      </c>
      <c r="BX71" s="51">
        <f>IF(AND($AW$65=$A64,U46&lt;1),IF(U64&gt;1,((U64-1)*$BM70*0.5)+$BM70,$BM70),0.5*$BM70*U64)</f>
        <v>0</v>
      </c>
      <c r="BY71" s="51">
        <f>IF(AND($AX$65=$A64,X46&lt;1),IF(X64&gt;1,((X64-1)*$BM70*0.5)+$BM70,$BM70),0.5*$BM70*X64)</f>
        <v>0</v>
      </c>
      <c r="BZ71" s="51">
        <f>IF(AND($AY$65=$A64,AA46&lt;1),IF(AA64&gt;1,((AA64-1)*$BM70*0.5)+$BM70,$BM70),0.5*$BM70*AA64)</f>
        <v>0</v>
      </c>
      <c r="CA71" s="51">
        <f>IF(AND($AZ$65=$A64,AD46&lt;1),IF(AD64&gt;1,((AD64-1)*$BM70*0.5)+$BM70,$BM70),0.5*$BM70*AD64)</f>
        <v>0</v>
      </c>
      <c r="CB71" s="51">
        <f>IF(AND($BA$65=$A64,AG46&lt;1),IF(AG64&gt;1,((AG64-1)*$BM70*0.5)+$BM70,$BM70),0.5*$BM70*AG64)</f>
        <v>0</v>
      </c>
      <c r="CC71" s="51">
        <f>IF(AND($BB$65=$A64,AJ46&lt;1),IF(AJ64&gt;1,((AJ64-1)*$BM70*0.5)+$BM70,$BM70),0.5*$BM70*AJ64)</f>
        <v>0</v>
      </c>
      <c r="CD71" s="128"/>
      <c r="CE71" s="51"/>
      <c r="CF71" s="51"/>
      <c r="CG71" s="51"/>
      <c r="CH71" s="51"/>
      <c r="CI71" s="51"/>
      <c r="CJ71" s="51"/>
      <c r="CK71" s="22"/>
      <c r="CL71" s="83"/>
      <c r="CM71" s="679"/>
      <c r="CN71" s="680"/>
      <c r="CO71" s="83"/>
      <c r="CP71" s="83"/>
      <c r="CQ71" s="694"/>
      <c r="CR71" s="695"/>
      <c r="CS71" s="83"/>
      <c r="CT71" s="691"/>
      <c r="CU71" s="692"/>
      <c r="CV71" s="83"/>
      <c r="CW71" s="691"/>
      <c r="CX71" s="692"/>
      <c r="CY71" s="83"/>
      <c r="CZ71" s="691"/>
      <c r="DA71" s="692"/>
      <c r="DB71" s="83"/>
      <c r="DC71" s="689"/>
      <c r="DD71" s="690"/>
      <c r="DE71" s="83"/>
      <c r="DF71" s="691"/>
      <c r="DG71" s="692"/>
      <c r="DH71" s="83"/>
      <c r="DI71" s="691"/>
      <c r="DJ71" s="692"/>
      <c r="DL71" s="20"/>
      <c r="DM71" s="20"/>
      <c r="DN71" s="72"/>
      <c r="DO71" s="72"/>
      <c r="DP71"/>
      <c r="DQ71"/>
      <c r="DR71"/>
      <c r="DS71" s="290"/>
      <c r="DT71" s="51"/>
      <c r="DV71" s="22"/>
      <c r="DW71" s="83"/>
      <c r="DX71" s="679"/>
      <c r="DY71" s="680"/>
      <c r="DZ71" s="83"/>
      <c r="EA71" s="83"/>
      <c r="EB71" s="694"/>
      <c r="EC71" s="695"/>
      <c r="ED71" s="83"/>
      <c r="EE71" s="691"/>
      <c r="EF71" s="692"/>
      <c r="EG71" s="83"/>
      <c r="EH71" s="691"/>
      <c r="EI71" s="692"/>
      <c r="EJ71" s="83"/>
      <c r="EK71" s="691"/>
      <c r="EL71" s="692"/>
      <c r="EM71" s="83"/>
      <c r="EN71" s="689"/>
      <c r="EO71" s="690"/>
      <c r="EP71" s="83"/>
      <c r="EQ71" s="691"/>
      <c r="ER71" s="692"/>
      <c r="ES71" s="83"/>
      <c r="ET71" s="691"/>
      <c r="EU71" s="692"/>
      <c r="EW71" s="20"/>
      <c r="EX71" s="20"/>
      <c r="EY71" s="72"/>
      <c r="EZ71" s="72"/>
      <c r="FI71" s="22"/>
      <c r="FJ71" s="171"/>
    </row>
    <row r="72" spans="1:166" ht="13.5" thickBot="1" x14ac:dyDescent="0.25">
      <c r="A72" s="22">
        <v>2</v>
      </c>
      <c r="B72" s="98">
        <v>0.72</v>
      </c>
      <c r="C72" s="691">
        <f>IF($C$1="Vazio",0,RELAÇÃO_DE_CARGA!C73:D73)</f>
        <v>0</v>
      </c>
      <c r="D72" s="692"/>
      <c r="E72" s="98" t="str">
        <f>RELAÇÃO_DE_CARGA!E73:G73</f>
        <v>BIFÁSICA</v>
      </c>
      <c r="F72" s="691"/>
      <c r="G72" s="692"/>
      <c r="H72" s="98"/>
      <c r="I72" s="691"/>
      <c r="J72" s="692"/>
      <c r="K72" s="98"/>
      <c r="L72" s="691"/>
      <c r="M72" s="692"/>
      <c r="N72" s="98"/>
      <c r="O72" s="691"/>
      <c r="P72" s="692"/>
      <c r="Q72" s="98"/>
      <c r="R72" s="691"/>
      <c r="S72" s="692"/>
      <c r="T72" s="98"/>
      <c r="U72" s="691"/>
      <c r="V72" s="692"/>
      <c r="W72" s="98"/>
      <c r="X72" s="691"/>
      <c r="Y72" s="692"/>
      <c r="Z72" s="98"/>
      <c r="AA72" s="691"/>
      <c r="AB72" s="692"/>
      <c r="AC72" s="98"/>
      <c r="AD72" s="691"/>
      <c r="AE72" s="692"/>
      <c r="AF72" s="98"/>
      <c r="AG72" s="691"/>
      <c r="AH72" s="692"/>
      <c r="AI72" s="98"/>
      <c r="AJ72" s="691"/>
      <c r="AK72" s="692"/>
      <c r="AL72" s="35"/>
      <c r="AM72" s="35"/>
      <c r="AN72" s="35"/>
      <c r="AO72" s="35"/>
      <c r="AP72" s="35"/>
      <c r="AQ72" s="276">
        <f t="shared" si="111"/>
        <v>0</v>
      </c>
      <c r="AR72" s="276">
        <f t="shared" si="107"/>
        <v>0</v>
      </c>
      <c r="AS72" s="276">
        <f t="shared" si="108"/>
        <v>0</v>
      </c>
      <c r="AT72" s="276"/>
      <c r="AU72" s="276"/>
      <c r="AV72" s="276"/>
      <c r="AW72" s="276"/>
      <c r="AX72" s="276"/>
      <c r="AY72" s="276"/>
      <c r="AZ72" s="276"/>
      <c r="BA72" s="276"/>
      <c r="BB72" s="276"/>
      <c r="BC72" s="207">
        <f t="shared" si="109"/>
        <v>0</v>
      </c>
      <c r="BD72" s="51"/>
      <c r="BE72" s="172">
        <f t="shared" si="110"/>
        <v>0</v>
      </c>
      <c r="BF72" s="51"/>
      <c r="BG72" s="51"/>
      <c r="BH72" s="51"/>
      <c r="BI72" s="51"/>
      <c r="BJ72" s="51"/>
      <c r="BK72" s="52" t="s">
        <v>41</v>
      </c>
      <c r="BL72" s="122" t="s">
        <v>135</v>
      </c>
      <c r="BM72" s="696" t="s">
        <v>3</v>
      </c>
      <c r="BN72" s="696"/>
      <c r="BO72" s="696"/>
      <c r="BP72" s="696"/>
      <c r="BQ72" s="51"/>
      <c r="BY72" s="51"/>
      <c r="BZ72" s="51"/>
      <c r="CA72" s="51"/>
      <c r="CB72" s="51"/>
      <c r="CC72" s="51"/>
      <c r="CD72" s="179"/>
      <c r="CG72" s="51"/>
      <c r="CH72" s="51"/>
      <c r="CI72" s="51"/>
      <c r="CJ72" s="51"/>
      <c r="CK72" s="22"/>
      <c r="CL72" s="83"/>
      <c r="CM72" s="679"/>
      <c r="CN72" s="680"/>
      <c r="CO72" s="83"/>
      <c r="CP72" s="83"/>
      <c r="CQ72" s="694"/>
      <c r="CR72" s="695"/>
      <c r="CS72" s="83"/>
      <c r="CT72" s="691"/>
      <c r="CU72" s="692"/>
      <c r="CV72" s="83"/>
      <c r="CW72" s="691"/>
      <c r="CX72" s="692"/>
      <c r="CY72" s="83"/>
      <c r="CZ72" s="691"/>
      <c r="DA72" s="692"/>
      <c r="DB72" s="83"/>
      <c r="DC72" s="689"/>
      <c r="DD72" s="690"/>
      <c r="DE72" s="83"/>
      <c r="DF72" s="691"/>
      <c r="DG72" s="692"/>
      <c r="DH72" s="83"/>
      <c r="DI72" s="691"/>
      <c r="DJ72" s="692"/>
      <c r="DL72" s="696"/>
      <c r="DM72" s="696"/>
      <c r="DN72" s="696"/>
      <c r="DO72" s="696"/>
      <c r="DP72" s="171"/>
      <c r="DQ72" s="171"/>
      <c r="DR72"/>
      <c r="DS72" s="290"/>
      <c r="DT72" s="51"/>
      <c r="DV72" s="22"/>
      <c r="DW72" s="83"/>
      <c r="DX72" s="679"/>
      <c r="DY72" s="680"/>
      <c r="DZ72" s="83"/>
      <c r="EA72" s="83"/>
      <c r="EB72" s="694"/>
      <c r="EC72" s="695"/>
      <c r="ED72" s="83"/>
      <c r="EE72" s="691"/>
      <c r="EF72" s="692"/>
      <c r="EG72" s="83"/>
      <c r="EH72" s="691"/>
      <c r="EI72" s="692"/>
      <c r="EJ72" s="83"/>
      <c r="EK72" s="691"/>
      <c r="EL72" s="692"/>
      <c r="EM72" s="83"/>
      <c r="EN72" s="689"/>
      <c r="EO72" s="690"/>
      <c r="EP72" s="83"/>
      <c r="EQ72" s="691"/>
      <c r="ER72" s="692"/>
      <c r="ES72" s="83"/>
      <c r="ET72" s="691"/>
      <c r="EU72" s="692"/>
      <c r="EW72" s="696"/>
      <c r="EX72" s="696"/>
      <c r="EY72" s="696"/>
      <c r="EZ72" s="696"/>
      <c r="FA72" s="171"/>
      <c r="FB72" s="171"/>
      <c r="FI72" s="22"/>
      <c r="FJ72" s="171"/>
    </row>
    <row r="73" spans="1:166" ht="13.5" thickBot="1" x14ac:dyDescent="0.25">
      <c r="A73" s="22">
        <v>3</v>
      </c>
      <c r="B73" s="98">
        <v>0.73</v>
      </c>
      <c r="C73" s="691">
        <f>IF($C$1="Vazio",0,RELAÇÃO_DE_CARGA!C74:D74)</f>
        <v>0</v>
      </c>
      <c r="D73" s="692"/>
      <c r="E73" s="98" t="str">
        <f>RELAÇÃO_DE_CARGA!E74:G74</f>
        <v>BIFÁSICA</v>
      </c>
      <c r="F73" s="691"/>
      <c r="G73" s="692"/>
      <c r="H73" s="98"/>
      <c r="I73" s="691"/>
      <c r="J73" s="692"/>
      <c r="K73" s="98"/>
      <c r="L73" s="691"/>
      <c r="M73" s="692"/>
      <c r="N73" s="98"/>
      <c r="O73" s="691"/>
      <c r="P73" s="692"/>
      <c r="Q73" s="98"/>
      <c r="R73" s="691"/>
      <c r="S73" s="692"/>
      <c r="T73" s="98"/>
      <c r="U73" s="691"/>
      <c r="V73" s="692"/>
      <c r="W73" s="98"/>
      <c r="X73" s="691"/>
      <c r="Y73" s="692"/>
      <c r="Z73" s="98"/>
      <c r="AA73" s="691"/>
      <c r="AB73" s="692"/>
      <c r="AC73" s="98"/>
      <c r="AD73" s="691"/>
      <c r="AE73" s="692"/>
      <c r="AF73" s="98"/>
      <c r="AG73" s="691"/>
      <c r="AH73" s="692"/>
      <c r="AI73" s="98"/>
      <c r="AJ73" s="691"/>
      <c r="AK73" s="692"/>
      <c r="AL73" s="35"/>
      <c r="AM73" s="35"/>
      <c r="AN73" s="35"/>
      <c r="AO73" s="35"/>
      <c r="AP73" s="35"/>
      <c r="AQ73" s="276">
        <f t="shared" si="111"/>
        <v>0</v>
      </c>
      <c r="AR73" s="276">
        <f t="shared" si="107"/>
        <v>0</v>
      </c>
      <c r="AS73" s="276">
        <f t="shared" si="108"/>
        <v>0</v>
      </c>
      <c r="AT73" s="276"/>
      <c r="AU73" s="276"/>
      <c r="AV73" s="276"/>
      <c r="AW73" s="276"/>
      <c r="AX73" s="276"/>
      <c r="AY73" s="276"/>
      <c r="AZ73" s="276"/>
      <c r="BA73" s="276"/>
      <c r="BB73" s="276"/>
      <c r="BC73" s="207">
        <f t="shared" si="109"/>
        <v>0</v>
      </c>
      <c r="BD73" s="51"/>
      <c r="BE73" s="172">
        <f t="shared" si="110"/>
        <v>0</v>
      </c>
      <c r="BF73" s="51">
        <f t="shared" ref="BF73:BF89" si="112">BK73*C67</f>
        <v>0</v>
      </c>
      <c r="BG73" s="51"/>
      <c r="BH73" s="51"/>
      <c r="BI73" s="51"/>
      <c r="BJ73" s="51"/>
      <c r="BK73" s="51">
        <v>0.39</v>
      </c>
      <c r="BL73" s="98">
        <v>0.61</v>
      </c>
      <c r="BM73">
        <f t="shared" ref="BM73:BM89" si="113">IF(B67&lt;BL73,BK73/B67,BK73/BL73)</f>
        <v>0.63934426229508201</v>
      </c>
      <c r="BN73">
        <f t="shared" ref="BN73:BN89" si="114">IF(E67&lt;BL73,BK73/E67,BK73/BL73)</f>
        <v>0.63934426229508201</v>
      </c>
      <c r="BO73" t="e">
        <f t="shared" ref="BO73:BO89" si="115">IF(H67&lt;BL73,BK73/H67,BK73/BL73)</f>
        <v>#DIV/0!</v>
      </c>
      <c r="BP73" t="e">
        <f t="shared" ref="BP73:BP89" si="116">IF(K67&lt;BL73,BK73/K67,BK73/BL73)</f>
        <v>#DIV/0!</v>
      </c>
      <c r="BQ73" s="171"/>
      <c r="BR73" s="171">
        <v>1</v>
      </c>
      <c r="BS73" s="171">
        <v>2</v>
      </c>
      <c r="BT73" s="171">
        <v>3</v>
      </c>
      <c r="BU73" s="171">
        <v>4</v>
      </c>
      <c r="BV73" s="171">
        <v>5</v>
      </c>
      <c r="BW73" s="171">
        <v>6</v>
      </c>
      <c r="BX73" s="171">
        <v>7</v>
      </c>
      <c r="BY73" s="171">
        <v>8</v>
      </c>
      <c r="BZ73" s="171">
        <v>9</v>
      </c>
      <c r="CA73" s="51">
        <v>10</v>
      </c>
      <c r="CB73" s="51">
        <v>11</v>
      </c>
      <c r="CC73" s="51">
        <v>12</v>
      </c>
      <c r="CD73" s="286"/>
      <c r="CE73" s="51"/>
      <c r="CF73" s="51"/>
      <c r="CG73"/>
      <c r="CK73" s="22"/>
      <c r="CL73" s="83"/>
      <c r="CM73" s="679"/>
      <c r="CN73" s="680"/>
      <c r="CO73" s="83"/>
      <c r="CP73" s="83"/>
      <c r="CQ73" s="694"/>
      <c r="CR73" s="695"/>
      <c r="CS73" s="83"/>
      <c r="CT73" s="691"/>
      <c r="CU73" s="692"/>
      <c r="CV73" s="83"/>
      <c r="CW73" s="691"/>
      <c r="CX73" s="692"/>
      <c r="CY73" s="83"/>
      <c r="CZ73" s="691"/>
      <c r="DA73" s="692"/>
      <c r="DB73" s="83"/>
      <c r="DC73" s="689"/>
      <c r="DD73" s="690"/>
      <c r="DE73" s="83"/>
      <c r="DF73" s="691"/>
      <c r="DG73" s="692"/>
      <c r="DH73" s="83"/>
      <c r="DI73" s="691"/>
      <c r="DJ73" s="692"/>
      <c r="DP73" s="22"/>
      <c r="DQ73" s="171"/>
      <c r="DR73"/>
      <c r="DT73"/>
      <c r="DV73" s="22"/>
      <c r="DW73" s="83"/>
      <c r="DX73" s="679"/>
      <c r="DY73" s="680"/>
      <c r="DZ73" s="83"/>
      <c r="EA73" s="83"/>
      <c r="EB73" s="694"/>
      <c r="EC73" s="695"/>
      <c r="ED73" s="83"/>
      <c r="EE73" s="691"/>
      <c r="EF73" s="692"/>
      <c r="EG73" s="83"/>
      <c r="EH73" s="691"/>
      <c r="EI73" s="692"/>
      <c r="EJ73" s="83"/>
      <c r="EK73" s="691"/>
      <c r="EL73" s="692"/>
      <c r="EM73" s="83"/>
      <c r="EN73" s="689"/>
      <c r="EO73" s="690"/>
      <c r="EP73" s="83"/>
      <c r="EQ73" s="691"/>
      <c r="ER73" s="692"/>
      <c r="ES73" s="83"/>
      <c r="ET73" s="691"/>
      <c r="EU73" s="692"/>
      <c r="FA73" s="22"/>
      <c r="FB73" s="171"/>
      <c r="FI73" s="22"/>
      <c r="FJ73" s="171"/>
    </row>
    <row r="74" spans="1:166" ht="13.5" thickBot="1" x14ac:dyDescent="0.25">
      <c r="A74" s="22">
        <v>5</v>
      </c>
      <c r="B74" s="98">
        <v>0.75</v>
      </c>
      <c r="C74" s="691">
        <f>IF($C$1="Vazio",0,RELAÇÃO_DE_CARGA!C75:D75)</f>
        <v>0</v>
      </c>
      <c r="D74" s="692"/>
      <c r="E74" s="98" t="str">
        <f>RELAÇÃO_DE_CARGA!E75:G75</f>
        <v>BIFÁSICA</v>
      </c>
      <c r="F74" s="691"/>
      <c r="G74" s="692"/>
      <c r="H74" s="98"/>
      <c r="I74" s="691"/>
      <c r="J74" s="692"/>
      <c r="K74" s="98"/>
      <c r="L74" s="691"/>
      <c r="M74" s="692"/>
      <c r="N74" s="98"/>
      <c r="O74" s="691"/>
      <c r="P74" s="692"/>
      <c r="Q74" s="98"/>
      <c r="R74" s="691"/>
      <c r="S74" s="692"/>
      <c r="T74" s="98"/>
      <c r="U74" s="691"/>
      <c r="V74" s="692"/>
      <c r="W74" s="98"/>
      <c r="X74" s="691"/>
      <c r="Y74" s="692"/>
      <c r="Z74" s="98"/>
      <c r="AA74" s="691"/>
      <c r="AB74" s="692"/>
      <c r="AC74" s="98"/>
      <c r="AD74" s="691"/>
      <c r="AE74" s="692"/>
      <c r="AF74" s="98"/>
      <c r="AG74" s="691"/>
      <c r="AH74" s="692"/>
      <c r="AI74" s="98"/>
      <c r="AJ74" s="691"/>
      <c r="AK74" s="692"/>
      <c r="AL74" s="35"/>
      <c r="AM74" s="35"/>
      <c r="AN74" s="35"/>
      <c r="AO74" s="35"/>
      <c r="AP74" s="35"/>
      <c r="AQ74" s="276">
        <f>IF(C13&gt;0,$A13,0)</f>
        <v>0</v>
      </c>
      <c r="AR74" s="276">
        <f>IF(F13&gt;0,$A13,0)</f>
        <v>0</v>
      </c>
      <c r="AS74" s="276">
        <f>IF(I13&gt;0,$A13,0)</f>
        <v>0</v>
      </c>
      <c r="AT74" s="276"/>
      <c r="AU74" s="276"/>
      <c r="AV74" s="276"/>
      <c r="AW74" s="276"/>
      <c r="AX74" s="276"/>
      <c r="AY74" s="276"/>
      <c r="AZ74" s="276"/>
      <c r="BA74" s="276"/>
      <c r="BB74" s="276"/>
      <c r="BC74" s="207">
        <f>C13+I13</f>
        <v>0</v>
      </c>
      <c r="BD74" s="51"/>
      <c r="BE74" s="172">
        <f>F13+L13</f>
        <v>0</v>
      </c>
      <c r="BF74" s="51">
        <f>BK13*C68</f>
        <v>0</v>
      </c>
      <c r="BG74" s="51"/>
      <c r="BH74" s="51"/>
      <c r="BI74" s="51"/>
      <c r="BJ74" s="51"/>
      <c r="BK74" s="51">
        <v>0.57999999999999996</v>
      </c>
      <c r="BL74" s="98">
        <v>0.66</v>
      </c>
      <c r="BM74" t="e">
        <f>IF(B68&lt;BL13,BK13/B68,BK13/BL13)</f>
        <v>#DIV/0!</v>
      </c>
      <c r="BN74" t="e">
        <f>IF(E68&lt;BL13,BK13/E68,BK13/BL13)</f>
        <v>#DIV/0!</v>
      </c>
      <c r="BO74" t="e">
        <f>IF(H68&lt;BL13,BK13/H68,BK13/BL13)</f>
        <v>#DIV/0!</v>
      </c>
      <c r="BP74" t="e">
        <f>IF(K68&lt;BL13,BK13/K68,BK13/BL13)</f>
        <v>#DIV/0!</v>
      </c>
      <c r="BQ74" s="22">
        <v>0.33333333333333298</v>
      </c>
      <c r="BR74" s="51">
        <f t="shared" ref="BR74:BR89" si="117">IF($AQ$84=$A67,IF(C67&gt;1,((C67-1)*$BM73*0.5)+$BM73,$BM73),$BM73*0.5*C67)</f>
        <v>0</v>
      </c>
      <c r="BS74" s="51">
        <f t="shared" ref="BS74:BS90" si="118">IF(AND($AR$65=$A67,F49&lt;1),IF(F67&gt;1,((F67-1)*$BM73*0.5)+$BM73,$BM73),0.5*$BM73*F67)</f>
        <v>0</v>
      </c>
      <c r="BT74" s="51">
        <f t="shared" ref="BT74:BT90" si="119">IF(AND($AS$65=$A67,I49&lt;1),IF(I67&gt;1,((I67-1)*$BM73*0.5)+$BM73,$BM73),0.5*$BM73*I67)</f>
        <v>0</v>
      </c>
      <c r="BU74" s="171"/>
      <c r="BV74" s="171"/>
      <c r="BW74" s="171"/>
      <c r="BX74" s="171"/>
      <c r="BY74" s="171"/>
      <c r="BZ74" s="171"/>
      <c r="CA74" s="171"/>
      <c r="CB74" s="171"/>
      <c r="CC74" s="171"/>
      <c r="CD74" s="286"/>
      <c r="CE74" s="51"/>
      <c r="CF74" s="51"/>
      <c r="CG74"/>
      <c r="CK74" s="22"/>
      <c r="CL74" s="83"/>
      <c r="CM74" s="679"/>
      <c r="CN74" s="680"/>
      <c r="CO74" s="83"/>
      <c r="CP74" s="83"/>
      <c r="CQ74" s="694"/>
      <c r="CR74" s="695"/>
      <c r="CS74" s="83"/>
      <c r="CT74" s="691"/>
      <c r="CU74" s="692"/>
      <c r="CV74" s="83"/>
      <c r="CW74" s="691"/>
      <c r="CX74" s="692"/>
      <c r="CY74" s="83"/>
      <c r="CZ74" s="691"/>
      <c r="DA74" s="692"/>
      <c r="DB74" s="83"/>
      <c r="DC74" s="689"/>
      <c r="DD74" s="690"/>
      <c r="DE74" s="83"/>
      <c r="DF74" s="691"/>
      <c r="DG74" s="692"/>
      <c r="DH74" s="83"/>
      <c r="DI74" s="691"/>
      <c r="DJ74" s="692"/>
      <c r="DP74" s="22"/>
      <c r="DQ74" s="171"/>
      <c r="DR74"/>
      <c r="DT74"/>
      <c r="DV74" s="22"/>
      <c r="DW74" s="83"/>
      <c r="DX74" s="679"/>
      <c r="DY74" s="680"/>
      <c r="DZ74" s="83"/>
      <c r="EA74" s="83"/>
      <c r="EB74" s="694"/>
      <c r="EC74" s="695"/>
      <c r="ED74" s="83"/>
      <c r="EE74" s="691"/>
      <c r="EF74" s="692"/>
      <c r="EG74" s="83"/>
      <c r="EH74" s="691"/>
      <c r="EI74" s="692"/>
      <c r="EJ74" s="83"/>
      <c r="EK74" s="691"/>
      <c r="EL74" s="692"/>
      <c r="EM74" s="83"/>
      <c r="EN74" s="689"/>
      <c r="EO74" s="690"/>
      <c r="EP74" s="83"/>
      <c r="EQ74" s="691"/>
      <c r="ER74" s="692"/>
      <c r="ES74" s="83"/>
      <c r="ET74" s="691"/>
      <c r="EU74" s="692"/>
      <c r="FA74" s="22"/>
      <c r="FB74" s="171"/>
      <c r="FI74" s="22"/>
      <c r="FJ74" s="171"/>
    </row>
    <row r="75" spans="1:166" ht="13.5" thickBot="1" x14ac:dyDescent="0.25">
      <c r="A75" s="22"/>
      <c r="B75" s="98">
        <v>0.75</v>
      </c>
      <c r="C75" s="691">
        <f>IF($C$1="Vazio",0,RELAÇÃO_DE_CARGA!C76:D76)</f>
        <v>0</v>
      </c>
      <c r="D75" s="692"/>
      <c r="E75" s="98">
        <v>0</v>
      </c>
      <c r="F75" s="691"/>
      <c r="G75" s="692"/>
      <c r="H75" s="98"/>
      <c r="I75" s="691"/>
      <c r="J75" s="692"/>
      <c r="K75" s="98"/>
      <c r="L75" s="691"/>
      <c r="M75" s="692"/>
      <c r="N75" s="98"/>
      <c r="O75" s="691"/>
      <c r="P75" s="692"/>
      <c r="Q75" s="98"/>
      <c r="R75" s="691"/>
      <c r="S75" s="692"/>
      <c r="T75" s="98"/>
      <c r="U75" s="691"/>
      <c r="V75" s="692"/>
      <c r="W75" s="98"/>
      <c r="X75" s="691"/>
      <c r="Y75" s="692"/>
      <c r="Z75" s="98"/>
      <c r="AA75" s="691"/>
      <c r="AB75" s="692"/>
      <c r="AC75" s="98"/>
      <c r="AD75" s="691"/>
      <c r="AE75" s="692"/>
      <c r="AF75" s="98"/>
      <c r="AG75" s="691"/>
      <c r="AH75" s="692"/>
      <c r="AI75" s="98"/>
      <c r="AJ75" s="691"/>
      <c r="AK75" s="692"/>
      <c r="AL75" s="35"/>
      <c r="AM75" s="35"/>
      <c r="AN75" s="35"/>
      <c r="AO75" s="35"/>
      <c r="AP75" s="35"/>
      <c r="AQ75" s="276">
        <f t="shared" si="111"/>
        <v>0</v>
      </c>
      <c r="AR75" s="276">
        <f t="shared" si="107"/>
        <v>0</v>
      </c>
      <c r="AS75" s="276">
        <f t="shared" si="108"/>
        <v>0</v>
      </c>
      <c r="AT75" s="276"/>
      <c r="AU75" s="276"/>
      <c r="AV75" s="276"/>
      <c r="AW75" s="276"/>
      <c r="AX75" s="276"/>
      <c r="AY75" s="276"/>
      <c r="AZ75" s="276"/>
      <c r="BA75" s="276"/>
      <c r="BB75" s="276"/>
      <c r="BC75" s="207">
        <f t="shared" si="109"/>
        <v>0</v>
      </c>
      <c r="BD75" s="51"/>
      <c r="BE75" s="172">
        <f t="shared" si="110"/>
        <v>0</v>
      </c>
      <c r="BF75" s="51">
        <f t="shared" si="112"/>
        <v>0</v>
      </c>
      <c r="BG75" s="51"/>
      <c r="BH75" s="51"/>
      <c r="BI75" s="51"/>
      <c r="BJ75" s="51"/>
      <c r="BK75" s="51">
        <v>0.83</v>
      </c>
      <c r="BL75" s="98">
        <v>0.66</v>
      </c>
      <c r="BM75">
        <f t="shared" si="113"/>
        <v>1.2575757575757573</v>
      </c>
      <c r="BN75">
        <f t="shared" si="114"/>
        <v>1.2575757575757573</v>
      </c>
      <c r="BO75" t="e">
        <f t="shared" si="115"/>
        <v>#DIV/0!</v>
      </c>
      <c r="BP75" t="e">
        <f t="shared" si="116"/>
        <v>#DIV/0!</v>
      </c>
      <c r="BQ75" s="22">
        <v>0.5</v>
      </c>
      <c r="BR75" s="51">
        <f>IF($AQ$84=$A68,IF(C68&gt;1,((C68-1)*$BM13*0.5)+$BM13,$BM13),$BM13*0.5*C68)</f>
        <v>0</v>
      </c>
      <c r="BS75" s="51">
        <f>IF(AND($AR$65=$A68,F50&lt;1),IF(F68&gt;1,((F68-1)*$BM13*0.5)+$BM13,$BM13),0.5*$BM13*F68)</f>
        <v>0</v>
      </c>
      <c r="BT75" s="51">
        <f>IF(AND($AS$65=$A68,I50&lt;1),IF(I68&gt;1,((I68-1)*$BM13*0.5)+$BM13,$BM13),0.5*$BM13*I68)</f>
        <v>0</v>
      </c>
      <c r="BU75" s="171"/>
      <c r="BV75" s="171"/>
      <c r="BW75" s="171"/>
      <c r="BX75" s="171"/>
      <c r="BY75" s="171"/>
      <c r="BZ75" s="171"/>
      <c r="CA75" s="171"/>
      <c r="CB75" s="171"/>
      <c r="CC75" s="171"/>
      <c r="CD75" s="286"/>
      <c r="CE75" s="51"/>
      <c r="CF75" s="51"/>
      <c r="CG75"/>
      <c r="CK75" s="22"/>
      <c r="CL75" s="83"/>
      <c r="CM75" s="679"/>
      <c r="CN75" s="680"/>
      <c r="CO75" s="83"/>
      <c r="CP75" s="83"/>
      <c r="CQ75" s="694"/>
      <c r="CR75" s="695"/>
      <c r="CS75" s="83"/>
      <c r="CT75" s="691"/>
      <c r="CU75" s="692"/>
      <c r="CV75" s="83"/>
      <c r="CW75" s="691"/>
      <c r="CX75" s="692"/>
      <c r="CY75" s="83"/>
      <c r="CZ75" s="691"/>
      <c r="DA75" s="692"/>
      <c r="DB75" s="83"/>
      <c r="DC75" s="689"/>
      <c r="DD75" s="690"/>
      <c r="DE75" s="83"/>
      <c r="DF75" s="691"/>
      <c r="DG75" s="692"/>
      <c r="DH75" s="83"/>
      <c r="DI75" s="691"/>
      <c r="DJ75" s="692"/>
      <c r="DP75" s="22"/>
      <c r="DQ75" s="171"/>
      <c r="DR75"/>
      <c r="DT75"/>
      <c r="DV75" s="22"/>
      <c r="DW75" s="83"/>
      <c r="DX75" s="679"/>
      <c r="DY75" s="680"/>
      <c r="DZ75" s="83"/>
      <c r="EA75" s="83"/>
      <c r="EB75" s="694"/>
      <c r="EC75" s="695"/>
      <c r="ED75" s="83"/>
      <c r="EE75" s="691"/>
      <c r="EF75" s="692"/>
      <c r="EG75" s="83"/>
      <c r="EH75" s="691"/>
      <c r="EI75" s="692"/>
      <c r="EJ75" s="83"/>
      <c r="EK75" s="691"/>
      <c r="EL75" s="692"/>
      <c r="EM75" s="83"/>
      <c r="EN75" s="689"/>
      <c r="EO75" s="690"/>
      <c r="EP75" s="83"/>
      <c r="EQ75" s="691"/>
      <c r="ER75" s="692"/>
      <c r="ES75" s="83"/>
      <c r="ET75" s="691"/>
      <c r="EU75" s="692"/>
      <c r="FA75" s="22"/>
      <c r="FB75" s="171"/>
      <c r="FI75" s="22"/>
      <c r="FJ75" s="171"/>
    </row>
    <row r="76" spans="1:166" ht="13.5" thickBot="1" x14ac:dyDescent="0.25">
      <c r="A76" s="22"/>
      <c r="B76" s="98">
        <v>0.76</v>
      </c>
      <c r="C76" s="691">
        <f>IF($C$1="Vazio",0,RELAÇÃO_DE_CARGA!C77:D77)</f>
        <v>0</v>
      </c>
      <c r="D76" s="692"/>
      <c r="E76" s="98">
        <v>0</v>
      </c>
      <c r="F76" s="691"/>
      <c r="G76" s="692"/>
      <c r="H76" s="98"/>
      <c r="I76" s="691"/>
      <c r="J76" s="692"/>
      <c r="K76" s="98"/>
      <c r="L76" s="691"/>
      <c r="M76" s="692"/>
      <c r="N76" s="98"/>
      <c r="O76" s="691"/>
      <c r="P76" s="692"/>
      <c r="Q76" s="98"/>
      <c r="R76" s="691"/>
      <c r="S76" s="692"/>
      <c r="T76" s="98"/>
      <c r="U76" s="691"/>
      <c r="V76" s="692"/>
      <c r="W76" s="98"/>
      <c r="X76" s="691"/>
      <c r="Y76" s="692"/>
      <c r="Z76" s="98"/>
      <c r="AA76" s="691"/>
      <c r="AB76" s="692"/>
      <c r="AC76" s="98"/>
      <c r="AD76" s="691"/>
      <c r="AE76" s="692"/>
      <c r="AF76" s="98"/>
      <c r="AG76" s="691"/>
      <c r="AH76" s="692"/>
      <c r="AI76" s="98"/>
      <c r="AJ76" s="691"/>
      <c r="AK76" s="692"/>
      <c r="AL76" s="35"/>
      <c r="AM76" s="35"/>
      <c r="AN76" s="35"/>
      <c r="AO76" s="35"/>
      <c r="AP76" s="35"/>
      <c r="AQ76" s="276">
        <f t="shared" si="111"/>
        <v>0</v>
      </c>
      <c r="AR76" s="276">
        <f t="shared" si="107"/>
        <v>0</v>
      </c>
      <c r="AS76" s="276">
        <f t="shared" si="108"/>
        <v>0</v>
      </c>
      <c r="AT76" s="276"/>
      <c r="AU76" s="276"/>
      <c r="AV76" s="276"/>
      <c r="AW76" s="276"/>
      <c r="AX76" s="276"/>
      <c r="AY76" s="276"/>
      <c r="AZ76" s="276"/>
      <c r="BA76" s="276"/>
      <c r="BB76" s="276"/>
      <c r="BC76" s="207">
        <f t="shared" si="109"/>
        <v>0</v>
      </c>
      <c r="BD76" s="51"/>
      <c r="BE76" s="172">
        <f t="shared" si="110"/>
        <v>0</v>
      </c>
      <c r="BF76" s="51">
        <f t="shared" si="112"/>
        <v>0</v>
      </c>
      <c r="BG76" s="51"/>
      <c r="BH76" s="51"/>
      <c r="BI76" s="51"/>
      <c r="BJ76" s="51"/>
      <c r="BK76" s="51">
        <v>1.05</v>
      </c>
      <c r="BL76" s="98">
        <v>0.69</v>
      </c>
      <c r="BM76">
        <f t="shared" si="113"/>
        <v>1.5217391304347827</v>
      </c>
      <c r="BN76">
        <f t="shared" si="114"/>
        <v>1.5217391304347827</v>
      </c>
      <c r="BO76" t="e">
        <f t="shared" si="115"/>
        <v>#DIV/0!</v>
      </c>
      <c r="BP76" t="e">
        <f t="shared" si="116"/>
        <v>#DIV/0!</v>
      </c>
      <c r="BQ76" s="22">
        <v>0.75</v>
      </c>
      <c r="BR76" s="51">
        <f t="shared" si="117"/>
        <v>0</v>
      </c>
      <c r="BS76" s="51">
        <f t="shared" si="118"/>
        <v>0</v>
      </c>
      <c r="BT76" s="51">
        <f t="shared" si="119"/>
        <v>0</v>
      </c>
      <c r="BU76" s="171"/>
      <c r="BV76" s="171"/>
      <c r="BW76" s="171"/>
      <c r="BX76" s="171"/>
      <c r="BY76" s="171"/>
      <c r="BZ76" s="171"/>
      <c r="CA76" s="171"/>
      <c r="CB76" s="171"/>
      <c r="CC76" s="171"/>
      <c r="CD76" s="286"/>
      <c r="CE76" s="51"/>
      <c r="CF76" s="51"/>
      <c r="CG76"/>
      <c r="CK76" s="22"/>
      <c r="CL76" s="83"/>
      <c r="CM76" s="679"/>
      <c r="CN76" s="680"/>
      <c r="CO76" s="83"/>
      <c r="CP76" s="83"/>
      <c r="CQ76" s="694"/>
      <c r="CR76" s="695"/>
      <c r="CS76" s="83"/>
      <c r="CT76" s="691"/>
      <c r="CU76" s="692"/>
      <c r="CV76" s="83"/>
      <c r="CW76" s="691"/>
      <c r="CX76" s="692"/>
      <c r="CY76" s="83"/>
      <c r="CZ76" s="691"/>
      <c r="DA76" s="692"/>
      <c r="DB76" s="83"/>
      <c r="DC76" s="689"/>
      <c r="DD76" s="690"/>
      <c r="DE76" s="83"/>
      <c r="DF76" s="691"/>
      <c r="DG76" s="692"/>
      <c r="DH76" s="83"/>
      <c r="DI76" s="691"/>
      <c r="DJ76" s="692"/>
      <c r="DP76" s="22"/>
      <c r="DQ76" s="171"/>
      <c r="DR76"/>
      <c r="DT76"/>
      <c r="DV76" s="22"/>
      <c r="DW76" s="83"/>
      <c r="DX76" s="679"/>
      <c r="DY76" s="680"/>
      <c r="DZ76" s="83"/>
      <c r="EA76" s="83"/>
      <c r="EB76" s="694"/>
      <c r="EC76" s="695"/>
      <c r="ED76" s="83"/>
      <c r="EE76" s="691"/>
      <c r="EF76" s="692"/>
      <c r="EG76" s="83"/>
      <c r="EH76" s="691"/>
      <c r="EI76" s="692"/>
      <c r="EJ76" s="83"/>
      <c r="EK76" s="691"/>
      <c r="EL76" s="692"/>
      <c r="EM76" s="83"/>
      <c r="EN76" s="689"/>
      <c r="EO76" s="690"/>
      <c r="EP76" s="83"/>
      <c r="EQ76" s="691"/>
      <c r="ER76" s="692"/>
      <c r="ES76" s="83"/>
      <c r="ET76" s="691"/>
      <c r="EU76" s="692"/>
      <c r="FA76" s="22"/>
      <c r="FB76" s="171"/>
      <c r="FI76" s="22"/>
      <c r="FJ76" s="171"/>
    </row>
    <row r="77" spans="1:166" ht="13.5" thickBot="1" x14ac:dyDescent="0.25">
      <c r="A77" s="22"/>
      <c r="B77" s="98">
        <v>0.76</v>
      </c>
      <c r="C77" s="691">
        <f>IF($C$1="Vazio",0,RELAÇÃO_DE_CARGA!C78:D78)</f>
        <v>0</v>
      </c>
      <c r="D77" s="692"/>
      <c r="E77" s="98">
        <f>RELAÇÃO_DE_CARGA!E77:G77</f>
        <v>0</v>
      </c>
      <c r="F77" s="691"/>
      <c r="G77" s="692"/>
      <c r="H77" s="98"/>
      <c r="I77" s="691"/>
      <c r="J77" s="692"/>
      <c r="K77" s="98"/>
      <c r="L77" s="691"/>
      <c r="M77" s="692"/>
      <c r="N77" s="98"/>
      <c r="O77" s="691"/>
      <c r="P77" s="692"/>
      <c r="Q77" s="98"/>
      <c r="R77" s="691"/>
      <c r="S77" s="692"/>
      <c r="T77" s="98"/>
      <c r="U77" s="691"/>
      <c r="V77" s="692"/>
      <c r="W77" s="98"/>
      <c r="X77" s="691"/>
      <c r="Y77" s="692"/>
      <c r="Z77" s="98"/>
      <c r="AA77" s="691"/>
      <c r="AB77" s="692"/>
      <c r="AC77" s="98"/>
      <c r="AD77" s="691"/>
      <c r="AE77" s="692"/>
      <c r="AF77" s="98"/>
      <c r="AG77" s="691"/>
      <c r="AH77" s="692"/>
      <c r="AI77" s="98"/>
      <c r="AJ77" s="691"/>
      <c r="AK77" s="692"/>
      <c r="AL77" s="35"/>
      <c r="AM77" s="35"/>
      <c r="AN77" s="35"/>
      <c r="AO77" s="35"/>
      <c r="AP77" s="35"/>
      <c r="AQ77" s="276">
        <f t="shared" si="111"/>
        <v>0</v>
      </c>
      <c r="AR77" s="276">
        <f t="shared" si="107"/>
        <v>0</v>
      </c>
      <c r="AS77" s="276">
        <f t="shared" si="108"/>
        <v>0</v>
      </c>
      <c r="AT77" s="276"/>
      <c r="AU77" s="276"/>
      <c r="AV77" s="276"/>
      <c r="AW77" s="276"/>
      <c r="AX77" s="276"/>
      <c r="AY77" s="276"/>
      <c r="AZ77" s="276"/>
      <c r="BA77" s="276"/>
      <c r="BB77" s="276"/>
      <c r="BC77" s="207">
        <f t="shared" si="109"/>
        <v>0</v>
      </c>
      <c r="BD77" s="51"/>
      <c r="BE77" s="172">
        <f t="shared" si="110"/>
        <v>0</v>
      </c>
      <c r="BF77" s="51">
        <f t="shared" si="112"/>
        <v>0</v>
      </c>
      <c r="BG77" s="51"/>
      <c r="BH77" s="51"/>
      <c r="BI77" s="51"/>
      <c r="BJ77" s="51"/>
      <c r="BK77" s="51">
        <v>1.54</v>
      </c>
      <c r="BL77" s="98">
        <v>0.75</v>
      </c>
      <c r="BM77">
        <f t="shared" si="113"/>
        <v>2.0533333333333332</v>
      </c>
      <c r="BN77">
        <f t="shared" si="114"/>
        <v>2.0533333333333332</v>
      </c>
      <c r="BO77" t="e">
        <f t="shared" si="115"/>
        <v>#DIV/0!</v>
      </c>
      <c r="BP77" t="e">
        <f t="shared" si="116"/>
        <v>#DIV/0!</v>
      </c>
      <c r="BQ77" s="22">
        <v>1</v>
      </c>
      <c r="BR77" s="51">
        <f t="shared" si="117"/>
        <v>0</v>
      </c>
      <c r="BS77" s="51">
        <f t="shared" si="118"/>
        <v>0</v>
      </c>
      <c r="BT77" s="51">
        <f t="shared" si="119"/>
        <v>0</v>
      </c>
      <c r="BU77" s="171"/>
      <c r="BV77" s="171"/>
      <c r="BW77" s="171"/>
      <c r="BX77" s="171"/>
      <c r="BY77" s="171"/>
      <c r="BZ77" s="171"/>
      <c r="CA77" s="171"/>
      <c r="CB77" s="171"/>
      <c r="CC77" s="171"/>
      <c r="CD77" s="286"/>
      <c r="CE77" s="51"/>
      <c r="CF77" s="51"/>
      <c r="CG77"/>
      <c r="CK77" s="22"/>
      <c r="CL77" s="83"/>
      <c r="CM77" s="679"/>
      <c r="CN77" s="680"/>
      <c r="CO77" s="83"/>
      <c r="CP77" s="83"/>
      <c r="CQ77" s="694"/>
      <c r="CR77" s="695"/>
      <c r="CS77" s="83"/>
      <c r="CT77" s="691"/>
      <c r="CU77" s="692"/>
      <c r="CV77" s="83"/>
      <c r="CW77" s="691"/>
      <c r="CX77" s="692"/>
      <c r="CY77" s="83"/>
      <c r="CZ77" s="691"/>
      <c r="DA77" s="692"/>
      <c r="DB77" s="83"/>
      <c r="DC77" s="689"/>
      <c r="DD77" s="690"/>
      <c r="DE77" s="83"/>
      <c r="DF77" s="691"/>
      <c r="DG77" s="692"/>
      <c r="DH77" s="83"/>
      <c r="DI77" s="691"/>
      <c r="DJ77" s="692"/>
      <c r="DP77" s="22"/>
      <c r="DQ77" s="171"/>
      <c r="DR77"/>
      <c r="DT77"/>
      <c r="DV77" s="22"/>
      <c r="DW77" s="83"/>
      <c r="DX77" s="679"/>
      <c r="DY77" s="680"/>
      <c r="DZ77" s="83"/>
      <c r="EA77" s="83"/>
      <c r="EB77" s="694"/>
      <c r="EC77" s="695"/>
      <c r="ED77" s="83"/>
      <c r="EE77" s="691"/>
      <c r="EF77" s="692"/>
      <c r="EG77" s="83"/>
      <c r="EH77" s="691"/>
      <c r="EI77" s="692"/>
      <c r="EJ77" s="83"/>
      <c r="EK77" s="691"/>
      <c r="EL77" s="692"/>
      <c r="EM77" s="83"/>
      <c r="EN77" s="689"/>
      <c r="EO77" s="690"/>
      <c r="EP77" s="83"/>
      <c r="EQ77" s="691"/>
      <c r="ER77" s="692"/>
      <c r="ES77" s="83"/>
      <c r="ET77" s="691"/>
      <c r="EU77" s="692"/>
      <c r="FA77" s="22"/>
      <c r="FB77" s="171"/>
      <c r="FI77" s="22"/>
      <c r="FJ77" s="171"/>
    </row>
    <row r="78" spans="1:166" ht="13.5" thickBot="1" x14ac:dyDescent="0.25">
      <c r="A78" s="22"/>
      <c r="B78" s="98">
        <v>0.77</v>
      </c>
      <c r="C78" s="691">
        <f>IF($C$1="Vazio",0,RELAÇÃO_DE_CARGA!C79:D79)</f>
        <v>0</v>
      </c>
      <c r="D78" s="692"/>
      <c r="E78" s="98">
        <f>RELAÇÃO_DE_CARGA!E78:G78</f>
        <v>0</v>
      </c>
      <c r="F78" s="691"/>
      <c r="G78" s="692"/>
      <c r="H78" s="98"/>
      <c r="I78" s="691"/>
      <c r="J78" s="692"/>
      <c r="K78" s="98"/>
      <c r="L78" s="691"/>
      <c r="M78" s="692"/>
      <c r="N78" s="98"/>
      <c r="O78" s="691"/>
      <c r="P78" s="692"/>
      <c r="Q78" s="98"/>
      <c r="R78" s="691"/>
      <c r="S78" s="692"/>
      <c r="T78" s="98"/>
      <c r="U78" s="691"/>
      <c r="V78" s="692"/>
      <c r="W78" s="98"/>
      <c r="X78" s="691"/>
      <c r="Y78" s="692"/>
      <c r="Z78" s="98"/>
      <c r="AA78" s="691"/>
      <c r="AB78" s="692"/>
      <c r="AC78" s="98"/>
      <c r="AD78" s="691"/>
      <c r="AE78" s="692"/>
      <c r="AF78" s="98"/>
      <c r="AG78" s="691"/>
      <c r="AH78" s="692"/>
      <c r="AI78" s="98"/>
      <c r="AJ78" s="691"/>
      <c r="AK78" s="692"/>
      <c r="AL78" s="35"/>
      <c r="AM78" s="35"/>
      <c r="AN78" s="35"/>
      <c r="AO78" s="35"/>
      <c r="AP78" s="35"/>
      <c r="AQ78" s="276">
        <f t="shared" si="111"/>
        <v>0</v>
      </c>
      <c r="AR78" s="276">
        <f t="shared" si="107"/>
        <v>0</v>
      </c>
      <c r="AS78" s="276">
        <f t="shared" si="108"/>
        <v>0</v>
      </c>
      <c r="AT78" s="276"/>
      <c r="AU78" s="276"/>
      <c r="AV78" s="276"/>
      <c r="AW78" s="276"/>
      <c r="AX78" s="276"/>
      <c r="AY78" s="276"/>
      <c r="AZ78" s="276"/>
      <c r="BA78" s="276"/>
      <c r="BB78" s="276"/>
      <c r="BC78" s="207">
        <f t="shared" si="109"/>
        <v>0</v>
      </c>
      <c r="BD78" s="51"/>
      <c r="BE78" s="172">
        <f t="shared" si="110"/>
        <v>0</v>
      </c>
      <c r="BF78" s="51">
        <f t="shared" si="112"/>
        <v>0</v>
      </c>
      <c r="BG78" s="51"/>
      <c r="BH78" s="51"/>
      <c r="BI78" s="51"/>
      <c r="BJ78" s="51"/>
      <c r="BK78" s="51">
        <v>1.95</v>
      </c>
      <c r="BL78" s="98">
        <v>0.72</v>
      </c>
      <c r="BM78">
        <f t="shared" si="113"/>
        <v>2.7083333333333335</v>
      </c>
      <c r="BN78">
        <f t="shared" si="114"/>
        <v>2.7083333333333335</v>
      </c>
      <c r="BO78" t="e">
        <f t="shared" si="115"/>
        <v>#DIV/0!</v>
      </c>
      <c r="BP78" t="e">
        <f t="shared" si="116"/>
        <v>#DIV/0!</v>
      </c>
      <c r="BQ78" s="22">
        <v>1.5</v>
      </c>
      <c r="BR78" s="51">
        <f t="shared" si="117"/>
        <v>0</v>
      </c>
      <c r="BS78" s="51">
        <f t="shared" si="118"/>
        <v>0</v>
      </c>
      <c r="BT78" s="51">
        <f t="shared" si="119"/>
        <v>0</v>
      </c>
      <c r="BU78" s="171"/>
      <c r="BV78" s="171"/>
      <c r="BW78" s="171"/>
      <c r="BX78" s="171"/>
      <c r="BY78" s="171"/>
      <c r="BZ78" s="171"/>
      <c r="CA78" s="171"/>
      <c r="CB78" s="171"/>
      <c r="CC78" s="171"/>
      <c r="CD78" s="286"/>
      <c r="CE78" s="51"/>
      <c r="CF78" s="51"/>
      <c r="CG78"/>
      <c r="CK78" s="23"/>
      <c r="CL78" s="83"/>
      <c r="CM78" s="689"/>
      <c r="CN78" s="690"/>
      <c r="CO78" s="83"/>
      <c r="CP78" s="83"/>
      <c r="CQ78" s="691"/>
      <c r="CR78" s="692"/>
      <c r="CS78" s="83"/>
      <c r="CT78" s="691"/>
      <c r="CU78" s="692"/>
      <c r="CV78" s="83"/>
      <c r="CW78" s="691"/>
      <c r="CX78" s="692"/>
      <c r="CY78" s="83"/>
      <c r="CZ78" s="691"/>
      <c r="DA78" s="692"/>
      <c r="DB78" s="83"/>
      <c r="DC78" s="689"/>
      <c r="DD78" s="690"/>
      <c r="DE78" s="83"/>
      <c r="DF78" s="691"/>
      <c r="DG78" s="692"/>
      <c r="DH78" s="83"/>
      <c r="DI78" s="691"/>
      <c r="DJ78" s="692"/>
      <c r="DP78" s="22"/>
      <c r="DQ78" s="171"/>
      <c r="DR78"/>
      <c r="DT78"/>
      <c r="DV78" s="23"/>
      <c r="DW78" s="83"/>
      <c r="DX78" s="689"/>
      <c r="DY78" s="690"/>
      <c r="DZ78" s="83"/>
      <c r="EA78" s="83"/>
      <c r="EB78" s="691"/>
      <c r="EC78" s="692"/>
      <c r="ED78" s="83"/>
      <c r="EE78" s="691"/>
      <c r="EF78" s="692"/>
      <c r="EG78" s="83"/>
      <c r="EH78" s="691"/>
      <c r="EI78" s="692"/>
      <c r="EJ78" s="83"/>
      <c r="EK78" s="691"/>
      <c r="EL78" s="692"/>
      <c r="EM78" s="83"/>
      <c r="EN78" s="689"/>
      <c r="EO78" s="690"/>
      <c r="EP78" s="83"/>
      <c r="EQ78" s="691"/>
      <c r="ER78" s="692"/>
      <c r="ES78" s="83"/>
      <c r="ET78" s="691"/>
      <c r="EU78" s="692"/>
      <c r="FA78" s="22"/>
      <c r="FB78" s="171"/>
      <c r="FI78" s="23"/>
      <c r="FJ78" s="171"/>
    </row>
    <row r="79" spans="1:166" ht="13.5" thickBot="1" x14ac:dyDescent="0.25">
      <c r="A79" s="22"/>
      <c r="B79" s="98">
        <v>0.77</v>
      </c>
      <c r="C79" s="691">
        <f>IF($C$1="Vazio",0,RELAÇÃO_DE_CARGA!C80:D80)</f>
        <v>0</v>
      </c>
      <c r="D79" s="692"/>
      <c r="E79" s="98">
        <f>RELAÇÃO_DE_CARGA!E79:G79</f>
        <v>0</v>
      </c>
      <c r="F79" s="691"/>
      <c r="G79" s="692"/>
      <c r="H79" s="98"/>
      <c r="I79" s="691"/>
      <c r="J79" s="692"/>
      <c r="K79" s="98"/>
      <c r="L79" s="691"/>
      <c r="M79" s="692"/>
      <c r="N79" s="98"/>
      <c r="O79" s="691"/>
      <c r="P79" s="692"/>
      <c r="Q79" s="98"/>
      <c r="R79" s="691"/>
      <c r="S79" s="692"/>
      <c r="T79" s="98"/>
      <c r="U79" s="691"/>
      <c r="V79" s="692"/>
      <c r="W79" s="98"/>
      <c r="X79" s="691"/>
      <c r="Y79" s="692"/>
      <c r="Z79" s="98"/>
      <c r="AA79" s="691"/>
      <c r="AB79" s="692"/>
      <c r="AC79" s="98"/>
      <c r="AD79" s="691"/>
      <c r="AE79" s="692"/>
      <c r="AF79" s="98"/>
      <c r="AG79" s="691"/>
      <c r="AH79" s="692"/>
      <c r="AI79" s="98"/>
      <c r="AJ79" s="691"/>
      <c r="AK79" s="692"/>
      <c r="AL79" s="35"/>
      <c r="AM79" s="35"/>
      <c r="AN79" s="35"/>
      <c r="AO79" s="35"/>
      <c r="AP79" s="35"/>
      <c r="AQ79" s="276">
        <f t="shared" si="111"/>
        <v>0</v>
      </c>
      <c r="AR79" s="276">
        <f t="shared" si="107"/>
        <v>0</v>
      </c>
      <c r="AS79" s="276">
        <f t="shared" si="108"/>
        <v>0</v>
      </c>
      <c r="AT79" s="276"/>
      <c r="AU79" s="276"/>
      <c r="AV79" s="276"/>
      <c r="AW79" s="276"/>
      <c r="AX79" s="276"/>
      <c r="AY79" s="276"/>
      <c r="AZ79" s="276"/>
      <c r="BA79" s="276"/>
      <c r="BB79" s="276"/>
      <c r="BC79" s="207">
        <f t="shared" si="109"/>
        <v>0</v>
      </c>
      <c r="BD79" s="51"/>
      <c r="BE79" s="172">
        <f t="shared" si="110"/>
        <v>0</v>
      </c>
      <c r="BF79" s="51">
        <f t="shared" si="112"/>
        <v>0</v>
      </c>
      <c r="BG79" s="51"/>
      <c r="BH79" s="51"/>
      <c r="BI79" s="51"/>
      <c r="BJ79" s="51"/>
      <c r="BK79" s="51">
        <v>2.95</v>
      </c>
      <c r="BL79" s="98">
        <v>0.73</v>
      </c>
      <c r="BM79">
        <f t="shared" si="113"/>
        <v>4.0410958904109595</v>
      </c>
      <c r="BN79">
        <f t="shared" si="114"/>
        <v>4.0410958904109595</v>
      </c>
      <c r="BO79" t="e">
        <f t="shared" si="115"/>
        <v>#DIV/0!</v>
      </c>
      <c r="BP79" t="e">
        <f t="shared" si="116"/>
        <v>#DIV/0!</v>
      </c>
      <c r="BQ79" s="22">
        <v>2</v>
      </c>
      <c r="BR79" s="51">
        <f t="shared" si="117"/>
        <v>0</v>
      </c>
      <c r="BS79" s="51">
        <f t="shared" si="118"/>
        <v>0</v>
      </c>
      <c r="BT79" s="51">
        <f t="shared" si="119"/>
        <v>0</v>
      </c>
      <c r="BU79" s="171"/>
      <c r="BV79" s="171"/>
      <c r="BW79" s="171"/>
      <c r="BX79" s="171"/>
      <c r="BY79" s="171"/>
      <c r="BZ79" s="171"/>
      <c r="CA79" s="171"/>
      <c r="CB79" s="171"/>
      <c r="CC79" s="171"/>
      <c r="CD79" s="286"/>
      <c r="CE79" s="51"/>
      <c r="CF79" s="51"/>
      <c r="CG79"/>
      <c r="DT79"/>
      <c r="DV79" s="25"/>
      <c r="DW79" s="87"/>
      <c r="DX79" s="170"/>
      <c r="DY79" s="170"/>
      <c r="DZ79" s="92"/>
      <c r="EA79" s="33"/>
      <c r="EB79" s="33"/>
      <c r="EC79" s="87"/>
      <c r="ED79" s="35"/>
      <c r="EE79" s="35"/>
      <c r="EF79" s="87"/>
      <c r="EG79" s="35"/>
      <c r="EH79" s="35"/>
      <c r="EI79" s="87"/>
      <c r="EJ79" s="35"/>
      <c r="EK79" s="35"/>
      <c r="EL79" s="87"/>
      <c r="EM79" s="35"/>
      <c r="EN79" s="35"/>
      <c r="EO79" s="87"/>
      <c r="EP79" s="35"/>
      <c r="EQ79" s="35"/>
      <c r="ER79" s="87"/>
      <c r="ES79" s="35"/>
      <c r="ET79" s="35"/>
      <c r="EU79" s="87"/>
      <c r="EV79" s="170"/>
      <c r="EW79" s="170"/>
      <c r="EX79" s="87"/>
      <c r="EY79" s="35"/>
      <c r="EZ79" s="35"/>
      <c r="FA79" s="92"/>
      <c r="FB79" s="33"/>
      <c r="FC79" s="33"/>
      <c r="FF79" s="279"/>
      <c r="FG79" s="83"/>
      <c r="FH79" s="689"/>
      <c r="FI79" s="690"/>
      <c r="FJ79" s="83"/>
    </row>
    <row r="80" spans="1:166" ht="13.5" thickBot="1" x14ac:dyDescent="0.25">
      <c r="A80" s="22"/>
      <c r="B80" s="98">
        <v>0.77</v>
      </c>
      <c r="C80" s="691">
        <f>IF($C$1="Vazio",0,RELAÇÃO_DE_CARGA!C81:D81)</f>
        <v>0</v>
      </c>
      <c r="D80" s="692"/>
      <c r="E80" s="98">
        <f>RELAÇÃO_DE_CARGA!E80:G80</f>
        <v>0</v>
      </c>
      <c r="F80" s="691"/>
      <c r="G80" s="692"/>
      <c r="H80" s="98"/>
      <c r="I80" s="691"/>
      <c r="J80" s="692"/>
      <c r="K80" s="98"/>
      <c r="L80" s="691"/>
      <c r="M80" s="692"/>
      <c r="N80" s="98"/>
      <c r="O80" s="691"/>
      <c r="P80" s="692"/>
      <c r="Q80" s="98"/>
      <c r="R80" s="691"/>
      <c r="S80" s="692"/>
      <c r="T80" s="98"/>
      <c r="U80" s="691"/>
      <c r="V80" s="692"/>
      <c r="W80" s="98"/>
      <c r="X80" s="691"/>
      <c r="Y80" s="692"/>
      <c r="Z80" s="98"/>
      <c r="AA80" s="691"/>
      <c r="AB80" s="692"/>
      <c r="AC80" s="98"/>
      <c r="AD80" s="691"/>
      <c r="AE80" s="692"/>
      <c r="AF80" s="98"/>
      <c r="AG80" s="691"/>
      <c r="AH80" s="692"/>
      <c r="AI80" s="98"/>
      <c r="AJ80" s="691"/>
      <c r="AK80" s="692"/>
      <c r="AL80" s="35"/>
      <c r="AM80" s="35"/>
      <c r="AN80" s="35"/>
      <c r="AO80" s="35"/>
      <c r="AP80" s="35"/>
      <c r="AQ80" s="276">
        <f t="shared" si="111"/>
        <v>0</v>
      </c>
      <c r="AR80" s="276">
        <f t="shared" si="107"/>
        <v>0</v>
      </c>
      <c r="AS80" s="276">
        <f t="shared" si="108"/>
        <v>0</v>
      </c>
      <c r="AT80" s="276"/>
      <c r="AU80" s="276"/>
      <c r="AV80" s="276"/>
      <c r="AW80" s="276"/>
      <c r="AX80" s="276"/>
      <c r="AY80" s="276"/>
      <c r="AZ80" s="276"/>
      <c r="BA80" s="276"/>
      <c r="BB80" s="276"/>
      <c r="BC80" s="207">
        <f t="shared" si="109"/>
        <v>0</v>
      </c>
      <c r="BD80" s="51"/>
      <c r="BE80" s="172">
        <f t="shared" si="110"/>
        <v>0</v>
      </c>
      <c r="BF80" s="51">
        <f>BK80*C13</f>
        <v>0</v>
      </c>
      <c r="BG80" s="51"/>
      <c r="BH80" s="51"/>
      <c r="BI80" s="51"/>
      <c r="BJ80" s="51"/>
      <c r="BK80" s="51">
        <v>3.72</v>
      </c>
      <c r="BL80" s="98">
        <v>0.13</v>
      </c>
      <c r="BM80">
        <f>IF(B13&lt;BL80,BK80/B13,BK80/BL80)</f>
        <v>28.615384615384617</v>
      </c>
      <c r="BN80">
        <f>IF(E13&lt;BL80,BK80/E13,BK80/BL80)</f>
        <v>28.615384615384617</v>
      </c>
      <c r="BO80">
        <f>IF(H13&lt;BL80,BK80/H13,BK80/BL80)</f>
        <v>28.615384615384617</v>
      </c>
      <c r="BP80">
        <f>IF(K13&lt;BL80,BK80/K13,BK80/BL80)</f>
        <v>28.615384615384617</v>
      </c>
      <c r="BQ80" s="22">
        <v>3</v>
      </c>
      <c r="BR80" s="51">
        <f t="shared" si="117"/>
        <v>0</v>
      </c>
      <c r="BS80" s="51">
        <f t="shared" si="118"/>
        <v>0</v>
      </c>
      <c r="BT80" s="51">
        <f t="shared" si="119"/>
        <v>0</v>
      </c>
      <c r="BU80" s="171"/>
      <c r="BV80" s="171"/>
      <c r="BW80" s="171"/>
      <c r="BX80" s="171"/>
      <c r="BY80" s="171"/>
      <c r="BZ80" s="171"/>
      <c r="CA80" s="171"/>
      <c r="CB80" s="171"/>
      <c r="CC80" s="171"/>
      <c r="CD80" s="286"/>
      <c r="CE80" s="51"/>
      <c r="CF80" s="51"/>
      <c r="CG80"/>
      <c r="DT80"/>
      <c r="DV80" s="21"/>
      <c r="DW80" s="85"/>
      <c r="DX80" s="503"/>
      <c r="DY80" s="504"/>
      <c r="DZ80" s="504"/>
      <c r="EA80" s="504"/>
      <c r="EB80" s="504"/>
      <c r="EC80" s="504"/>
      <c r="ED80" s="504"/>
      <c r="EE80" s="504"/>
      <c r="EF80" s="504"/>
      <c r="EG80" s="504"/>
      <c r="EH80" s="504"/>
      <c r="EI80" s="504"/>
      <c r="EJ80" s="504"/>
      <c r="EK80" s="504"/>
      <c r="EL80" s="504"/>
      <c r="EM80" s="504"/>
      <c r="EN80" s="504"/>
      <c r="EO80" s="504"/>
      <c r="EP80" s="504"/>
      <c r="EQ80" s="504"/>
      <c r="ER80" s="504"/>
      <c r="ES80" s="504"/>
      <c r="ET80" s="504"/>
      <c r="EU80" s="504"/>
      <c r="EV80" s="504"/>
      <c r="EW80" s="504"/>
      <c r="EX80" s="504"/>
      <c r="EY80" s="504"/>
      <c r="EZ80" s="504"/>
      <c r="FA80" s="504"/>
      <c r="FB80" s="504"/>
      <c r="FC80" s="504"/>
      <c r="FF80" s="293"/>
      <c r="FG80" s="293"/>
      <c r="FH80" s="293"/>
      <c r="FI80" s="171"/>
      <c r="FJ80" s="171"/>
    </row>
    <row r="81" spans="1:219" ht="13.5" thickBot="1" x14ac:dyDescent="0.25">
      <c r="A81" s="22"/>
      <c r="B81" s="98">
        <v>0.77</v>
      </c>
      <c r="C81" s="691">
        <f>IF($C$1="Vazio",0,RELAÇÃO_DE_CARGA!C82:D82)</f>
        <v>0</v>
      </c>
      <c r="D81" s="692"/>
      <c r="E81" s="98">
        <f>RELAÇÃO_DE_CARGA!E81:G81</f>
        <v>0</v>
      </c>
      <c r="F81" s="691"/>
      <c r="G81" s="692"/>
      <c r="H81" s="98"/>
      <c r="I81" s="691"/>
      <c r="J81" s="692"/>
      <c r="K81" s="98"/>
      <c r="L81" s="691"/>
      <c r="M81" s="692"/>
      <c r="N81" s="98"/>
      <c r="O81" s="691"/>
      <c r="P81" s="692"/>
      <c r="Q81" s="98"/>
      <c r="R81" s="691"/>
      <c r="S81" s="692"/>
      <c r="T81" s="98"/>
      <c r="U81" s="691"/>
      <c r="V81" s="692"/>
      <c r="W81" s="98"/>
      <c r="X81" s="691"/>
      <c r="Y81" s="692"/>
      <c r="Z81" s="98"/>
      <c r="AA81" s="691"/>
      <c r="AB81" s="692"/>
      <c r="AC81" s="98"/>
      <c r="AD81" s="691"/>
      <c r="AE81" s="692"/>
      <c r="AF81" s="98"/>
      <c r="AG81" s="691"/>
      <c r="AH81" s="692"/>
      <c r="AI81" s="98"/>
      <c r="AJ81" s="691"/>
      <c r="AK81" s="692"/>
      <c r="AL81" s="35"/>
      <c r="AM81" s="35"/>
      <c r="AN81" s="35"/>
      <c r="AO81" s="35"/>
      <c r="AP81" s="35"/>
      <c r="AQ81" s="276">
        <f t="shared" si="111"/>
        <v>0</v>
      </c>
      <c r="AR81" s="276">
        <f t="shared" si="107"/>
        <v>0</v>
      </c>
      <c r="AS81" s="276">
        <f t="shared" si="108"/>
        <v>0</v>
      </c>
      <c r="AT81" s="276"/>
      <c r="AU81" s="276"/>
      <c r="AV81" s="276"/>
      <c r="AW81" s="276"/>
      <c r="AX81" s="276"/>
      <c r="AY81" s="276"/>
      <c r="AZ81" s="276"/>
      <c r="BA81" s="276"/>
      <c r="BB81" s="276"/>
      <c r="BC81" s="207">
        <f t="shared" si="109"/>
        <v>0</v>
      </c>
      <c r="BD81" s="51"/>
      <c r="BE81" s="172">
        <f t="shared" si="110"/>
        <v>0</v>
      </c>
      <c r="BF81" s="51">
        <f t="shared" si="112"/>
        <v>0</v>
      </c>
      <c r="BG81" s="51"/>
      <c r="BH81" s="51"/>
      <c r="BI81" s="51"/>
      <c r="BJ81" s="51"/>
      <c r="BK81" s="51">
        <v>4.51</v>
      </c>
      <c r="BL81" s="98">
        <v>0.75</v>
      </c>
      <c r="BM81">
        <f>IF(B75&lt;BL81,BK81/B75,BK81/BL81)</f>
        <v>6.0133333333333328</v>
      </c>
      <c r="BN81" t="e">
        <f t="shared" si="114"/>
        <v>#DIV/0!</v>
      </c>
      <c r="BO81" t="e">
        <f t="shared" si="115"/>
        <v>#DIV/0!</v>
      </c>
      <c r="BP81" t="e">
        <f t="shared" si="116"/>
        <v>#DIV/0!</v>
      </c>
      <c r="BQ81" s="22">
        <v>4</v>
      </c>
      <c r="BR81" s="51">
        <f>IF($AQ$84=$A13,IF(C13&gt;1,((C13-1)*$BM80*0.5)+$BM80,$BM80),$BM80*0.5*C13)</f>
        <v>0</v>
      </c>
      <c r="BS81" s="51">
        <f>IF(AND($AR$65=$A13,F56&lt;1),IF(F13&gt;1,((F13-1)*$BM80*0.5)+$BM80,$BM80),0.5*$BM80*F13)</f>
        <v>0</v>
      </c>
      <c r="BT81" s="51">
        <f>IF(AND($AS$65=$A13,I56&lt;1),IF(I13&gt;1,((I13-1)*$BM80*0.5)+$BM80,$BM80),0.5*$BM80*I13)</f>
        <v>0</v>
      </c>
      <c r="BU81" s="171"/>
      <c r="BV81" s="171"/>
      <c r="BW81" s="171"/>
      <c r="BX81" s="171"/>
      <c r="BY81" s="171"/>
      <c r="BZ81" s="171"/>
      <c r="CA81" s="171"/>
      <c r="CB81" s="171"/>
      <c r="CC81" s="171"/>
      <c r="CD81" s="286"/>
      <c r="CE81" s="51"/>
      <c r="CF81" s="51"/>
      <c r="CG81"/>
      <c r="DT81"/>
      <c r="DV81" s="22"/>
      <c r="DW81" s="83"/>
      <c r="DX81" s="679"/>
      <c r="DY81" s="680"/>
      <c r="DZ81" s="83"/>
      <c r="EA81" s="694"/>
      <c r="EB81" s="695"/>
      <c r="EC81" s="83"/>
      <c r="ED81" s="694"/>
      <c r="EE81" s="695"/>
      <c r="EF81" s="83"/>
      <c r="EG81" s="694"/>
      <c r="EH81" s="695"/>
      <c r="EI81" s="83"/>
      <c r="EJ81" s="694"/>
      <c r="EK81" s="695"/>
      <c r="EL81" s="83"/>
      <c r="EM81" s="694"/>
      <c r="EN81" s="695"/>
      <c r="EO81" s="83"/>
      <c r="EP81" s="694"/>
      <c r="EQ81" s="695"/>
      <c r="ER81" s="83"/>
      <c r="ES81" s="694"/>
      <c r="ET81" s="695"/>
      <c r="EU81" s="83"/>
      <c r="EV81" s="679"/>
      <c r="EW81" s="680"/>
      <c r="EX81" s="83"/>
      <c r="EY81" s="694"/>
      <c r="EZ81" s="695"/>
      <c r="FA81" s="83"/>
      <c r="FB81" s="694"/>
      <c r="FC81" s="695"/>
      <c r="FI81" s="171"/>
      <c r="FJ81" s="171"/>
    </row>
    <row r="82" spans="1:219" ht="13.5" thickBot="1" x14ac:dyDescent="0.25">
      <c r="A82" s="22"/>
      <c r="B82" s="98">
        <v>0.81</v>
      </c>
      <c r="C82" s="691">
        <f>IF($C$1="Vazio",0,RELAÇÃO_DE_CARGA!C83:D83)</f>
        <v>0</v>
      </c>
      <c r="D82" s="692"/>
      <c r="E82" s="98">
        <f>RELAÇÃO_DE_CARGA!E82:G82</f>
        <v>0</v>
      </c>
      <c r="F82" s="691"/>
      <c r="G82" s="692"/>
      <c r="H82" s="98"/>
      <c r="I82" s="691"/>
      <c r="J82" s="692"/>
      <c r="K82" s="98"/>
      <c r="L82" s="691"/>
      <c r="M82" s="692"/>
      <c r="N82" s="98"/>
      <c r="O82" s="691"/>
      <c r="P82" s="692"/>
      <c r="Q82" s="98"/>
      <c r="R82" s="691"/>
      <c r="S82" s="692"/>
      <c r="T82" s="98"/>
      <c r="U82" s="691"/>
      <c r="V82" s="692"/>
      <c r="W82" s="98"/>
      <c r="X82" s="691"/>
      <c r="Y82" s="692"/>
      <c r="Z82" s="98"/>
      <c r="AA82" s="691"/>
      <c r="AB82" s="692"/>
      <c r="AC82" s="98"/>
      <c r="AD82" s="691"/>
      <c r="AE82" s="692"/>
      <c r="AF82" s="98"/>
      <c r="AG82" s="691"/>
      <c r="AH82" s="692"/>
      <c r="AI82" s="98"/>
      <c r="AJ82" s="691"/>
      <c r="AK82" s="692"/>
      <c r="AL82" s="35"/>
      <c r="AM82" s="35"/>
      <c r="AN82" s="35"/>
      <c r="AO82" s="35"/>
      <c r="AP82" s="35"/>
      <c r="AQ82" s="276">
        <f t="shared" si="111"/>
        <v>0</v>
      </c>
      <c r="AR82" s="276">
        <f t="shared" si="107"/>
        <v>0</v>
      </c>
      <c r="AS82" s="276">
        <f t="shared" si="108"/>
        <v>0</v>
      </c>
      <c r="AT82" s="276"/>
      <c r="AU82" s="276"/>
      <c r="AV82" s="276"/>
      <c r="AW82" s="276"/>
      <c r="AX82" s="276"/>
      <c r="AY82" s="276"/>
      <c r="AZ82" s="276"/>
      <c r="BA82" s="276"/>
      <c r="BB82" s="276"/>
      <c r="BC82" s="207">
        <f t="shared" si="109"/>
        <v>0</v>
      </c>
      <c r="BD82" s="51"/>
      <c r="BE82" s="172">
        <f t="shared" si="110"/>
        <v>0</v>
      </c>
      <c r="BF82" s="51">
        <f t="shared" si="112"/>
        <v>0</v>
      </c>
      <c r="BG82" s="51"/>
      <c r="BH82" s="51"/>
      <c r="BI82" s="51"/>
      <c r="BJ82" s="51"/>
      <c r="BK82" s="51">
        <v>5.53</v>
      </c>
      <c r="BL82" s="98">
        <v>0.76</v>
      </c>
      <c r="BM82">
        <f t="shared" si="113"/>
        <v>7.2763157894736841</v>
      </c>
      <c r="BN82" t="e">
        <f t="shared" si="114"/>
        <v>#DIV/0!</v>
      </c>
      <c r="BO82" t="e">
        <f t="shared" si="115"/>
        <v>#DIV/0!</v>
      </c>
      <c r="BP82" t="e">
        <f t="shared" si="116"/>
        <v>#DIV/0!</v>
      </c>
      <c r="BQ82" s="22">
        <v>5</v>
      </c>
      <c r="BR82" s="51">
        <f t="shared" si="117"/>
        <v>6.0133333333333328</v>
      </c>
      <c r="BS82" s="51">
        <f t="shared" si="118"/>
        <v>6.0133333333333328</v>
      </c>
      <c r="BT82" s="51">
        <f t="shared" si="119"/>
        <v>6.0133333333333328</v>
      </c>
      <c r="BU82" s="171"/>
      <c r="BV82" s="171"/>
      <c r="BW82" s="171"/>
      <c r="BX82" s="171"/>
      <c r="BY82" s="171"/>
      <c r="BZ82" s="171"/>
      <c r="CA82" s="171"/>
      <c r="CB82" s="171"/>
      <c r="CC82" s="171"/>
      <c r="CD82" s="286"/>
      <c r="CE82" s="51"/>
      <c r="CF82" s="51"/>
      <c r="CG82"/>
      <c r="DT82"/>
      <c r="DV82" s="22"/>
      <c r="DW82" s="83"/>
      <c r="DX82" s="679"/>
      <c r="DY82" s="680"/>
      <c r="DZ82" s="83"/>
      <c r="EA82" s="694"/>
      <c r="EB82" s="695"/>
      <c r="EC82" s="83"/>
      <c r="ED82" s="694"/>
      <c r="EE82" s="695"/>
      <c r="EF82" s="83"/>
      <c r="EG82" s="694"/>
      <c r="EH82" s="695"/>
      <c r="EI82" s="83"/>
      <c r="EJ82" s="694"/>
      <c r="EK82" s="695"/>
      <c r="EL82" s="83"/>
      <c r="EM82" s="694"/>
      <c r="EN82" s="695"/>
      <c r="EO82" s="83"/>
      <c r="EP82" s="694"/>
      <c r="EQ82" s="695"/>
      <c r="ER82" s="83"/>
      <c r="ES82" s="694"/>
      <c r="ET82" s="695"/>
      <c r="EU82" s="83"/>
      <c r="EV82" s="679"/>
      <c r="EW82" s="680"/>
      <c r="EX82" s="83"/>
      <c r="EY82" s="694"/>
      <c r="EZ82" s="695"/>
      <c r="FA82" s="83"/>
      <c r="FB82" s="694"/>
      <c r="FC82" s="695"/>
      <c r="FI82" s="171"/>
      <c r="FJ82" s="171"/>
    </row>
    <row r="83" spans="1:219" ht="13.5" thickBot="1" x14ac:dyDescent="0.25">
      <c r="A83" s="23"/>
      <c r="B83" s="98">
        <v>0.82</v>
      </c>
      <c r="C83" s="691">
        <f>IF($C$1="Vazio",0,RELAÇÃO_DE_CARGA!C84:D84)</f>
        <v>0</v>
      </c>
      <c r="D83" s="692"/>
      <c r="E83" s="98">
        <f>RELAÇÃO_DE_CARGA!E83:G83</f>
        <v>0</v>
      </c>
      <c r="F83" s="691"/>
      <c r="G83" s="692"/>
      <c r="H83" s="98"/>
      <c r="I83" s="691"/>
      <c r="J83" s="692"/>
      <c r="K83" s="98"/>
      <c r="L83" s="691"/>
      <c r="M83" s="692"/>
      <c r="N83" s="98"/>
      <c r="O83" s="691"/>
      <c r="P83" s="692"/>
      <c r="Q83" s="98"/>
      <c r="R83" s="691"/>
      <c r="S83" s="692"/>
      <c r="T83" s="98"/>
      <c r="U83" s="691"/>
      <c r="V83" s="692"/>
      <c r="W83" s="98"/>
      <c r="X83" s="691"/>
      <c r="Y83" s="692"/>
      <c r="Z83" s="98"/>
      <c r="AA83" s="691"/>
      <c r="AB83" s="692"/>
      <c r="AC83" s="98"/>
      <c r="AD83" s="691"/>
      <c r="AE83" s="692"/>
      <c r="AF83" s="98"/>
      <c r="AG83" s="691"/>
      <c r="AH83" s="692"/>
      <c r="AI83" s="98"/>
      <c r="AJ83" s="691"/>
      <c r="AK83" s="692"/>
      <c r="AL83" s="35"/>
      <c r="AM83" s="35"/>
      <c r="AN83" s="35"/>
      <c r="AO83" s="35"/>
      <c r="AP83" s="35"/>
      <c r="AQ83" s="276">
        <f t="shared" si="111"/>
        <v>0</v>
      </c>
      <c r="AR83" s="276">
        <f t="shared" si="107"/>
        <v>0</v>
      </c>
      <c r="AS83" s="276">
        <f t="shared" si="108"/>
        <v>0</v>
      </c>
      <c r="AT83" s="276"/>
      <c r="AU83" s="276"/>
      <c r="AV83" s="276"/>
      <c r="AW83" s="276"/>
      <c r="AX83" s="276"/>
      <c r="AY83" s="276"/>
      <c r="AZ83" s="276"/>
      <c r="BA83" s="276"/>
      <c r="BB83" s="276"/>
      <c r="BC83" s="207">
        <f t="shared" si="109"/>
        <v>0</v>
      </c>
      <c r="BD83" s="51"/>
      <c r="BE83" s="172">
        <f>F83+L83</f>
        <v>0</v>
      </c>
      <c r="BF83" s="51">
        <f t="shared" si="112"/>
        <v>0</v>
      </c>
      <c r="BG83" s="51"/>
      <c r="BH83" s="51"/>
      <c r="BI83" s="51"/>
      <c r="BJ83" s="51"/>
      <c r="BK83" s="51">
        <v>6.57</v>
      </c>
      <c r="BL83" s="98">
        <v>0.76</v>
      </c>
      <c r="BM83">
        <f t="shared" si="113"/>
        <v>8.6447368421052637</v>
      </c>
      <c r="BN83" t="e">
        <f t="shared" si="114"/>
        <v>#DIV/0!</v>
      </c>
      <c r="BO83" t="e">
        <f t="shared" si="115"/>
        <v>#DIV/0!</v>
      </c>
      <c r="BP83" t="e">
        <f t="shared" si="116"/>
        <v>#DIV/0!</v>
      </c>
      <c r="BQ83" s="22">
        <v>7</v>
      </c>
      <c r="BR83" s="51">
        <f t="shared" si="117"/>
        <v>7.2763157894736841</v>
      </c>
      <c r="BS83" s="51">
        <f t="shared" si="118"/>
        <v>7.2763157894736841</v>
      </c>
      <c r="BT83" s="51">
        <f t="shared" si="119"/>
        <v>7.2763157894736841</v>
      </c>
      <c r="BU83" s="171"/>
      <c r="BV83" s="171"/>
      <c r="BW83" s="171"/>
      <c r="BX83" s="171"/>
      <c r="BY83" s="171"/>
      <c r="BZ83" s="171"/>
      <c r="CA83" s="171"/>
      <c r="CB83" s="171"/>
      <c r="CC83" s="171"/>
      <c r="CD83" s="286"/>
      <c r="CE83" s="51"/>
      <c r="CF83" s="51"/>
      <c r="CG83"/>
      <c r="DT83"/>
      <c r="DV83" s="22"/>
      <c r="DW83" s="83"/>
      <c r="DX83" s="679"/>
      <c r="DY83" s="680"/>
      <c r="DZ83" s="83"/>
      <c r="EA83" s="694"/>
      <c r="EB83" s="695"/>
      <c r="EC83" s="83"/>
      <c r="ED83" s="694"/>
      <c r="EE83" s="695"/>
      <c r="EF83" s="83"/>
      <c r="EG83" s="694"/>
      <c r="EH83" s="695"/>
      <c r="EI83" s="83"/>
      <c r="EJ83" s="694"/>
      <c r="EK83" s="695"/>
      <c r="EL83" s="83"/>
      <c r="EM83" s="694"/>
      <c r="EN83" s="695"/>
      <c r="EO83" s="83"/>
      <c r="EP83" s="694"/>
      <c r="EQ83" s="695"/>
      <c r="ER83" s="83"/>
      <c r="ES83" s="694"/>
      <c r="ET83" s="695"/>
      <c r="EU83" s="83"/>
      <c r="EV83" s="679"/>
      <c r="EW83" s="680"/>
      <c r="EX83" s="83"/>
      <c r="EY83" s="694"/>
      <c r="EZ83" s="695"/>
      <c r="FA83" s="83"/>
      <c r="FB83" s="694"/>
      <c r="FC83" s="695"/>
      <c r="FI83" s="171"/>
      <c r="FJ83" s="171"/>
    </row>
    <row r="84" spans="1:219" ht="13.5" thickBot="1" x14ac:dyDescent="0.25">
      <c r="A84" s="25"/>
      <c r="B84" s="87"/>
      <c r="C84" s="35">
        <f>SUM(C67:D83,C33:D49)</f>
        <v>0</v>
      </c>
      <c r="D84" s="35"/>
      <c r="E84" s="92"/>
      <c r="F84" s="35">
        <f>SUM(F67:G83,F33:G49)</f>
        <v>0</v>
      </c>
      <c r="G84" s="33"/>
      <c r="H84" s="87"/>
      <c r="I84" s="35">
        <f>SUM(I67:J83,I33:J49)</f>
        <v>0</v>
      </c>
      <c r="J84" s="35"/>
      <c r="K84" s="92"/>
      <c r="L84" s="35">
        <f>SUM(L67:M83,L33:M49)</f>
        <v>0</v>
      </c>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277">
        <f>LARGE(AQ67:AQ82,1)</f>
        <v>0</v>
      </c>
      <c r="AR84" s="277">
        <f>LARGE(AR67:AR82,1)</f>
        <v>0</v>
      </c>
      <c r="AS84" s="277">
        <f>LARGE(AS67:AS82,1)</f>
        <v>0</v>
      </c>
      <c r="AT84" s="277"/>
      <c r="AU84" s="277"/>
      <c r="AV84" s="277"/>
      <c r="AW84" s="277"/>
      <c r="AX84" s="277"/>
      <c r="AY84" s="277"/>
      <c r="AZ84" s="277"/>
      <c r="BA84" s="277"/>
      <c r="BB84" s="277"/>
      <c r="BC84" s="128"/>
      <c r="BD84" s="51"/>
      <c r="BE84" s="51"/>
      <c r="BF84" s="51">
        <f t="shared" si="112"/>
        <v>0</v>
      </c>
      <c r="BG84" s="51"/>
      <c r="BH84" s="51"/>
      <c r="BI84" s="51"/>
      <c r="BJ84" s="51"/>
      <c r="BK84" s="51">
        <v>8.89</v>
      </c>
      <c r="BL84" s="98">
        <v>0.77</v>
      </c>
      <c r="BM84">
        <f t="shared" si="113"/>
        <v>11.545454545454547</v>
      </c>
      <c r="BN84" t="e">
        <f t="shared" si="114"/>
        <v>#DIV/0!</v>
      </c>
      <c r="BO84" t="e">
        <f t="shared" si="115"/>
        <v>#DIV/0!</v>
      </c>
      <c r="BP84" t="e">
        <f t="shared" si="116"/>
        <v>#DIV/0!</v>
      </c>
      <c r="BQ84" s="22">
        <v>7.5</v>
      </c>
      <c r="BR84" s="51">
        <f t="shared" si="117"/>
        <v>8.6447368421052637</v>
      </c>
      <c r="BS84" s="51">
        <f t="shared" si="118"/>
        <v>8.6447368421052637</v>
      </c>
      <c r="BT84" s="51">
        <f t="shared" si="119"/>
        <v>8.6447368421052637</v>
      </c>
      <c r="BU84" s="171"/>
      <c r="BV84" s="171"/>
      <c r="BW84" s="171"/>
      <c r="BX84" s="171"/>
      <c r="BY84" s="171"/>
      <c r="BZ84" s="171"/>
      <c r="CA84" s="171"/>
      <c r="CB84" s="171"/>
      <c r="CC84" s="171"/>
      <c r="CD84" s="286"/>
      <c r="CE84" s="51"/>
      <c r="CF84" s="51"/>
      <c r="CG84"/>
      <c r="DT84"/>
      <c r="DV84" s="22"/>
      <c r="DW84" s="83"/>
      <c r="DX84" s="679"/>
      <c r="DY84" s="680"/>
      <c r="DZ84" s="83"/>
      <c r="EA84" s="694"/>
      <c r="EB84" s="695"/>
      <c r="EC84" s="83"/>
      <c r="ED84" s="694"/>
      <c r="EE84" s="695"/>
      <c r="EF84" s="83"/>
      <c r="EG84" s="694"/>
      <c r="EH84" s="695"/>
      <c r="EI84" s="83"/>
      <c r="EJ84" s="694"/>
      <c r="EK84" s="695"/>
      <c r="EL84" s="83"/>
      <c r="EM84" s="694"/>
      <c r="EN84" s="695"/>
      <c r="EO84" s="83"/>
      <c r="EP84" s="694"/>
      <c r="EQ84" s="695"/>
      <c r="ER84" s="83"/>
      <c r="ES84" s="694"/>
      <c r="ET84" s="695"/>
      <c r="EU84" s="83"/>
      <c r="EV84" s="679"/>
      <c r="EW84" s="680"/>
      <c r="EX84" s="83"/>
      <c r="EY84" s="694"/>
      <c r="EZ84" s="695"/>
      <c r="FA84" s="83"/>
      <c r="FB84" s="694"/>
      <c r="FC84" s="695"/>
      <c r="FI84" s="171"/>
      <c r="FJ84" s="171"/>
    </row>
    <row r="85" spans="1:219" ht="13.5" thickBot="1" x14ac:dyDescent="0.25">
      <c r="A85" s="21"/>
      <c r="B85" s="85"/>
      <c r="C85" s="503"/>
      <c r="D85" s="504"/>
      <c r="E85" s="504"/>
      <c r="F85" s="504"/>
      <c r="G85" s="504"/>
      <c r="H85" s="504"/>
      <c r="I85" s="504"/>
      <c r="J85" s="504"/>
      <c r="K85" s="504"/>
      <c r="L85" s="504"/>
      <c r="M85" s="50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51"/>
      <c r="AR85" s="51"/>
      <c r="AS85" s="51"/>
      <c r="AT85" s="51"/>
      <c r="AU85" s="51"/>
      <c r="AV85" s="51"/>
      <c r="AW85" s="51"/>
      <c r="AX85" s="51"/>
      <c r="AY85" s="51"/>
      <c r="AZ85" s="51"/>
      <c r="BA85" s="51"/>
      <c r="BB85" s="51"/>
      <c r="BC85" s="51"/>
      <c r="BD85" s="51"/>
      <c r="BE85" s="51"/>
      <c r="BF85" s="51">
        <f t="shared" si="112"/>
        <v>0</v>
      </c>
      <c r="BG85" s="51"/>
      <c r="BH85" s="51"/>
      <c r="BI85" s="51"/>
      <c r="BJ85" s="51"/>
      <c r="BK85" s="51">
        <v>10.85</v>
      </c>
      <c r="BL85" s="98">
        <v>0.77</v>
      </c>
      <c r="BM85">
        <f t="shared" si="113"/>
        <v>14.09090909090909</v>
      </c>
      <c r="BN85" t="e">
        <f t="shared" si="114"/>
        <v>#DIV/0!</v>
      </c>
      <c r="BO85" t="e">
        <f t="shared" si="115"/>
        <v>#DIV/0!</v>
      </c>
      <c r="BP85" t="e">
        <f t="shared" si="116"/>
        <v>#DIV/0!</v>
      </c>
      <c r="BQ85" s="22">
        <v>10</v>
      </c>
      <c r="BR85" s="51">
        <f t="shared" si="117"/>
        <v>11.545454545454547</v>
      </c>
      <c r="BS85" s="51">
        <f t="shared" si="118"/>
        <v>11.545454545454547</v>
      </c>
      <c r="BT85" s="51">
        <f t="shared" si="119"/>
        <v>11.545454545454547</v>
      </c>
      <c r="BU85" s="171"/>
      <c r="BV85" s="171"/>
      <c r="BW85" s="171"/>
      <c r="BX85" s="171"/>
      <c r="BY85" s="171"/>
      <c r="BZ85" s="171"/>
      <c r="CA85" s="171"/>
      <c r="CB85" s="171"/>
      <c r="CC85" s="171"/>
      <c r="CD85" s="286"/>
      <c r="CE85" s="51"/>
      <c r="CF85" s="51"/>
      <c r="CG85"/>
      <c r="DT85"/>
      <c r="DV85" s="22"/>
      <c r="DW85" s="83"/>
      <c r="DX85" s="679"/>
      <c r="DY85" s="680"/>
      <c r="DZ85" s="83"/>
      <c r="EA85" s="694"/>
      <c r="EB85" s="695"/>
      <c r="EC85" s="83"/>
      <c r="ED85" s="694"/>
      <c r="EE85" s="695"/>
      <c r="EF85" s="83"/>
      <c r="EG85" s="694"/>
      <c r="EH85" s="695"/>
      <c r="EI85" s="83"/>
      <c r="EJ85" s="694"/>
      <c r="EK85" s="695"/>
      <c r="EL85" s="83"/>
      <c r="EM85" s="694"/>
      <c r="EN85" s="695"/>
      <c r="EO85" s="83"/>
      <c r="EP85" s="694"/>
      <c r="EQ85" s="695"/>
      <c r="ER85" s="83"/>
      <c r="ES85" s="694"/>
      <c r="ET85" s="695"/>
      <c r="EU85" s="83"/>
      <c r="EV85" s="679"/>
      <c r="EW85" s="680"/>
      <c r="EX85" s="83"/>
      <c r="EY85" s="694"/>
      <c r="EZ85" s="695"/>
      <c r="FA85" s="83"/>
      <c r="FB85" s="694"/>
      <c r="FC85" s="695"/>
      <c r="FI85" s="171"/>
      <c r="FJ85" s="171"/>
    </row>
    <row r="86" spans="1:219" ht="13.5" thickBot="1" x14ac:dyDescent="0.25">
      <c r="A86" s="22"/>
      <c r="B86" s="83"/>
      <c r="C86" s="691"/>
      <c r="D86" s="692"/>
      <c r="E86" s="83"/>
      <c r="F86" s="691"/>
      <c r="G86" s="692"/>
      <c r="H86" s="83"/>
      <c r="I86" s="691"/>
      <c r="J86" s="692"/>
      <c r="K86" s="83"/>
      <c r="L86" s="691"/>
      <c r="M86" s="692"/>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51"/>
      <c r="AR86" s="51"/>
      <c r="AS86" s="51"/>
      <c r="AT86" s="51"/>
      <c r="AU86" s="51"/>
      <c r="AV86" s="51"/>
      <c r="AW86" s="51"/>
      <c r="AX86" s="51"/>
      <c r="AY86" s="51"/>
      <c r="AZ86" s="51"/>
      <c r="BA86" s="51"/>
      <c r="BB86" s="51"/>
      <c r="BC86" s="51"/>
      <c r="BD86" s="51"/>
      <c r="BE86" s="51"/>
      <c r="BF86" s="51">
        <f t="shared" si="112"/>
        <v>0</v>
      </c>
      <c r="BG86" s="51"/>
      <c r="BH86" s="51"/>
      <c r="BI86" s="51"/>
      <c r="BJ86" s="51"/>
      <c r="BK86" s="51">
        <v>12.82</v>
      </c>
      <c r="BL86" s="98">
        <v>0.77</v>
      </c>
      <c r="BM86">
        <f t="shared" si="113"/>
        <v>16.649350649350648</v>
      </c>
      <c r="BN86" t="e">
        <f t="shared" si="114"/>
        <v>#DIV/0!</v>
      </c>
      <c r="BO86" t="e">
        <f t="shared" si="115"/>
        <v>#DIV/0!</v>
      </c>
      <c r="BP86" t="e">
        <f t="shared" si="116"/>
        <v>#DIV/0!</v>
      </c>
      <c r="BQ86" s="22">
        <v>12.5</v>
      </c>
      <c r="BR86" s="51">
        <f t="shared" si="117"/>
        <v>14.09090909090909</v>
      </c>
      <c r="BS86" s="51">
        <f t="shared" si="118"/>
        <v>14.09090909090909</v>
      </c>
      <c r="BT86" s="51">
        <f t="shared" si="119"/>
        <v>14.09090909090909</v>
      </c>
      <c r="BU86" s="171"/>
      <c r="BV86" s="171"/>
      <c r="BW86" s="171"/>
      <c r="BX86" s="171"/>
      <c r="BY86" s="171"/>
      <c r="BZ86" s="171"/>
      <c r="CA86" s="171"/>
      <c r="CB86" s="171"/>
      <c r="CC86" s="171"/>
      <c r="CD86" s="286"/>
      <c r="CE86" s="51"/>
      <c r="CF86" s="51"/>
      <c r="CG86"/>
      <c r="DT86"/>
      <c r="DV86" s="22"/>
      <c r="DW86" s="83"/>
      <c r="DX86" s="679"/>
      <c r="DY86" s="680"/>
      <c r="DZ86" s="83"/>
      <c r="EA86" s="694"/>
      <c r="EB86" s="695"/>
      <c r="EC86" s="83"/>
      <c r="ED86" s="694"/>
      <c r="EE86" s="695"/>
      <c r="EF86" s="83"/>
      <c r="EG86" s="694"/>
      <c r="EH86" s="695"/>
      <c r="EI86" s="83"/>
      <c r="EJ86" s="694"/>
      <c r="EK86" s="695"/>
      <c r="EL86" s="83"/>
      <c r="EM86" s="694"/>
      <c r="EN86" s="695"/>
      <c r="EO86" s="83"/>
      <c r="EP86" s="694"/>
      <c r="EQ86" s="695"/>
      <c r="ER86" s="83"/>
      <c r="ES86" s="694"/>
      <c r="ET86" s="695"/>
      <c r="EU86" s="83"/>
      <c r="EV86" s="679"/>
      <c r="EW86" s="680"/>
      <c r="EX86" s="83"/>
      <c r="EY86" s="694"/>
      <c r="EZ86" s="695"/>
      <c r="FA86" s="83"/>
      <c r="FB86" s="694"/>
      <c r="FC86" s="695"/>
      <c r="FI86" s="171"/>
      <c r="FJ86" s="171"/>
    </row>
    <row r="87" spans="1:219" ht="13.5" thickBot="1" x14ac:dyDescent="0.25">
      <c r="A87" s="22"/>
      <c r="B87" s="83"/>
      <c r="C87" s="691"/>
      <c r="D87" s="692"/>
      <c r="E87" s="83"/>
      <c r="F87" s="691"/>
      <c r="G87" s="692"/>
      <c r="H87" s="83"/>
      <c r="I87" s="691"/>
      <c r="J87" s="692"/>
      <c r="K87" s="83"/>
      <c r="L87" s="691"/>
      <c r="M87" s="692"/>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51"/>
      <c r="AR87" s="51"/>
      <c r="AS87" s="51"/>
      <c r="AT87" s="51"/>
      <c r="AU87" s="51"/>
      <c r="AV87" s="51"/>
      <c r="AW87" s="51"/>
      <c r="AX87" s="51"/>
      <c r="AY87" s="51"/>
      <c r="AZ87" s="51"/>
      <c r="BA87" s="51"/>
      <c r="BB87" s="51"/>
      <c r="BC87" s="51"/>
      <c r="BD87" s="51"/>
      <c r="BE87" s="51"/>
      <c r="BF87" s="51">
        <f t="shared" si="112"/>
        <v>0</v>
      </c>
      <c r="BG87" s="51"/>
      <c r="BH87" s="51"/>
      <c r="BI87" s="51"/>
      <c r="BJ87" s="51"/>
      <c r="BK87" s="51">
        <v>17.010000000000002</v>
      </c>
      <c r="BL87" s="98">
        <v>0.77</v>
      </c>
      <c r="BM87">
        <f t="shared" si="113"/>
        <v>22.090909090909093</v>
      </c>
      <c r="BN87" t="e">
        <f t="shared" si="114"/>
        <v>#DIV/0!</v>
      </c>
      <c r="BO87" t="e">
        <f t="shared" si="115"/>
        <v>#DIV/0!</v>
      </c>
      <c r="BP87" t="e">
        <f t="shared" si="116"/>
        <v>#DIV/0!</v>
      </c>
      <c r="BQ87" s="22">
        <v>15</v>
      </c>
      <c r="BR87" s="51">
        <f t="shared" si="117"/>
        <v>16.649350649350648</v>
      </c>
      <c r="BS87" s="51">
        <f t="shared" si="118"/>
        <v>16.649350649350648</v>
      </c>
      <c r="BT87" s="51">
        <f t="shared" si="119"/>
        <v>16.649350649350648</v>
      </c>
      <c r="BU87" s="171"/>
      <c r="BV87" s="171"/>
      <c r="BW87" s="171"/>
      <c r="BX87" s="171"/>
      <c r="BY87" s="171"/>
      <c r="BZ87" s="171"/>
      <c r="CA87" s="171"/>
      <c r="CB87" s="171"/>
      <c r="CC87" s="171"/>
      <c r="CD87" s="286"/>
      <c r="CE87" s="51"/>
      <c r="CF87" s="51"/>
      <c r="CG87"/>
      <c r="DT87"/>
      <c r="DV87" s="22"/>
      <c r="DW87" s="83"/>
      <c r="DX87" s="679"/>
      <c r="DY87" s="680"/>
      <c r="DZ87" s="83"/>
      <c r="EA87" s="694"/>
      <c r="EB87" s="695"/>
      <c r="EC87" s="83"/>
      <c r="ED87" s="694"/>
      <c r="EE87" s="695"/>
      <c r="EF87" s="83"/>
      <c r="EG87" s="694"/>
      <c r="EH87" s="695"/>
      <c r="EI87" s="83"/>
      <c r="EJ87" s="694"/>
      <c r="EK87" s="695"/>
      <c r="EL87" s="83"/>
      <c r="EM87" s="694"/>
      <c r="EN87" s="695"/>
      <c r="EO87" s="83"/>
      <c r="EP87" s="694"/>
      <c r="EQ87" s="695"/>
      <c r="ER87" s="83"/>
      <c r="ES87" s="694"/>
      <c r="ET87" s="695"/>
      <c r="EU87" s="83"/>
      <c r="EV87" s="679"/>
      <c r="EW87" s="680"/>
      <c r="EX87" s="83"/>
      <c r="EY87" s="694"/>
      <c r="EZ87" s="695"/>
      <c r="FA87" s="83"/>
      <c r="FB87" s="694"/>
      <c r="FC87" s="695"/>
    </row>
    <row r="88" spans="1:219" ht="13.5" thickBot="1" x14ac:dyDescent="0.25">
      <c r="A88" s="22"/>
      <c r="B88" s="83"/>
      <c r="C88" s="691"/>
      <c r="D88" s="692"/>
      <c r="E88" s="83"/>
      <c r="F88" s="691"/>
      <c r="G88" s="692"/>
      <c r="H88" s="83"/>
      <c r="I88" s="691"/>
      <c r="J88" s="692"/>
      <c r="K88" s="83"/>
      <c r="L88" s="691"/>
      <c r="M88" s="692"/>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51"/>
      <c r="AR88" s="51"/>
      <c r="AS88" s="51"/>
      <c r="AT88" s="51"/>
      <c r="AU88" s="51"/>
      <c r="AV88" s="51"/>
      <c r="AW88" s="51"/>
      <c r="AX88" s="51"/>
      <c r="AY88" s="51"/>
      <c r="AZ88" s="51"/>
      <c r="BA88" s="51"/>
      <c r="BB88" s="51"/>
      <c r="BC88" s="51"/>
      <c r="BD88" s="51"/>
      <c r="BE88" s="51"/>
      <c r="BF88" s="51">
        <f t="shared" si="112"/>
        <v>0</v>
      </c>
      <c r="BG88" s="51"/>
      <c r="BH88" s="51"/>
      <c r="BI88" s="51"/>
      <c r="BJ88" s="51"/>
      <c r="BK88" s="51">
        <v>20.92</v>
      </c>
      <c r="BL88" s="98">
        <v>0.81</v>
      </c>
      <c r="BM88">
        <f t="shared" si="113"/>
        <v>25.827160493827162</v>
      </c>
      <c r="BN88" t="e">
        <f t="shared" si="114"/>
        <v>#DIV/0!</v>
      </c>
      <c r="BO88" t="e">
        <f t="shared" si="115"/>
        <v>#DIV/0!</v>
      </c>
      <c r="BP88" t="e">
        <f t="shared" si="116"/>
        <v>#DIV/0!</v>
      </c>
      <c r="BQ88" s="22">
        <v>20</v>
      </c>
      <c r="BR88" s="51">
        <f t="shared" si="117"/>
        <v>22.090909090909093</v>
      </c>
      <c r="BS88" s="51">
        <f t="shared" si="118"/>
        <v>22.090909090909093</v>
      </c>
      <c r="BT88" s="51">
        <f t="shared" si="119"/>
        <v>22.090909090909093</v>
      </c>
      <c r="BU88" s="171"/>
      <c r="BV88" s="171"/>
      <c r="BW88" s="171"/>
      <c r="BX88" s="171"/>
      <c r="BY88" s="171"/>
      <c r="BZ88" s="171"/>
      <c r="CA88" s="171"/>
      <c r="CB88" s="171"/>
      <c r="CC88" s="171"/>
      <c r="CD88" s="286"/>
      <c r="CE88" s="51"/>
      <c r="CF88" s="51"/>
      <c r="CG88"/>
      <c r="DT88"/>
      <c r="DV88" s="22"/>
      <c r="DW88" s="83"/>
      <c r="DX88" s="679"/>
      <c r="DY88" s="680"/>
      <c r="DZ88" s="83"/>
      <c r="EA88" s="694"/>
      <c r="EB88" s="695"/>
      <c r="EC88" s="83"/>
      <c r="ED88" s="694"/>
      <c r="EE88" s="695"/>
      <c r="EF88" s="83"/>
      <c r="EG88" s="694"/>
      <c r="EH88" s="695"/>
      <c r="EI88" s="83"/>
      <c r="EJ88" s="694"/>
      <c r="EK88" s="695"/>
      <c r="EL88" s="83"/>
      <c r="EM88" s="694"/>
      <c r="EN88" s="695"/>
      <c r="EO88" s="83"/>
      <c r="EP88" s="694"/>
      <c r="EQ88" s="695"/>
      <c r="ER88" s="83"/>
      <c r="ES88" s="694"/>
      <c r="ET88" s="695"/>
      <c r="EU88" s="83"/>
      <c r="EV88" s="679"/>
      <c r="EW88" s="680"/>
      <c r="EX88" s="83"/>
      <c r="EY88" s="694"/>
      <c r="EZ88" s="695"/>
      <c r="FA88" s="83"/>
      <c r="FB88" s="694"/>
      <c r="FC88" s="695"/>
    </row>
    <row r="89" spans="1:219" ht="13.5" thickBot="1" x14ac:dyDescent="0.25">
      <c r="A89" s="22"/>
      <c r="B89" s="83"/>
      <c r="C89" s="691"/>
      <c r="D89" s="692"/>
      <c r="E89" s="83"/>
      <c r="F89" s="691"/>
      <c r="G89" s="692"/>
      <c r="H89" s="83"/>
      <c r="I89" s="691"/>
      <c r="J89" s="692"/>
      <c r="K89" s="83"/>
      <c r="L89" s="691"/>
      <c r="M89" s="692"/>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51"/>
      <c r="AR89" s="51"/>
      <c r="AS89" s="51"/>
      <c r="AT89" s="51"/>
      <c r="AU89" s="51"/>
      <c r="AV89" s="51"/>
      <c r="AW89" s="51"/>
      <c r="AX89" s="51"/>
      <c r="AY89" s="51"/>
      <c r="AZ89" s="51"/>
      <c r="BA89" s="51"/>
      <c r="BB89" s="51"/>
      <c r="BC89" s="51"/>
      <c r="BD89" s="51"/>
      <c r="BE89" s="51"/>
      <c r="BF89" s="51">
        <f t="shared" si="112"/>
        <v>0</v>
      </c>
      <c r="BG89" s="51"/>
      <c r="BH89" s="51"/>
      <c r="BI89" s="51"/>
      <c r="BJ89" s="51"/>
      <c r="BK89" s="51">
        <v>25.03</v>
      </c>
      <c r="BL89" s="98">
        <v>0.82</v>
      </c>
      <c r="BM89">
        <f t="shared" si="113"/>
        <v>30.524390243902442</v>
      </c>
      <c r="BN89" t="e">
        <f t="shared" si="114"/>
        <v>#DIV/0!</v>
      </c>
      <c r="BO89" t="e">
        <f t="shared" si="115"/>
        <v>#DIV/0!</v>
      </c>
      <c r="BP89" t="e">
        <f t="shared" si="116"/>
        <v>#DIV/0!</v>
      </c>
      <c r="BQ89" s="22">
        <v>25</v>
      </c>
      <c r="BR89" s="51">
        <f t="shared" si="117"/>
        <v>25.827160493827162</v>
      </c>
      <c r="BS89" s="51">
        <f t="shared" si="118"/>
        <v>25.827160493827162</v>
      </c>
      <c r="BT89" s="51">
        <f t="shared" si="119"/>
        <v>25.827160493827162</v>
      </c>
      <c r="BU89" s="51"/>
      <c r="BV89" s="51"/>
      <c r="BW89" s="51"/>
      <c r="BX89" s="51"/>
      <c r="BY89" s="51"/>
      <c r="BZ89" s="171"/>
      <c r="CA89" s="171"/>
      <c r="CB89" s="171"/>
      <c r="CC89" s="171"/>
      <c r="CD89" s="286"/>
      <c r="CE89" s="51"/>
      <c r="CF89" s="51"/>
      <c r="CG89"/>
      <c r="DT89"/>
      <c r="DV89" s="22"/>
      <c r="DW89" s="83"/>
      <c r="DX89" s="689"/>
      <c r="DY89" s="690"/>
      <c r="DZ89" s="83"/>
      <c r="EA89" s="691"/>
      <c r="EB89" s="692"/>
      <c r="EC89" s="83"/>
      <c r="ED89" s="691"/>
      <c r="EE89" s="692"/>
      <c r="EF89" s="83"/>
      <c r="EG89" s="691"/>
      <c r="EH89" s="692"/>
      <c r="EI89" s="83"/>
      <c r="EJ89" s="694"/>
      <c r="EK89" s="695"/>
      <c r="EL89" s="83"/>
      <c r="EM89" s="694"/>
      <c r="EN89" s="695"/>
      <c r="EO89" s="83"/>
      <c r="EP89" s="694"/>
      <c r="EQ89" s="695"/>
      <c r="ER89" s="83"/>
      <c r="ES89" s="694"/>
      <c r="ET89" s="695"/>
      <c r="EU89" s="83"/>
      <c r="EV89" s="679"/>
      <c r="EW89" s="680"/>
      <c r="EX89" s="83"/>
      <c r="EY89" s="694"/>
      <c r="EZ89" s="695"/>
      <c r="FA89" s="83"/>
      <c r="FB89" s="694"/>
      <c r="FC89" s="695"/>
    </row>
    <row r="90" spans="1:219" ht="13.5" thickBot="1" x14ac:dyDescent="0.25">
      <c r="A90" s="22"/>
      <c r="B90" s="83"/>
      <c r="C90" s="691"/>
      <c r="D90" s="692"/>
      <c r="E90" s="83"/>
      <c r="F90" s="691"/>
      <c r="G90" s="692"/>
      <c r="H90" s="83"/>
      <c r="I90" s="691"/>
      <c r="J90" s="692"/>
      <c r="K90" s="83"/>
      <c r="L90" s="691"/>
      <c r="M90" s="692"/>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51"/>
      <c r="AR90" s="51"/>
      <c r="AS90" s="51"/>
      <c r="AT90" s="51"/>
      <c r="AU90" s="51"/>
      <c r="AV90" s="51"/>
      <c r="AW90" s="51"/>
      <c r="AX90" s="51"/>
      <c r="AY90" s="51"/>
      <c r="AZ90" s="51"/>
      <c r="BA90" s="51"/>
      <c r="BB90" s="51"/>
      <c r="BC90" s="51"/>
      <c r="BD90" s="51"/>
      <c r="BE90" s="51"/>
      <c r="BF90" s="51"/>
      <c r="BG90" s="51"/>
      <c r="BH90" s="51"/>
      <c r="BI90" s="51"/>
      <c r="BJ90" s="51"/>
      <c r="BL90" s="98"/>
      <c r="BM90" s="20" t="s">
        <v>106</v>
      </c>
      <c r="BN90" s="20" t="s">
        <v>107</v>
      </c>
      <c r="BO90" s="72" t="s">
        <v>108</v>
      </c>
      <c r="BP90" s="72" t="s">
        <v>109</v>
      </c>
      <c r="BQ90" s="23">
        <v>30</v>
      </c>
      <c r="BR90" s="51">
        <f>IF(AND($AQ$84=$A83,C83&gt;1),((C83-1)*$BM89*0.5)+$BM89,C83*$BM89)</f>
        <v>0</v>
      </c>
      <c r="BS90" s="51">
        <f t="shared" si="118"/>
        <v>30.524390243902442</v>
      </c>
      <c r="BT90" s="51">
        <f t="shared" si="119"/>
        <v>30.524390243902442</v>
      </c>
      <c r="BU90" s="51"/>
      <c r="BV90" s="51"/>
      <c r="BW90" s="51"/>
      <c r="BX90" s="51"/>
      <c r="BY90" s="51"/>
      <c r="BZ90" s="171"/>
      <c r="CA90" s="171"/>
      <c r="CB90" s="171"/>
      <c r="CC90" s="171"/>
      <c r="CD90" s="286"/>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289"/>
      <c r="DQ90" s="289"/>
      <c r="DR90" s="289"/>
      <c r="DS90" s="289"/>
      <c r="DT90" s="171"/>
      <c r="DU90" s="171"/>
      <c r="DV90" s="51"/>
      <c r="DW90" s="51"/>
      <c r="DX90" s="51"/>
      <c r="DY90"/>
      <c r="EB90"/>
      <c r="EF90" s="51"/>
      <c r="EH90" s="22"/>
      <c r="EI90" s="83"/>
      <c r="EJ90" s="679"/>
      <c r="EK90" s="680"/>
      <c r="EL90" s="83"/>
      <c r="EM90" s="694"/>
      <c r="EN90" s="695"/>
      <c r="EO90" s="83"/>
      <c r="EP90" s="694"/>
      <c r="EQ90" s="695"/>
      <c r="ER90" s="83"/>
      <c r="ES90" s="694"/>
      <c r="ET90" s="695"/>
      <c r="EU90" s="83"/>
      <c r="EV90" s="694"/>
      <c r="EW90" s="695"/>
      <c r="EX90" s="83"/>
      <c r="EY90" s="694"/>
      <c r="EZ90" s="695"/>
      <c r="FA90" s="83"/>
      <c r="FB90" s="694"/>
      <c r="FC90" s="695"/>
      <c r="FD90" s="83"/>
      <c r="FE90" s="278"/>
      <c r="FK90" s="691"/>
      <c r="FL90" s="692"/>
      <c r="FM90" s="83"/>
      <c r="FN90" s="691"/>
      <c r="FO90" s="692"/>
      <c r="FQ90" s="20"/>
      <c r="FR90" s="20"/>
      <c r="FS90" s="72"/>
      <c r="FT90" s="72"/>
      <c r="FU90" s="171"/>
      <c r="FV90" s="171"/>
    </row>
    <row r="91" spans="1:219" ht="13.5" thickBot="1" x14ac:dyDescent="0.25">
      <c r="A91" s="22"/>
      <c r="B91" s="83"/>
      <c r="C91" s="691"/>
      <c r="D91" s="692"/>
      <c r="E91" s="83"/>
      <c r="F91" s="691"/>
      <c r="G91" s="692"/>
      <c r="H91" s="83"/>
      <c r="I91" s="691"/>
      <c r="J91" s="692"/>
      <c r="K91" s="83"/>
      <c r="L91" s="691"/>
      <c r="M91" s="692"/>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51"/>
      <c r="AR91" s="51"/>
      <c r="AS91" s="51"/>
      <c r="AT91" s="51"/>
      <c r="AU91" s="51"/>
      <c r="AV91" s="51"/>
      <c r="AW91" s="51"/>
      <c r="AX91" s="51"/>
      <c r="AY91" s="52" t="s">
        <v>41</v>
      </c>
      <c r="AZ91" s="122" t="s">
        <v>135</v>
      </c>
      <c r="BA91" s="696" t="s">
        <v>3</v>
      </c>
      <c r="BB91" s="696"/>
      <c r="BC91" s="696"/>
      <c r="BD91" s="696"/>
      <c r="BE91" s="171"/>
      <c r="BF91" s="171"/>
      <c r="BG91" s="171"/>
      <c r="BH91" s="171"/>
      <c r="BI91" s="171"/>
      <c r="BJ91" s="171"/>
      <c r="BK91" s="171"/>
      <c r="BL91" s="171"/>
      <c r="BN91" s="171"/>
      <c r="BO91" s="51"/>
      <c r="BP91" s="116" t="s">
        <v>1554</v>
      </c>
      <c r="BQ91" s="116"/>
      <c r="BR91" s="20" t="s">
        <v>106</v>
      </c>
      <c r="BS91" s="20" t="s">
        <v>107</v>
      </c>
      <c r="BT91" s="72" t="s">
        <v>108</v>
      </c>
      <c r="BU91" s="72" t="s">
        <v>109</v>
      </c>
      <c r="BV91" s="72" t="s">
        <v>1546</v>
      </c>
      <c r="BW91" s="72" t="s">
        <v>1547</v>
      </c>
      <c r="BX91" s="72" t="s">
        <v>1548</v>
      </c>
      <c r="BY91" s="72" t="s">
        <v>1549</v>
      </c>
      <c r="BZ91" s="72" t="s">
        <v>1550</v>
      </c>
      <c r="CA91" s="72" t="s">
        <v>1551</v>
      </c>
      <c r="CB91" s="72" t="s">
        <v>1552</v>
      </c>
      <c r="CC91" s="72" t="s">
        <v>1553</v>
      </c>
      <c r="CD91" s="51" t="s">
        <v>1559</v>
      </c>
      <c r="CE91" s="128" t="s">
        <v>1557</v>
      </c>
      <c r="CF91" s="51" t="s">
        <v>1558</v>
      </c>
      <c r="CG91" s="51" t="s">
        <v>1560</v>
      </c>
      <c r="CH91" s="174" t="s">
        <v>1564</v>
      </c>
      <c r="CI91" s="52" t="s">
        <v>1565</v>
      </c>
      <c r="CJ91" s="52" t="s">
        <v>1566</v>
      </c>
      <c r="CK91" s="174" t="s">
        <v>1570</v>
      </c>
      <c r="CL91" s="52" t="s">
        <v>1571</v>
      </c>
      <c r="CM91" s="174" t="s">
        <v>1572</v>
      </c>
      <c r="CN91" s="52" t="s">
        <v>1573</v>
      </c>
      <c r="CO91" s="52" t="s">
        <v>1574</v>
      </c>
      <c r="CP91" s="174" t="s">
        <v>1578</v>
      </c>
      <c r="CQ91" s="52" t="s">
        <v>1579</v>
      </c>
      <c r="CR91" s="174" t="s">
        <v>1580</v>
      </c>
      <c r="CS91" s="52" t="s">
        <v>1581</v>
      </c>
      <c r="CT91" s="52" t="s">
        <v>1582</v>
      </c>
      <c r="CU91" s="51" t="s">
        <v>1687</v>
      </c>
      <c r="CV91" s="51" t="s">
        <v>1688</v>
      </c>
      <c r="CW91" s="51" t="s">
        <v>1689</v>
      </c>
      <c r="CX91" s="51" t="s">
        <v>1690</v>
      </c>
      <c r="CY91" s="51" t="s">
        <v>1691</v>
      </c>
      <c r="CZ91" s="51"/>
      <c r="DA91" s="51"/>
      <c r="DB91" s="51"/>
      <c r="DC91" s="51"/>
      <c r="DD91" s="51"/>
      <c r="DE91" s="51"/>
      <c r="DF91" s="51"/>
      <c r="DG91" s="51"/>
      <c r="DH91" s="51"/>
      <c r="DI91" s="51"/>
      <c r="DJ91" s="51"/>
      <c r="DK91" s="51"/>
      <c r="DL91" s="51"/>
      <c r="DM91" s="51"/>
      <c r="DN91" s="51"/>
      <c r="DO91" s="51"/>
      <c r="DP91" s="290"/>
      <c r="DQ91" s="290"/>
      <c r="DR91" s="290"/>
      <c r="DS91" s="290"/>
      <c r="DT91" s="51"/>
      <c r="DV91" s="22"/>
      <c r="DW91" s="83"/>
      <c r="DX91" s="679"/>
      <c r="DY91" s="680"/>
      <c r="DZ91" s="83"/>
      <c r="EA91" s="694"/>
      <c r="EB91" s="695"/>
      <c r="EC91" s="83"/>
      <c r="ED91" s="694"/>
      <c r="EE91" s="695"/>
      <c r="EF91" s="83"/>
      <c r="EG91" s="694"/>
      <c r="EH91" s="695"/>
      <c r="EI91" s="83"/>
      <c r="EJ91" s="694"/>
      <c r="EK91" s="695"/>
      <c r="EL91" s="83"/>
      <c r="EM91" s="694"/>
      <c r="EN91" s="695"/>
      <c r="EO91" s="83"/>
      <c r="EP91" s="694"/>
      <c r="EQ91" s="695"/>
      <c r="ER91" s="83"/>
      <c r="ES91" s="694"/>
      <c r="ET91" s="695"/>
      <c r="EU91" s="83"/>
      <c r="EV91" s="679"/>
      <c r="EW91" s="680"/>
      <c r="EX91" s="83"/>
      <c r="EY91" s="694"/>
      <c r="EZ91" s="695"/>
      <c r="FA91" s="83"/>
      <c r="FB91" s="694"/>
      <c r="FC91" s="695"/>
      <c r="FE91" s="293"/>
    </row>
    <row r="92" spans="1:219" ht="13.5" thickBot="1" x14ac:dyDescent="0.25">
      <c r="A92" s="22"/>
      <c r="B92" s="83"/>
      <c r="C92" s="691"/>
      <c r="D92" s="692"/>
      <c r="E92" s="83"/>
      <c r="F92" s="691"/>
      <c r="G92" s="692"/>
      <c r="H92" s="83"/>
      <c r="I92" s="691"/>
      <c r="J92" s="692"/>
      <c r="K92" s="83"/>
      <c r="L92" s="691"/>
      <c r="M92" s="692"/>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51"/>
      <c r="AR92" s="51"/>
      <c r="AS92" s="51"/>
      <c r="AT92" s="51"/>
      <c r="AU92" s="51"/>
      <c r="AV92" s="51"/>
      <c r="AW92" s="51"/>
      <c r="AX92" s="51"/>
      <c r="AY92" s="51">
        <v>0.39</v>
      </c>
      <c r="AZ92" s="98">
        <v>0.61</v>
      </c>
      <c r="BA92" t="e">
        <f t="shared" ref="BA92:BA108" si="120">IF(B86&lt;AZ92,AY92/B86,AY92/AZ92)</f>
        <v>#DIV/0!</v>
      </c>
      <c r="BB92" t="e">
        <f t="shared" ref="BB92:BB108" si="121">IF(E86&lt;AZ92,AY92/E86,AY92/AZ92)</f>
        <v>#DIV/0!</v>
      </c>
      <c r="BC92" t="e">
        <f t="shared" ref="BC92:BC108" si="122">IF(H86&lt;AZ92,AY92/H86,AY92/AZ92)</f>
        <v>#DIV/0!</v>
      </c>
      <c r="BD92" t="e">
        <f t="shared" ref="BD92:BD108" si="123">IF(K86&lt;AZ92,AY92/K86,AY92/AZ92)</f>
        <v>#DIV/0!</v>
      </c>
      <c r="BE92" s="171"/>
      <c r="BF92" s="171"/>
      <c r="BG92" s="171"/>
      <c r="BH92" s="171"/>
      <c r="BI92" s="171"/>
      <c r="BJ92" s="171"/>
      <c r="BK92" s="171"/>
      <c r="BL92" s="171"/>
      <c r="BN92" s="116"/>
      <c r="BO92" s="116"/>
      <c r="BP92" s="70">
        <f>SUM(CQ62:CR69)</f>
        <v>0</v>
      </c>
      <c r="BQ92" s="116" t="s">
        <v>156</v>
      </c>
      <c r="BR92" s="98">
        <f>SUM(C5:D10,C103:C120,C123:C139,C142:C154)</f>
        <v>0</v>
      </c>
      <c r="BS92" s="98">
        <f>SUM(F5:G10,F103:F120,F123:F139,F142:F154)</f>
        <v>0</v>
      </c>
      <c r="BT92" s="98">
        <f>SUM(I5:J10,I103:I120,I123:I139,I142:I154)</f>
        <v>0</v>
      </c>
      <c r="BU92" s="98">
        <f>SUM(L5:M10,L103:L120,L123:L139,L142:L154)</f>
        <v>0</v>
      </c>
      <c r="BV92" s="98">
        <f>SUM(O5:P10,O103:O120,O123:O139,O142:O154)</f>
        <v>0</v>
      </c>
      <c r="BW92" s="98">
        <f>SUM(R5:S10,R103:R120,R123:R139,R142:R154)</f>
        <v>0</v>
      </c>
      <c r="BX92" s="98">
        <f>SUM(U5:V10,U103:U120,U123:U139,U142:U154)</f>
        <v>0</v>
      </c>
      <c r="BY92" s="98">
        <f>SUM(X5:Y10,X103:X120,X123:X139,X142:X154)</f>
        <v>0</v>
      </c>
      <c r="BZ92" s="98">
        <f>SUM(AA5:AB10,AA103:AA120,AA123:AA139,AA142:AA154)</f>
        <v>0</v>
      </c>
      <c r="CA92" s="98">
        <f>SUM(AD5:AE10,AD103:AD120,AD123:AD139,AD142:AD154)</f>
        <v>0</v>
      </c>
      <c r="CB92" s="98">
        <f>SUM(AG5:AH10,AG103:AG120,AG123:AG139,AG142:AG154)</f>
        <v>0</v>
      </c>
      <c r="CC92" s="98">
        <f>SUM(AJ5:AK10,AJ103:AJ120,AJ123:AJ139,AJ142:AJ154)</f>
        <v>0</v>
      </c>
      <c r="CD92" s="70">
        <f>SUM($C$5:$D$10,$F$5:$G$10,$CQ$8:$CQ$25,$DM$8,$CQ$28:$CR$44,$CQ$47:$CR$59)</f>
        <v>0</v>
      </c>
      <c r="CE92" s="212">
        <f>SUM(C5:D10,F5:G10,FS8:FS25,GO8,FS28:FT44,FS47:FT59)</f>
        <v>0</v>
      </c>
      <c r="CF92" s="70">
        <f>SUM(I5:J10,L5:M10,HJ8:HJ25,IF8,HJ28:HK44,HJ47:HK59)</f>
        <v>0</v>
      </c>
      <c r="CG92" s="70">
        <f>SUM($C$5:$D$10,$F$5:$G$10,$I$5:$J$10,$L$5:$M$10,$EB$26,$EX$8,$EB$28:$EC$44,$EB$47:$EC$59,$EL$28:$EM$44,$EL$47:$EM$59)</f>
        <v>0</v>
      </c>
      <c r="CH92" s="98">
        <f>SUM($C$5:$D$10,$I$5:$J$10,$F$5:$G$10,$AZ$186,$BV$168,$AZ$188:$BA$204,$BJ$188:$BK$204,$AZ$207:$BA$219,$BJ$207:$BK$219)</f>
        <v>0</v>
      </c>
      <c r="CI92" s="98">
        <f>SUM(O5:P10,L5:M10,R5:S10,BA186,CQ186,DA186,DM168,CQ188:CR219,DA188:DB219)</f>
        <v>0</v>
      </c>
      <c r="CJ92" s="70">
        <f>SUM($C$5:$D$10,$F$5:$G$10,$I$5:$J$10,$L$5:$M$10,$O$5:$P$10,$R$5:$S$10,$I$186,$AE$168,$I$188:$J$204,$I$207:$J$219,$S$188:$T$204,$S$207:$T$219)</f>
        <v>0</v>
      </c>
      <c r="CK92" s="98">
        <f>CE92</f>
        <v>0</v>
      </c>
      <c r="CL92" s="98">
        <f>CF92</f>
        <v>0</v>
      </c>
      <c r="CM92" s="70">
        <f>SUM(O5:P10,R5:S10,AZ230:AZ247,BV230,AZ250:BA266,AZ269:BA281)</f>
        <v>0</v>
      </c>
      <c r="CN92" s="70">
        <f>SUM(U5:V10,X5:Y10,CQ230:CQ247,DM230,CQ250:CR266,CQ269:CR281)</f>
        <v>0</v>
      </c>
      <c r="CO92" s="70">
        <f>SUM($C$5:$D$10,$F$5:$G$10,$I$5:$J$10,$L$5:$M$10,$O$5:$P$10,$R$5:$S$10,$U$5:$V$10,$X$5:$Y$10,$I$248,$S$248,$AE$230,$I$250:$J$281,$S$250:$T$281)</f>
        <v>0</v>
      </c>
      <c r="CP92" s="70">
        <f>CH92</f>
        <v>0</v>
      </c>
      <c r="CQ92" s="70">
        <f>CI92</f>
        <v>0</v>
      </c>
      <c r="CR92" s="70">
        <f>SUM(U5:V10,AA5:AB10,X5:Y10,AZ309,BV291,AZ311:BA327,AZ330:BA342,BJ311:BK327,BJ330:BK342)</f>
        <v>0</v>
      </c>
      <c r="CS92" s="70">
        <f>SUM(AD5:AE10,AG5:AH10,AJ5:AK10,CQ309,DM291,CQ311:CR327,CQ330:CR342,DA311:DB327,DA330:DB342)</f>
        <v>0</v>
      </c>
      <c r="CT92" s="70">
        <f>SUM($C$5:$D$10,$F$5:$G$10,$I$5:$J$10,$L$5:$M$10,$O$5:$P$10,$R$5:$S$10,$U$5:$V$10,$X$5:$Y$10,$AA$5:$AB$10,$AD$5:$AE$10,$AG$5:$AH$10,$AJ$5:$AK$10,$I$309,$I$311:$J$327,$I$330:$J$342,$S$311:$T$327,$S$330:$T$342,$AE$291)</f>
        <v>0</v>
      </c>
      <c r="CU92" s="70">
        <f>SUM($C$5:$D$10,$F$5:$G$10,$CQ$8:$CQ$25,$DM$8,$CQ$28:$CR$44,$CQ$47:$CR$59)</f>
        <v>0</v>
      </c>
      <c r="CV92" s="70">
        <f>SUM($C$5:$D$10,$F$5:$G$10,$I$5:$J$10,$L$5:$M$10,$EB$26,$EX$8,$ET$28:$EU$44,$ET$47:$EU$59,$FA$28:$FB$44,$FA$47:$FB$59)</f>
        <v>0</v>
      </c>
      <c r="CW92" s="70">
        <f>SUM($C$5:$D$10,$F$5:$G$10,$I$5:$J$10,$L$5:$M$10,$O$5:$P$10,$R$5:$S$10,$I$186,$AE$168,$AA$188:$AB$204,$AA$207:$AB$219,$AK$188:$AL$204,$AK$207:$AL$219)</f>
        <v>0</v>
      </c>
      <c r="CX92" s="70">
        <f>SUM($C$5:$D$10,$F$5:$G$10,$I$5:$J$10,$L$5:$M$10,$O$5:$P$10,$R$5:$S$10,$U$5:$V$10,$X$5:$Y$10,$I$248,$S$248,$AE$230,$AA$250:$AB$281,$AK$250:$AL$281)</f>
        <v>0</v>
      </c>
      <c r="CY92" s="70">
        <f>SUM($C$5:$D$10,$F$5:$G$10,$I$5:$J$10,$L$5:$M$10,$O$5:$P$10,$R$5:$S$10,$U$5:$V$10,$X$5:$Y$10,$AA$5:$AB$10,$AD$5:$AE$10,$AG$5:$AH$10,$AJ$5:$AK$10,$I$309,$AA$311:$AB$327,$AA$330:$AB$342,$AK$311:$AL$327,$AK$330:$AL$342,$AE$291)</f>
        <v>0</v>
      </c>
      <c r="CZ92" s="51"/>
      <c r="DA92" s="51"/>
      <c r="DB92" s="51"/>
      <c r="DC92" s="51"/>
      <c r="DD92" s="51"/>
      <c r="DE92" s="51"/>
      <c r="DF92" s="51"/>
      <c r="DG92" s="51"/>
      <c r="DH92" s="51"/>
      <c r="DI92" s="51"/>
      <c r="DJ92" s="51"/>
      <c r="DK92" s="51"/>
      <c r="DL92" s="51"/>
      <c r="DM92" s="51"/>
      <c r="DN92" s="51"/>
      <c r="DO92" s="51"/>
      <c r="DP92" s="290"/>
      <c r="DQ92" s="290"/>
      <c r="DR92" s="290"/>
      <c r="DS92" s="290"/>
      <c r="DT92" s="51"/>
      <c r="DV92" s="22"/>
      <c r="DW92" s="83"/>
      <c r="DX92" s="679"/>
      <c r="DY92" s="680"/>
      <c r="DZ92" s="83"/>
      <c r="EA92" s="694"/>
      <c r="EB92" s="695"/>
      <c r="EC92" s="83"/>
      <c r="ED92" s="694"/>
      <c r="EE92" s="695"/>
      <c r="EF92" s="83"/>
      <c r="EG92" s="694"/>
      <c r="EH92" s="695"/>
      <c r="EI92" s="83"/>
      <c r="EJ92" s="694"/>
      <c r="EK92" s="695"/>
      <c r="EL92" s="83"/>
      <c r="EM92" s="694"/>
      <c r="EN92" s="695"/>
      <c r="EO92" s="83"/>
      <c r="EP92" s="694"/>
      <c r="EQ92" s="695"/>
      <c r="ER92" s="83"/>
      <c r="ES92" s="694"/>
      <c r="ET92" s="695"/>
      <c r="EU92" s="83"/>
      <c r="EV92" s="679"/>
      <c r="EW92" s="680"/>
      <c r="EX92" s="83"/>
      <c r="EY92" s="694"/>
      <c r="EZ92" s="695"/>
      <c r="FA92" s="83"/>
      <c r="FB92" s="694"/>
      <c r="FC92" s="695"/>
    </row>
    <row r="93" spans="1:219" ht="13.5" thickBot="1" x14ac:dyDescent="0.25">
      <c r="A93" s="22"/>
      <c r="B93" s="83"/>
      <c r="C93" s="691"/>
      <c r="D93" s="692"/>
      <c r="E93" s="83"/>
      <c r="F93" s="691"/>
      <c r="G93" s="692"/>
      <c r="H93" s="83"/>
      <c r="I93" s="691"/>
      <c r="J93" s="692"/>
      <c r="K93" s="83"/>
      <c r="L93" s="691"/>
      <c r="M93" s="692"/>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51"/>
      <c r="AR93" s="51"/>
      <c r="AS93" s="51"/>
      <c r="AT93" s="51"/>
      <c r="AU93" s="51"/>
      <c r="AV93" s="51"/>
      <c r="AW93" s="51"/>
      <c r="AX93" s="51"/>
      <c r="AY93" s="51">
        <v>0.57999999999999996</v>
      </c>
      <c r="AZ93" s="98">
        <v>0.66</v>
      </c>
      <c r="BA93" t="e">
        <f t="shared" si="120"/>
        <v>#DIV/0!</v>
      </c>
      <c r="BB93" t="e">
        <f t="shared" si="121"/>
        <v>#DIV/0!</v>
      </c>
      <c r="BC93" t="e">
        <f t="shared" si="122"/>
        <v>#DIV/0!</v>
      </c>
      <c r="BD93" t="e">
        <f t="shared" si="123"/>
        <v>#DIV/0!</v>
      </c>
      <c r="BE93" s="171"/>
      <c r="BF93" s="171"/>
      <c r="BG93" s="171"/>
      <c r="BH93" s="171"/>
      <c r="BI93" s="171"/>
      <c r="BJ93" s="171"/>
      <c r="BK93" s="171"/>
      <c r="BL93" s="171"/>
      <c r="BN93" s="51"/>
      <c r="BO93" s="51"/>
      <c r="BP93">
        <f>SUM(CO62:CO69)</f>
        <v>0</v>
      </c>
      <c r="BQ93" s="116" t="s">
        <v>143</v>
      </c>
      <c r="BR93" s="98">
        <f>SUM(BR59:BR71,BR40:BR56,AS13:AS30,AS5)</f>
        <v>0</v>
      </c>
      <c r="BS93" s="98">
        <f>SUM(BS59:BS71,BS40:BS56,AU13:AU30,AU5)</f>
        <v>0</v>
      </c>
      <c r="BT93" s="98">
        <f>SUM(BT59:BT71,BT40:BT56,AW13:AW30,AW5)</f>
        <v>0</v>
      </c>
      <c r="BU93" s="98">
        <f>SUM(BU59:BU71,BU40:BU56,AY13:AY30,AY5)</f>
        <v>0</v>
      </c>
      <c r="BV93" s="98">
        <f>SUM(BV59:BV71,BV40:BV56,BA13:BA30,BA5)</f>
        <v>0</v>
      </c>
      <c r="BW93" s="98">
        <f>SUM(BW59:BW71,BW40:BW56,BC13:BC30,BC5)</f>
        <v>0</v>
      </c>
      <c r="BX93" s="98">
        <f>SUM(BX59:BX71,BX40:BX56,BE13:BE30,BE5)</f>
        <v>0</v>
      </c>
      <c r="BY93" s="98">
        <f>SUM(BY59:BY71,BY40:BY56,BG13:BG30,BG5)</f>
        <v>0</v>
      </c>
      <c r="BZ93" s="98">
        <f>SUM(BZ59:BZ71,BZ40:BZ56,BI13:BI30,BI5)</f>
        <v>0</v>
      </c>
      <c r="CA93" s="98">
        <f>SUM(CA59:CA71,CA40:CA56,BK13:BK30,BK5)</f>
        <v>0</v>
      </c>
      <c r="CB93" s="98">
        <f>SUM(CB59:CB71,CB40:CB56,BM13:BM30,BM5)</f>
        <v>0</v>
      </c>
      <c r="CC93" s="98">
        <f>SUM(CC59:CC71,CC40:CC56,BO13:BO30,BO5)</f>
        <v>0</v>
      </c>
      <c r="CD93" s="70">
        <f>SUM($CN$6,$CQ$6,$CT$6,$CW$6,$CZ$6,$DC$6,$DF$6,$DI$6,$DL$6,$DO$6,$DR$6,$DM$8,$CO$8:$CO$25,$CO$28:$CO$44,$CO$47:$CO$59)*$CJ$2</f>
        <v>0</v>
      </c>
      <c r="CE93" s="212">
        <f>SUM(FP6,FS6,FV6,FY6,GB6,GE6,GH6,GK6,GN6,GQ6,GT6,GO8,FQ8:FQ25,FQ28:FQ44,FQ47:FQ59)</f>
        <v>0</v>
      </c>
      <c r="CF93" s="70">
        <f>SUM(HG6,HJ6,HM6,HP6,HS6,HV6,HY6,IB6,IE6,IH6,IK6,IF8,HH8:HH25,HH28:HH44,HH47:HH59)</f>
        <v>0</v>
      </c>
      <c r="CG93" s="70">
        <f>SUM($DZ$61,$EJ$61)</f>
        <v>0</v>
      </c>
      <c r="CH93" s="98">
        <f>SUM($AX$221,$BH$221)</f>
        <v>0</v>
      </c>
      <c r="CI93" s="98">
        <f>SUM(CO221,CY221)</f>
        <v>0</v>
      </c>
      <c r="CJ93" s="70">
        <f>SUM($G$221,$Q$221)</f>
        <v>0</v>
      </c>
      <c r="CK93" s="98">
        <f>CE93</f>
        <v>0</v>
      </c>
      <c r="CL93" s="98">
        <f t="shared" ref="CL93:CL98" si="124">CF93</f>
        <v>0</v>
      </c>
      <c r="CM93" s="70">
        <f>SUM(AW228,AZ228,BC228,BF228,BI228,BL228,BO228,BR228,BU228,BX228,CA228,BV230,AX230:AX247,AX250:AX266,AX269:AX281)</f>
        <v>0</v>
      </c>
      <c r="CN93" s="70">
        <f>SUM(CN228,CQ228,CT228,CW228,CZ228,DC228,DF228,DI228,DL228,DO228,DR228,DM230,CO230:CO247,CO250:CO266,CO269:CO281)</f>
        <v>0</v>
      </c>
      <c r="CO93" s="70">
        <f>SUM($G$283,$Q$283)</f>
        <v>0</v>
      </c>
      <c r="CP93" s="70">
        <f t="shared" ref="CP93:CP98" si="125">CH93</f>
        <v>0</v>
      </c>
      <c r="CQ93" s="70">
        <f t="shared" ref="CQ93:CQ98" si="126">CI93</f>
        <v>0</v>
      </c>
      <c r="CR93" s="70">
        <f>SUM(AX344,BH344)</f>
        <v>0</v>
      </c>
      <c r="CS93" s="70">
        <f>SUM(CO344,CY344)</f>
        <v>0</v>
      </c>
      <c r="CT93" s="70">
        <f>SUM($G$344,$Q$344)</f>
        <v>0</v>
      </c>
      <c r="CU93" s="70">
        <f>SUM($CN$6,$CQ$6,$CT$6,$CW$6,$CZ$6,$DC$6,$DF$6,$DI$6,$DL$6,$DO$6,$DR$6,$DM$8,$CO$8:$CO$25,$CX$28:$CX$44,$CX$47:$CX$59)*$CJ$2</f>
        <v>0</v>
      </c>
      <c r="CV93" s="70">
        <f>SUM($ER$61,$EY$61)</f>
        <v>0</v>
      </c>
      <c r="CW93" s="70">
        <f>SUM($Y$221,$AI$221)</f>
        <v>0</v>
      </c>
      <c r="CX93" s="70">
        <f>SUM($Y$283,$AI$283)</f>
        <v>0</v>
      </c>
      <c r="CY93" s="70">
        <f>SUM($Y$344,$AI$344)</f>
        <v>0</v>
      </c>
      <c r="CZ93" s="51"/>
      <c r="DA93" s="51"/>
      <c r="DB93" s="51"/>
      <c r="DC93" s="51"/>
      <c r="DD93" s="51"/>
      <c r="DE93" s="51"/>
      <c r="DF93" s="51"/>
      <c r="DG93" s="51"/>
      <c r="DH93" s="51"/>
      <c r="DI93" s="51"/>
      <c r="DJ93" s="51"/>
      <c r="DK93" s="51"/>
      <c r="DL93" s="51"/>
      <c r="DM93" s="51"/>
      <c r="DN93" s="51"/>
      <c r="DO93" s="51"/>
      <c r="DP93" s="290"/>
      <c r="DQ93" s="290"/>
      <c r="DR93" s="290"/>
      <c r="DS93" s="290"/>
      <c r="DT93" s="51"/>
      <c r="DV93" s="22"/>
      <c r="DW93" s="83"/>
      <c r="DX93" s="679"/>
      <c r="DY93" s="680"/>
      <c r="DZ93" s="83"/>
      <c r="EA93" s="694"/>
      <c r="EB93" s="695"/>
      <c r="EC93" s="83"/>
      <c r="ED93" s="694"/>
      <c r="EE93" s="695"/>
      <c r="EF93" s="83"/>
      <c r="EG93" s="694"/>
      <c r="EH93" s="695"/>
      <c r="EI93" s="83"/>
      <c r="EJ93" s="694"/>
      <c r="EK93" s="695"/>
      <c r="EL93" s="83"/>
      <c r="EM93" s="694"/>
      <c r="EN93" s="695"/>
      <c r="EO93" s="83"/>
      <c r="EP93" s="694"/>
      <c r="EQ93" s="695"/>
      <c r="ER93" s="83"/>
      <c r="ES93" s="694"/>
      <c r="ET93" s="695"/>
      <c r="EU93" s="83"/>
      <c r="EV93" s="679"/>
      <c r="EW93" s="680"/>
      <c r="EX93" s="83"/>
      <c r="EY93" s="694"/>
      <c r="EZ93" s="695"/>
      <c r="FA93" s="83"/>
      <c r="FB93" s="694"/>
      <c r="FC93" s="695"/>
    </row>
    <row r="94" spans="1:219" ht="13.5" customHeight="1" thickBot="1" x14ac:dyDescent="0.25">
      <c r="A94" s="22"/>
      <c r="B94" s="83"/>
      <c r="C94" s="691"/>
      <c r="D94" s="692"/>
      <c r="E94" s="83"/>
      <c r="F94" s="691"/>
      <c r="G94" s="692"/>
      <c r="H94" s="83"/>
      <c r="I94" s="691"/>
      <c r="J94" s="692"/>
      <c r="K94" s="83"/>
      <c r="L94" s="691"/>
      <c r="M94" s="692"/>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51"/>
      <c r="AR94" s="51"/>
      <c r="AS94" s="51"/>
      <c r="AT94" s="51"/>
      <c r="AU94" s="51"/>
      <c r="AV94" s="51"/>
      <c r="AW94" s="51"/>
      <c r="AX94" s="51"/>
      <c r="AY94" s="51">
        <v>0.83</v>
      </c>
      <c r="AZ94" s="98">
        <v>0.66</v>
      </c>
      <c r="BA94" t="e">
        <f t="shared" si="120"/>
        <v>#DIV/0!</v>
      </c>
      <c r="BB94" t="e">
        <f t="shared" si="121"/>
        <v>#DIV/0!</v>
      </c>
      <c r="BC94" t="e">
        <f t="shared" si="122"/>
        <v>#DIV/0!</v>
      </c>
      <c r="BD94" t="e">
        <f t="shared" si="123"/>
        <v>#DIV/0!</v>
      </c>
      <c r="BE94" s="171"/>
      <c r="BF94" s="171"/>
      <c r="BG94" s="171"/>
      <c r="BH94" s="171"/>
      <c r="BI94" s="171"/>
      <c r="BJ94" s="171"/>
      <c r="BK94" s="171"/>
      <c r="BL94" s="171"/>
      <c r="BP94">
        <f>IF(CL69="TRIFÁSICO",3,2)</f>
        <v>2</v>
      </c>
      <c r="BQ94" s="116" t="s">
        <v>144</v>
      </c>
      <c r="BR94" s="51">
        <f>IF(CENTRO_DE_MEDIÇÃO!$I$17="TRIFÁSICO",3,2)</f>
        <v>2</v>
      </c>
      <c r="BS94" s="51">
        <f>IF(CENTRO_DE_MEDIÇÃO!$I$18="TRIFÁSICO",3,2)</f>
        <v>2</v>
      </c>
      <c r="BT94" s="51">
        <f>IF(CENTRO_DE_MEDIÇÃO!$I$19="TRIFÁSICO",3,2)</f>
        <v>2</v>
      </c>
      <c r="BU94" s="51">
        <f>IF(CENTRO_DE_MEDIÇÃO!$I$20="TRIFÁSICO",3,2)</f>
        <v>2</v>
      </c>
      <c r="BV94" s="51">
        <f>IF(CENTRO_DE_MEDIÇÃO!$I$21="TRIFÁSICO",3,2)</f>
        <v>2</v>
      </c>
      <c r="BW94" s="51">
        <f>IF(CENTRO_DE_MEDIÇÃO!$I$22="TRIFÁSICO",3,2)</f>
        <v>2</v>
      </c>
      <c r="BX94" s="51">
        <f>IF(CENTRO_DE_MEDIÇÃO!$I$23="TRIFÁSICO",3,2)</f>
        <v>2</v>
      </c>
      <c r="BY94" s="51">
        <f>IF(CENTRO_DE_MEDIÇÃO!$I$24="TRIFÁSICO",3,2)</f>
        <v>2</v>
      </c>
      <c r="BZ94" s="51">
        <f>IF(CENTRO_DE_MEDIÇÃO!$I$25="TRIFÁSICO",3,2)</f>
        <v>2</v>
      </c>
      <c r="CA94" s="51">
        <f>IF(CENTRO_DE_MEDIÇÃO!$I$26="TRIFÁSICO",3,2)</f>
        <v>2</v>
      </c>
      <c r="CB94" s="51">
        <f>IF(CENTRO_DE_MEDIÇÃO!$I$27="TRIFÁSICO",3,2)</f>
        <v>2</v>
      </c>
      <c r="CC94" s="51">
        <f>IF(CENTRO_DE_MEDIÇÃO!$I$28="TRIFÁSICO",3,2)</f>
        <v>2</v>
      </c>
      <c r="CD94" s="51">
        <f>IF(CENTRO_DE_MEDIÇÃO!$H$4="3F+N",3,2)</f>
        <v>2</v>
      </c>
      <c r="CE94" s="51">
        <f>IF(CENTRO_DE_MEDIÇÃO!$H$4="3F+N",3,2)</f>
        <v>2</v>
      </c>
      <c r="CF94" s="51">
        <f>IF(CENTRO_DE_MEDIÇÃO!$H$4="3F+N",3,2)</f>
        <v>2</v>
      </c>
      <c r="CG94" s="51">
        <f>IF(CENTRO_DE_MEDIÇÃO!$H$4="3F+N",3,2)</f>
        <v>2</v>
      </c>
      <c r="CH94" s="51">
        <f>IF(CENTRO_DE_MEDIÇÃO!$H$4="3F+N",3,2)</f>
        <v>2</v>
      </c>
      <c r="CI94" s="51">
        <f>IF(CENTRO_DE_MEDIÇÃO!$H$4="3F+N",3,2)</f>
        <v>2</v>
      </c>
      <c r="CJ94" s="51">
        <f>IF(CENTRO_DE_MEDIÇÃO!$H$4="3F+N",3,2)</f>
        <v>2</v>
      </c>
      <c r="CK94" s="51">
        <f>IF(CENTRO_DE_MEDIÇÃO!$H$4="3F+N",3,2)</f>
        <v>2</v>
      </c>
      <c r="CL94" s="51">
        <f>IF(CENTRO_DE_MEDIÇÃO!$H$4="3F+N",3,2)</f>
        <v>2</v>
      </c>
      <c r="CM94" s="51">
        <f>IF(CENTRO_DE_MEDIÇÃO!$H$4="3F+N",3,2)</f>
        <v>2</v>
      </c>
      <c r="CN94" s="51">
        <f>IF(CENTRO_DE_MEDIÇÃO!$H$4="3F+N",3,2)</f>
        <v>2</v>
      </c>
      <c r="CO94" s="51">
        <f>IF(CENTRO_DE_MEDIÇÃO!$H$4="3F+N",3,2)</f>
        <v>2</v>
      </c>
      <c r="CP94" s="51">
        <f>IF(CENTRO_DE_MEDIÇÃO!$H$4="3F+N",3,2)</f>
        <v>2</v>
      </c>
      <c r="CQ94" s="51">
        <f>IF(CENTRO_DE_MEDIÇÃO!$H$4="3F+N",3,2)</f>
        <v>2</v>
      </c>
      <c r="CR94" s="51">
        <f>IF(CENTRO_DE_MEDIÇÃO!$H$4="3F+N",3,2)</f>
        <v>2</v>
      </c>
      <c r="CS94" s="51">
        <f>IF(CENTRO_DE_MEDIÇÃO!$H$4="3F+N",3,2)</f>
        <v>2</v>
      </c>
      <c r="CT94" s="51">
        <f>IF(CENTRO_DE_MEDIÇÃO!$H$4="3F+N",3,2)</f>
        <v>2</v>
      </c>
      <c r="CU94" s="51">
        <f>IF(CENTRO_DE_MEDIÇÃO!$H$4="3F+N",3,2)</f>
        <v>2</v>
      </c>
      <c r="CV94" s="51">
        <f>IF(CENTRO_DE_MEDIÇÃO!$H$4="3F+N",3,2)</f>
        <v>2</v>
      </c>
      <c r="CW94" s="51">
        <f>IF(CENTRO_DE_MEDIÇÃO!$H$4="3F+N",3,2)</f>
        <v>2</v>
      </c>
      <c r="CX94" s="51">
        <f>IF(CENTRO_DE_MEDIÇÃO!$H$4="3F+N",3,2)</f>
        <v>2</v>
      </c>
      <c r="CY94" s="51">
        <f>IF(CENTRO_DE_MEDIÇÃO!$H$4="3F+N",3,2)</f>
        <v>2</v>
      </c>
      <c r="CZ94" s="51"/>
      <c r="DA94" s="51"/>
      <c r="DB94" s="51"/>
      <c r="DC94" s="51"/>
      <c r="DD94" s="51"/>
      <c r="DE94" s="51"/>
      <c r="DF94" s="51"/>
      <c r="DG94" s="51"/>
      <c r="DH94" s="51"/>
      <c r="DI94" s="51"/>
      <c r="DJ94" s="51"/>
      <c r="DK94" s="51"/>
      <c r="DL94" s="51"/>
      <c r="DM94" s="51"/>
      <c r="DN94" s="51"/>
      <c r="DO94" s="51"/>
      <c r="DP94" s="290"/>
      <c r="DQ94" s="290"/>
      <c r="DR94" s="290"/>
      <c r="DS94" s="290"/>
      <c r="DT94" s="51"/>
      <c r="DV94" s="22"/>
      <c r="DW94" s="83"/>
      <c r="DX94" s="679"/>
      <c r="DY94" s="680"/>
      <c r="DZ94" s="83"/>
      <c r="EA94" s="694"/>
      <c r="EB94" s="695"/>
      <c r="EC94" s="83"/>
      <c r="ED94" s="694"/>
      <c r="EE94" s="695"/>
      <c r="EF94" s="83"/>
      <c r="EG94" s="694"/>
      <c r="EH94" s="695"/>
      <c r="EI94" s="83"/>
      <c r="EJ94" s="694"/>
      <c r="EK94" s="695"/>
      <c r="EL94" s="83"/>
      <c r="EM94" s="694"/>
      <c r="EN94" s="695"/>
      <c r="EO94" s="83"/>
      <c r="EP94" s="694"/>
      <c r="EQ94" s="695"/>
      <c r="ER94" s="83"/>
      <c r="ES94" s="694"/>
      <c r="ET94" s="695"/>
      <c r="EU94" s="83"/>
      <c r="EV94" s="679"/>
      <c r="EW94" s="680"/>
      <c r="EX94" s="83"/>
      <c r="EY94" s="694"/>
      <c r="EZ94" s="695"/>
      <c r="FA94" s="83"/>
      <c r="FB94" s="694"/>
      <c r="FC94" s="695"/>
      <c r="GD94" s="676" t="s">
        <v>1561</v>
      </c>
      <c r="GE94" s="673" t="s">
        <v>102</v>
      </c>
      <c r="GF94" s="698" t="s">
        <v>68</v>
      </c>
      <c r="GG94" s="699"/>
      <c r="GH94" s="708" t="s">
        <v>102</v>
      </c>
      <c r="GI94" s="685" t="s">
        <v>115</v>
      </c>
      <c r="GJ94" s="686"/>
      <c r="GK94" s="708" t="s">
        <v>102</v>
      </c>
      <c r="GL94" s="685" t="s">
        <v>116</v>
      </c>
      <c r="GM94" s="686"/>
      <c r="GN94" s="708" t="s">
        <v>102</v>
      </c>
      <c r="GO94" s="685" t="s">
        <v>117</v>
      </c>
      <c r="GP94" s="686"/>
      <c r="GQ94" s="708" t="s">
        <v>102</v>
      </c>
      <c r="GR94" s="685" t="s">
        <v>1837</v>
      </c>
      <c r="GS94" s="686"/>
      <c r="GT94" s="708" t="s">
        <v>102</v>
      </c>
      <c r="GU94" s="685" t="s">
        <v>119</v>
      </c>
      <c r="GV94" s="686"/>
      <c r="GW94" s="708" t="s">
        <v>102</v>
      </c>
      <c r="GX94" s="685" t="s">
        <v>120</v>
      </c>
      <c r="GY94" s="686"/>
      <c r="GZ94" s="708" t="s">
        <v>102</v>
      </c>
      <c r="HA94" s="685" t="s">
        <v>121</v>
      </c>
      <c r="HB94" s="686"/>
      <c r="HC94" s="708" t="s">
        <v>102</v>
      </c>
      <c r="HD94" s="698" t="s">
        <v>122</v>
      </c>
      <c r="HE94" s="699"/>
      <c r="HF94" s="708" t="s">
        <v>102</v>
      </c>
      <c r="HG94" s="685" t="s">
        <v>123</v>
      </c>
      <c r="HH94" s="686"/>
      <c r="HI94" s="708" t="s">
        <v>102</v>
      </c>
      <c r="HJ94" s="685" t="s">
        <v>69</v>
      </c>
      <c r="HK94" s="686"/>
    </row>
    <row r="95" spans="1:219" ht="13.5" thickBot="1" x14ac:dyDescent="0.25">
      <c r="A95" s="22"/>
      <c r="B95" s="83"/>
      <c r="C95" s="691"/>
      <c r="D95" s="692"/>
      <c r="E95" s="83"/>
      <c r="F95" s="691"/>
      <c r="G95" s="692"/>
      <c r="H95" s="83"/>
      <c r="I95" s="691"/>
      <c r="J95" s="692"/>
      <c r="K95" s="83"/>
      <c r="L95" s="691"/>
      <c r="M95" s="692"/>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51"/>
      <c r="AR95" s="51"/>
      <c r="AS95" s="51"/>
      <c r="AT95" s="51"/>
      <c r="AU95" s="51"/>
      <c r="AV95" s="51"/>
      <c r="AW95" s="51"/>
      <c r="AX95" s="51"/>
      <c r="AY95" s="51">
        <v>1.05</v>
      </c>
      <c r="AZ95" s="98">
        <v>0.69</v>
      </c>
      <c r="BA95" t="e">
        <f t="shared" si="120"/>
        <v>#DIV/0!</v>
      </c>
      <c r="BB95" t="e">
        <f t="shared" si="121"/>
        <v>#DIV/0!</v>
      </c>
      <c r="BC95" t="e">
        <f t="shared" si="122"/>
        <v>#DIV/0!</v>
      </c>
      <c r="BD95" t="e">
        <f t="shared" si="123"/>
        <v>#DIV/0!</v>
      </c>
      <c r="BE95" s="171"/>
      <c r="BF95" s="171"/>
      <c r="BG95" s="171"/>
      <c r="BH95" s="171"/>
      <c r="BI95" s="171"/>
      <c r="BJ95" s="171"/>
      <c r="BK95" s="171"/>
      <c r="BL95" s="171"/>
      <c r="BP95" s="51">
        <f>IF(BP94=2,0.22,0.381)</f>
        <v>0.22</v>
      </c>
      <c r="BQ95" s="116" t="s">
        <v>145</v>
      </c>
      <c r="BR95" s="51">
        <f>IF(BR94=2,0.22,0.381)</f>
        <v>0.22</v>
      </c>
      <c r="BS95" s="51">
        <f t="shared" ref="BS95:CC95" si="127">IF(BS94=2,0.22,0.381)</f>
        <v>0.22</v>
      </c>
      <c r="BT95" s="51">
        <f t="shared" si="127"/>
        <v>0.22</v>
      </c>
      <c r="BU95" s="51">
        <f t="shared" si="127"/>
        <v>0.22</v>
      </c>
      <c r="BV95" s="51">
        <f t="shared" si="127"/>
        <v>0.22</v>
      </c>
      <c r="BW95" s="51">
        <f t="shared" si="127"/>
        <v>0.22</v>
      </c>
      <c r="BX95" s="51">
        <f t="shared" si="127"/>
        <v>0.22</v>
      </c>
      <c r="BY95" s="51">
        <f t="shared" si="127"/>
        <v>0.22</v>
      </c>
      <c r="BZ95" s="51">
        <f t="shared" si="127"/>
        <v>0.22</v>
      </c>
      <c r="CA95" s="51">
        <f t="shared" si="127"/>
        <v>0.22</v>
      </c>
      <c r="CB95" s="51">
        <f t="shared" si="127"/>
        <v>0.22</v>
      </c>
      <c r="CC95" s="51">
        <f t="shared" si="127"/>
        <v>0.22</v>
      </c>
      <c r="CD95" s="51">
        <f t="shared" ref="CD95:CJ95" si="128">IF(CD94=2,0.22,0.381)</f>
        <v>0.22</v>
      </c>
      <c r="CE95" s="51">
        <f t="shared" si="128"/>
        <v>0.22</v>
      </c>
      <c r="CF95" s="51">
        <f t="shared" si="128"/>
        <v>0.22</v>
      </c>
      <c r="CG95" s="51">
        <f t="shared" si="128"/>
        <v>0.22</v>
      </c>
      <c r="CH95" s="51">
        <f>IF(CH94=2,0.22,0.381)</f>
        <v>0.22</v>
      </c>
      <c r="CI95" s="51">
        <f t="shared" si="128"/>
        <v>0.22</v>
      </c>
      <c r="CJ95" s="51">
        <f t="shared" si="128"/>
        <v>0.22</v>
      </c>
      <c r="CK95" s="98">
        <f>CE95</f>
        <v>0.22</v>
      </c>
      <c r="CL95" s="98">
        <f t="shared" si="124"/>
        <v>0.22</v>
      </c>
      <c r="CM95" s="51">
        <f>IF(CM94=2,0.22,0.381)</f>
        <v>0.22</v>
      </c>
      <c r="CN95" s="51">
        <f>IF(CN94=2,0.22,0.381)</f>
        <v>0.22</v>
      </c>
      <c r="CO95" s="51">
        <f>IF(CO94=2,0.22,0.381)</f>
        <v>0.22</v>
      </c>
      <c r="CP95" s="51">
        <f t="shared" si="125"/>
        <v>0.22</v>
      </c>
      <c r="CQ95" s="70">
        <f t="shared" si="126"/>
        <v>0.22</v>
      </c>
      <c r="CR95" s="51">
        <f t="shared" ref="CR95:CY95" si="129">IF(CR94=2,0.22,0.381)</f>
        <v>0.22</v>
      </c>
      <c r="CS95" s="51">
        <f t="shared" si="129"/>
        <v>0.22</v>
      </c>
      <c r="CT95" s="51">
        <f t="shared" si="129"/>
        <v>0.22</v>
      </c>
      <c r="CU95" s="51">
        <f t="shared" si="129"/>
        <v>0.22</v>
      </c>
      <c r="CV95" s="51">
        <f t="shared" si="129"/>
        <v>0.22</v>
      </c>
      <c r="CW95" s="51">
        <f t="shared" si="129"/>
        <v>0.22</v>
      </c>
      <c r="CX95" s="51">
        <f t="shared" si="129"/>
        <v>0.22</v>
      </c>
      <c r="CY95" s="51">
        <f t="shared" si="129"/>
        <v>0.22</v>
      </c>
      <c r="CZ95" s="51"/>
      <c r="DA95" s="51"/>
      <c r="DB95" s="51"/>
      <c r="DC95" s="51"/>
      <c r="DD95" s="51"/>
      <c r="DE95" s="51"/>
      <c r="DF95" s="51"/>
      <c r="DG95" s="51"/>
      <c r="DH95" s="51"/>
      <c r="DI95" s="51"/>
      <c r="DJ95" s="51"/>
      <c r="DK95" s="51"/>
      <c r="DL95" s="51"/>
      <c r="DM95" s="51"/>
      <c r="DN95" s="51"/>
      <c r="DO95" s="51"/>
      <c r="DP95" s="290"/>
      <c r="DQ95" s="290"/>
      <c r="DR95" s="290"/>
      <c r="DS95" s="290"/>
      <c r="DT95" s="51"/>
      <c r="DV95" s="22"/>
      <c r="DW95" s="83"/>
      <c r="DX95" s="679"/>
      <c r="DY95" s="680"/>
      <c r="DZ95" s="83"/>
      <c r="EA95" s="694"/>
      <c r="EB95" s="695"/>
      <c r="EC95" s="83"/>
      <c r="ED95" s="694"/>
      <c r="EE95" s="695"/>
      <c r="EF95" s="83"/>
      <c r="EG95" s="694"/>
      <c r="EH95" s="695"/>
      <c r="EI95" s="83"/>
      <c r="EJ95" s="694"/>
      <c r="EK95" s="695"/>
      <c r="EL95" s="83"/>
      <c r="EM95" s="694"/>
      <c r="EN95" s="695"/>
      <c r="EO95" s="83"/>
      <c r="EP95" s="694"/>
      <c r="EQ95" s="695"/>
      <c r="ER95" s="83"/>
      <c r="ES95" s="694"/>
      <c r="ET95" s="695"/>
      <c r="EU95" s="83"/>
      <c r="EV95" s="679"/>
      <c r="EW95" s="680"/>
      <c r="EX95" s="83"/>
      <c r="EY95" s="694"/>
      <c r="EZ95" s="695"/>
      <c r="FA95" s="83"/>
      <c r="FB95" s="694"/>
      <c r="FC95" s="695"/>
      <c r="GD95" s="677"/>
      <c r="GE95" s="674"/>
      <c r="GF95" s="700"/>
      <c r="GG95" s="701"/>
      <c r="GH95" s="709"/>
      <c r="GI95" s="687"/>
      <c r="GJ95" s="688"/>
      <c r="GK95" s="709"/>
      <c r="GL95" s="687"/>
      <c r="GM95" s="688"/>
      <c r="GN95" s="709"/>
      <c r="GO95" s="687"/>
      <c r="GP95" s="688"/>
      <c r="GQ95" s="709"/>
      <c r="GR95" s="687"/>
      <c r="GS95" s="688"/>
      <c r="GT95" s="709"/>
      <c r="GU95" s="687"/>
      <c r="GV95" s="688"/>
      <c r="GW95" s="709"/>
      <c r="GX95" s="687"/>
      <c r="GY95" s="688"/>
      <c r="GZ95" s="709"/>
      <c r="HA95" s="687"/>
      <c r="HB95" s="688"/>
      <c r="HC95" s="709"/>
      <c r="HD95" s="700"/>
      <c r="HE95" s="701"/>
      <c r="HF95" s="709"/>
      <c r="HG95" s="687"/>
      <c r="HH95" s="688"/>
      <c r="HI95" s="709"/>
      <c r="HJ95" s="687"/>
      <c r="HK95" s="688"/>
    </row>
    <row r="96" spans="1:219" ht="13.5" thickBot="1" x14ac:dyDescent="0.25">
      <c r="A96" s="22"/>
      <c r="B96" s="83"/>
      <c r="C96" s="691"/>
      <c r="D96" s="692"/>
      <c r="E96" s="83"/>
      <c r="F96" s="691"/>
      <c r="G96" s="692"/>
      <c r="H96" s="83"/>
      <c r="I96" s="691"/>
      <c r="J96" s="692"/>
      <c r="K96" s="83"/>
      <c r="L96" s="691"/>
      <c r="M96" s="692"/>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51"/>
      <c r="AR96" s="51"/>
      <c r="AS96" s="51"/>
      <c r="AT96" s="51"/>
      <c r="AU96" s="51"/>
      <c r="AV96" s="51"/>
      <c r="AW96" s="51"/>
      <c r="AX96" s="51"/>
      <c r="AY96" s="51">
        <v>1.54</v>
      </c>
      <c r="AZ96" s="98">
        <v>0.75</v>
      </c>
      <c r="BA96" t="e">
        <f t="shared" si="120"/>
        <v>#DIV/0!</v>
      </c>
      <c r="BB96" t="e">
        <f t="shared" si="121"/>
        <v>#DIV/0!</v>
      </c>
      <c r="BC96" t="e">
        <f t="shared" si="122"/>
        <v>#DIV/0!</v>
      </c>
      <c r="BD96" t="e">
        <f t="shared" si="123"/>
        <v>#DIV/0!</v>
      </c>
      <c r="BE96" s="171"/>
      <c r="BF96" s="171"/>
      <c r="BG96" s="171"/>
      <c r="BH96" s="171"/>
      <c r="BI96" s="171"/>
      <c r="BJ96" s="171"/>
      <c r="BK96" s="171"/>
      <c r="BL96" s="171"/>
      <c r="BN96" s="51"/>
      <c r="BO96" s="51"/>
      <c r="BP96" s="51">
        <f>IF(BP94=2,0.24,0.415)</f>
        <v>0.24</v>
      </c>
      <c r="BQ96" s="116" t="s">
        <v>146</v>
      </c>
      <c r="BR96" s="51">
        <f>IF(BR94=2,0.24,0.415)</f>
        <v>0.24</v>
      </c>
      <c r="BS96" s="51">
        <f t="shared" ref="BS96:CC96" si="130">IF(BS94=2,0.24,0.415)</f>
        <v>0.24</v>
      </c>
      <c r="BT96" s="51">
        <f t="shared" si="130"/>
        <v>0.24</v>
      </c>
      <c r="BU96" s="51">
        <f t="shared" si="130"/>
        <v>0.24</v>
      </c>
      <c r="BV96" s="51">
        <f t="shared" si="130"/>
        <v>0.24</v>
      </c>
      <c r="BW96" s="51">
        <f t="shared" si="130"/>
        <v>0.24</v>
      </c>
      <c r="BX96" s="51">
        <f t="shared" si="130"/>
        <v>0.24</v>
      </c>
      <c r="BY96" s="51">
        <f t="shared" si="130"/>
        <v>0.24</v>
      </c>
      <c r="BZ96" s="51">
        <f t="shared" si="130"/>
        <v>0.24</v>
      </c>
      <c r="CA96" s="51">
        <f t="shared" si="130"/>
        <v>0.24</v>
      </c>
      <c r="CB96" s="51">
        <f t="shared" si="130"/>
        <v>0.24</v>
      </c>
      <c r="CC96" s="51">
        <f t="shared" si="130"/>
        <v>0.24</v>
      </c>
      <c r="CD96" s="51">
        <f t="shared" ref="CD96:CJ96" si="131">IF(CD94=2,0.24,0.415)</f>
        <v>0.24</v>
      </c>
      <c r="CE96" s="51">
        <f t="shared" si="131"/>
        <v>0.24</v>
      </c>
      <c r="CF96" s="51">
        <f t="shared" si="131"/>
        <v>0.24</v>
      </c>
      <c r="CG96" s="51">
        <f t="shared" si="131"/>
        <v>0.24</v>
      </c>
      <c r="CH96" s="51">
        <f t="shared" si="131"/>
        <v>0.24</v>
      </c>
      <c r="CI96" s="51">
        <f t="shared" si="131"/>
        <v>0.24</v>
      </c>
      <c r="CJ96" s="51">
        <f t="shared" si="131"/>
        <v>0.24</v>
      </c>
      <c r="CK96" s="98">
        <f>CE96</f>
        <v>0.24</v>
      </c>
      <c r="CL96" s="98">
        <f t="shared" si="124"/>
        <v>0.24</v>
      </c>
      <c r="CM96" s="51">
        <f>IF(CM94=2,0.24,0.415)</f>
        <v>0.24</v>
      </c>
      <c r="CN96" s="51">
        <f>IF(CN94=2,0.24,0.415)</f>
        <v>0.24</v>
      </c>
      <c r="CO96" s="51">
        <f>IF(CO94=2,0.24,0.415)</f>
        <v>0.24</v>
      </c>
      <c r="CP96" s="51">
        <f t="shared" si="125"/>
        <v>0.24</v>
      </c>
      <c r="CQ96" s="70">
        <f t="shared" si="126"/>
        <v>0.24</v>
      </c>
      <c r="CR96" s="51">
        <f t="shared" ref="CR96:CY96" si="132">IF(CR94=2,0.24,0.415)</f>
        <v>0.24</v>
      </c>
      <c r="CS96" s="51">
        <f t="shared" si="132"/>
        <v>0.24</v>
      </c>
      <c r="CT96" s="51">
        <f t="shared" si="132"/>
        <v>0.24</v>
      </c>
      <c r="CU96" s="51">
        <f t="shared" si="132"/>
        <v>0.24</v>
      </c>
      <c r="CV96" s="51">
        <f t="shared" si="132"/>
        <v>0.24</v>
      </c>
      <c r="CW96" s="51">
        <f t="shared" si="132"/>
        <v>0.24</v>
      </c>
      <c r="CX96" s="51">
        <f t="shared" si="132"/>
        <v>0.24</v>
      </c>
      <c r="CY96" s="51">
        <f t="shared" si="132"/>
        <v>0.24</v>
      </c>
      <c r="CZ96" s="51"/>
      <c r="DA96" s="51"/>
      <c r="DB96" s="51"/>
      <c r="DC96" s="51"/>
      <c r="DD96" s="51"/>
      <c r="DE96" s="51"/>
      <c r="DF96" s="51"/>
      <c r="DG96" s="51"/>
      <c r="DH96" s="51"/>
      <c r="DI96" s="51"/>
      <c r="DJ96" s="51"/>
      <c r="DK96" s="51"/>
      <c r="DL96" s="51"/>
      <c r="DM96" s="51"/>
      <c r="DN96" s="51"/>
      <c r="DO96" s="51"/>
      <c r="DP96" s="290"/>
      <c r="DQ96" s="290"/>
      <c r="DR96" s="290"/>
      <c r="DS96" s="290"/>
      <c r="DT96" s="51"/>
      <c r="DV96" s="22"/>
      <c r="DW96" s="83"/>
      <c r="DX96" s="679"/>
      <c r="DY96" s="680"/>
      <c r="DZ96" s="83"/>
      <c r="EA96" s="694"/>
      <c r="EB96" s="695"/>
      <c r="EC96" s="83"/>
      <c r="ED96" s="694"/>
      <c r="EE96" s="695"/>
      <c r="EF96" s="83"/>
      <c r="EG96" s="694"/>
      <c r="EH96" s="695"/>
      <c r="EI96" s="83"/>
      <c r="EJ96" s="694"/>
      <c r="EK96" s="695"/>
      <c r="EL96" s="83"/>
      <c r="EM96" s="694"/>
      <c r="EN96" s="695"/>
      <c r="EO96" s="83"/>
      <c r="EP96" s="694"/>
      <c r="EQ96" s="695"/>
      <c r="ER96" s="83"/>
      <c r="ES96" s="694"/>
      <c r="ET96" s="695"/>
      <c r="EU96" s="83"/>
      <c r="EV96" s="679"/>
      <c r="EW96" s="680"/>
      <c r="EX96" s="83"/>
      <c r="EY96" s="694"/>
      <c r="EZ96" s="695"/>
      <c r="FA96" s="83"/>
      <c r="FB96" s="694"/>
      <c r="FC96" s="695"/>
      <c r="GD96" s="678"/>
      <c r="GE96" s="675"/>
      <c r="GF96" s="704"/>
      <c r="GG96" s="705"/>
      <c r="GH96" s="710"/>
      <c r="GI96" s="706"/>
      <c r="GJ96" s="707"/>
      <c r="GK96" s="710"/>
      <c r="GL96" s="706"/>
      <c r="GM96" s="707"/>
      <c r="GN96" s="710"/>
      <c r="GO96" s="706"/>
      <c r="GP96" s="707"/>
      <c r="GQ96" s="710"/>
      <c r="GR96" s="706"/>
      <c r="GS96" s="707"/>
      <c r="GT96" s="710"/>
      <c r="GU96" s="706"/>
      <c r="GV96" s="707"/>
      <c r="GW96" s="710"/>
      <c r="GX96" s="706"/>
      <c r="GY96" s="707"/>
      <c r="GZ96" s="710"/>
      <c r="HA96" s="706"/>
      <c r="HB96" s="707"/>
      <c r="HC96" s="710"/>
      <c r="HD96" s="704"/>
      <c r="HE96" s="705"/>
      <c r="HF96" s="710"/>
      <c r="HG96" s="706"/>
      <c r="HH96" s="707"/>
      <c r="HI96" s="710"/>
      <c r="HJ96" s="706"/>
      <c r="HK96" s="707"/>
    </row>
    <row r="97" spans="1:219" ht="13.5" thickBot="1" x14ac:dyDescent="0.25">
      <c r="A97" s="22"/>
      <c r="B97" s="83"/>
      <c r="C97" s="691"/>
      <c r="D97" s="692"/>
      <c r="E97" s="83"/>
      <c r="F97" s="691"/>
      <c r="G97" s="692"/>
      <c r="H97" s="83"/>
      <c r="I97" s="691"/>
      <c r="J97" s="692"/>
      <c r="K97" s="83"/>
      <c r="L97" s="691"/>
      <c r="M97" s="692"/>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51"/>
      <c r="AR97" s="51"/>
      <c r="AS97" s="51"/>
      <c r="AT97" s="51"/>
      <c r="AU97" s="51"/>
      <c r="AV97" s="51"/>
      <c r="AW97" s="51"/>
      <c r="AX97" s="51"/>
      <c r="AY97" s="51">
        <v>1.95</v>
      </c>
      <c r="AZ97" s="98">
        <v>0.72</v>
      </c>
      <c r="BA97" t="e">
        <f t="shared" si="120"/>
        <v>#DIV/0!</v>
      </c>
      <c r="BB97" t="e">
        <f t="shared" si="121"/>
        <v>#DIV/0!</v>
      </c>
      <c r="BC97" t="e">
        <f t="shared" si="122"/>
        <v>#DIV/0!</v>
      </c>
      <c r="BD97" t="e">
        <f t="shared" si="123"/>
        <v>#DIV/0!</v>
      </c>
      <c r="BE97" s="171"/>
      <c r="BF97" s="171"/>
      <c r="BG97" s="171"/>
      <c r="BH97" s="171"/>
      <c r="BI97" s="171"/>
      <c r="BJ97" s="171"/>
      <c r="BK97" s="171"/>
      <c r="BL97" s="171"/>
      <c r="BN97" s="51"/>
      <c r="BO97" s="51"/>
      <c r="BP97" s="211">
        <f>BP93/BP95</f>
        <v>0</v>
      </c>
      <c r="BQ97" s="127" t="s">
        <v>147</v>
      </c>
      <c r="BR97" s="211">
        <f>BR93/BR95</f>
        <v>0</v>
      </c>
      <c r="BS97" s="211">
        <f t="shared" ref="BS97:CE97" si="133">BS93/BS95</f>
        <v>0</v>
      </c>
      <c r="BT97" s="211">
        <f t="shared" si="133"/>
        <v>0</v>
      </c>
      <c r="BU97" s="211">
        <f t="shared" si="133"/>
        <v>0</v>
      </c>
      <c r="BV97" s="211">
        <f t="shared" si="133"/>
        <v>0</v>
      </c>
      <c r="BW97" s="211">
        <f t="shared" si="133"/>
        <v>0</v>
      </c>
      <c r="BX97" s="211">
        <f t="shared" si="133"/>
        <v>0</v>
      </c>
      <c r="BY97" s="211">
        <f t="shared" si="133"/>
        <v>0</v>
      </c>
      <c r="BZ97" s="211">
        <f t="shared" si="133"/>
        <v>0</v>
      </c>
      <c r="CA97" s="211">
        <f t="shared" si="133"/>
        <v>0</v>
      </c>
      <c r="CB97" s="211">
        <f t="shared" si="133"/>
        <v>0</v>
      </c>
      <c r="CC97" s="211">
        <f t="shared" si="133"/>
        <v>0</v>
      </c>
      <c r="CD97" s="211">
        <f t="shared" si="133"/>
        <v>0</v>
      </c>
      <c r="CE97" s="211">
        <f t="shared" si="133"/>
        <v>0</v>
      </c>
      <c r="CF97" s="211">
        <f>CF93/CF95</f>
        <v>0</v>
      </c>
      <c r="CG97" s="211">
        <f>CG93/CG95</f>
        <v>0</v>
      </c>
      <c r="CH97" s="211">
        <f>CH93/CH95</f>
        <v>0</v>
      </c>
      <c r="CI97" s="211">
        <f>CI93/CI95</f>
        <v>0</v>
      </c>
      <c r="CJ97" s="211">
        <f>CJ93/CJ95</f>
        <v>0</v>
      </c>
      <c r="CK97" s="98">
        <f>CE97</f>
        <v>0</v>
      </c>
      <c r="CL97" s="98">
        <f t="shared" si="124"/>
        <v>0</v>
      </c>
      <c r="CM97" s="211">
        <f>CM93/CM95</f>
        <v>0</v>
      </c>
      <c r="CN97" s="211">
        <f>CN93/CN95</f>
        <v>0</v>
      </c>
      <c r="CO97" s="211">
        <f>CO93/CO95</f>
        <v>0</v>
      </c>
      <c r="CP97" s="94">
        <f t="shared" si="125"/>
        <v>0</v>
      </c>
      <c r="CQ97" s="70">
        <f t="shared" si="126"/>
        <v>0</v>
      </c>
      <c r="CR97" s="211">
        <f t="shared" ref="CR97:CY97" si="134">CR93/CR95</f>
        <v>0</v>
      </c>
      <c r="CS97" s="211">
        <f t="shared" si="134"/>
        <v>0</v>
      </c>
      <c r="CT97" s="211">
        <f t="shared" si="134"/>
        <v>0</v>
      </c>
      <c r="CU97" s="211">
        <f t="shared" si="134"/>
        <v>0</v>
      </c>
      <c r="CV97" s="211">
        <f t="shared" si="134"/>
        <v>0</v>
      </c>
      <c r="CW97" s="211">
        <f t="shared" si="134"/>
        <v>0</v>
      </c>
      <c r="CX97" s="211">
        <f t="shared" si="134"/>
        <v>0</v>
      </c>
      <c r="CY97" s="211">
        <f t="shared" si="134"/>
        <v>0</v>
      </c>
      <c r="CZ97" s="51"/>
      <c r="DA97" s="51"/>
      <c r="DB97" s="51"/>
      <c r="DC97" s="51"/>
      <c r="DD97" s="51"/>
      <c r="DE97" s="51"/>
      <c r="DF97" s="51"/>
      <c r="DG97" s="51"/>
      <c r="DH97" s="51"/>
      <c r="DI97" s="51"/>
      <c r="DJ97" s="51"/>
      <c r="DK97" s="51"/>
      <c r="DL97" s="51"/>
      <c r="DM97" s="51"/>
      <c r="DN97" s="51"/>
      <c r="DO97" s="51"/>
      <c r="DP97" s="290"/>
      <c r="DQ97" s="290"/>
      <c r="DR97" s="290"/>
      <c r="DS97" s="290"/>
      <c r="DT97" s="51"/>
      <c r="DV97" s="23"/>
      <c r="DW97" s="83"/>
      <c r="DX97" s="689"/>
      <c r="DY97" s="690"/>
      <c r="DZ97" s="83"/>
      <c r="EA97" s="691"/>
      <c r="EB97" s="692"/>
      <c r="EC97" s="83"/>
      <c r="ED97" s="691"/>
      <c r="EE97" s="692"/>
      <c r="EF97" s="83"/>
      <c r="EG97" s="691"/>
      <c r="EH97" s="692"/>
      <c r="EI97" s="83"/>
      <c r="EJ97" s="691"/>
      <c r="EK97" s="692"/>
      <c r="EL97" s="83"/>
      <c r="EM97" s="691"/>
      <c r="EN97" s="692"/>
      <c r="EO97" s="83"/>
      <c r="EP97" s="691"/>
      <c r="EQ97" s="692"/>
      <c r="ER97" s="83"/>
      <c r="ES97" s="691"/>
      <c r="ET97" s="692"/>
      <c r="EU97" s="83"/>
      <c r="EV97" s="689"/>
      <c r="EW97" s="690"/>
      <c r="EX97" s="83"/>
      <c r="EY97" s="691"/>
      <c r="EZ97" s="692"/>
      <c r="FA97" s="83"/>
      <c r="FB97" s="691"/>
      <c r="FC97" s="692"/>
      <c r="GD97" s="27" t="s">
        <v>39</v>
      </c>
      <c r="GE97" s="93"/>
      <c r="GF97" s="689">
        <f>SUM(RELAÇÃO_DE_CARGA!CV98:CW98,RELAÇÃO_DE_CARGA!CY98:CZ98)</f>
        <v>0</v>
      </c>
      <c r="GG97" s="690"/>
      <c r="GH97" s="93"/>
      <c r="GI97" s="689"/>
      <c r="GJ97" s="690"/>
      <c r="GK97" s="93"/>
      <c r="GL97" s="689"/>
      <c r="GM97" s="690"/>
      <c r="GN97" s="93"/>
      <c r="GO97" s="689"/>
      <c r="GP97" s="690"/>
      <c r="GQ97" s="93"/>
      <c r="GR97" s="689">
        <f>IF(GR94=$C$1,SUM($AR$5:$AR$10),0)+IF(GR94=$F$1,SUM($AT$5:$AT$10,0))</f>
        <v>0</v>
      </c>
      <c r="GS97" s="690"/>
      <c r="GT97" s="93"/>
      <c r="GU97" s="689"/>
      <c r="GV97" s="690"/>
      <c r="GW97" s="93"/>
      <c r="GX97" s="689"/>
      <c r="GY97" s="690"/>
      <c r="GZ97" s="93"/>
      <c r="HA97" s="689"/>
      <c r="HB97" s="690"/>
      <c r="HC97" s="93"/>
      <c r="HD97" s="689"/>
      <c r="HE97" s="690"/>
      <c r="HF97" s="93"/>
      <c r="HG97" s="689"/>
      <c r="HH97" s="690"/>
      <c r="HI97" s="93"/>
      <c r="HJ97" s="689">
        <f>SUM(IF($C$1=$FB$1,$C$4,0),IF($F$1=$FB$1,$F$4,0),IF($I$1=$FB$1,$I$4,0),IF($L$1=$FB$1,$L$4,0))</f>
        <v>0</v>
      </c>
      <c r="HK97" s="690"/>
    </row>
    <row r="98" spans="1:219" ht="13.5" thickBot="1" x14ac:dyDescent="0.25">
      <c r="A98" s="22"/>
      <c r="B98" s="83"/>
      <c r="C98" s="691"/>
      <c r="D98" s="692"/>
      <c r="E98" s="83"/>
      <c r="F98" s="691"/>
      <c r="G98" s="692"/>
      <c r="H98" s="83"/>
      <c r="I98" s="691"/>
      <c r="J98" s="692"/>
      <c r="K98" s="83"/>
      <c r="L98" s="691"/>
      <c r="M98" s="692"/>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51"/>
      <c r="AR98" s="51"/>
      <c r="AS98" s="51"/>
      <c r="AT98" s="51"/>
      <c r="AU98" s="51"/>
      <c r="AV98" s="51"/>
      <c r="AW98" s="51"/>
      <c r="AX98" s="51"/>
      <c r="AY98" s="51">
        <v>2.95</v>
      </c>
      <c r="AZ98" s="98">
        <v>0.73</v>
      </c>
      <c r="BA98" t="e">
        <f t="shared" si="120"/>
        <v>#DIV/0!</v>
      </c>
      <c r="BB98" t="e">
        <f t="shared" si="121"/>
        <v>#DIV/0!</v>
      </c>
      <c r="BC98" t="e">
        <f t="shared" si="122"/>
        <v>#DIV/0!</v>
      </c>
      <c r="BD98" t="e">
        <f t="shared" si="123"/>
        <v>#DIV/0!</v>
      </c>
      <c r="BE98" s="171"/>
      <c r="BF98" s="171"/>
      <c r="BG98" s="171"/>
      <c r="BH98" s="171"/>
      <c r="BI98" s="171"/>
      <c r="BJ98" s="171"/>
      <c r="BK98" s="171"/>
      <c r="BL98" s="171"/>
      <c r="BN98" s="211"/>
      <c r="BO98" s="211"/>
      <c r="BP98" s="211">
        <f>BP93/BP96</f>
        <v>0</v>
      </c>
      <c r="BQ98" s="129" t="s">
        <v>148</v>
      </c>
      <c r="BR98" s="210">
        <f>(SUM(BR59:BR71,AS13:AS29,AS5)/0.24)+(SUM(BR40:BR56,AS30)/0.415)</f>
        <v>0</v>
      </c>
      <c r="BS98" s="210">
        <f>(SUM(BS59:BS71,AU13:AU29,AU5)/0.24)+(SUM(BS40:BS56,AU30)/0.415)</f>
        <v>0</v>
      </c>
      <c r="BT98" s="210">
        <f>(SUM(BT59:BT71,AW13:AW29,AW5)/0.24)+(SUM(BT40:BT56,AW30)/0.415)</f>
        <v>0</v>
      </c>
      <c r="BU98" s="210">
        <f>(SUM(BU59:BU71,AY13:AY29,AY5)/0.24)+(SUM(BU40:BU56,AY30)/0.415)</f>
        <v>0</v>
      </c>
      <c r="BV98" s="210">
        <f>(SUM(BV59:BV71,BA13:BA29,BA5)/0.24)+(SUM(BV40:BV56,BA30)/0.415)</f>
        <v>0</v>
      </c>
      <c r="BW98" s="210">
        <f>(SUM(BW59:BW71,BC13:BC29,BC5)/0.24)+(SUM(BW40:BW56,BC30)/0.415)</f>
        <v>0</v>
      </c>
      <c r="BX98" s="210">
        <f>(SUM(BX59:BX71,BE13:BE29,BE5)/0.24)+(SUM(BX40:BX56,BE30)/0.415)</f>
        <v>0</v>
      </c>
      <c r="BY98" s="210">
        <f>(SUM(BY59:BY71,BG13:BG29,BG5)/0.24)+(SUM(BY40:BY56,BG30)/0.415)</f>
        <v>0</v>
      </c>
      <c r="BZ98" s="210">
        <f>(SUM(BZ59:BZ71,BI13:BI29,BI5)/0.24)+(SUM(BZ40:BZ56,BI30)/0.415)</f>
        <v>0</v>
      </c>
      <c r="CA98" s="210">
        <f>(SUM(CA59:CA71,BK13:BK29,BK5)/0.24)+(SUM(CA40:CA56,BK30)/0.415)</f>
        <v>0</v>
      </c>
      <c r="CB98" s="210">
        <f>(SUM(CB59:CB71,BM13:BM29,BM5)/0.24)+(SUM(CB40:CB56,BM30)/0.415)</f>
        <v>0</v>
      </c>
      <c r="CC98" s="210">
        <f>(SUM(CC59:CC71,BO13:BO29,BO5)/0.24)+(SUM(CC40:CC56,BO30)/0.415)</f>
        <v>0</v>
      </c>
      <c r="CD98" s="210">
        <f>(SUM($CN$6,$CQ$6,$CT$6,$CW$6,$CZ$6,$DC$6,$DF$6,$DI$6,$DL$6,$DO$6,$DR$6,$DM$8,$CO$8:$CO$24,$CO$47:$CO$59)/0.24)+(SUM($CO$25,$CO$28:$CO$44)/0.415)</f>
        <v>0</v>
      </c>
      <c r="CE98" s="210">
        <f>(SUM(FP6,FS6,FV6,FY6,GB6,GE6,GH6,GK6,GN6,GQ6,GT6,GO8,FQ8:FQ24,FQ47:FQ59)/0.24)+(SUM(FQ28:FQ44,FQ25)/0.415)</f>
        <v>0</v>
      </c>
      <c r="CF98" s="210">
        <f>(SUM(HG6,HJ6,HM6,HP6,HS6,HV6,HY6,IB6,IE6,IH6,IK6,IF8,HH8:HH24,HH47:HH59)/0.24)+(SUM(HH28:HH44,HH25)/0.415)</f>
        <v>0</v>
      </c>
      <c r="CG98" s="210">
        <f>SUM((SUM($DY$6,$DZ$8:$DZ$24,$DZ$47:$DZ$59)*$DU$2/0.24),SUM($EL$8:$EL$24,$EX$8,$EB$6,$EE$6,$EH$6,$EK$6,$EN$6,$EQ$6,$ET$6,$EW$6,$EZ$6,$FC$6,$EJ$47:$EJ$59)/0.24,SUM($DZ$28:$DZ$44,$DZ$25)*$DU$2/0.415,SUM($EL$25,$EJ$28:$EJ$44)/0.415)</f>
        <v>0</v>
      </c>
      <c r="CH98" s="210">
        <f>SUM((SUM($AW$166,$AX$168:$AX$184,$AX$207:$AX$219)*$AS$162/0.24),SUM($AZ$166,$BC$166,$BF$166,$BI$166,$BL$166,$BO$166,$BR$166,$BU$166,$BX$166,$CA$166,$BV$168,$BH$207:$BH$219,$BI$168:$BI$184)/0.24,SUM($AX$185,$AX$188:$AX$204)*$AS$162/0.415,SUM($BI$185,$BH$188:$BH$204)/0.415)</f>
        <v>0</v>
      </c>
      <c r="CI98" s="210">
        <f>SUM((SUM(CN166,CO168:CO184,CO207:CO219)*CJ162/0.24),SUM(CQ166,CT166,CW166,CZ166,DC166,DF166,DI166,DL166,DO166,DR166,DM168,CZ168:CZ184,CY207:CY219)/0.24,SUM(CO185,CO188:CO204)*CJ162/0.415,SUM(CZ185,CY188:CY204)/0.415)</f>
        <v>0</v>
      </c>
      <c r="CJ98" s="210">
        <f>SUM((SUM($F$166,$G$168:$G$184,$G$207:$G$219)*$B$162/0.24),SUM($I$166,$L$166,$O$166,$R$166,$U$166,$X$166,$AA$166,$AD$166,$AG$166,$AJ$166,$AE$168,$S$168:$S$184,$Q$207:$Q$219)/0.24,SUM($G$185,$G$188:$G$204)*$B$162/0.415,SUM($S$185,$Q$188:$Q$204)/0.415)</f>
        <v>0</v>
      </c>
      <c r="CK98" s="98">
        <f>CE98</f>
        <v>0</v>
      </c>
      <c r="CL98" s="98">
        <f t="shared" si="124"/>
        <v>0</v>
      </c>
      <c r="CM98" s="210">
        <f>SUM((SUM(AW228,AZ228,BC228,BF228,BI228,BL228,BO228,BR228,BU228,BX228,CA228,BV230,AX230:AX246,AX269:AX281)/0.24),SUM(AX247,AX250:AX266)/0.415)</f>
        <v>0</v>
      </c>
      <c r="CN98" s="210">
        <f>SUM((SUM(CN228,CQ228,CT228,CW228,CZ228,DC228,DF228,DI228,DL228,DO228,DR228,DM230,CO230:CO246,CO269:CO281)/0.24),SUM(CO250:CO266,CO247)/0.415)</f>
        <v>0</v>
      </c>
      <c r="CO98" s="210">
        <f>SUM((SUM($F$228,$G$230:$G$246,$G$269:$G$281)*$B$224/0.24),SUM($I$228,$L$228,$O$228,$R$228,$U$228,$X$228,$AA$228,$AD$228,$AG$228,$AJ$228,$AE$230,$S$230:$S$246,$Q$269:$Q$281)/0.24,SUM($G$247,$G$250:$G$266)*$B$224/0.415,SUM($S$247,$Q$250:$Q$266)/0.415)</f>
        <v>0</v>
      </c>
      <c r="CP98" s="98">
        <f t="shared" si="125"/>
        <v>0</v>
      </c>
      <c r="CQ98" s="70">
        <f t="shared" si="126"/>
        <v>0</v>
      </c>
      <c r="CR98" s="210">
        <f>SUM((SUM(AW289,AX291:AX307,AX330:AX342)*AS285/0.24),SUM(AZ289,BC289,BF289,BI289,BL289,BO289,BR289,BU289,BX289,CA289,BV291,BI291:BI307,BH330:BH342)/0.24,SUM(AX308,AX311:AX327)*AS285/0.415,SUM(BI308,BH311:BH327)/0.415)</f>
        <v>0</v>
      </c>
      <c r="CS98" s="210">
        <f>SUM((SUM(CN289,CO291:CO307,CO330:CO342)*CJ285/0.24),SUM(CQ289,CT289,CW289,CZ289,DC289,DF289,DI289,DL289,DO289,DR289,DM291,CZ291:CZ307,CY330:CY342)/0.24,SUM(CO308,CO311:CO327)*CJ285/0.415,SUM(CZ308,CY311:CY327)/0.415)</f>
        <v>0</v>
      </c>
      <c r="CT98" s="210">
        <f>SUM((SUM($F$289,$G$291:$G$307,$G$330:$G$342)*$B$285/0.24),SUM($I$289,$L$289,$O$289,$R$289,$U$289,$X$289,$AA$289,$AD$289,$AG$289,$AJ$289,$AE$291,$S$291:$S$307,$Q$330:$Q$342)/0.24,SUM($G$308,$G$311:$G$327)*$B$285/0.415,SUM($S$308,$Q$311:$Q$327)/0.415)</f>
        <v>0</v>
      </c>
      <c r="CU98" s="210">
        <f>(SUM($CN$6,$CQ$6,$CT$6,$CW$6,$CZ$6,$DC$6,$DF$6,$DI$6,$DL$6,$DO$6,$DR$6,$DM$8,$CO$8:$CO$24,$CX$47:$CX$59)/0.24)+(SUM($CO$25,$CX$28:$CX$44)/0.415)</f>
        <v>0</v>
      </c>
      <c r="CV98" s="210">
        <f>SUM((SUM($DY$6,$DZ$8:$DZ$24,$ER$47:$ER$59)*$DU$2/0.24),SUM($EL$8:$EL$24,$EX$8,$EB$6,$EE$6,$EH$6,$EK$6,$EN$6,$EQ$6,$ET$6,$EW$6,$EZ$6,$FC$6,$EY$47:$EY$59)/0.24,SUM($ER$28:$ER$44,$DZ$25)*$DU$2/0.415,SUM($EL$25,$EY$28:$EY$44)/0.415)</f>
        <v>0</v>
      </c>
      <c r="CW98" s="210">
        <f>SUM((SUM($F$166,$G$168:$G$184,$Y$207:$Y$219)*$B$162/0.24),SUM($I$166,$L$166,$O$166,$R$166,$U$166,$X$166,$AA$166,$AD$166,$AG$166,$AJ$166,$AE$168,$S$168:$S$184,$AI$207:$AI$219)/0.24,SUM($G$185,$Y$188:$Y$204)*$B$162/0.415,SUM($S$185,$AI$188:$AI$204)/0.415)</f>
        <v>0</v>
      </c>
      <c r="CX98" s="210">
        <f>SUM((SUM($F$228,$G$230:$G$246,$Y$269:$Y$281)*$B$224/0.24),SUM($I$228,$L$228,$O$228,$R$228,$U$228,$X$228,$AA$228,$AD$228,$AG$228,$AJ$228,$AE$230,$S$230:$S$246,$AI$269:$AI$281)/0.24,SUM($G$247,$Y$250:$Y$266)*$B$224/0.415,SUM($S$247,$AI$250:$AI$266)/0.415)</f>
        <v>0</v>
      </c>
      <c r="CY98" s="210">
        <f>SUM((SUM($F$289,$G$291:$G$307,$Y$330:$Y$342)*$B$285/0.24),SUM($I$289,$L$289,$O$289,$R$289,$U$289,$X$289,$AA$289,$AD$289,$AG$289,$AJ$289,$AE$291,$S$291:$S$307,$AI$330:$AI$342)/0.24,SUM($G$308,$Y$311:$Y$327)*$B$285/0.415,SUM($S$308,$AI$311:$AI$327)/0.415)</f>
        <v>0</v>
      </c>
      <c r="EJ98" s="171"/>
      <c r="EK98" s="171"/>
      <c r="GD98" s="27" t="s">
        <v>168</v>
      </c>
      <c r="GE98" s="83"/>
      <c r="GF98" s="681"/>
      <c r="GG98" s="682"/>
      <c r="GH98" s="83">
        <f>RELAÇÃO_DE_CARGA!EA99</f>
        <v>0</v>
      </c>
      <c r="GI98" s="681">
        <f>IF(GI94=$C$1,SUM($AR$5:$AR$10),0)+IF(GI94=$F$1,SUM($AT$5:$AT$10),0)</f>
        <v>0</v>
      </c>
      <c r="GJ98" s="682"/>
      <c r="GK98" s="83">
        <f>RELAÇÃO_DE_CARGA!ED99</f>
        <v>0</v>
      </c>
      <c r="GL98" s="681">
        <f>IF(GL94=$C$1,SUM($AR$5:$AR$10),0)+IF(GL94=$F$1,SUM($AT$5:$AT$10),0)</f>
        <v>0</v>
      </c>
      <c r="GM98" s="682"/>
      <c r="GN98" s="83">
        <f>RELAÇÃO_DE_CARGA!EG99</f>
        <v>0</v>
      </c>
      <c r="GO98" s="681">
        <f>IF(GO94=$C$1,SUM($AR$5:$AR$10),0)+IF(GO94=$F$1,SUM($AT$5:$AT$10),0)</f>
        <v>0</v>
      </c>
      <c r="GP98" s="682"/>
      <c r="GQ98" s="83">
        <f>RELAÇÃO_DE_CARGA!EJ99</f>
        <v>0</v>
      </c>
      <c r="GR98" s="681">
        <f>IF(GR94=$C$1,SUM($AR$5:$AR$10),0)+IF(GR94=$F$1,SUM($AT$5:$AT$10),0)</f>
        <v>0</v>
      </c>
      <c r="GS98" s="682"/>
      <c r="GT98" s="83">
        <f>RELAÇÃO_DE_CARGA!EM99</f>
        <v>0</v>
      </c>
      <c r="GU98" s="681">
        <f>IF(GU94=$C$1,SUM($AR$5:$AR$10),0)+IF(GU94=$F$1,SUM($AT$5:$AT$10),0)</f>
        <v>0</v>
      </c>
      <c r="GV98" s="682"/>
      <c r="GW98" s="83">
        <f>RELAÇÃO_DE_CARGA!EP99</f>
        <v>0</v>
      </c>
      <c r="GX98" s="681">
        <f>IF(GX94=$C$1,SUM($AR$5:$AR$10),0)+IF(GX94=$F$1,SUM($AT$5:$AT$10),0)</f>
        <v>0</v>
      </c>
      <c r="GY98" s="682"/>
      <c r="GZ98" s="83">
        <f>RELAÇÃO_DE_CARGA!ES99</f>
        <v>0</v>
      </c>
      <c r="HA98" s="681">
        <f>IF(HA94=$C$1,SUM($AR$5:$AR$10),0)+IF(HA94=$F$1,SUM($AT$5:$AT$10),0)</f>
        <v>0</v>
      </c>
      <c r="HB98" s="682"/>
      <c r="HC98" s="83">
        <f>RELAÇÃO_DE_CARGA!EV99</f>
        <v>0</v>
      </c>
      <c r="HD98" s="681">
        <f>IF(HD94=$C$1,SUM($AR$5:$AR$10),0)+IF(HD94=$F$1,SUM($AT$5:$AT$10),0)</f>
        <v>0</v>
      </c>
      <c r="HE98" s="682"/>
      <c r="HF98" s="83">
        <f>RELAÇÃO_DE_CARGA!EY99</f>
        <v>0</v>
      </c>
      <c r="HG98" s="681">
        <f>IF(HG94=$C$1,SUM($AR$5:$AR$10),0)+IF(HG94=$F$1,SUM($AT$5:$AT$10),0)</f>
        <v>0</v>
      </c>
      <c r="HH98" s="682"/>
      <c r="HI98" s="83">
        <f>RELAÇÃO_DE_CARGA!EG99</f>
        <v>0</v>
      </c>
      <c r="HJ98" s="681"/>
      <c r="HK98" s="682"/>
    </row>
    <row r="99" spans="1:219" ht="13.5" thickBot="1" x14ac:dyDescent="0.25">
      <c r="A99" s="22"/>
      <c r="B99" s="83"/>
      <c r="C99" s="691"/>
      <c r="D99" s="692"/>
      <c r="E99" s="83"/>
      <c r="F99" s="691"/>
      <c r="G99" s="692"/>
      <c r="H99" s="83"/>
      <c r="I99" s="691"/>
      <c r="J99" s="692"/>
      <c r="K99" s="83"/>
      <c r="L99" s="691"/>
      <c r="M99" s="692"/>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51"/>
      <c r="AR99" s="51"/>
      <c r="AS99" s="51"/>
      <c r="AT99" s="51"/>
      <c r="AY99" s="51">
        <v>3.72</v>
      </c>
      <c r="AZ99" s="98">
        <v>0.13</v>
      </c>
      <c r="BA99" t="e">
        <f t="shared" si="120"/>
        <v>#DIV/0!</v>
      </c>
      <c r="BB99" t="e">
        <f t="shared" si="121"/>
        <v>#DIV/0!</v>
      </c>
      <c r="BC99" t="e">
        <f t="shared" si="122"/>
        <v>#DIV/0!</v>
      </c>
      <c r="BD99" t="e">
        <f t="shared" si="123"/>
        <v>#DIV/0!</v>
      </c>
      <c r="BE99" s="171"/>
      <c r="BF99" s="171"/>
      <c r="BG99" s="171"/>
      <c r="BH99" s="171"/>
      <c r="BI99" s="171"/>
      <c r="BJ99" s="171"/>
      <c r="BK99" s="171"/>
      <c r="BL99" s="171"/>
      <c r="BN99" s="211" t="s">
        <v>1844</v>
      </c>
      <c r="BO99" s="211" t="s">
        <v>1845</v>
      </c>
      <c r="BP99" s="98">
        <f>ROUND(SUM(BR99:CC99)*1.2,2)</f>
        <v>0</v>
      </c>
      <c r="BQ99" s="52" t="s">
        <v>1613</v>
      </c>
      <c r="BR99" s="51">
        <f>IF(C1&lt;&gt;"Vazio",SUM(C5:D10,C103:C119,C142:C154)*VLOOKUP($C$1,'Tab. Demanda trafo'!$A$2:$B$14,2,0),0)</f>
        <v>0</v>
      </c>
      <c r="BS99" s="51">
        <f>IF(F1&lt;&gt;"Vazio",SUM(F5:G10,F103:F119,F142:F154)*VLOOKUP($F$1,'Tab. Demanda trafo'!$A$2:$B$14,2,0),0)</f>
        <v>0</v>
      </c>
      <c r="BT99" s="70">
        <f>IF(I1&lt;&gt;"Vazio",SUM(I5:J10,I103:I119,I142:I154)*VLOOKUP($I$1,'Tab. Demanda trafo'!$A$2:$B$14,2,0),0)</f>
        <v>0</v>
      </c>
      <c r="BU99" s="70">
        <f>IF(L1&lt;&gt;"Vazio",SUM(L5:M10,L103:L119,L142:L154)*VLOOKUP($L$1,'Tab. Demanda trafo'!$A$2:$B$14,2,0),0)</f>
        <v>0</v>
      </c>
      <c r="BV99" s="70">
        <f>IF(O1&lt;&gt;"Vazio",SUM(O5:P10,O103:O119,O142:O154)*VLOOKUP($O$1,'Tab. Demanda trafo'!$A$2:$B$14,2,0),0)</f>
        <v>0</v>
      </c>
      <c r="BW99" s="70">
        <f>IF(R1&lt;&gt;"Vazio",SUM(R5:S10,R103:R119,R142:R154)*VLOOKUP($R$1,'Tab. Demanda trafo'!$A$2:$B$14,2,0),0)</f>
        <v>0</v>
      </c>
      <c r="BX99" s="70">
        <f>IF(U1&lt;&gt;"Vazio",SUM(U5:V10,U103:U119,U142:U154)*VLOOKUP($U$1,'Tab. Demanda trafo'!$A$2:$B$14,2,0),0)</f>
        <v>0</v>
      </c>
      <c r="BY99" s="70">
        <f>IF(X1&lt;&gt;"Vazio",SUM(X5:Y10,X103:X119,X142:X154)*VLOOKUP($X$1,'Tab. Demanda trafo'!$A$2:$B$14,2,0),0)</f>
        <v>0</v>
      </c>
      <c r="BZ99" s="70">
        <f>IF(AA1&lt;&gt;"Vazio",SUM(AA5:AB10,AA103:AA119,AA142:AA154)*VLOOKUP($AA$1,'Tab. Demanda trafo'!$A$2:$B$14,2,0),0)</f>
        <v>0</v>
      </c>
      <c r="CA99" s="70">
        <f>IF(AD1&lt;&gt;"Vazio",SUM(AD5:AE10,AD103:AD119,AD142:AD154)*VLOOKUP($AD$1,'Tab. Demanda trafo'!$A$2:$B$14,2,0),0)</f>
        <v>0</v>
      </c>
      <c r="CB99" s="70">
        <f>IF(AG1&lt;&gt;"Vazio",SUM(AG5:AH10,AG103:AG119,AG142:AG154)*VLOOKUP($AG$1,'Tab. Demanda trafo'!$A$2:$B$14,2,0),0)</f>
        <v>0</v>
      </c>
      <c r="CC99" s="70">
        <f>IF(AJ1&lt;&gt;"Vazio",SUM(AJ5:AK10,AJ103:AJ119,AJ142:AJ154)*VLOOKUP($AJ$1,'Tab. Demanda trafo'!$A$2:$B$14,2,0),0)</f>
        <v>0</v>
      </c>
      <c r="CD99" s="300">
        <f>SUM(CN6,CQ6,CT6,CW6,CZ6,DC6,DF6,DI6,DL6,DO6,DR6,DM8,CO8:CO24,CO47:CO59)</f>
        <v>0</v>
      </c>
      <c r="CG99" s="88">
        <f>SUM((SUM(DY6,DZ8:DZ24,DZ47:DZ59)*DU2),SUM(EL8:EL24,EX8,EB6,EE6,EH6,EK6,EN6,EQ6,ET6,EW6,EZ6,FC6,EJ47:EJ59))</f>
        <v>0</v>
      </c>
      <c r="CJ99">
        <f>SUM((SUM(F166,G168:G184,G207:G219)*B162),SUM(I166,L166,O166,R166,U166,X166,AA166,AD166,AG166,AJ166,AE168,S168:S184,Q207:Q219))</f>
        <v>0</v>
      </c>
      <c r="CO99" s="20">
        <f>SUM((SUM(F228,G230:G246,G269:G281)*B224),SUM(I228,L228,O228,R228,U228,X228,AA228,AD228,AG228,AJ228,AE230,S230:S246,Q269:Q281))</f>
        <v>0</v>
      </c>
      <c r="CT99">
        <f>SUM((SUM(F289,G291:G307,G330:G342)*B285),SUM(I289,L289,O289,R289,U289,X289,AA289,AD289,AG289,AJ289,AE291,S291:S307,Q330:Q342))</f>
        <v>0</v>
      </c>
      <c r="EJ99" s="171"/>
      <c r="EK99" s="171"/>
      <c r="GD99" s="195" t="s">
        <v>169</v>
      </c>
      <c r="GE99" s="196"/>
      <c r="GF99" s="197"/>
      <c r="GG99" s="198">
        <f>GF97*0.005</f>
        <v>0</v>
      </c>
      <c r="GH99" s="196"/>
      <c r="GI99" s="197"/>
      <c r="GJ99" s="198">
        <f>IF(GI98&gt;12,((GI98-12)*0.5)+12,GI98)</f>
        <v>0</v>
      </c>
      <c r="GK99" s="196"/>
      <c r="GL99" s="197"/>
      <c r="GM99" s="198">
        <f>IF(GL98&gt;20,((GL98-20)*0.7)+20,GL98)</f>
        <v>0</v>
      </c>
      <c r="GN99" s="196"/>
      <c r="GO99" s="197"/>
      <c r="GP99" s="198">
        <f>IF(GO98&gt;50,((GO98-50)*0.2)+(50*0.4),GO98*0.4)</f>
        <v>0</v>
      </c>
      <c r="GQ99" s="196"/>
      <c r="GR99" s="197">
        <v>1</v>
      </c>
      <c r="GS99" s="198">
        <f>GR99*GR98</f>
        <v>0</v>
      </c>
      <c r="GT99" s="196"/>
      <c r="GU99" s="197">
        <v>1</v>
      </c>
      <c r="GV99" s="198">
        <f>GU99*GU98</f>
        <v>0</v>
      </c>
      <c r="GW99" s="196"/>
      <c r="GX99" s="197">
        <v>1</v>
      </c>
      <c r="GY99" s="198">
        <f>GX99*GX98</f>
        <v>0</v>
      </c>
      <c r="GZ99" s="196"/>
      <c r="HA99" s="197">
        <v>1</v>
      </c>
      <c r="HB99" s="198">
        <f>HA99*HA98</f>
        <v>0</v>
      </c>
      <c r="HC99" s="196"/>
      <c r="HD99" s="197">
        <v>1</v>
      </c>
      <c r="HE99" s="198">
        <f>HD99*HD98</f>
        <v>0</v>
      </c>
      <c r="HF99" s="196"/>
      <c r="HG99" s="197">
        <v>1</v>
      </c>
      <c r="HH99" s="198">
        <f>HG99*HG98</f>
        <v>0</v>
      </c>
      <c r="HI99" s="196"/>
      <c r="HJ99" s="197"/>
      <c r="HK99" s="198">
        <f>HJ97*0.005</f>
        <v>0</v>
      </c>
    </row>
    <row r="100" spans="1:219" ht="13.5" thickBot="1" x14ac:dyDescent="0.25">
      <c r="A100" s="22"/>
      <c r="B100" s="83"/>
      <c r="C100" s="691"/>
      <c r="D100" s="692"/>
      <c r="E100" s="83"/>
      <c r="F100" s="691"/>
      <c r="G100" s="692"/>
      <c r="H100" s="83"/>
      <c r="I100" s="691"/>
      <c r="J100" s="692"/>
      <c r="K100" s="83"/>
      <c r="L100" s="691"/>
      <c r="M100" s="692"/>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51"/>
      <c r="AY100" s="51">
        <v>4.51</v>
      </c>
      <c r="AZ100" s="98">
        <v>0.75</v>
      </c>
      <c r="BA100" t="e">
        <f t="shared" si="120"/>
        <v>#DIV/0!</v>
      </c>
      <c r="BB100" t="e">
        <f t="shared" si="121"/>
        <v>#DIV/0!</v>
      </c>
      <c r="BC100" t="e">
        <f t="shared" si="122"/>
        <v>#DIV/0!</v>
      </c>
      <c r="BD100" t="e">
        <f t="shared" si="123"/>
        <v>#DIV/0!</v>
      </c>
      <c r="BE100" s="171"/>
      <c r="BF100" s="171"/>
      <c r="BG100" s="171"/>
      <c r="BH100" s="171"/>
      <c r="BI100" s="171"/>
      <c r="BJ100" s="171"/>
      <c r="BK100" s="171"/>
      <c r="BL100" s="171"/>
      <c r="BM100" s="171"/>
      <c r="BN100" s="449" t="s">
        <v>1846</v>
      </c>
      <c r="BO100" t="s">
        <v>1847</v>
      </c>
      <c r="BP100" s="98">
        <f>ROUND(SUM(BR100:CC100)*1.2,2)</f>
        <v>0</v>
      </c>
      <c r="BQ100" s="20" t="s">
        <v>1614</v>
      </c>
      <c r="BR100" s="70">
        <f>IF(C1&lt;&gt;"Vazio",SUM(C120,C123:C139)*VLOOKUP($C$1,'Tab. Demanda trafo'!$A$2:$B$14,2,0),0)</f>
        <v>0</v>
      </c>
      <c r="BS100" s="70">
        <f>IF(F1&lt;&gt;"Vazio",SUM(F120,F123:F139)*VLOOKUP($F$1,'Tab. Demanda trafo'!$A$2:$B$14,2,0),0)</f>
        <v>0</v>
      </c>
      <c r="BT100" s="70">
        <f>IF(I1&lt;&gt;"Vazio",SUM(I120,I123:I139)*VLOOKUP($I$1,'Tab. Demanda trafo'!$A$2:$B$14,2,0),0)</f>
        <v>0</v>
      </c>
      <c r="BU100" s="70">
        <f>IF(L1&lt;&gt;"Vazio",SUM(L120,L123:L139)*VLOOKUP($L$1,'Tab. Demanda trafo'!$A$2:$B$14,2,0),0)</f>
        <v>0</v>
      </c>
      <c r="BV100" s="70">
        <f>IF(O1&lt;&gt;"Vazio",SUM(O120,O123:O139)*VLOOKUP($O$1,'Tab. Demanda trafo'!$A$2:$B$14,2,0),0)</f>
        <v>0</v>
      </c>
      <c r="BW100" s="70">
        <f>IF(R1&lt;&gt;"Vazio",SUM(R120,R123:R139)*VLOOKUP($R$1,'Tab. Demanda trafo'!$A$2:$B$14,2,0),0)</f>
        <v>0</v>
      </c>
      <c r="BX100" s="70">
        <f>IF(U1&lt;&gt;"Vazio",SUM(U120,U123:U139)*VLOOKUP($U$1,'Tab. Demanda trafo'!$A$2:$B$14,2,0),0)</f>
        <v>0</v>
      </c>
      <c r="BY100" s="70">
        <f>IF(X1&lt;&gt;"Vazio",SUM(X120,X123:X139)*VLOOKUP($X$1,'Tab. Demanda trafo'!$A$2:$B$14,2,0),0)</f>
        <v>0</v>
      </c>
      <c r="BZ100" s="70">
        <f>IF(AA1&lt;&gt;"Vazio",SUM(AA120,AA123:AA139)*VLOOKUP($AA$1,'Tab. Demanda trafo'!$A$2:$B$14,2,0),0)</f>
        <v>0</v>
      </c>
      <c r="CA100" s="70">
        <f>IF(AD1&lt;&gt;"Vazio",SUM(AD120,AD123:AD139)*VLOOKUP($AD$1,'Tab. Demanda trafo'!$A$2:$B$14,2,0),0)</f>
        <v>0</v>
      </c>
      <c r="CB100" s="70">
        <f>IF(AG1&lt;&gt;"Vazio",SUM(AG120,AG123:AG139)*VLOOKUP($AG$1,'Tab. Demanda trafo'!$A$2:$B$14,2,0),0)</f>
        <v>0</v>
      </c>
      <c r="CC100" s="70">
        <f>IF(AJ1&lt;&gt;"Vazio",SUM(AJ120,AJ123:AJ139)*VLOOKUP($AJ$1,'Tab. Demanda trafo'!$A$2:$B$14,2,0),0)</f>
        <v>0</v>
      </c>
      <c r="CD100" s="300">
        <f>SUM(CO25,CO28:CO44)</f>
        <v>0</v>
      </c>
      <c r="CG100" s="88">
        <f>SUM(SUM(DZ28:DZ44,DZ25)*DU2,SUM(EL25,EJ28:EJ44))</f>
        <v>0</v>
      </c>
      <c r="CJ100">
        <f>SUM(SUM(G185,G188:G204)*B162,SUM(S185,Q188:Q204))</f>
        <v>0</v>
      </c>
      <c r="CO100">
        <f>SUM(SUM(G247,G250:G266)*B224,SUM(R247,Q250:Q266))</f>
        <v>0</v>
      </c>
      <c r="CT100" s="20">
        <f>SUM(SUM(G308,G311:G327)*B285,SUM(R308,Q311:Q327))</f>
        <v>0</v>
      </c>
      <c r="EJ100" s="171"/>
      <c r="EK100" s="171"/>
      <c r="GD100" s="21"/>
      <c r="GE100" s="85"/>
      <c r="GF100" s="200"/>
      <c r="GG100" s="201" t="s">
        <v>41</v>
      </c>
      <c r="GH100" s="90" t="s">
        <v>171</v>
      </c>
      <c r="GI100" s="57" t="s">
        <v>38</v>
      </c>
      <c r="GJ100" s="58" t="s">
        <v>41</v>
      </c>
      <c r="GK100" s="85"/>
      <c r="GL100" s="55" t="s">
        <v>38</v>
      </c>
      <c r="GM100" s="59" t="s">
        <v>41</v>
      </c>
      <c r="GN100" s="85"/>
      <c r="GO100" s="55" t="s">
        <v>38</v>
      </c>
      <c r="GP100" s="59" t="s">
        <v>41</v>
      </c>
      <c r="GQ100" s="85"/>
      <c r="GR100" s="55" t="s">
        <v>38</v>
      </c>
      <c r="GS100" s="59" t="s">
        <v>41</v>
      </c>
      <c r="GT100" s="85"/>
      <c r="GU100" s="55" t="s">
        <v>38</v>
      </c>
      <c r="GV100" s="59" t="s">
        <v>41</v>
      </c>
      <c r="GW100" s="85"/>
      <c r="GX100" s="55" t="s">
        <v>38</v>
      </c>
      <c r="GY100" s="59" t="s">
        <v>41</v>
      </c>
      <c r="GZ100" s="85"/>
      <c r="HA100" s="55" t="s">
        <v>38</v>
      </c>
      <c r="HB100" s="59" t="s">
        <v>41</v>
      </c>
      <c r="HC100" s="85"/>
      <c r="HD100" s="200" t="s">
        <v>38</v>
      </c>
      <c r="HE100" s="201" t="s">
        <v>41</v>
      </c>
      <c r="HF100" s="85" t="s">
        <v>171</v>
      </c>
      <c r="HG100" s="55" t="s">
        <v>38</v>
      </c>
      <c r="HH100" s="59" t="s">
        <v>41</v>
      </c>
      <c r="HI100" s="90"/>
      <c r="HJ100" s="60" t="s">
        <v>38</v>
      </c>
      <c r="HK100" s="58" t="s">
        <v>41</v>
      </c>
    </row>
    <row r="101" spans="1:219" ht="13.5" thickBot="1" x14ac:dyDescent="0.25">
      <c r="A101" s="22"/>
      <c r="B101" s="83"/>
      <c r="C101" s="691"/>
      <c r="D101" s="692"/>
      <c r="E101" s="83"/>
      <c r="F101" s="691"/>
      <c r="G101" s="692"/>
      <c r="H101" s="83"/>
      <c r="I101" s="691"/>
      <c r="J101" s="692"/>
      <c r="K101" s="83"/>
      <c r="L101" s="691"/>
      <c r="M101" s="692"/>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51"/>
      <c r="AY101" s="51">
        <v>5.53</v>
      </c>
      <c r="AZ101" s="98">
        <v>0.76</v>
      </c>
      <c r="BA101" t="e">
        <f t="shared" si="120"/>
        <v>#DIV/0!</v>
      </c>
      <c r="BB101" t="e">
        <f t="shared" si="121"/>
        <v>#DIV/0!</v>
      </c>
      <c r="BC101" t="e">
        <f t="shared" si="122"/>
        <v>#DIV/0!</v>
      </c>
      <c r="BD101" t="e">
        <f t="shared" si="123"/>
        <v>#DIV/0!</v>
      </c>
      <c r="BE101" s="171"/>
      <c r="BF101" s="171"/>
      <c r="BG101" s="171"/>
      <c r="BH101" s="171"/>
      <c r="BI101" s="171"/>
      <c r="BJ101" s="171"/>
      <c r="BK101" s="171"/>
      <c r="BL101" s="171"/>
      <c r="BM101" s="171"/>
      <c r="BN101" s="171"/>
      <c r="BQ101" t="s">
        <v>1781</v>
      </c>
      <c r="BR101" s="98">
        <f>IF(AND(SUM(AS30,AQ33:AQ49)&gt;0,CENTRO_DE_MEDIÇÃO!I17="BIFÁSICO"),70.1,0)</f>
        <v>0</v>
      </c>
      <c r="BS101" s="98">
        <f>IF(AND(SUM(AU30,AR33:AR49)&gt;0,CENTRO_DE_MEDIÇÃO!I18="BIFÁSICO"),70.11,0)</f>
        <v>0</v>
      </c>
      <c r="BT101" s="98">
        <f>IF(AND(SUM(AW30,AS33:AS49)&gt;0,OR(CENTRO_DE_MEDIÇÃO!$H$10="L",CENTRO_DE_MEDIÇÃO!$H$10="H",CENTRO_DE_MEDIÇÃO!$H$10="M",CENTRO_DE_MEDIÇÃO!$H$10="N"),CENTRO_DE_MEDIÇÃO!I19="BIFÁSICO"),70.12,0)</f>
        <v>0</v>
      </c>
      <c r="BU101" s="98">
        <f>IF(AND(SUM(AY30,AT33:AT49)&gt;0,OR(CENTRO_DE_MEDIÇÃO!$H$10="L",CENTRO_DE_MEDIÇÃO!$H$10="H",CENTRO_DE_MEDIÇÃO!$H$10="M",CENTRO_DE_MEDIÇÃO!$H$10="N"),CENTRO_DE_MEDIÇÃO!I20="BIFÁSICO"),70.13,0)</f>
        <v>0</v>
      </c>
      <c r="BV101" s="98">
        <f>IF(AND(SUM(BA30,AU33:AU49)&gt;0,OR(CENTRO_DE_MEDIÇÃO!$H$10="H",CENTRO_DE_MEDIÇÃO!$H$10="M",CENTRO_DE_MEDIÇÃO!$H$10="N"),CENTRO_DE_MEDIÇÃO!I21="BIFÁSICO"),70.14,0)</f>
        <v>0</v>
      </c>
      <c r="BW101" s="98">
        <f>IF(AND(SUM(BC30,AV33:AV49)&gt;0,OR(CENTRO_DE_MEDIÇÃO!$H$10="H",CENTRO_DE_MEDIÇÃO!$H$10="M",CENTRO_DE_MEDIÇÃO!$H$10="N"),CENTRO_DE_MEDIÇÃO!I22="BIFÁSICO"),70.15,0)</f>
        <v>0</v>
      </c>
      <c r="BX101" s="98">
        <f>IF(AND(SUM(BE30,AW33:AW49)&gt;0,OR(CENTRO_DE_MEDIÇÃO!$H$10="M",CENTRO_DE_MEDIÇÃO!$H$10="N"),CENTRO_DE_MEDIÇÃO!I23="BIFÁSICO"),70.16,0)</f>
        <v>0</v>
      </c>
      <c r="BY101" s="98">
        <f>IF(AND(SUM(BG30,AX33:AX49)&gt;0,OR(CENTRO_DE_MEDIÇÃO!$H$10="M",CENTRO_DE_MEDIÇÃO!$H$10="N"),CENTRO_DE_MEDIÇÃO!I24="BIFÁSICO"),70.17,0)</f>
        <v>0</v>
      </c>
      <c r="BZ101" s="98">
        <f>IF(AND(SUM(BI30,AY33:AY49)&gt;0,CENTRO_DE_MEDIÇÃO!$H$10="N",CENTRO_DE_MEDIÇÃO!I25="BIFÁSICO"),70.18,0)</f>
        <v>0</v>
      </c>
      <c r="CA101" s="98">
        <f>IF(AND(SUM(BK30,AZ33:AZ49)&gt;0,CENTRO_DE_MEDIÇÃO!$H$10="N",CENTRO_DE_MEDIÇÃO!I26="BIFÁSICO"),70.19,0)</f>
        <v>0</v>
      </c>
      <c r="CB101" s="98">
        <f>IF(AND(SUM(BM30,BA33:BA49)&gt;0,CENTRO_DE_MEDIÇÃO!$H$10="N",CENTRO_DE_MEDIÇÃO!I27="BIFÁSICO"),70.2,0)</f>
        <v>0</v>
      </c>
      <c r="CC101" s="98">
        <f>IF(AND(SUM(BO30,BB33:BB49)&gt;0,CENTRO_DE_MEDIÇÃO!$H$10="N",CENTRO_DE_MEDIÇÃO!I28="BIFÁSICO"),70.21,0)</f>
        <v>0</v>
      </c>
      <c r="EJ101" s="171"/>
      <c r="EK101" s="171"/>
      <c r="GD101" s="26" t="s">
        <v>42</v>
      </c>
      <c r="GE101" s="51">
        <f>VLOOKUP(SUM($CM$8:$CM$10),'tab aparelhos'!$B$4:$C$35,2)</f>
        <v>0</v>
      </c>
      <c r="GF101" s="202">
        <f>SUM(IF($C$1=HD94,0,$C$13),IF($F$1=HD94,0,$F$13))</f>
        <v>0</v>
      </c>
      <c r="GG101" s="202">
        <f>SUM(IF($C$1=HD94,0,$D$13),IF($F$1=HD94,0,$G$13))</f>
        <v>0</v>
      </c>
      <c r="GH101" s="199">
        <f>GG101*GE101</f>
        <v>0</v>
      </c>
      <c r="GI101" s="193"/>
      <c r="GJ101" s="199">
        <f>GG101</f>
        <v>0</v>
      </c>
      <c r="GK101" s="193"/>
      <c r="GL101" s="193"/>
      <c r="GM101" s="193"/>
      <c r="GN101" s="193"/>
      <c r="GO101" s="193"/>
      <c r="GP101" s="193"/>
      <c r="GQ101" s="193"/>
      <c r="GR101" s="193"/>
      <c r="GS101" s="193"/>
      <c r="GT101" s="193"/>
      <c r="GU101" s="193"/>
      <c r="GV101" s="193"/>
      <c r="GW101" s="193"/>
      <c r="GX101" s="193"/>
      <c r="GY101" s="193"/>
      <c r="GZ101" s="193"/>
      <c r="HA101" s="193"/>
      <c r="HB101" s="193"/>
      <c r="HC101" s="193"/>
      <c r="HD101" s="202">
        <f>SUM(IF($C$1=$EV$1,$C106,0),IF($F$1=$EV$1,$F106,0))</f>
        <v>0</v>
      </c>
      <c r="HE101" s="202">
        <f>SUM(IF($C$1=$EV$1,$D106,0),IF($F$1=$EV$1,$G106,0))</f>
        <v>0</v>
      </c>
      <c r="HF101" s="199">
        <f>HE101*HD101</f>
        <v>0</v>
      </c>
      <c r="HG101" s="193"/>
      <c r="HH101" s="193"/>
      <c r="HI101" s="193"/>
      <c r="HJ101" s="193"/>
      <c r="HK101" s="193"/>
    </row>
    <row r="102" spans="1:219" ht="13.5" thickBot="1" x14ac:dyDescent="0.25">
      <c r="A102" s="23"/>
      <c r="B102" s="83"/>
      <c r="C102" s="691"/>
      <c r="D102" s="692"/>
      <c r="E102" s="83"/>
      <c r="F102" s="691"/>
      <c r="G102" s="692"/>
      <c r="H102" s="83"/>
      <c r="I102" s="691"/>
      <c r="J102" s="692"/>
      <c r="K102" s="83"/>
      <c r="L102" s="691"/>
      <c r="M102" s="692"/>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51"/>
      <c r="AR102" s="51"/>
      <c r="AS102" s="51"/>
      <c r="AT102" s="51"/>
      <c r="AY102" s="51">
        <v>6.57</v>
      </c>
      <c r="AZ102" s="98">
        <v>0.76</v>
      </c>
      <c r="BA102" t="e">
        <f t="shared" si="120"/>
        <v>#DIV/0!</v>
      </c>
      <c r="BB102" t="e">
        <f t="shared" si="121"/>
        <v>#DIV/0!</v>
      </c>
      <c r="BC102" t="e">
        <f t="shared" si="122"/>
        <v>#DIV/0!</v>
      </c>
      <c r="BD102" t="e">
        <f t="shared" si="123"/>
        <v>#DIV/0!</v>
      </c>
      <c r="BE102" s="171"/>
      <c r="BF102" s="171"/>
      <c r="BG102" s="171"/>
      <c r="BH102" s="171"/>
      <c r="BI102" s="171"/>
      <c r="BJ102" s="171"/>
      <c r="BK102" s="171"/>
      <c r="BL102" s="171"/>
      <c r="BM102" s="171"/>
      <c r="BN102" s="171"/>
      <c r="BP102">
        <f>SUM(BR102:CC102)</f>
        <v>0</v>
      </c>
      <c r="BQ102" s="116" t="s">
        <v>212</v>
      </c>
      <c r="BR102" s="51">
        <f>IF(C1&lt;&gt;"Vazio",BR92*VLOOKUP(C$1,'Tab. Demanda trafo'!$A$2:$B$14,2,0),0)</f>
        <v>0</v>
      </c>
      <c r="BS102" s="51">
        <f>IF(F1&lt;&gt;"Vazio",BS92*VLOOKUP($F$1,'Tab. Demanda trafo'!$A$2:$B$14,2,0),0)</f>
        <v>0</v>
      </c>
      <c r="BT102" s="51">
        <f>IF(I1&lt;&gt;"Vazio",BT92*VLOOKUP($I$1,'Tab. Demanda trafo'!$A$2:$B$14,2,0),0)</f>
        <v>0</v>
      </c>
      <c r="BU102" s="51">
        <f>IF(L1&lt;&gt;"Vazio",BU92*VLOOKUP($L$1,'Tab. Demanda trafo'!$A$2:$B$14,2,0),0)</f>
        <v>0</v>
      </c>
      <c r="BV102" s="51">
        <f>IF(O1&lt;&gt;"Vazio",BV92*VLOOKUP($O$1,'Tab. Demanda trafo'!$A$2:$B$14,2,0),0)</f>
        <v>0</v>
      </c>
      <c r="BW102" s="51">
        <f>IF(R1&lt;&gt;"Vazio",BW92*VLOOKUP($R$1,'Tab. Demanda trafo'!$A$2:$B$14,2,0),0)</f>
        <v>0</v>
      </c>
      <c r="BX102" s="51">
        <f>IF(U1&lt;&gt;"Vazio",BX92*VLOOKUP($U$1,'Tab. Demanda trafo'!$A$2:$B$14,2,0),0)</f>
        <v>0</v>
      </c>
      <c r="BY102" s="51">
        <f>IF(X1&lt;&gt;"Vazio",BY92*VLOOKUP($X$1,'Tab. Demanda trafo'!$A$2:$B$14,2,0),0)</f>
        <v>0</v>
      </c>
      <c r="BZ102" s="51">
        <f>IF(AA1&lt;&gt;"Vazio",BZ92*VLOOKUP($AA$1,'Tab. Demanda trafo'!$A$2:$B$14,2,0),0)</f>
        <v>0</v>
      </c>
      <c r="CA102" s="51">
        <f>IF(AD1&lt;&gt;"Vazio",CA92*VLOOKUP($AD$1,'Tab. Demanda trafo'!$A$2:$B$14,2,0),0)</f>
        <v>0</v>
      </c>
      <c r="CB102" s="51">
        <f>IF(AG1&lt;&gt;"Vazio",CB92*VLOOKUP($AG$1,'Tab. Demanda trafo'!$A$2:$B$14,2,0),0)</f>
        <v>0</v>
      </c>
      <c r="CC102" s="51">
        <f>IF(AJ1&lt;&gt;"Vazio",CC92*VLOOKUP($AJ$1,'Tab. Demanda trafo'!$A$2:$B$14,2,0),0)</f>
        <v>0</v>
      </c>
      <c r="EJ102" s="171"/>
      <c r="EK102" s="171"/>
      <c r="GD102" s="27" t="s">
        <v>43</v>
      </c>
      <c r="GE102" s="51">
        <f>VLOOKUP(SUM($CM$8:$CM$10),'tab aparelhos'!$B$4:$C$35,2)</f>
        <v>0</v>
      </c>
      <c r="GF102" s="202">
        <f>SUM($C$14,$F$14)</f>
        <v>0</v>
      </c>
      <c r="GG102" s="202">
        <f>SUM($D$14,$G$14)</f>
        <v>0</v>
      </c>
      <c r="GH102" s="199">
        <f t="shared" ref="GH102:GH116" si="135">GG102*GE102</f>
        <v>0</v>
      </c>
      <c r="GI102" s="193"/>
      <c r="GJ102" s="199">
        <f t="shared" ref="GJ102:GJ118" si="136">GG102</f>
        <v>0</v>
      </c>
      <c r="GK102" s="193"/>
      <c r="GL102" s="193"/>
      <c r="GM102" s="193"/>
      <c r="GN102" s="193"/>
      <c r="GO102" s="193"/>
      <c r="GP102" s="193"/>
      <c r="GQ102" s="193"/>
      <c r="GR102" s="193"/>
      <c r="GS102" s="193"/>
      <c r="GT102" s="193"/>
      <c r="GU102" s="193"/>
      <c r="GV102" s="193"/>
      <c r="GW102" s="193"/>
      <c r="GX102" s="193"/>
      <c r="GY102" s="193"/>
      <c r="GZ102" s="193"/>
      <c r="HA102" s="193"/>
      <c r="HB102" s="193"/>
      <c r="HC102" s="193"/>
      <c r="HD102" s="199"/>
      <c r="HE102" s="199"/>
      <c r="HF102" s="199"/>
      <c r="HG102" s="193"/>
      <c r="HH102" s="193"/>
      <c r="HI102" s="193"/>
      <c r="HJ102" s="193"/>
      <c r="HK102" s="193"/>
    </row>
    <row r="103" spans="1:219" x14ac:dyDescent="0.2">
      <c r="C103" s="263">
        <f>D13</f>
        <v>0</v>
      </c>
      <c r="F103" s="263">
        <f>G13</f>
        <v>0</v>
      </c>
      <c r="I103" s="263">
        <f>J13</f>
        <v>0</v>
      </c>
      <c r="L103" s="263">
        <f>M13</f>
        <v>0</v>
      </c>
      <c r="O103" s="263">
        <f>P13</f>
        <v>0</v>
      </c>
      <c r="R103" s="263">
        <f>S13</f>
        <v>0</v>
      </c>
      <c r="U103" s="263">
        <f>V13</f>
        <v>0</v>
      </c>
      <c r="X103" s="263">
        <f>Y13</f>
        <v>0</v>
      </c>
      <c r="AA103" s="263">
        <f>AB13</f>
        <v>0</v>
      </c>
      <c r="AD103" s="263">
        <f>AE13</f>
        <v>0</v>
      </c>
      <c r="AG103" s="263">
        <f>AH13</f>
        <v>0</v>
      </c>
      <c r="AJ103" s="263">
        <f>AK13</f>
        <v>0</v>
      </c>
      <c r="AQ103" s="51"/>
      <c r="AR103" s="51"/>
      <c r="AS103" s="51"/>
      <c r="AT103" s="51"/>
      <c r="AY103" s="51">
        <v>8.89</v>
      </c>
      <c r="AZ103" s="98">
        <v>0.77</v>
      </c>
      <c r="BA103" t="e">
        <f t="shared" si="120"/>
        <v>#DIV/0!</v>
      </c>
      <c r="BB103" t="e">
        <f t="shared" si="121"/>
        <v>#DIV/0!</v>
      </c>
      <c r="BC103" t="e">
        <f t="shared" si="122"/>
        <v>#DIV/0!</v>
      </c>
      <c r="BD103" t="e">
        <f t="shared" si="123"/>
        <v>#DIV/0!</v>
      </c>
      <c r="BE103" s="171"/>
      <c r="BF103" s="171"/>
      <c r="BG103" s="171"/>
      <c r="BH103" s="171"/>
      <c r="BI103" s="171"/>
      <c r="BJ103" s="171"/>
      <c r="BK103" s="171"/>
      <c r="BL103" s="171"/>
      <c r="BM103" s="171"/>
      <c r="BN103" s="171"/>
      <c r="CE103" s="98"/>
      <c r="EJ103" s="171"/>
      <c r="EK103" s="171"/>
      <c r="GD103" s="27" t="s">
        <v>44</v>
      </c>
      <c r="GE103" s="51">
        <f>VLOOKUP(SUM($CM$8:$CM$10),'tab aparelhos'!$B$4:$C$35,2)</f>
        <v>0</v>
      </c>
      <c r="GF103" s="202">
        <f>SUM($C$15,$F$15)</f>
        <v>0</v>
      </c>
      <c r="GG103" s="202">
        <f>SUM($D$15,$G$15)</f>
        <v>0</v>
      </c>
      <c r="GH103" s="199">
        <f t="shared" si="135"/>
        <v>0</v>
      </c>
      <c r="GI103" s="193"/>
      <c r="GJ103" s="199">
        <f t="shared" si="136"/>
        <v>0</v>
      </c>
      <c r="GK103" s="193"/>
      <c r="GL103" s="193"/>
      <c r="GM103" s="193"/>
      <c r="GN103" s="193"/>
      <c r="GO103" s="193"/>
      <c r="GP103" s="193"/>
      <c r="GQ103" s="193"/>
      <c r="GR103" s="193"/>
      <c r="GS103" s="193"/>
      <c r="GT103" s="193"/>
      <c r="GU103" s="193"/>
      <c r="GV103" s="193"/>
      <c r="GW103" s="193"/>
      <c r="GX103" s="193"/>
      <c r="GY103" s="193"/>
      <c r="GZ103" s="193"/>
      <c r="HA103" s="193"/>
      <c r="HB103" s="193"/>
      <c r="HC103" s="193"/>
      <c r="HD103" s="199"/>
      <c r="HE103" s="199"/>
      <c r="HF103" s="199"/>
      <c r="HG103" s="193"/>
      <c r="HH103" s="193"/>
      <c r="HI103" s="193"/>
      <c r="HJ103" s="193"/>
      <c r="HK103" s="193"/>
    </row>
    <row r="104" spans="1:219" x14ac:dyDescent="0.2">
      <c r="C104" s="263">
        <f t="shared" ref="C104:C120" si="137">D14</f>
        <v>0</v>
      </c>
      <c r="F104" s="263">
        <f t="shared" ref="F104:F120" si="138">G14</f>
        <v>0</v>
      </c>
      <c r="I104" s="263">
        <f t="shared" ref="I104:I120" si="139">J14</f>
        <v>0</v>
      </c>
      <c r="L104" s="263">
        <f t="shared" ref="L104:L120" si="140">M14</f>
        <v>0</v>
      </c>
      <c r="O104" s="263">
        <f t="shared" ref="O104:O120" si="141">P14</f>
        <v>0</v>
      </c>
      <c r="R104" s="263">
        <f t="shared" ref="R104:R120" si="142">S14</f>
        <v>0</v>
      </c>
      <c r="U104" s="263">
        <f t="shared" ref="U104:U120" si="143">V14</f>
        <v>0</v>
      </c>
      <c r="X104" s="263">
        <f t="shared" ref="X104:X120" si="144">Y14</f>
        <v>0</v>
      </c>
      <c r="AA104" s="263">
        <f t="shared" ref="AA104:AA120" si="145">AB14</f>
        <v>0</v>
      </c>
      <c r="AD104" s="263">
        <f t="shared" ref="AD104:AD120" si="146">AE14</f>
        <v>0</v>
      </c>
      <c r="AG104" s="263">
        <f t="shared" ref="AG104:AG120" si="147">AH14</f>
        <v>0</v>
      </c>
      <c r="AJ104" s="263">
        <f t="shared" ref="AJ104:AJ120" si="148">AK14</f>
        <v>0</v>
      </c>
      <c r="AQ104" s="51"/>
      <c r="AR104" s="51"/>
      <c r="AS104" s="51"/>
      <c r="AT104" s="51"/>
      <c r="AY104" s="51">
        <v>10.85</v>
      </c>
      <c r="AZ104" s="98">
        <v>0.77</v>
      </c>
      <c r="BA104" t="e">
        <f t="shared" si="120"/>
        <v>#DIV/0!</v>
      </c>
      <c r="BB104" t="e">
        <f t="shared" si="121"/>
        <v>#DIV/0!</v>
      </c>
      <c r="BC104" t="e">
        <f t="shared" si="122"/>
        <v>#DIV/0!</v>
      </c>
      <c r="BD104" t="e">
        <f t="shared" si="123"/>
        <v>#DIV/0!</v>
      </c>
      <c r="BE104" s="171"/>
      <c r="BF104" s="171"/>
      <c r="BG104" s="171"/>
      <c r="BH104" s="171"/>
      <c r="BI104" s="171"/>
      <c r="BJ104" s="171"/>
      <c r="BK104" s="171"/>
      <c r="BL104" s="171"/>
      <c r="BM104" s="171"/>
      <c r="BN104" s="171"/>
      <c r="CE104" s="98"/>
      <c r="EJ104" s="171"/>
      <c r="EK104" s="171"/>
      <c r="GD104" s="27" t="s">
        <v>45</v>
      </c>
      <c r="GE104" s="51">
        <f>VLOOKUP(GF104+GF105,'tab aparelhos'!$E$4:$F$35,2)</f>
        <v>0</v>
      </c>
      <c r="GF104" s="202">
        <f>SUM($C$16,$F$16)</f>
        <v>0</v>
      </c>
      <c r="GG104" s="202">
        <f>SUM($D$16,$G$16)</f>
        <v>0</v>
      </c>
      <c r="GH104" s="199">
        <f t="shared" si="135"/>
        <v>0</v>
      </c>
      <c r="GI104" s="193"/>
      <c r="GJ104" s="199">
        <f t="shared" si="136"/>
        <v>0</v>
      </c>
      <c r="GK104" s="193"/>
      <c r="GL104" s="193"/>
      <c r="GM104" s="193"/>
      <c r="GN104" s="193"/>
      <c r="GO104" s="193"/>
      <c r="GP104" s="193"/>
      <c r="GQ104" s="193"/>
      <c r="GR104" s="193"/>
      <c r="GS104" s="193"/>
      <c r="GT104" s="193"/>
      <c r="GU104" s="193"/>
      <c r="GV104" s="193"/>
      <c r="GW104" s="193"/>
      <c r="GX104" s="193"/>
      <c r="GY104" s="193"/>
      <c r="GZ104" s="193"/>
      <c r="HA104" s="193"/>
      <c r="HB104" s="193"/>
      <c r="HC104" s="193"/>
      <c r="HD104" s="199"/>
      <c r="HE104" s="199"/>
      <c r="HF104" s="199"/>
      <c r="HG104" s="193"/>
      <c r="HH104" s="193"/>
      <c r="HI104" s="193"/>
      <c r="HJ104" s="193"/>
      <c r="HK104" s="193"/>
    </row>
    <row r="105" spans="1:219" x14ac:dyDescent="0.2">
      <c r="C105" s="263">
        <f t="shared" si="137"/>
        <v>0</v>
      </c>
      <c r="F105" s="263">
        <f t="shared" si="138"/>
        <v>0</v>
      </c>
      <c r="I105" s="263">
        <f t="shared" si="139"/>
        <v>0</v>
      </c>
      <c r="L105" s="263">
        <f t="shared" si="140"/>
        <v>0</v>
      </c>
      <c r="O105" s="263">
        <f t="shared" si="141"/>
        <v>0</v>
      </c>
      <c r="R105" s="263">
        <f t="shared" si="142"/>
        <v>0</v>
      </c>
      <c r="U105" s="263">
        <f t="shared" si="143"/>
        <v>0</v>
      </c>
      <c r="X105" s="263">
        <f t="shared" si="144"/>
        <v>0</v>
      </c>
      <c r="AA105" s="263">
        <f t="shared" si="145"/>
        <v>0</v>
      </c>
      <c r="AD105" s="263">
        <f t="shared" si="146"/>
        <v>0</v>
      </c>
      <c r="AG105" s="263">
        <f t="shared" si="147"/>
        <v>0</v>
      </c>
      <c r="AJ105" s="263">
        <f t="shared" si="148"/>
        <v>0</v>
      </c>
      <c r="AQ105" s="51"/>
      <c r="AR105" s="51"/>
      <c r="AS105" s="51"/>
      <c r="AT105" s="51"/>
      <c r="AY105" s="51">
        <v>12.82</v>
      </c>
      <c r="AZ105" s="98">
        <v>0.77</v>
      </c>
      <c r="BA105" t="e">
        <f t="shared" si="120"/>
        <v>#DIV/0!</v>
      </c>
      <c r="BB105" t="e">
        <f t="shared" si="121"/>
        <v>#DIV/0!</v>
      </c>
      <c r="BC105" t="e">
        <f t="shared" si="122"/>
        <v>#DIV/0!</v>
      </c>
      <c r="BD105" t="e">
        <f t="shared" si="123"/>
        <v>#DIV/0!</v>
      </c>
      <c r="BE105" s="171"/>
      <c r="BF105" s="171"/>
      <c r="BG105" s="171"/>
      <c r="BH105" s="171"/>
      <c r="BI105" s="171"/>
      <c r="BJ105" s="171"/>
      <c r="BK105" s="171"/>
      <c r="BL105" s="171"/>
      <c r="BM105" s="171"/>
      <c r="BN105" s="171"/>
      <c r="CE105" s="98"/>
      <c r="EJ105" s="171"/>
      <c r="EK105" s="171"/>
      <c r="GD105" s="27" t="s">
        <v>46</v>
      </c>
      <c r="GE105" s="51">
        <f>VLOOKUP(GF105+GF104,'tab aparelhos'!$E$4:$F$35,2)</f>
        <v>0</v>
      </c>
      <c r="GF105" s="202">
        <f>SUM($C$17,$F$17)</f>
        <v>0</v>
      </c>
      <c r="GG105" s="202">
        <f>SUM($D$17,$G$17)</f>
        <v>0</v>
      </c>
      <c r="GH105" s="199">
        <f t="shared" si="135"/>
        <v>0</v>
      </c>
      <c r="GI105" s="193"/>
      <c r="GJ105" s="199">
        <f t="shared" si="136"/>
        <v>0</v>
      </c>
      <c r="GK105" s="193"/>
      <c r="GL105" s="193"/>
      <c r="GM105" s="193"/>
      <c r="GN105" s="193"/>
      <c r="GO105" s="193"/>
      <c r="GP105" s="193"/>
      <c r="GQ105" s="193"/>
      <c r="GR105" s="193"/>
      <c r="GS105" s="193"/>
      <c r="GT105" s="193"/>
      <c r="GU105" s="193"/>
      <c r="GV105" s="193"/>
      <c r="GW105" s="193"/>
      <c r="GX105" s="193"/>
      <c r="GY105" s="193"/>
      <c r="GZ105" s="193"/>
      <c r="HA105" s="193"/>
      <c r="HB105" s="193"/>
      <c r="HC105" s="193"/>
      <c r="HD105" s="199"/>
      <c r="HE105" s="199"/>
      <c r="HF105" s="199"/>
      <c r="HG105" s="193"/>
      <c r="HH105" s="193"/>
      <c r="HI105" s="193"/>
      <c r="HJ105" s="193"/>
      <c r="HK105" s="193"/>
    </row>
    <row r="106" spans="1:219" x14ac:dyDescent="0.2">
      <c r="C106" s="263">
        <f t="shared" si="137"/>
        <v>0</v>
      </c>
      <c r="F106" s="263">
        <f t="shared" si="138"/>
        <v>0</v>
      </c>
      <c r="I106" s="263">
        <f t="shared" si="139"/>
        <v>0</v>
      </c>
      <c r="L106" s="263">
        <f t="shared" si="140"/>
        <v>0</v>
      </c>
      <c r="O106" s="263">
        <f t="shared" si="141"/>
        <v>0</v>
      </c>
      <c r="R106" s="263">
        <f t="shared" si="142"/>
        <v>0</v>
      </c>
      <c r="U106" s="263">
        <f t="shared" si="143"/>
        <v>0</v>
      </c>
      <c r="X106" s="263">
        <f t="shared" si="144"/>
        <v>0</v>
      </c>
      <c r="AA106" s="263">
        <f t="shared" si="145"/>
        <v>0</v>
      </c>
      <c r="AD106" s="263">
        <f t="shared" si="146"/>
        <v>0</v>
      </c>
      <c r="AG106" s="263">
        <f t="shared" si="147"/>
        <v>0</v>
      </c>
      <c r="AJ106" s="263">
        <f t="shared" si="148"/>
        <v>0</v>
      </c>
      <c r="AQ106" s="51"/>
      <c r="AR106" s="51"/>
      <c r="AS106" s="51"/>
      <c r="AT106" s="51"/>
      <c r="AY106" s="51">
        <v>17.010000000000002</v>
      </c>
      <c r="AZ106" s="98">
        <v>0.77</v>
      </c>
      <c r="BA106" t="e">
        <f t="shared" si="120"/>
        <v>#DIV/0!</v>
      </c>
      <c r="BB106" t="e">
        <f t="shared" si="121"/>
        <v>#DIV/0!</v>
      </c>
      <c r="BC106" t="e">
        <f t="shared" si="122"/>
        <v>#DIV/0!</v>
      </c>
      <c r="BD106" t="e">
        <f t="shared" si="123"/>
        <v>#DIV/0!</v>
      </c>
      <c r="BE106" s="171"/>
      <c r="BF106" s="171"/>
      <c r="BG106" s="171"/>
      <c r="BH106" s="171"/>
      <c r="BI106" s="171"/>
      <c r="BJ106" s="171"/>
      <c r="BK106" s="171"/>
      <c r="BL106" s="171"/>
      <c r="BM106" s="171"/>
      <c r="BN106" s="171"/>
      <c r="CE106" s="98"/>
      <c r="EJ106" s="171"/>
      <c r="EK106" s="171"/>
      <c r="GD106" s="27" t="s">
        <v>47</v>
      </c>
      <c r="GE106" s="51">
        <f>VLOOKUP(GF106,'tab aparelhos'!$K$4:$L$35,2)</f>
        <v>0</v>
      </c>
      <c r="GF106" s="202">
        <f>SUM($C$18,$F$18)</f>
        <v>0</v>
      </c>
      <c r="GG106" s="202">
        <f>SUM($D$18,$G$18)</f>
        <v>0</v>
      </c>
      <c r="GH106" s="199">
        <f t="shared" si="135"/>
        <v>0</v>
      </c>
      <c r="GI106" s="193"/>
      <c r="GJ106" s="199">
        <f t="shared" si="136"/>
        <v>0</v>
      </c>
      <c r="GK106" s="193"/>
      <c r="GL106" s="193"/>
      <c r="GM106" s="193"/>
      <c r="GN106" s="193"/>
      <c r="GO106" s="193"/>
      <c r="GP106" s="193"/>
      <c r="GQ106" s="193"/>
      <c r="GR106" s="193"/>
      <c r="GS106" s="193"/>
      <c r="GT106" s="193"/>
      <c r="GU106" s="193"/>
      <c r="GV106" s="193"/>
      <c r="GW106" s="193"/>
      <c r="GX106" s="193"/>
      <c r="GY106" s="193"/>
      <c r="GZ106" s="193"/>
      <c r="HA106" s="193"/>
      <c r="HB106" s="193"/>
      <c r="HC106" s="193"/>
      <c r="HD106" s="199"/>
      <c r="HE106" s="199"/>
      <c r="HF106" s="199"/>
      <c r="HG106" s="193"/>
      <c r="HH106" s="193"/>
      <c r="HI106" s="193"/>
      <c r="HJ106" s="193"/>
      <c r="HK106" s="193"/>
    </row>
    <row r="107" spans="1:219" x14ac:dyDescent="0.2">
      <c r="C107" s="263">
        <f t="shared" si="137"/>
        <v>0</v>
      </c>
      <c r="F107" s="263">
        <f t="shared" si="138"/>
        <v>0</v>
      </c>
      <c r="I107" s="263">
        <f t="shared" si="139"/>
        <v>0</v>
      </c>
      <c r="L107" s="263">
        <f t="shared" si="140"/>
        <v>0</v>
      </c>
      <c r="O107" s="263">
        <f t="shared" si="141"/>
        <v>0</v>
      </c>
      <c r="R107" s="263">
        <f t="shared" si="142"/>
        <v>0</v>
      </c>
      <c r="U107" s="263">
        <f t="shared" si="143"/>
        <v>0</v>
      </c>
      <c r="X107" s="263">
        <f t="shared" si="144"/>
        <v>0</v>
      </c>
      <c r="AA107" s="263">
        <f t="shared" si="145"/>
        <v>0</v>
      </c>
      <c r="AD107" s="263">
        <f t="shared" si="146"/>
        <v>0</v>
      </c>
      <c r="AG107" s="263">
        <f t="shared" si="147"/>
        <v>0</v>
      </c>
      <c r="AJ107" s="263">
        <f t="shared" si="148"/>
        <v>0</v>
      </c>
      <c r="AQ107" s="51"/>
      <c r="AR107" s="51"/>
      <c r="AS107" s="51"/>
      <c r="AT107" s="51"/>
      <c r="AY107" s="51">
        <v>20.92</v>
      </c>
      <c r="AZ107" s="98">
        <v>0.81</v>
      </c>
      <c r="BA107" t="e">
        <f t="shared" si="120"/>
        <v>#DIV/0!</v>
      </c>
      <c r="BB107" t="e">
        <f t="shared" si="121"/>
        <v>#DIV/0!</v>
      </c>
      <c r="BC107" t="e">
        <f t="shared" si="122"/>
        <v>#DIV/0!</v>
      </c>
      <c r="BD107" t="e">
        <f t="shared" si="123"/>
        <v>#DIV/0!</v>
      </c>
      <c r="BE107" s="171"/>
      <c r="BF107" s="171"/>
      <c r="BG107" s="171"/>
      <c r="BH107" s="171"/>
      <c r="BI107" s="171"/>
      <c r="BJ107" s="171"/>
      <c r="BK107" s="171"/>
      <c r="BL107" s="171"/>
      <c r="BM107" s="171"/>
      <c r="BN107" s="171"/>
      <c r="CE107" s="98"/>
      <c r="EJ107" s="171"/>
      <c r="EK107" s="171"/>
      <c r="GD107" s="27" t="s">
        <v>48</v>
      </c>
      <c r="GE107" s="51">
        <f>VLOOKUP(GF107+GF108,'tab aparelhos'!$N$4:$O$35,2)</f>
        <v>0</v>
      </c>
      <c r="GF107" s="202">
        <f>SUM($C$19,$F$19)</f>
        <v>0</v>
      </c>
      <c r="GG107" s="202">
        <f>SUM($D$19,$G$19)</f>
        <v>0</v>
      </c>
      <c r="GH107" s="199">
        <f t="shared" si="135"/>
        <v>0</v>
      </c>
      <c r="GI107" s="193"/>
      <c r="GJ107" s="199">
        <f t="shared" si="136"/>
        <v>0</v>
      </c>
      <c r="GK107" s="193"/>
      <c r="GL107" s="193"/>
      <c r="GM107" s="193"/>
      <c r="GN107" s="193"/>
      <c r="GO107" s="193"/>
      <c r="GP107" s="193"/>
      <c r="GQ107" s="193"/>
      <c r="GR107" s="193"/>
      <c r="GS107" s="193"/>
      <c r="GT107" s="193"/>
      <c r="GU107" s="193"/>
      <c r="GV107" s="193"/>
      <c r="GW107" s="193"/>
      <c r="GX107" s="193"/>
      <c r="GY107" s="193"/>
      <c r="GZ107" s="193"/>
      <c r="HA107" s="193"/>
      <c r="HB107" s="193"/>
      <c r="HC107" s="193"/>
      <c r="HD107" s="199"/>
      <c r="HE107" s="199"/>
      <c r="HF107" s="199"/>
      <c r="HG107" s="193"/>
      <c r="HH107" s="193"/>
      <c r="HI107" s="193"/>
      <c r="HJ107" s="193"/>
      <c r="HK107" s="193"/>
    </row>
    <row r="108" spans="1:219" x14ac:dyDescent="0.2">
      <c r="C108" s="263">
        <f t="shared" si="137"/>
        <v>0</v>
      </c>
      <c r="F108" s="263">
        <f t="shared" si="138"/>
        <v>0</v>
      </c>
      <c r="I108" s="263">
        <f t="shared" si="139"/>
        <v>0</v>
      </c>
      <c r="L108" s="263">
        <f t="shared" si="140"/>
        <v>0</v>
      </c>
      <c r="O108" s="263">
        <f t="shared" si="141"/>
        <v>0</v>
      </c>
      <c r="R108" s="263">
        <f t="shared" si="142"/>
        <v>0</v>
      </c>
      <c r="U108" s="263">
        <f t="shared" si="143"/>
        <v>0</v>
      </c>
      <c r="X108" s="263">
        <f t="shared" si="144"/>
        <v>0</v>
      </c>
      <c r="AA108" s="263">
        <f t="shared" si="145"/>
        <v>0</v>
      </c>
      <c r="AD108" s="263">
        <f t="shared" si="146"/>
        <v>0</v>
      </c>
      <c r="AG108" s="263">
        <f t="shared" si="147"/>
        <v>0</v>
      </c>
      <c r="AJ108" s="263">
        <f t="shared" si="148"/>
        <v>0</v>
      </c>
      <c r="AQ108" s="51"/>
      <c r="AR108" s="51"/>
      <c r="AS108" s="51"/>
      <c r="AT108" s="51"/>
      <c r="AY108" s="51">
        <v>25.03</v>
      </c>
      <c r="AZ108" s="98">
        <v>0.82</v>
      </c>
      <c r="BA108" t="e">
        <f t="shared" si="120"/>
        <v>#DIV/0!</v>
      </c>
      <c r="BB108" t="e">
        <f t="shared" si="121"/>
        <v>#DIV/0!</v>
      </c>
      <c r="BC108" t="e">
        <f t="shared" si="122"/>
        <v>#DIV/0!</v>
      </c>
      <c r="BD108" t="e">
        <f t="shared" si="123"/>
        <v>#DIV/0!</v>
      </c>
      <c r="BE108" s="171" t="s">
        <v>210</v>
      </c>
      <c r="BF108" s="171"/>
      <c r="BG108" s="171"/>
      <c r="BH108" s="171"/>
      <c r="BI108" s="171"/>
      <c r="BJ108" s="171"/>
      <c r="BK108" s="171"/>
      <c r="BL108" s="171"/>
      <c r="BM108" s="171"/>
      <c r="BN108" s="171" t="s">
        <v>13</v>
      </c>
      <c r="BO108" s="98" t="e">
        <f>SUM(DZ8:DZ24,#REF!,DY6,EA6,ED6,EG6,EJ6,EM6,EP6,ES6,EV6,EX8,EY6,FB6)</f>
        <v>#REF!</v>
      </c>
      <c r="BS108" s="128" t="s">
        <v>68</v>
      </c>
      <c r="BT108">
        <v>0.2</v>
      </c>
      <c r="EJ108" s="171"/>
      <c r="EK108" s="171"/>
      <c r="GD108" s="27" t="s">
        <v>49</v>
      </c>
      <c r="GE108" s="51">
        <f>VLOOKUP(GF108+GF107,'tab aparelhos'!$N$4:$O$35,2)</f>
        <v>0</v>
      </c>
      <c r="GF108" s="202">
        <f>SUM($C$20,$F$20)</f>
        <v>0</v>
      </c>
      <c r="GG108" s="202">
        <f>SUM($D$20,$G$20)</f>
        <v>0</v>
      </c>
      <c r="GH108" s="199">
        <f t="shared" si="135"/>
        <v>0</v>
      </c>
      <c r="GI108" s="193"/>
      <c r="GJ108" s="199">
        <f t="shared" si="136"/>
        <v>0</v>
      </c>
      <c r="GK108" s="193"/>
      <c r="GL108" s="193"/>
      <c r="GM108" s="193"/>
      <c r="GN108" s="193"/>
      <c r="GO108" s="193"/>
      <c r="GP108" s="193"/>
      <c r="GQ108" s="193"/>
      <c r="GR108" s="193"/>
      <c r="GS108" s="193"/>
      <c r="GT108" s="193"/>
      <c r="GU108" s="193"/>
      <c r="GV108" s="193"/>
      <c r="GW108" s="193"/>
      <c r="GX108" s="193"/>
      <c r="GY108" s="193"/>
      <c r="GZ108" s="193"/>
      <c r="HA108" s="193"/>
      <c r="HB108" s="193"/>
      <c r="HC108" s="193"/>
      <c r="HD108" s="199"/>
      <c r="HE108" s="199"/>
      <c r="HF108" s="199"/>
      <c r="HG108" s="193"/>
      <c r="HH108" s="193"/>
      <c r="HI108" s="193"/>
      <c r="HJ108" s="193"/>
      <c r="HK108" s="193"/>
    </row>
    <row r="109" spans="1:219" x14ac:dyDescent="0.2">
      <c r="C109" s="263">
        <f t="shared" si="137"/>
        <v>0</v>
      </c>
      <c r="F109" s="263">
        <f t="shared" si="138"/>
        <v>0</v>
      </c>
      <c r="I109" s="263">
        <f t="shared" si="139"/>
        <v>0</v>
      </c>
      <c r="L109" s="263">
        <f t="shared" si="140"/>
        <v>0</v>
      </c>
      <c r="O109" s="263">
        <f t="shared" si="141"/>
        <v>0</v>
      </c>
      <c r="R109" s="263">
        <f t="shared" si="142"/>
        <v>0</v>
      </c>
      <c r="U109" s="263">
        <f t="shared" si="143"/>
        <v>0</v>
      </c>
      <c r="X109" s="263">
        <f t="shared" si="144"/>
        <v>0</v>
      </c>
      <c r="AA109" s="263">
        <f t="shared" si="145"/>
        <v>0</v>
      </c>
      <c r="AD109" s="263">
        <f t="shared" si="146"/>
        <v>0</v>
      </c>
      <c r="AG109" s="263">
        <f t="shared" si="147"/>
        <v>0</v>
      </c>
      <c r="AJ109" s="263">
        <f t="shared" si="148"/>
        <v>0</v>
      </c>
      <c r="AQ109" s="51"/>
      <c r="AR109" s="51"/>
      <c r="AS109" s="51"/>
      <c r="AT109" s="51"/>
      <c r="AZ109"/>
      <c r="BA109" s="98"/>
      <c r="BE109" s="52" t="s">
        <v>209</v>
      </c>
      <c r="BF109" s="20"/>
      <c r="BG109" s="20"/>
      <c r="BH109" s="72"/>
      <c r="BI109" s="72"/>
      <c r="BJ109" s="128"/>
      <c r="BK109" s="20"/>
      <c r="BL109" s="20"/>
      <c r="BM109" s="72"/>
      <c r="BN109" s="72" t="s">
        <v>18</v>
      </c>
      <c r="BO109" s="98" t="e">
        <f>SUM(#REF!,#REF!,DZ25)</f>
        <v>#REF!</v>
      </c>
      <c r="BQ109">
        <f>CENTRO_DE_MEDIÇÃO!G4</f>
        <v>0</v>
      </c>
      <c r="BS109" s="128" t="s">
        <v>115</v>
      </c>
      <c r="BT109">
        <v>0.51</v>
      </c>
      <c r="EF109" s="98"/>
      <c r="EJ109" s="51"/>
      <c r="EK109" s="20"/>
      <c r="GD109" s="27" t="s">
        <v>50</v>
      </c>
      <c r="GE109" s="51">
        <f>VLOOKUP(SUM($CM$16:$CM$19),'tab aparelhos'!$T$4:$U$35,2)</f>
        <v>0</v>
      </c>
      <c r="GF109" s="202">
        <f>SUM($C$21,$F$21)</f>
        <v>0</v>
      </c>
      <c r="GG109" s="202">
        <f>SUM($D$21,$G$21)</f>
        <v>0</v>
      </c>
      <c r="GH109" s="199">
        <f t="shared" si="135"/>
        <v>0</v>
      </c>
      <c r="GI109" s="193"/>
      <c r="GJ109" s="199">
        <f t="shared" si="136"/>
        <v>0</v>
      </c>
      <c r="GK109" s="193"/>
      <c r="GL109" s="193"/>
      <c r="GM109" s="193"/>
      <c r="GN109" s="193"/>
      <c r="GO109" s="193"/>
      <c r="GP109" s="193"/>
      <c r="GQ109" s="193"/>
      <c r="GR109" s="193"/>
      <c r="GS109" s="193"/>
      <c r="GT109" s="193"/>
      <c r="GU109" s="193"/>
      <c r="GV109" s="193"/>
      <c r="GW109" s="193"/>
      <c r="GX109" s="193"/>
      <c r="GY109" s="193"/>
      <c r="GZ109" s="193"/>
      <c r="HA109" s="193"/>
      <c r="HB109" s="193"/>
      <c r="HC109" s="193"/>
      <c r="HD109" s="199"/>
      <c r="HE109" s="199"/>
      <c r="HF109" s="199"/>
      <c r="HG109" s="193"/>
      <c r="HH109" s="193"/>
      <c r="HI109" s="193"/>
      <c r="HJ109" s="193"/>
      <c r="HK109" s="193"/>
    </row>
    <row r="110" spans="1:219" x14ac:dyDescent="0.2">
      <c r="C110" s="263">
        <f t="shared" si="137"/>
        <v>0</v>
      </c>
      <c r="F110" s="263">
        <f t="shared" si="138"/>
        <v>0</v>
      </c>
      <c r="I110" s="263">
        <f t="shared" si="139"/>
        <v>0</v>
      </c>
      <c r="L110" s="263">
        <f t="shared" si="140"/>
        <v>0</v>
      </c>
      <c r="O110" s="263">
        <f t="shared" si="141"/>
        <v>0</v>
      </c>
      <c r="R110" s="263">
        <f t="shared" si="142"/>
        <v>0</v>
      </c>
      <c r="U110" s="263">
        <f t="shared" si="143"/>
        <v>0</v>
      </c>
      <c r="X110" s="263">
        <f t="shared" si="144"/>
        <v>0</v>
      </c>
      <c r="AA110" s="263">
        <f t="shared" si="145"/>
        <v>0</v>
      </c>
      <c r="AD110" s="263">
        <f t="shared" si="146"/>
        <v>0</v>
      </c>
      <c r="AG110" s="263">
        <f t="shared" si="147"/>
        <v>0</v>
      </c>
      <c r="AJ110" s="263">
        <f t="shared" si="148"/>
        <v>0</v>
      </c>
      <c r="AQ110" s="51"/>
      <c r="AR110" s="51"/>
      <c r="AS110" s="51"/>
      <c r="AT110" s="51"/>
      <c r="AZ110"/>
      <c r="BA110" s="98"/>
      <c r="BC110" s="116" t="s">
        <v>216</v>
      </c>
      <c r="BE110" s="116"/>
      <c r="BF110" s="20" t="s">
        <v>106</v>
      </c>
      <c r="BG110" s="20" t="s">
        <v>107</v>
      </c>
      <c r="BH110" s="72" t="s">
        <v>108</v>
      </c>
      <c r="BI110" s="72" t="s">
        <v>109</v>
      </c>
      <c r="BJ110" s="127"/>
      <c r="BK110" s="20" t="s">
        <v>152</v>
      </c>
      <c r="BL110" s="20"/>
      <c r="BM110" s="72" t="s">
        <v>153</v>
      </c>
      <c r="BN110" s="72"/>
      <c r="BO110" t="s">
        <v>157</v>
      </c>
      <c r="BS110" s="128" t="s">
        <v>116</v>
      </c>
      <c r="BT110">
        <v>0.42</v>
      </c>
      <c r="EF110" s="98"/>
      <c r="EJ110" s="116"/>
      <c r="EK110" s="20"/>
      <c r="GD110" s="27" t="s">
        <v>51</v>
      </c>
      <c r="GE110" s="51">
        <f>VLOOKUP(SUM($CM$16:$CM$19),'tab aparelhos'!$T$4:$U$35,2)</f>
        <v>0</v>
      </c>
      <c r="GF110" s="202">
        <f>SUM($C$22,$F$22)</f>
        <v>0</v>
      </c>
      <c r="GG110" s="202">
        <f>SUM($D$22,$G$22)</f>
        <v>0</v>
      </c>
      <c r="GH110" s="199">
        <f t="shared" si="135"/>
        <v>0</v>
      </c>
      <c r="GI110" s="193"/>
      <c r="GJ110" s="199">
        <f t="shared" si="136"/>
        <v>0</v>
      </c>
      <c r="GK110" s="193"/>
      <c r="GL110" s="193"/>
      <c r="GM110" s="193"/>
      <c r="GN110" s="193"/>
      <c r="GO110" s="193"/>
      <c r="GP110" s="193"/>
      <c r="GQ110" s="193"/>
      <c r="GR110" s="193"/>
      <c r="GS110" s="193"/>
      <c r="GT110" s="193"/>
      <c r="GU110" s="193"/>
      <c r="GV110" s="193"/>
      <c r="GW110" s="193"/>
      <c r="GX110" s="193"/>
      <c r="GY110" s="193"/>
      <c r="GZ110" s="193"/>
      <c r="HA110" s="193"/>
      <c r="HB110" s="193"/>
      <c r="HC110" s="193"/>
      <c r="HD110" s="199"/>
      <c r="HE110" s="199"/>
      <c r="HF110" s="199"/>
      <c r="HG110" s="193"/>
      <c r="HH110" s="193"/>
      <c r="HI110" s="193"/>
      <c r="HJ110" s="193"/>
      <c r="HK110" s="193"/>
    </row>
    <row r="111" spans="1:219" x14ac:dyDescent="0.2">
      <c r="C111" s="263">
        <f t="shared" si="137"/>
        <v>0</v>
      </c>
      <c r="F111" s="263">
        <f t="shared" si="138"/>
        <v>0</v>
      </c>
      <c r="I111" s="263">
        <f t="shared" si="139"/>
        <v>0</v>
      </c>
      <c r="L111" s="263">
        <f t="shared" si="140"/>
        <v>0</v>
      </c>
      <c r="O111" s="263">
        <f t="shared" si="141"/>
        <v>0</v>
      </c>
      <c r="R111" s="263">
        <f t="shared" si="142"/>
        <v>0</v>
      </c>
      <c r="U111" s="263">
        <f t="shared" si="143"/>
        <v>0</v>
      </c>
      <c r="X111" s="263">
        <f t="shared" si="144"/>
        <v>0</v>
      </c>
      <c r="AA111" s="263">
        <f t="shared" si="145"/>
        <v>0</v>
      </c>
      <c r="AD111" s="263">
        <f t="shared" si="146"/>
        <v>0</v>
      </c>
      <c r="AG111" s="263">
        <f t="shared" si="147"/>
        <v>0</v>
      </c>
      <c r="AJ111" s="263">
        <f t="shared" si="148"/>
        <v>0</v>
      </c>
      <c r="AQ111" s="51"/>
      <c r="AR111" s="51"/>
      <c r="AS111" s="51"/>
      <c r="AT111" s="51"/>
      <c r="AZ111"/>
      <c r="BA111" s="98"/>
      <c r="BC111" s="51">
        <f>SUM(BF73:BF89)</f>
        <v>0</v>
      </c>
      <c r="BE111" s="116" t="s">
        <v>156</v>
      </c>
      <c r="BF111" s="88">
        <f>SUM(C5:D10,C103:C120,C123:C139,C142:C155)</f>
        <v>0</v>
      </c>
      <c r="BG111" s="88">
        <f>SUM(F5:G10,F103:F120,AR67:AR83,AR86:AR99,AR102:AR118)</f>
        <v>0</v>
      </c>
      <c r="BH111" s="88">
        <f>SUM(I5:J10,I103:I120,AS67:AS83,AS86:AS99,AS102:AS118)</f>
        <v>0</v>
      </c>
      <c r="BI111" s="88">
        <f>SUM(L5:M10,L103:L120,BB67:BB83,AT86:AT99,AT102:AT118)</f>
        <v>0</v>
      </c>
      <c r="BJ111" s="127"/>
      <c r="BK111" s="20"/>
      <c r="BL111" s="20"/>
      <c r="BM111" s="72"/>
      <c r="BN111" s="72"/>
      <c r="BO111" s="98">
        <f>SUM(BF111:BI111)</f>
        <v>0</v>
      </c>
      <c r="BS111" s="128" t="s">
        <v>117</v>
      </c>
      <c r="BT111">
        <v>0.51</v>
      </c>
      <c r="EF111" s="98"/>
      <c r="EJ111" s="116"/>
      <c r="EK111" s="20"/>
      <c r="GD111" s="27" t="s">
        <v>52</v>
      </c>
      <c r="GE111" s="51">
        <f>VLOOKUP(SUM($CM$16:$CM$19),'tab aparelhos'!$T$4:$U$35,2)</f>
        <v>0</v>
      </c>
      <c r="GF111" s="202">
        <f>SUM($C$23,$F$23)</f>
        <v>0</v>
      </c>
      <c r="GG111" s="202">
        <f>SUM($D$23,$G$23)</f>
        <v>0</v>
      </c>
      <c r="GH111" s="199">
        <f t="shared" si="135"/>
        <v>0</v>
      </c>
      <c r="GI111" s="193"/>
      <c r="GJ111" s="199">
        <f t="shared" si="136"/>
        <v>0</v>
      </c>
      <c r="GK111" s="193"/>
      <c r="GL111" s="193"/>
      <c r="GM111" s="193"/>
      <c r="GN111" s="193"/>
      <c r="GO111" s="193"/>
      <c r="GP111" s="193"/>
      <c r="GQ111" s="193"/>
      <c r="GR111" s="193"/>
      <c r="GS111" s="193"/>
      <c r="GT111" s="193"/>
      <c r="GU111" s="193"/>
      <c r="GV111" s="193"/>
      <c r="GW111" s="193"/>
      <c r="GX111" s="193"/>
      <c r="GY111" s="193"/>
      <c r="GZ111" s="193"/>
      <c r="HA111" s="193"/>
      <c r="HB111" s="193"/>
      <c r="HC111" s="193"/>
      <c r="HD111" s="199"/>
      <c r="HE111" s="199"/>
      <c r="HF111" s="199"/>
      <c r="HG111" s="193"/>
      <c r="HH111" s="193"/>
      <c r="HI111" s="193"/>
      <c r="HJ111" s="193"/>
      <c r="HK111" s="193"/>
    </row>
    <row r="112" spans="1:219" x14ac:dyDescent="0.2">
      <c r="C112" s="263">
        <f t="shared" si="137"/>
        <v>0</v>
      </c>
      <c r="F112" s="263">
        <f t="shared" si="138"/>
        <v>0</v>
      </c>
      <c r="I112" s="263">
        <f t="shared" si="139"/>
        <v>0</v>
      </c>
      <c r="L112" s="263">
        <f t="shared" si="140"/>
        <v>0</v>
      </c>
      <c r="O112" s="263">
        <f t="shared" si="141"/>
        <v>0</v>
      </c>
      <c r="R112" s="263">
        <f t="shared" si="142"/>
        <v>0</v>
      </c>
      <c r="U112" s="263">
        <f t="shared" si="143"/>
        <v>0</v>
      </c>
      <c r="X112" s="263">
        <f t="shared" si="144"/>
        <v>0</v>
      </c>
      <c r="AA112" s="263">
        <f t="shared" si="145"/>
        <v>0</v>
      </c>
      <c r="AD112" s="263">
        <f t="shared" si="146"/>
        <v>0</v>
      </c>
      <c r="AG112" s="263">
        <f t="shared" si="147"/>
        <v>0</v>
      </c>
      <c r="AJ112" s="263">
        <f t="shared" si="148"/>
        <v>0</v>
      </c>
      <c r="AQ112" s="51"/>
      <c r="AR112" s="51"/>
      <c r="AS112" s="51"/>
      <c r="AT112" s="51"/>
      <c r="AZ112"/>
      <c r="BA112" s="98"/>
      <c r="BC112">
        <f>SUM(BR74:BR90)</f>
        <v>112.13816983536283</v>
      </c>
      <c r="BE112" s="116" t="s">
        <v>143</v>
      </c>
      <c r="BF112" s="94">
        <f>SUM(BF58:BF65,BR40:BR56,AS5,AS13:AS30)</f>
        <v>0</v>
      </c>
      <c r="BG112" s="94">
        <f>SUM(BK58:BK70,BS40:BS56,AU5,AU13:AU30)</f>
        <v>57.61</v>
      </c>
      <c r="BH112" s="94">
        <f>SUM(BL58:BL70,BT40:BT56,AW5,AW13:AW30)</f>
        <v>9.6100000000000012</v>
      </c>
      <c r="BI112" s="94">
        <f>SUM(BM58:BM70,BU40:BU56,AY5,AY13:AY30)</f>
        <v>73.340142574699058</v>
      </c>
      <c r="BJ112" s="127" t="s">
        <v>143</v>
      </c>
      <c r="BK112" s="94" t="e">
        <f>SUM(BW59:BW71,#REF!,#REF!,IF(AND(C1=DX1,DX1=I1),#REF!*0.98,#REF!))</f>
        <v>#REF!</v>
      </c>
      <c r="BL112" s="94"/>
      <c r="BM112" s="94" t="e">
        <f>SUM(BY59:BY71,#REF!,#REF!,IF(AND(DX1=F1,L1=DX1),#REF!*0.98,#REF!))</f>
        <v>#REF!</v>
      </c>
      <c r="BN112" s="94"/>
      <c r="BO112" s="94" t="e">
        <f>SUM(EX8,DZ8:DZ25,#REF!,#REF!,DY6,EA6,ED6,EG6,EJ6,EM6,EP6,ES6,EV6,EY6,FB6)</f>
        <v>#REF!</v>
      </c>
      <c r="BS112" s="128" t="s">
        <v>1837</v>
      </c>
      <c r="BT112">
        <v>0.32</v>
      </c>
      <c r="EF112" s="98"/>
      <c r="EJ112" s="116"/>
      <c r="EK112" s="94"/>
      <c r="GD112" s="27" t="s">
        <v>125</v>
      </c>
      <c r="GE112" s="51">
        <f>VLOOKUP(SUM($CM$16:$CM$19),'tab aparelhos'!$T$4:$U$35,2)</f>
        <v>0</v>
      </c>
      <c r="GF112" s="202">
        <f>SUM($C$24,$F$24)</f>
        <v>0</v>
      </c>
      <c r="GG112" s="202">
        <f>SUM($D$24,$G$24)</f>
        <v>0</v>
      </c>
      <c r="GH112" s="199">
        <f t="shared" si="135"/>
        <v>0</v>
      </c>
      <c r="GI112" s="193"/>
      <c r="GJ112" s="199">
        <f t="shared" si="136"/>
        <v>0</v>
      </c>
      <c r="GK112" s="193"/>
      <c r="GL112" s="193"/>
      <c r="GM112" s="193"/>
      <c r="GN112" s="193"/>
      <c r="GO112" s="193"/>
      <c r="GP112" s="193"/>
      <c r="GQ112" s="193"/>
      <c r="GR112" s="193"/>
      <c r="GS112" s="193"/>
      <c r="GT112" s="193"/>
      <c r="GU112" s="193"/>
      <c r="GV112" s="193"/>
      <c r="GW112" s="193"/>
      <c r="GX112" s="193"/>
      <c r="GY112" s="193"/>
      <c r="GZ112" s="193"/>
      <c r="HA112" s="193"/>
      <c r="HB112" s="193"/>
      <c r="HC112" s="193"/>
      <c r="HD112" s="199"/>
      <c r="HE112" s="199"/>
      <c r="HF112" s="199"/>
      <c r="HG112" s="193"/>
      <c r="HH112" s="193"/>
      <c r="HI112" s="193"/>
      <c r="HJ112" s="193"/>
      <c r="HK112" s="193"/>
    </row>
    <row r="113" spans="1:219" x14ac:dyDescent="0.2">
      <c r="C113" s="263">
        <f t="shared" si="137"/>
        <v>0</v>
      </c>
      <c r="F113" s="263">
        <f t="shared" si="138"/>
        <v>0</v>
      </c>
      <c r="I113" s="263">
        <f t="shared" si="139"/>
        <v>0</v>
      </c>
      <c r="L113" s="263">
        <f t="shared" si="140"/>
        <v>0</v>
      </c>
      <c r="O113" s="263">
        <f t="shared" si="141"/>
        <v>0</v>
      </c>
      <c r="R113" s="263">
        <f t="shared" si="142"/>
        <v>0</v>
      </c>
      <c r="U113" s="263">
        <f t="shared" si="143"/>
        <v>0</v>
      </c>
      <c r="X113" s="263">
        <f t="shared" si="144"/>
        <v>0</v>
      </c>
      <c r="AA113" s="263">
        <f t="shared" si="145"/>
        <v>0</v>
      </c>
      <c r="AD113" s="263">
        <f t="shared" si="146"/>
        <v>0</v>
      </c>
      <c r="AG113" s="263">
        <f t="shared" si="147"/>
        <v>0</v>
      </c>
      <c r="AJ113" s="263">
        <f t="shared" si="148"/>
        <v>0</v>
      </c>
      <c r="AQ113" s="51"/>
      <c r="AR113" s="51"/>
      <c r="AS113" s="51"/>
      <c r="AT113" s="51"/>
      <c r="AZ113"/>
      <c r="BA113" s="98"/>
      <c r="BC113">
        <v>3</v>
      </c>
      <c r="BE113" s="116" t="s">
        <v>144</v>
      </c>
      <c r="BF113" s="51">
        <f>IF(OR(CENTRO_DE_MEDIÇÃO!$I$17="TRIFÁSICO",AQ50&gt;0,C30&gt;0),3,2)</f>
        <v>2</v>
      </c>
      <c r="BG113" s="51">
        <f>IF(OR(CENTRO_DE_MEDIÇÃO!$I$18="TRIFÁSICO",AR50&gt;0,F30&gt;0),3,2)</f>
        <v>2</v>
      </c>
      <c r="BH113" s="51">
        <f>IF(OR(CENTRO_DE_MEDIÇÃO!$I$19="TRIFÁSICO",AS50&gt;0,I30&gt;0),3,2)</f>
        <v>2</v>
      </c>
      <c r="BI113" s="51">
        <f>IF(OR(CENTRO_DE_MEDIÇÃO!$I$20="TRIFÁSICO",AT50&gt;0,L30&gt;0),3,2)</f>
        <v>2</v>
      </c>
      <c r="BJ113" s="127" t="s">
        <v>144</v>
      </c>
      <c r="BK113" s="51">
        <f>IF(CENTRO_DE_MEDIÇÃO!$I$13="TRIFÁSICO",3,2)</f>
        <v>2</v>
      </c>
      <c r="BL113" s="51"/>
      <c r="BM113" s="51">
        <f>IF(CENTRO_DE_MEDIÇÃO!$I$13="TRIFÁSICO",3,2)</f>
        <v>2</v>
      </c>
      <c r="BN113" s="51"/>
      <c r="BO113">
        <f>IF(CENTRO_DE_MEDIÇÃO!H4="3F+N",3,2)</f>
        <v>2</v>
      </c>
      <c r="BS113" s="128" t="s">
        <v>119</v>
      </c>
      <c r="BT113">
        <v>0.42</v>
      </c>
      <c r="EF113" s="98"/>
      <c r="EJ113" s="116"/>
      <c r="EK113" s="51"/>
      <c r="GD113" s="27" t="s">
        <v>54</v>
      </c>
      <c r="GE113" s="51">
        <f>VLOOKUP(GF113,'tab aparelhos'!$AF$4:$AG$35,2)</f>
        <v>0</v>
      </c>
      <c r="GF113" s="202">
        <f>SUM($C$25,$F$25)</f>
        <v>0</v>
      </c>
      <c r="GG113" s="202">
        <f>SUM($D$25,$G$25)</f>
        <v>0</v>
      </c>
      <c r="GH113" s="199">
        <f t="shared" si="135"/>
        <v>0</v>
      </c>
      <c r="GI113" s="193"/>
      <c r="GJ113" s="199">
        <f t="shared" si="136"/>
        <v>0</v>
      </c>
      <c r="GK113" s="193"/>
      <c r="GL113" s="193"/>
      <c r="GM113" s="193"/>
      <c r="GN113" s="193"/>
      <c r="GO113" s="193"/>
      <c r="GP113" s="193"/>
      <c r="GQ113" s="193"/>
      <c r="GR113" s="193"/>
      <c r="GS113" s="193"/>
      <c r="GT113" s="193"/>
      <c r="GU113" s="193"/>
      <c r="GV113" s="193"/>
      <c r="GW113" s="193"/>
      <c r="GX113" s="193"/>
      <c r="GY113" s="193"/>
      <c r="GZ113" s="193"/>
      <c r="HA113" s="193"/>
      <c r="HB113" s="193"/>
      <c r="HC113" s="193"/>
      <c r="HD113" s="199"/>
      <c r="HE113" s="199"/>
      <c r="HF113" s="199"/>
      <c r="HG113" s="193"/>
      <c r="HH113" s="193"/>
      <c r="HI113" s="193"/>
      <c r="HJ113" s="193"/>
      <c r="HK113" s="193"/>
    </row>
    <row r="114" spans="1:219" x14ac:dyDescent="0.2">
      <c r="C114" s="263">
        <f t="shared" si="137"/>
        <v>0</v>
      </c>
      <c r="F114" s="263">
        <f t="shared" si="138"/>
        <v>0</v>
      </c>
      <c r="I114" s="263">
        <f t="shared" si="139"/>
        <v>0</v>
      </c>
      <c r="L114" s="263">
        <f t="shared" si="140"/>
        <v>0</v>
      </c>
      <c r="O114" s="263">
        <f t="shared" si="141"/>
        <v>0</v>
      </c>
      <c r="R114" s="263">
        <f t="shared" si="142"/>
        <v>0</v>
      </c>
      <c r="U114" s="263">
        <f t="shared" si="143"/>
        <v>0</v>
      </c>
      <c r="X114" s="263">
        <f t="shared" si="144"/>
        <v>0</v>
      </c>
      <c r="AA114" s="263">
        <f t="shared" si="145"/>
        <v>0</v>
      </c>
      <c r="AD114" s="263">
        <f t="shared" si="146"/>
        <v>0</v>
      </c>
      <c r="AG114" s="263">
        <f t="shared" si="147"/>
        <v>0</v>
      </c>
      <c r="AJ114" s="263">
        <f t="shared" si="148"/>
        <v>0</v>
      </c>
      <c r="AQ114" s="51"/>
      <c r="AR114" s="51"/>
      <c r="AS114" s="51"/>
      <c r="AT114" s="51"/>
      <c r="AZ114"/>
      <c r="BA114" s="98"/>
      <c r="BC114" s="51">
        <f>IF(BC113=2,0.22,0.381)</f>
        <v>0.38100000000000001</v>
      </c>
      <c r="BE114" s="116" t="s">
        <v>145</v>
      </c>
      <c r="BF114" s="51">
        <f>IF(BF113=2,0.22,0.381)</f>
        <v>0.22</v>
      </c>
      <c r="BG114" s="51">
        <f>IF(BG113=2,0.22,0.381)</f>
        <v>0.22</v>
      </c>
      <c r="BH114" s="51">
        <f>IF(BH113=2,0.22,0.381)</f>
        <v>0.22</v>
      </c>
      <c r="BI114" s="51">
        <f>IF(BI113=2,0.22,0.381)</f>
        <v>0.22</v>
      </c>
      <c r="BJ114" s="127" t="s">
        <v>145</v>
      </c>
      <c r="BK114" s="51">
        <f>IF(BK113=2,0.22,0.381)</f>
        <v>0.22</v>
      </c>
      <c r="BL114" s="51"/>
      <c r="BM114" s="51">
        <f>IF(BM113=2,0.22,0.381)</f>
        <v>0.22</v>
      </c>
      <c r="BN114" s="51"/>
      <c r="BO114" s="51">
        <f>IF(BO113=2,0.22,0.381)</f>
        <v>0.22</v>
      </c>
      <c r="BS114" s="128" t="s">
        <v>120</v>
      </c>
      <c r="BT114">
        <v>0.42</v>
      </c>
      <c r="EF114" s="98"/>
      <c r="EJ114" s="116"/>
      <c r="EK114" s="51"/>
      <c r="GD114" s="27" t="s">
        <v>55</v>
      </c>
      <c r="GE114" s="51">
        <v>1</v>
      </c>
      <c r="GF114" s="202">
        <f>SUM($C$26,$F$26)</f>
        <v>0</v>
      </c>
      <c r="GG114" s="202">
        <f>SUM($D$26,$G$26)</f>
        <v>0</v>
      </c>
      <c r="GH114" s="199">
        <f t="shared" si="135"/>
        <v>0</v>
      </c>
      <c r="GI114" s="193"/>
      <c r="GJ114" s="199">
        <f t="shared" si="136"/>
        <v>0</v>
      </c>
      <c r="GK114" s="193"/>
      <c r="GL114" s="193"/>
      <c r="GM114" s="193"/>
      <c r="GN114" s="193"/>
      <c r="GO114" s="193"/>
      <c r="GP114" s="193"/>
      <c r="GQ114" s="193"/>
      <c r="GR114" s="193"/>
      <c r="GS114" s="193"/>
      <c r="GT114" s="193"/>
      <c r="GU114" s="193"/>
      <c r="GV114" s="193"/>
      <c r="GW114" s="193"/>
      <c r="GX114" s="193"/>
      <c r="GY114" s="193"/>
      <c r="GZ114" s="193"/>
      <c r="HA114" s="193"/>
      <c r="HB114" s="193"/>
      <c r="HC114" s="193"/>
      <c r="HD114" s="199"/>
      <c r="HE114" s="199"/>
      <c r="HF114" s="199"/>
      <c r="HG114" s="193"/>
      <c r="HH114" s="193"/>
      <c r="HI114" s="193"/>
      <c r="HJ114" s="193"/>
      <c r="HK114" s="193"/>
    </row>
    <row r="115" spans="1:219" x14ac:dyDescent="0.2">
      <c r="C115" s="263">
        <f t="shared" si="137"/>
        <v>0</v>
      </c>
      <c r="F115" s="263">
        <f t="shared" si="138"/>
        <v>0</v>
      </c>
      <c r="I115" s="263">
        <f t="shared" si="139"/>
        <v>0</v>
      </c>
      <c r="L115" s="263">
        <f t="shared" si="140"/>
        <v>0</v>
      </c>
      <c r="O115" s="263">
        <f t="shared" si="141"/>
        <v>0</v>
      </c>
      <c r="R115" s="263">
        <f t="shared" si="142"/>
        <v>0</v>
      </c>
      <c r="U115" s="263">
        <f t="shared" si="143"/>
        <v>0</v>
      </c>
      <c r="X115" s="263">
        <f t="shared" si="144"/>
        <v>0</v>
      </c>
      <c r="AA115" s="263">
        <f t="shared" si="145"/>
        <v>0</v>
      </c>
      <c r="AD115" s="263">
        <f t="shared" si="146"/>
        <v>0</v>
      </c>
      <c r="AG115" s="263">
        <f t="shared" si="147"/>
        <v>0</v>
      </c>
      <c r="AJ115" s="263">
        <f t="shared" si="148"/>
        <v>0</v>
      </c>
      <c r="AQ115" s="51"/>
      <c r="AR115" s="51"/>
      <c r="AS115" s="51"/>
      <c r="AT115" s="51"/>
      <c r="AZ115"/>
      <c r="BA115" s="98"/>
      <c r="BC115" s="51">
        <f>IF(BC113=2,0.24,0.345)</f>
        <v>0.34499999999999997</v>
      </c>
      <c r="BE115" s="116" t="s">
        <v>146</v>
      </c>
      <c r="BF115" s="51">
        <f>IF(BF113=2,0.24,0.345)</f>
        <v>0.24</v>
      </c>
      <c r="BG115" s="51">
        <f>IF(BG113=2,0.24,0.345)</f>
        <v>0.24</v>
      </c>
      <c r="BH115" s="51">
        <f>IF(BH113=2,0.24,0.345)</f>
        <v>0.24</v>
      </c>
      <c r="BI115" s="51">
        <f>IF(BI113=2,0.24,0.345)</f>
        <v>0.24</v>
      </c>
      <c r="BJ115" s="127" t="s">
        <v>146</v>
      </c>
      <c r="BK115" s="51">
        <f>IF(BK113=2,0.23,0.345)</f>
        <v>0.23</v>
      </c>
      <c r="BL115" s="51"/>
      <c r="BM115" s="51">
        <f>IF(BM113=2,0.23,0.345)</f>
        <v>0.23</v>
      </c>
      <c r="BN115" s="51"/>
      <c r="BO115" s="51">
        <f>IF(BO113=2,0.23,0.345)</f>
        <v>0.23</v>
      </c>
      <c r="BS115" s="174" t="s">
        <v>121</v>
      </c>
      <c r="BT115">
        <v>0.42</v>
      </c>
      <c r="EF115" s="98"/>
      <c r="EJ115" s="116"/>
      <c r="EK115" s="51"/>
      <c r="GD115" s="27" t="s">
        <v>56</v>
      </c>
      <c r="GE115" s="51">
        <f>VLOOKUP(GF115,'tab ar'!$A$1:$D$9,3,TRUE)</f>
        <v>1</v>
      </c>
      <c r="GF115" s="202">
        <f>SUM($C$27,$F$27)</f>
        <v>0</v>
      </c>
      <c r="GG115" s="202">
        <f>SUM($D$27,$G$27)</f>
        <v>0</v>
      </c>
      <c r="GH115" s="199">
        <f t="shared" si="135"/>
        <v>0</v>
      </c>
      <c r="GI115" s="193"/>
      <c r="GJ115" s="199">
        <f t="shared" si="136"/>
        <v>0</v>
      </c>
      <c r="GK115" s="193"/>
      <c r="GL115" s="193"/>
      <c r="GM115" s="193"/>
      <c r="GN115" s="193"/>
      <c r="GO115" s="193"/>
      <c r="GP115" s="193"/>
      <c r="GQ115" s="193"/>
      <c r="GR115" s="193"/>
      <c r="GS115" s="193"/>
      <c r="GT115" s="193"/>
      <c r="GU115" s="193"/>
      <c r="GV115" s="193"/>
      <c r="GW115" s="193"/>
      <c r="GX115" s="193"/>
      <c r="GY115" s="193"/>
      <c r="GZ115" s="193"/>
      <c r="HA115" s="193"/>
      <c r="HB115" s="193"/>
      <c r="HC115" s="193"/>
      <c r="HD115" s="199"/>
      <c r="HE115" s="199"/>
      <c r="HF115" s="199"/>
      <c r="HG115" s="193"/>
      <c r="HH115" s="193"/>
      <c r="HI115" s="193"/>
      <c r="HJ115" s="193"/>
      <c r="HK115" s="193"/>
    </row>
    <row r="116" spans="1:219" x14ac:dyDescent="0.2">
      <c r="C116" s="263">
        <f t="shared" si="137"/>
        <v>0</v>
      </c>
      <c r="F116" s="263">
        <f t="shared" si="138"/>
        <v>0</v>
      </c>
      <c r="I116" s="263">
        <f t="shared" si="139"/>
        <v>0</v>
      </c>
      <c r="L116" s="263">
        <f t="shared" si="140"/>
        <v>0</v>
      </c>
      <c r="O116" s="263">
        <f t="shared" si="141"/>
        <v>0</v>
      </c>
      <c r="R116" s="263">
        <f t="shared" si="142"/>
        <v>0</v>
      </c>
      <c r="U116" s="263">
        <f t="shared" si="143"/>
        <v>0</v>
      </c>
      <c r="X116" s="263">
        <f t="shared" si="144"/>
        <v>0</v>
      </c>
      <c r="AA116" s="263">
        <f t="shared" si="145"/>
        <v>0</v>
      </c>
      <c r="AD116" s="263">
        <f t="shared" si="146"/>
        <v>0</v>
      </c>
      <c r="AG116" s="263">
        <f t="shared" si="147"/>
        <v>0</v>
      </c>
      <c r="AJ116" s="263">
        <f t="shared" si="148"/>
        <v>0</v>
      </c>
      <c r="AQ116" s="51"/>
      <c r="AR116" s="51"/>
      <c r="AS116" s="51"/>
      <c r="AT116" s="51"/>
      <c r="AZ116"/>
      <c r="BA116" s="98"/>
      <c r="BC116" s="211">
        <f>BC112/BC114</f>
        <v>294.32590507969246</v>
      </c>
      <c r="BE116" s="127" t="s">
        <v>147</v>
      </c>
      <c r="BF116" s="211">
        <f>BF112/BF114</f>
        <v>0</v>
      </c>
      <c r="BG116" s="212">
        <f>BG112/BG114</f>
        <v>261.86363636363637</v>
      </c>
      <c r="BH116" s="212">
        <f>BH112/BH114</f>
        <v>43.681818181818187</v>
      </c>
      <c r="BI116" s="212">
        <f>BI112/BI114</f>
        <v>333.36428443045025</v>
      </c>
      <c r="BJ116" s="127" t="s">
        <v>147</v>
      </c>
      <c r="BK116" s="212" t="e">
        <f>BK112/BK114</f>
        <v>#REF!</v>
      </c>
      <c r="BL116" s="128"/>
      <c r="BM116" s="212" t="e">
        <f>BM112/BM114</f>
        <v>#REF!</v>
      </c>
      <c r="BN116" s="128"/>
      <c r="BO116" s="212" t="e">
        <f>BO112/BO114</f>
        <v>#REF!</v>
      </c>
      <c r="BS116" s="128" t="s">
        <v>122</v>
      </c>
      <c r="BT116">
        <v>0.42</v>
      </c>
      <c r="EF116" s="98"/>
      <c r="EJ116" s="127"/>
      <c r="EK116" s="128"/>
      <c r="GD116" s="29" t="s">
        <v>57</v>
      </c>
      <c r="GE116" s="51">
        <f>VLOOKUP(GF116,'tab ar'!$A$1:$D$9,4,TRUE)</f>
        <v>1</v>
      </c>
      <c r="GF116" s="202">
        <f>SUM($C$28,$F$28)</f>
        <v>0</v>
      </c>
      <c r="GG116" s="202">
        <f>SUM($D$28,$G$28)</f>
        <v>0</v>
      </c>
      <c r="GH116" s="199">
        <f t="shared" si="135"/>
        <v>0</v>
      </c>
      <c r="GI116" s="193"/>
      <c r="GJ116" s="199">
        <f t="shared" si="136"/>
        <v>0</v>
      </c>
      <c r="GK116" s="193"/>
      <c r="GL116" s="193"/>
      <c r="GM116" s="193"/>
      <c r="GN116" s="193"/>
      <c r="GO116" s="193"/>
      <c r="GP116" s="193"/>
      <c r="GQ116" s="193"/>
      <c r="GR116" s="193"/>
      <c r="GS116" s="193"/>
      <c r="GT116" s="193"/>
      <c r="GU116" s="193"/>
      <c r="GV116" s="193"/>
      <c r="GW116" s="193"/>
      <c r="GX116" s="193"/>
      <c r="GY116" s="193"/>
      <c r="GZ116" s="193"/>
      <c r="HA116" s="193"/>
      <c r="HB116" s="193"/>
      <c r="HC116" s="193"/>
      <c r="HD116" s="199"/>
      <c r="HE116" s="199"/>
      <c r="HF116" s="199"/>
      <c r="HG116" s="193"/>
      <c r="HH116" s="193"/>
      <c r="HI116" s="193"/>
      <c r="HJ116" s="193"/>
      <c r="HK116" s="193"/>
    </row>
    <row r="117" spans="1:219" x14ac:dyDescent="0.2">
      <c r="C117" s="263">
        <f t="shared" si="137"/>
        <v>0</v>
      </c>
      <c r="F117" s="263">
        <f t="shared" si="138"/>
        <v>0</v>
      </c>
      <c r="I117" s="263">
        <f t="shared" si="139"/>
        <v>0</v>
      </c>
      <c r="L117" s="263">
        <f t="shared" si="140"/>
        <v>0</v>
      </c>
      <c r="O117" s="263">
        <f t="shared" si="141"/>
        <v>0</v>
      </c>
      <c r="R117" s="263">
        <f t="shared" si="142"/>
        <v>0</v>
      </c>
      <c r="U117" s="263">
        <f t="shared" si="143"/>
        <v>0</v>
      </c>
      <c r="X117" s="263">
        <f t="shared" si="144"/>
        <v>0</v>
      </c>
      <c r="AA117" s="263">
        <f t="shared" si="145"/>
        <v>0</v>
      </c>
      <c r="AD117" s="263">
        <f t="shared" si="146"/>
        <v>0</v>
      </c>
      <c r="AG117" s="263">
        <f t="shared" si="147"/>
        <v>0</v>
      </c>
      <c r="AJ117" s="263">
        <f t="shared" si="148"/>
        <v>0</v>
      </c>
      <c r="AQ117" s="51"/>
      <c r="AR117" s="51"/>
      <c r="AS117" s="51"/>
      <c r="AT117" s="51"/>
      <c r="AZ117"/>
      <c r="BA117" s="98"/>
      <c r="BC117" s="211">
        <f>BC112/BC115</f>
        <v>325.03817343583432</v>
      </c>
      <c r="BE117" s="129" t="s">
        <v>148</v>
      </c>
      <c r="BF117" s="210">
        <f>(SUM(BF58:BF65,AS13:AS30,AS5)/0.24)+(SUM(BR40:BR56)/0.415)</f>
        <v>0</v>
      </c>
      <c r="BG117" s="210">
        <f>(SUM(BK58:BK70,AU13:AU30,AU5)/0.24)+(SUM(BS40:BS56)/0.415)</f>
        <v>240.04166666666669</v>
      </c>
      <c r="BH117" s="210">
        <f>(SUM(BL58:BL70,AW13:AW30,AW5)/0.24)+(SUM(BT40:BT56)/0.415)</f>
        <v>40.041666666666671</v>
      </c>
      <c r="BI117" s="210">
        <f>(SUM(BM58:BM70,AY13:AY30,AY5)/0.24)+(SUM(BU40:BU56)/0.415)</f>
        <v>305.5839273945794</v>
      </c>
      <c r="BJ117" s="127" t="s">
        <v>148</v>
      </c>
      <c r="BK117" s="210" t="e">
        <f>BK112/BK115</f>
        <v>#REF!</v>
      </c>
      <c r="BL117" s="130"/>
      <c r="BM117" s="210" t="e">
        <f>BM112/BM115</f>
        <v>#REF!</v>
      </c>
      <c r="BN117" s="130"/>
      <c r="BO117" s="210" t="e">
        <f>BO112/BO115</f>
        <v>#REF!</v>
      </c>
      <c r="BS117" s="128" t="s">
        <v>123</v>
      </c>
      <c r="BT117">
        <v>0.39</v>
      </c>
      <c r="EF117" s="98"/>
      <c r="EJ117" s="129"/>
      <c r="EK117" s="130"/>
      <c r="GD117" s="29" t="s">
        <v>58</v>
      </c>
      <c r="GE117" s="51">
        <f>IF($CM$24=0,0,IF($CM$24=1,$CN$24,(($CM$24-1)*0.6)+$CN$24))</f>
        <v>0</v>
      </c>
      <c r="GF117" s="202">
        <f>SUM($C$29,$F$29)</f>
        <v>0</v>
      </c>
      <c r="GG117" s="202">
        <f>SUM($D$29,$G$29)</f>
        <v>0</v>
      </c>
      <c r="GH117" s="199">
        <f>GE117</f>
        <v>0</v>
      </c>
      <c r="GI117" s="193"/>
      <c r="GJ117" s="199">
        <f t="shared" si="136"/>
        <v>0</v>
      </c>
      <c r="GK117" s="193"/>
      <c r="GL117" s="193"/>
      <c r="GM117" s="193"/>
      <c r="GN117" s="193"/>
      <c r="GO117" s="193"/>
      <c r="GP117" s="193"/>
      <c r="GQ117" s="193"/>
      <c r="GR117" s="193"/>
      <c r="GS117" s="193"/>
      <c r="GT117" s="193"/>
      <c r="GU117" s="193"/>
      <c r="GV117" s="193"/>
      <c r="GW117" s="193"/>
      <c r="GX117" s="193"/>
      <c r="GY117" s="193"/>
      <c r="GZ117" s="193"/>
      <c r="HA117" s="193"/>
      <c r="HB117" s="193"/>
      <c r="HC117" s="193"/>
      <c r="HD117" s="199"/>
      <c r="HE117" s="199"/>
      <c r="HF117" s="199"/>
      <c r="HG117" s="193"/>
      <c r="HH117" s="193"/>
      <c r="HI117" s="193"/>
      <c r="HJ117" s="193"/>
      <c r="HK117" s="193"/>
    </row>
    <row r="118" spans="1:219" x14ac:dyDescent="0.2">
      <c r="C118" s="263">
        <f t="shared" si="137"/>
        <v>0</v>
      </c>
      <c r="F118" s="263">
        <f t="shared" si="138"/>
        <v>0</v>
      </c>
      <c r="I118" s="263">
        <f t="shared" si="139"/>
        <v>0</v>
      </c>
      <c r="L118" s="263">
        <f t="shared" si="140"/>
        <v>0</v>
      </c>
      <c r="O118" s="263">
        <f t="shared" si="141"/>
        <v>0</v>
      </c>
      <c r="R118" s="263">
        <f t="shared" si="142"/>
        <v>0</v>
      </c>
      <c r="U118" s="263">
        <f t="shared" si="143"/>
        <v>0</v>
      </c>
      <c r="X118" s="263">
        <f t="shared" si="144"/>
        <v>0</v>
      </c>
      <c r="AA118" s="263">
        <f t="shared" si="145"/>
        <v>0</v>
      </c>
      <c r="AD118" s="263">
        <f t="shared" si="146"/>
        <v>0</v>
      </c>
      <c r="AG118" s="263">
        <f t="shared" si="147"/>
        <v>0</v>
      </c>
      <c r="AJ118" s="263">
        <f t="shared" si="148"/>
        <v>0</v>
      </c>
      <c r="AQ118" s="51"/>
      <c r="AR118" s="51"/>
      <c r="AS118" s="51"/>
      <c r="AT118" s="51"/>
      <c r="AZ118"/>
      <c r="BA118" s="98"/>
      <c r="BE118" s="116"/>
      <c r="BF118" s="51"/>
      <c r="BG118" s="51"/>
      <c r="BH118" s="51"/>
      <c r="BI118" s="51"/>
      <c r="BJ118" s="128"/>
      <c r="BK118" s="51"/>
      <c r="BL118" s="51"/>
      <c r="BM118" s="51"/>
      <c r="BN118" s="51"/>
      <c r="BS118" s="128" t="s">
        <v>69</v>
      </c>
      <c r="BT118">
        <v>0.42</v>
      </c>
      <c r="EF118" s="98"/>
      <c r="EJ118" s="116"/>
      <c r="EK118" s="51"/>
      <c r="GD118" s="30" t="s">
        <v>59</v>
      </c>
      <c r="GE118" s="51">
        <v>1</v>
      </c>
      <c r="GF118" s="202">
        <f>SUM($C$30,$F$30)</f>
        <v>0</v>
      </c>
      <c r="GG118" s="202">
        <f>SUM($D$30,$G$30)</f>
        <v>0</v>
      </c>
      <c r="GH118" s="199">
        <f>GG118*GE118</f>
        <v>0</v>
      </c>
      <c r="GI118" s="193"/>
      <c r="GJ118" s="199">
        <f t="shared" si="136"/>
        <v>0</v>
      </c>
      <c r="GK118" s="193"/>
      <c r="GL118" s="193"/>
      <c r="GM118" s="193"/>
      <c r="GN118" s="193"/>
      <c r="GO118" s="193"/>
      <c r="GP118" s="193"/>
      <c r="GQ118" s="193"/>
      <c r="GR118" s="193"/>
      <c r="GS118" s="193"/>
      <c r="GT118" s="193"/>
      <c r="GU118" s="193"/>
      <c r="GV118" s="193"/>
      <c r="GW118" s="193"/>
      <c r="GX118" s="193"/>
      <c r="GY118" s="193"/>
      <c r="GZ118" s="193"/>
      <c r="HA118" s="193"/>
      <c r="HB118" s="193"/>
      <c r="HC118" s="193"/>
      <c r="HD118" s="199"/>
      <c r="HE118" s="199"/>
      <c r="HF118" s="199"/>
      <c r="HG118" s="193"/>
      <c r="HH118" s="193"/>
      <c r="HI118" s="193"/>
      <c r="HJ118" s="193"/>
      <c r="HK118" s="193"/>
    </row>
    <row r="119" spans="1:219" ht="13.5" thickBot="1" x14ac:dyDescent="0.25">
      <c r="C119" s="263">
        <f t="shared" si="137"/>
        <v>0</v>
      </c>
      <c r="F119" s="263">
        <f t="shared" si="138"/>
        <v>0</v>
      </c>
      <c r="I119" s="263">
        <f t="shared" si="139"/>
        <v>0</v>
      </c>
      <c r="L119" s="263">
        <f t="shared" si="140"/>
        <v>0</v>
      </c>
      <c r="O119" s="263">
        <f t="shared" si="141"/>
        <v>0</v>
      </c>
      <c r="R119" s="263">
        <f t="shared" si="142"/>
        <v>0</v>
      </c>
      <c r="U119" s="263">
        <f t="shared" si="143"/>
        <v>0</v>
      </c>
      <c r="X119" s="263">
        <f t="shared" si="144"/>
        <v>0</v>
      </c>
      <c r="AA119" s="263">
        <f t="shared" si="145"/>
        <v>0</v>
      </c>
      <c r="AD119" s="263">
        <f t="shared" si="146"/>
        <v>0</v>
      </c>
      <c r="AG119" s="263">
        <f t="shared" si="147"/>
        <v>0</v>
      </c>
      <c r="AJ119" s="263">
        <f t="shared" si="148"/>
        <v>0</v>
      </c>
      <c r="AQ119" s="51"/>
      <c r="AZ119"/>
      <c r="BA119" s="98"/>
      <c r="BE119" s="116" t="s">
        <v>212</v>
      </c>
      <c r="BF119" s="51">
        <f>BF111*VLOOKUP($C$1,'Tab. Demanda trafo'!$A$2:$B$14,2,0)</f>
        <v>0</v>
      </c>
      <c r="BG119" s="51">
        <f>BG111*VLOOKUP(F1,'Tab. Demanda trafo'!$A$2:$B$14,2,0)</f>
        <v>0</v>
      </c>
      <c r="BH119" s="51">
        <f>BH111*VLOOKUP(I1,'Tab. Demanda trafo'!$A$2:$B$14,2,0)</f>
        <v>0</v>
      </c>
      <c r="BI119" s="51">
        <f>BI111*VLOOKUP(L1,'Tab. Demanda trafo'!$A$2:$B$14,2,0)</f>
        <v>0</v>
      </c>
      <c r="BJ119" s="128"/>
      <c r="BK119" s="51"/>
      <c r="BL119" s="51"/>
      <c r="BM119" s="51"/>
      <c r="BN119" s="51"/>
      <c r="EF119" s="98"/>
      <c r="EJ119" s="116"/>
      <c r="EK119" s="51"/>
      <c r="GD119" s="31"/>
      <c r="GE119" s="86"/>
      <c r="GF119" s="203"/>
      <c r="GG119" s="203"/>
      <c r="GH119" s="91"/>
      <c r="GI119" s="62"/>
      <c r="GJ119" s="62"/>
      <c r="GK119" s="86"/>
      <c r="GL119" s="61"/>
      <c r="GM119" s="61"/>
      <c r="GN119" s="86"/>
      <c r="GO119" s="61"/>
      <c r="GP119" s="61"/>
      <c r="GQ119" s="86"/>
      <c r="GR119" s="61"/>
      <c r="GS119" s="61"/>
      <c r="GT119" s="86"/>
      <c r="GU119" s="61"/>
      <c r="GV119" s="61"/>
      <c r="GW119" s="86"/>
      <c r="GX119" s="61"/>
      <c r="GY119" s="61"/>
      <c r="GZ119" s="86"/>
      <c r="HA119" s="61"/>
      <c r="HB119" s="61"/>
      <c r="HC119" s="86"/>
      <c r="HD119" s="203"/>
      <c r="HE119" s="203"/>
      <c r="HF119" s="86"/>
      <c r="HG119" s="61"/>
      <c r="HH119" s="61"/>
      <c r="HI119" s="91"/>
      <c r="HJ119" s="62"/>
      <c r="HK119" s="62"/>
    </row>
    <row r="120" spans="1:219" ht="13.5" thickBot="1" x14ac:dyDescent="0.25">
      <c r="C120" s="263">
        <f t="shared" si="137"/>
        <v>0</v>
      </c>
      <c r="F120" s="263">
        <f t="shared" si="138"/>
        <v>0</v>
      </c>
      <c r="I120" s="263">
        <f t="shared" si="139"/>
        <v>0</v>
      </c>
      <c r="L120" s="263">
        <f t="shared" si="140"/>
        <v>0</v>
      </c>
      <c r="O120" s="263">
        <f t="shared" si="141"/>
        <v>0</v>
      </c>
      <c r="R120" s="263">
        <f t="shared" si="142"/>
        <v>0</v>
      </c>
      <c r="U120" s="263">
        <f t="shared" si="143"/>
        <v>0</v>
      </c>
      <c r="X120" s="263">
        <f t="shared" si="144"/>
        <v>0</v>
      </c>
      <c r="AA120" s="263">
        <f t="shared" si="145"/>
        <v>0</v>
      </c>
      <c r="AD120" s="263">
        <f t="shared" si="146"/>
        <v>0</v>
      </c>
      <c r="AG120" s="263">
        <f t="shared" si="147"/>
        <v>0</v>
      </c>
      <c r="AJ120" s="263">
        <f t="shared" si="148"/>
        <v>0</v>
      </c>
      <c r="AZ120"/>
      <c r="BA120" s="98"/>
      <c r="BE120" s="116"/>
      <c r="BF120" s="51"/>
      <c r="BG120" s="51"/>
      <c r="BH120" s="51"/>
      <c r="BI120" s="51"/>
      <c r="BJ120" s="128"/>
      <c r="BK120" s="51"/>
      <c r="BL120" s="51"/>
      <c r="BM120" s="51"/>
      <c r="BN120" s="51"/>
      <c r="EF120" s="98"/>
      <c r="EJ120" s="116"/>
      <c r="EK120" s="51"/>
      <c r="GD120" s="21" t="s">
        <v>60</v>
      </c>
      <c r="GE120" s="85"/>
      <c r="GF120" s="206"/>
      <c r="GG120" s="204"/>
      <c r="GH120" s="204"/>
      <c r="GI120" s="194"/>
      <c r="GJ120" s="194"/>
      <c r="GK120" s="194"/>
      <c r="GL120" s="194"/>
      <c r="GM120" s="194"/>
      <c r="GN120" s="194"/>
      <c r="GO120" s="194"/>
      <c r="GP120" s="194"/>
      <c r="GQ120" s="194"/>
      <c r="GR120" s="194"/>
      <c r="GS120" s="194"/>
      <c r="GT120" s="194"/>
      <c r="GU120" s="194"/>
      <c r="GV120" s="194"/>
      <c r="GW120" s="194"/>
      <c r="GX120" s="194"/>
      <c r="GY120" s="194"/>
      <c r="GZ120" s="194"/>
      <c r="HA120" s="194"/>
      <c r="HB120" s="194"/>
      <c r="HC120" s="194"/>
      <c r="HD120" s="204"/>
      <c r="HE120" s="204"/>
      <c r="HF120" s="204"/>
      <c r="HG120" s="194"/>
      <c r="HH120" s="194"/>
      <c r="HI120" s="194"/>
      <c r="HJ120" s="194"/>
      <c r="HK120" s="194"/>
    </row>
    <row r="121" spans="1:219" ht="13.5" thickBot="1" x14ac:dyDescent="0.25">
      <c r="AZ121"/>
      <c r="BA121" s="98"/>
      <c r="BG121" s="51"/>
      <c r="BH121" s="51"/>
      <c r="BI121" s="51"/>
      <c r="BJ121" s="128"/>
      <c r="BK121" s="51"/>
      <c r="BL121" s="51"/>
      <c r="BM121" s="51"/>
      <c r="BN121" s="51"/>
      <c r="EF121" s="98"/>
      <c r="EJ121" s="116"/>
      <c r="EK121" s="51"/>
      <c r="GD121" s="22">
        <v>0.33333333333333298</v>
      </c>
      <c r="GE121" s="83">
        <f>$B$33</f>
        <v>0.61</v>
      </c>
      <c r="GF121" s="679">
        <f>SUM($C$33,$F$33,IF($E$67="TRIFÁSICA",$C$67,0))</f>
        <v>0</v>
      </c>
      <c r="GG121" s="680"/>
      <c r="GH121" s="51">
        <f>IF($CP$60=GD121,((GF121-1)*$BM$39*0.5)+$BM$39,GF121*0.5*$BM$39)</f>
        <v>0</v>
      </c>
      <c r="GI121" s="116">
        <f>IF(GF121&gt;0,1,0)*$A$33</f>
        <v>0</v>
      </c>
      <c r="GJ121" s="679">
        <f>GF121*$BK$39</f>
        <v>0</v>
      </c>
      <c r="GK121" s="680"/>
      <c r="GL121" s="83"/>
      <c r="GO121" s="83"/>
      <c r="GP121" s="694"/>
      <c r="GQ121" s="695"/>
      <c r="GR121" s="83"/>
      <c r="GS121" s="694"/>
      <c r="GT121" s="695"/>
      <c r="GU121" s="83"/>
      <c r="GV121" s="679"/>
      <c r="GW121" s="680"/>
      <c r="GX121" s="83"/>
      <c r="GY121" s="694"/>
      <c r="GZ121" s="695"/>
      <c r="HA121" s="83"/>
      <c r="HB121" s="694"/>
      <c r="HC121" s="695"/>
    </row>
    <row r="122" spans="1:219" ht="13.5" thickBot="1" x14ac:dyDescent="0.25">
      <c r="AZ122"/>
      <c r="BA122" s="98"/>
      <c r="BE122" s="116"/>
      <c r="BF122" s="51"/>
      <c r="BG122" s="51"/>
      <c r="BH122" s="51"/>
      <c r="BI122" s="51"/>
      <c r="BJ122" s="128"/>
      <c r="BK122" s="51"/>
      <c r="BL122" s="51"/>
      <c r="BM122" s="51"/>
      <c r="BN122" s="51"/>
      <c r="EF122" s="98"/>
      <c r="EJ122" s="116"/>
      <c r="EK122" s="51"/>
      <c r="GD122" s="22">
        <v>0.5</v>
      </c>
      <c r="GE122" s="83">
        <f>$B$34</f>
        <v>0.66</v>
      </c>
      <c r="GF122" s="679">
        <f>SUM($C$34,$F$34,IF(CX161="TRIFÁSICA",CV161,0))</f>
        <v>0</v>
      </c>
      <c r="GG122" s="680"/>
      <c r="GH122" s="51">
        <f>IF($CP$60=GD122,IF(GF122&gt;0,((GF122-1)*$BM$40*0.5)+$BM$40,GF122*0.5*$BM$40),GF122*0.5*$BM$40)</f>
        <v>0</v>
      </c>
      <c r="GI122" s="116">
        <f>IF(GF122&gt;0,1,0)*$A$34</f>
        <v>0</v>
      </c>
      <c r="GJ122" s="679">
        <f>GF122*$BK$40</f>
        <v>0</v>
      </c>
      <c r="GK122" s="680"/>
      <c r="GL122" s="83"/>
      <c r="GO122" s="83"/>
      <c r="GP122" s="694"/>
      <c r="GQ122" s="695"/>
      <c r="GR122" s="83"/>
      <c r="GS122" s="694"/>
      <c r="GT122" s="695"/>
      <c r="GU122" s="83"/>
      <c r="GV122" s="679"/>
      <c r="GW122" s="680"/>
      <c r="GX122" s="83"/>
      <c r="GY122" s="694"/>
      <c r="GZ122" s="695"/>
      <c r="HA122" s="83"/>
      <c r="HB122" s="694"/>
      <c r="HC122" s="695"/>
    </row>
    <row r="123" spans="1:219" ht="13.5" thickBot="1" x14ac:dyDescent="0.25">
      <c r="A123" s="22">
        <v>0.33333333333333298</v>
      </c>
      <c r="C123">
        <f>C33*$BK$39</f>
        <v>0</v>
      </c>
      <c r="F123">
        <f>F33*$BK$39</f>
        <v>0</v>
      </c>
      <c r="I123">
        <f>I33*$BK$39</f>
        <v>0</v>
      </c>
      <c r="L123">
        <f>L33*$BK$39</f>
        <v>0</v>
      </c>
      <c r="O123">
        <f>O33*$BK$39</f>
        <v>0</v>
      </c>
      <c r="R123">
        <f>R33*$BK$39</f>
        <v>0</v>
      </c>
      <c r="U123">
        <f>U33*$BK$39</f>
        <v>0</v>
      </c>
      <c r="X123">
        <f>X33*$BK$39</f>
        <v>0</v>
      </c>
      <c r="AA123">
        <f>AA33*$BK$39</f>
        <v>0</v>
      </c>
      <c r="AD123">
        <f>AD33*$BK$39</f>
        <v>0</v>
      </c>
      <c r="AG123">
        <f>AG33*$BK$39</f>
        <v>0</v>
      </c>
      <c r="AJ123">
        <f>AJ33*$BK$39</f>
        <v>0</v>
      </c>
      <c r="AS123" s="264"/>
      <c r="AZ123"/>
      <c r="BA123" s="98"/>
      <c r="BE123" s="116"/>
      <c r="BF123" s="51"/>
      <c r="BG123" s="51"/>
      <c r="BH123" s="51"/>
      <c r="BI123" s="51"/>
      <c r="BJ123" s="128"/>
      <c r="BK123" s="51"/>
      <c r="BL123" s="51"/>
      <c r="BM123" s="51"/>
      <c r="BN123" s="51"/>
      <c r="EF123" s="98"/>
      <c r="EJ123" s="116"/>
      <c r="EK123" s="51"/>
      <c r="GD123" s="22">
        <v>0.75</v>
      </c>
      <c r="GE123" s="83">
        <f>$B$35</f>
        <v>0.66</v>
      </c>
      <c r="GF123" s="679">
        <f>SUM($C$35,$F$35,IF(CX162="TRIFÁSICA",CV162,0))</f>
        <v>0</v>
      </c>
      <c r="GG123" s="680"/>
      <c r="GH123" s="51">
        <f>IF($CP$60=GD123,IF(GF123&gt;0,((GF123-1)*$BM$41*0.5)+$BM$41,GF123*0.5*$BM$41),GF123*0.5*$BM$41)</f>
        <v>0</v>
      </c>
      <c r="GI123" s="116">
        <f>IF(GF123&gt;0,1,0)*$A$35</f>
        <v>0</v>
      </c>
      <c r="GJ123" s="679">
        <f>GF123*$BK$41</f>
        <v>0</v>
      </c>
      <c r="GK123" s="680"/>
      <c r="GL123" s="83"/>
      <c r="GO123" s="83"/>
      <c r="GP123" s="694"/>
      <c r="GQ123" s="695"/>
      <c r="GR123" s="83"/>
      <c r="GS123" s="694"/>
      <c r="GT123" s="695"/>
      <c r="GU123" s="83"/>
      <c r="GV123" s="679"/>
      <c r="GW123" s="680"/>
      <c r="GX123" s="83"/>
      <c r="GY123" s="694"/>
      <c r="GZ123" s="695"/>
      <c r="HA123" s="83"/>
      <c r="HB123" s="694"/>
      <c r="HC123" s="695"/>
    </row>
    <row r="124" spans="1:219" ht="13.5" thickBot="1" x14ac:dyDescent="0.25">
      <c r="A124" s="22">
        <v>0.5</v>
      </c>
      <c r="C124">
        <f>C34*$BK$40</f>
        <v>0</v>
      </c>
      <c r="F124">
        <f>F34*$BK$40</f>
        <v>0</v>
      </c>
      <c r="I124">
        <f>I34*$BK$40</f>
        <v>0</v>
      </c>
      <c r="L124">
        <f>L34*$BK$40</f>
        <v>0</v>
      </c>
      <c r="O124">
        <f>O34*$BK$40</f>
        <v>0</v>
      </c>
      <c r="R124">
        <f>R34*$BK$40</f>
        <v>0</v>
      </c>
      <c r="U124">
        <f>U34*$BK$40</f>
        <v>0</v>
      </c>
      <c r="X124">
        <f>X34*$BK$40</f>
        <v>0</v>
      </c>
      <c r="AA124">
        <f>AA34*$BK$40</f>
        <v>0</v>
      </c>
      <c r="AD124">
        <f>AD34*$BK$40</f>
        <v>0</v>
      </c>
      <c r="AG124">
        <f>AG34*$BK$40</f>
        <v>0</v>
      </c>
      <c r="AJ124">
        <f>AJ34*$BK$40</f>
        <v>0</v>
      </c>
      <c r="AS124" s="263"/>
      <c r="AZ124"/>
      <c r="BA124" s="98"/>
      <c r="BE124" s="116"/>
      <c r="BF124" s="51"/>
      <c r="BG124" s="51"/>
      <c r="BH124" s="51"/>
      <c r="BI124" s="51"/>
      <c r="BJ124" s="128"/>
      <c r="BK124" s="51"/>
      <c r="BL124" s="51"/>
      <c r="BM124" s="51"/>
      <c r="BN124" s="51"/>
      <c r="EF124" s="98"/>
      <c r="EJ124" s="116"/>
      <c r="EK124" s="51"/>
      <c r="GD124" s="22">
        <v>1</v>
      </c>
      <c r="GE124" s="83">
        <f>$B$36</f>
        <v>0.69</v>
      </c>
      <c r="GF124" s="679">
        <f>SUM($C$36,$F$36,IF(CX163="TRIFÁSICA",CV163,0))</f>
        <v>0</v>
      </c>
      <c r="GG124" s="680"/>
      <c r="GH124" s="51">
        <f>IF($CP$60=GD124,IF(GF124&gt;0,((GF124-1)*$BM$42*0.5)+$BM$42,GF124*0.5*$BM$42),GF124*0.5*$BM$42)</f>
        <v>0</v>
      </c>
      <c r="GI124" s="116">
        <f>IF(GF124&gt;0,1,0)*$A$36</f>
        <v>0</v>
      </c>
      <c r="GJ124" s="679">
        <f>GF124*$BK$42</f>
        <v>0</v>
      </c>
      <c r="GK124" s="680"/>
      <c r="GL124" s="83"/>
      <c r="GO124" s="83"/>
      <c r="GP124" s="694"/>
      <c r="GQ124" s="695"/>
      <c r="GR124" s="83"/>
      <c r="GS124" s="694"/>
      <c r="GT124" s="695"/>
      <c r="GU124" s="83"/>
      <c r="GV124" s="679"/>
      <c r="GW124" s="680"/>
      <c r="GX124" s="83"/>
      <c r="GY124" s="694"/>
      <c r="GZ124" s="695"/>
      <c r="HA124" s="83"/>
      <c r="HB124" s="694"/>
      <c r="HC124" s="695"/>
      <c r="HH124" t="s">
        <v>1681</v>
      </c>
      <c r="HJ124" t="s">
        <v>0</v>
      </c>
      <c r="HK124" t="s">
        <v>1679</v>
      </c>
    </row>
    <row r="125" spans="1:219" ht="13.5" thickBot="1" x14ac:dyDescent="0.25">
      <c r="A125" s="22">
        <v>0.75</v>
      </c>
      <c r="C125">
        <f>C35*$BK$41</f>
        <v>0</v>
      </c>
      <c r="F125">
        <f>F35*$BK$41</f>
        <v>0</v>
      </c>
      <c r="I125">
        <f>I35*$BK$41</f>
        <v>0</v>
      </c>
      <c r="L125">
        <f>L35*$BK$41</f>
        <v>0</v>
      </c>
      <c r="O125">
        <f>O35*$BK$41</f>
        <v>0</v>
      </c>
      <c r="R125">
        <f>R35*$BK$41</f>
        <v>0</v>
      </c>
      <c r="U125">
        <f>U35*$BK$41</f>
        <v>0</v>
      </c>
      <c r="X125">
        <f>X35*$BK$41</f>
        <v>0</v>
      </c>
      <c r="AA125">
        <f>AA35*$BK$41</f>
        <v>0</v>
      </c>
      <c r="AD125">
        <f>AD35*$BK$41</f>
        <v>0</v>
      </c>
      <c r="AG125">
        <f>AG35*$BK$41</f>
        <v>0</v>
      </c>
      <c r="AJ125">
        <f>AJ35*$BK$41</f>
        <v>0</v>
      </c>
      <c r="AS125" s="263"/>
      <c r="AZ125"/>
      <c r="BA125" s="98"/>
      <c r="BE125" s="116"/>
      <c r="BF125" s="51"/>
      <c r="BG125" s="51"/>
      <c r="BH125" s="51"/>
      <c r="BI125" s="51"/>
      <c r="BJ125" s="128"/>
      <c r="BK125" s="51"/>
      <c r="BL125" s="51"/>
      <c r="BM125" s="51"/>
      <c r="BN125" s="51"/>
      <c r="EF125" s="98"/>
      <c r="EJ125" s="116"/>
      <c r="EK125" s="51"/>
      <c r="GD125" s="22">
        <v>1.5</v>
      </c>
      <c r="GE125" s="83">
        <f>$B$37</f>
        <v>0.71</v>
      </c>
      <c r="GF125" s="679">
        <f>SUM($C$37,$F$37,IF(CX164="TRIFÁSICA",CV164,0))</f>
        <v>0</v>
      </c>
      <c r="GG125" s="680"/>
      <c r="GH125" s="51">
        <f>IF($CP$60=GD125,IF(GF125&gt;0,((GF125-1)*$BM$43*0.5)+$BM$43,GF125*0.5*$BM$43),GF125*0.5*$BM$43)</f>
        <v>0</v>
      </c>
      <c r="GI125" s="116">
        <f>IF(GF125&gt;0,1,0)*$A$37</f>
        <v>0</v>
      </c>
      <c r="GJ125" s="679">
        <f>GF125*$BK$43</f>
        <v>0</v>
      </c>
      <c r="GK125" s="680"/>
      <c r="GL125" s="83"/>
      <c r="GO125" s="83"/>
      <c r="GP125" s="694"/>
      <c r="GQ125" s="695"/>
      <c r="GR125" s="83"/>
      <c r="GS125" s="694"/>
      <c r="GT125" s="695"/>
      <c r="GU125" s="83"/>
      <c r="GV125" s="679"/>
      <c r="GW125" s="680"/>
      <c r="GX125" s="83"/>
      <c r="GY125" s="694"/>
      <c r="GZ125" s="695"/>
      <c r="HA125" s="83"/>
      <c r="HB125" s="694"/>
      <c r="HC125" s="695"/>
      <c r="HH125">
        <v>1</v>
      </c>
      <c r="HI125">
        <f>CENTRO_DE_MEDIÇÃO!DC109</f>
        <v>0</v>
      </c>
      <c r="HJ125">
        <f>IF($DP$32="TRIFÁSICO",$CE$93/2/3,$CE$93/2/2)</f>
        <v>0</v>
      </c>
      <c r="HK125">
        <f>IF($DP$32="TRIFÁSICO",$CE$93/2/3,$CE$93/2/2)</f>
        <v>0</v>
      </c>
    </row>
    <row r="126" spans="1:219" ht="13.5" thickBot="1" x14ac:dyDescent="0.25">
      <c r="A126" s="22">
        <v>1</v>
      </c>
      <c r="C126">
        <f>C36*$BK$42</f>
        <v>0</v>
      </c>
      <c r="F126">
        <f>F36*$BK$42</f>
        <v>0</v>
      </c>
      <c r="I126">
        <f>I36*$BK$42</f>
        <v>0</v>
      </c>
      <c r="L126">
        <f>L36*$BK$42</f>
        <v>0</v>
      </c>
      <c r="O126">
        <f>O36*$BK$42</f>
        <v>0</v>
      </c>
      <c r="R126">
        <f>R36*$BK$42</f>
        <v>0</v>
      </c>
      <c r="U126">
        <f>U36*$BK$42</f>
        <v>0</v>
      </c>
      <c r="X126">
        <f>X36*$BK$42</f>
        <v>0</v>
      </c>
      <c r="AA126">
        <f>AA36*$BK$42</f>
        <v>0</v>
      </c>
      <c r="AD126">
        <f>AD36*$BK$42</f>
        <v>0</v>
      </c>
      <c r="AG126">
        <f>AG36*$BK$42</f>
        <v>0</v>
      </c>
      <c r="AJ126">
        <f>AJ36*$BK$42</f>
        <v>0</v>
      </c>
      <c r="AS126" s="263"/>
      <c r="AZ126"/>
      <c r="BA126" s="98"/>
      <c r="BE126" s="116"/>
      <c r="BF126" s="51"/>
      <c r="BG126" s="51"/>
      <c r="BH126" s="51"/>
      <c r="BI126" s="51"/>
      <c r="BJ126" s="128"/>
      <c r="BK126" s="51"/>
      <c r="BL126" s="51"/>
      <c r="BM126" s="51"/>
      <c r="BN126" s="51"/>
      <c r="EF126" s="98"/>
      <c r="EJ126" s="116"/>
      <c r="EK126" s="51"/>
      <c r="GD126" s="22">
        <v>2</v>
      </c>
      <c r="GE126" s="83">
        <f>$B$38</f>
        <v>0.72</v>
      </c>
      <c r="GF126" s="679">
        <f>SUM($C$38,$F$38,IF(CX165="TRIFÁSICA",CV165,0))</f>
        <v>0</v>
      </c>
      <c r="GG126" s="680"/>
      <c r="GH126" s="51">
        <f>IF($CP$60=GD126,IF(GF126&gt;0,((GF126-1)*$BM$44*0.5)+$BM$44,GF126*0.5*$BM$44),GF126*0.5*$BM$44)</f>
        <v>0</v>
      </c>
      <c r="GI126" s="116">
        <f>IF(GF126&gt;0,1,0)*$A$38</f>
        <v>0</v>
      </c>
      <c r="GJ126" s="679">
        <f>GF126*$BK$44</f>
        <v>0</v>
      </c>
      <c r="GK126" s="680"/>
      <c r="GL126" s="83"/>
      <c r="GO126" s="83"/>
      <c r="GP126" s="694"/>
      <c r="GQ126" s="695"/>
      <c r="GR126" s="83"/>
      <c r="GS126" s="694"/>
      <c r="GT126" s="695"/>
      <c r="GU126" s="83"/>
      <c r="GV126" s="679"/>
      <c r="GW126" s="680"/>
      <c r="GX126" s="83"/>
      <c r="GY126" s="694"/>
      <c r="GZ126" s="695"/>
      <c r="HA126" s="83"/>
      <c r="HB126" s="694"/>
      <c r="HC126" s="695"/>
      <c r="HH126">
        <v>3</v>
      </c>
      <c r="HI126">
        <f>CENTRO_DE_MEDIÇÃO!DC111</f>
        <v>0</v>
      </c>
      <c r="HJ126">
        <f>IF($DP$33="TRIFÁSICO",$CE$93/2/3,0)</f>
        <v>0</v>
      </c>
      <c r="HK126">
        <f>IF($DP$33="TRIFÁSICO",$CE$93/2/3,$CE$93/2/2)</f>
        <v>0</v>
      </c>
    </row>
    <row r="127" spans="1:219" ht="13.5" thickBot="1" x14ac:dyDescent="0.25">
      <c r="A127" s="22">
        <v>1.5</v>
      </c>
      <c r="C127">
        <f>C37*$BK$43</f>
        <v>0</v>
      </c>
      <c r="F127">
        <f>F37*$BK$43</f>
        <v>0</v>
      </c>
      <c r="I127">
        <f>I37*$BK$43</f>
        <v>0</v>
      </c>
      <c r="L127">
        <f>L37*$BK$43</f>
        <v>0</v>
      </c>
      <c r="O127">
        <f>O37*$BK$43</f>
        <v>0</v>
      </c>
      <c r="R127">
        <f>R37*$BK$43</f>
        <v>0</v>
      </c>
      <c r="U127">
        <f>U37*$BK$43</f>
        <v>0</v>
      </c>
      <c r="X127">
        <f>X37*$BK$43</f>
        <v>0</v>
      </c>
      <c r="AA127">
        <f>AA37*$BK$43</f>
        <v>0</v>
      </c>
      <c r="AD127">
        <f>AD37*$BK$43</f>
        <v>0</v>
      </c>
      <c r="AG127">
        <f>AG37*$BK$43</f>
        <v>0</v>
      </c>
      <c r="AJ127">
        <f>AJ37*$BK$43</f>
        <v>0</v>
      </c>
      <c r="AS127" s="263"/>
      <c r="AZ127"/>
      <c r="BA127" s="98"/>
      <c r="BE127" s="116"/>
      <c r="BF127" s="51"/>
      <c r="BG127" s="51"/>
      <c r="BH127" s="51"/>
      <c r="BI127" s="51"/>
      <c r="BJ127" s="128"/>
      <c r="BK127" s="51"/>
      <c r="BL127" s="51"/>
      <c r="BM127" s="51"/>
      <c r="BN127" s="51"/>
      <c r="EF127" s="98"/>
      <c r="EJ127" s="116"/>
      <c r="EK127" s="51"/>
      <c r="GD127" s="22">
        <v>3</v>
      </c>
      <c r="GE127" s="83">
        <f>$B$39</f>
        <v>0.73</v>
      </c>
      <c r="GF127" s="679">
        <f>SUM($C$39,$F$39,IF(CX166="TRIFÁSICA",CV166,0))</f>
        <v>0</v>
      </c>
      <c r="GG127" s="680"/>
      <c r="GH127" s="51">
        <f>IF($CP$60=GD127,IF(GF127&gt;0,((GF127-1)*$BM$45*0.5)+$BM$45,GF127*0.5*$BM$45),GF127*0.5*$BM$45)</f>
        <v>0</v>
      </c>
      <c r="GI127" s="116">
        <f>IF(GF127&gt;0,1,0)*$A$39</f>
        <v>0</v>
      </c>
      <c r="GJ127" s="679">
        <f>GF127*$BK$45</f>
        <v>0</v>
      </c>
      <c r="GK127" s="680"/>
      <c r="GL127" s="83"/>
      <c r="GO127" s="83"/>
      <c r="GP127" s="694"/>
      <c r="GQ127" s="695"/>
      <c r="GR127" s="83"/>
      <c r="GS127" s="694"/>
      <c r="GT127" s="695"/>
      <c r="GU127" s="83"/>
      <c r="GV127" s="679"/>
      <c r="GW127" s="680"/>
      <c r="GX127" s="83"/>
      <c r="GY127" s="694"/>
      <c r="GZ127" s="695"/>
      <c r="HA127" s="83"/>
      <c r="HB127" s="694"/>
      <c r="HC127" s="695"/>
      <c r="HI127" s="292" t="s">
        <v>171</v>
      </c>
      <c r="HJ127">
        <f>SUM(HJ125:HJ126)/0.127</f>
        <v>0</v>
      </c>
      <c r="HK127">
        <f>SUM(HK125:HK126)/0.127</f>
        <v>0</v>
      </c>
    </row>
    <row r="128" spans="1:219" ht="13.5" thickBot="1" x14ac:dyDescent="0.25">
      <c r="A128" s="22">
        <v>2</v>
      </c>
      <c r="C128">
        <f>C38*$BK$44</f>
        <v>0</v>
      </c>
      <c r="F128">
        <f>F38*$BK$44</f>
        <v>0</v>
      </c>
      <c r="I128">
        <f>I38*$BK$44</f>
        <v>0</v>
      </c>
      <c r="L128">
        <f>L38*$BK$44</f>
        <v>0</v>
      </c>
      <c r="O128">
        <f>O38*$BK$44</f>
        <v>0</v>
      </c>
      <c r="R128">
        <f>R38*$BK$44</f>
        <v>0</v>
      </c>
      <c r="U128">
        <f>U38*$BK$44</f>
        <v>0</v>
      </c>
      <c r="X128">
        <f>X38*$BK$44</f>
        <v>0</v>
      </c>
      <c r="AA128">
        <f>AA38*$BK$44</f>
        <v>0</v>
      </c>
      <c r="AD128">
        <f>AD38*$BK$44</f>
        <v>0</v>
      </c>
      <c r="AG128">
        <f>AG38*$BK$44</f>
        <v>0</v>
      </c>
      <c r="AJ128">
        <f>AJ38*$BK$44</f>
        <v>0</v>
      </c>
      <c r="AS128" s="263"/>
      <c r="AZ128"/>
      <c r="BA128" s="98"/>
      <c r="BE128" s="51"/>
      <c r="BF128" s="51"/>
      <c r="BG128" s="51"/>
      <c r="BH128" s="51"/>
      <c r="BI128" s="51"/>
      <c r="BJ128" s="128"/>
      <c r="BK128" s="51"/>
      <c r="BL128" s="51"/>
      <c r="BM128" s="51"/>
      <c r="BN128" s="51"/>
      <c r="EF128" s="98"/>
      <c r="EJ128" s="51"/>
      <c r="EK128" s="51"/>
      <c r="GD128" s="22">
        <v>4</v>
      </c>
      <c r="GE128" s="83">
        <f>$B$40</f>
        <v>0.13</v>
      </c>
      <c r="GF128" s="679">
        <f>SUM($C$40,$F$40)</f>
        <v>0</v>
      </c>
      <c r="GG128" s="680"/>
      <c r="GH128" s="51">
        <f>IF($CP$60=GD128,IF(GF128&gt;0,((GF128-1)*$BM$46*0.5)+$BM$46,GF128*0.5*$BM$46),GF128*0.5*$BM$46)</f>
        <v>0</v>
      </c>
      <c r="GI128" s="116">
        <f>IF(GF128&gt;0,1,0)*$A$40</f>
        <v>0</v>
      </c>
      <c r="GJ128" s="679">
        <f>GF128*$BK$46</f>
        <v>0</v>
      </c>
      <c r="GK128" s="680"/>
      <c r="GL128" s="83"/>
      <c r="GO128" s="83"/>
      <c r="GP128" s="694"/>
      <c r="GQ128" s="695"/>
      <c r="GR128" s="83"/>
      <c r="GS128" s="694"/>
      <c r="GT128" s="695"/>
      <c r="GU128" s="83"/>
      <c r="GV128" s="679"/>
      <c r="GW128" s="680"/>
      <c r="GX128" s="83"/>
      <c r="GY128" s="694"/>
      <c r="GZ128" s="695"/>
      <c r="HA128" s="83"/>
      <c r="HB128" s="694"/>
      <c r="HC128" s="695"/>
      <c r="HI128">
        <f>LARGE(HJ127:HL127,1)</f>
        <v>0</v>
      </c>
    </row>
    <row r="129" spans="1:218" ht="13.5" thickBot="1" x14ac:dyDescent="0.25">
      <c r="A129" s="22">
        <v>3</v>
      </c>
      <c r="C129">
        <f>C39*$BK$45</f>
        <v>0</v>
      </c>
      <c r="F129">
        <f>F39*$BK$45</f>
        <v>0</v>
      </c>
      <c r="I129">
        <f>I39*$BK$45</f>
        <v>0</v>
      </c>
      <c r="L129">
        <f>L39*$BK$45</f>
        <v>0</v>
      </c>
      <c r="O129">
        <f>O39*$BK$45</f>
        <v>0</v>
      </c>
      <c r="R129">
        <f>R39*$BK$45</f>
        <v>0</v>
      </c>
      <c r="U129">
        <f>U39*$BK$45</f>
        <v>0</v>
      </c>
      <c r="X129">
        <f>X39*$BK$45</f>
        <v>0</v>
      </c>
      <c r="AA129">
        <f>AA39*$BK$45</f>
        <v>0</v>
      </c>
      <c r="AD129">
        <f>AD39*$BK$45</f>
        <v>0</v>
      </c>
      <c r="AG129">
        <f>AG39*$BK$45</f>
        <v>0</v>
      </c>
      <c r="AJ129">
        <f>AJ39*$BK$45</f>
        <v>0</v>
      </c>
      <c r="AS129" s="263"/>
      <c r="AZ129"/>
      <c r="BA129" s="98"/>
      <c r="BE129" s="51"/>
      <c r="BF129" s="51"/>
      <c r="BG129" s="51"/>
      <c r="BH129" s="51"/>
      <c r="BI129" s="51"/>
      <c r="BJ129" s="128"/>
      <c r="BK129" s="51"/>
      <c r="BL129" s="51"/>
      <c r="BM129" s="51"/>
      <c r="BN129" s="51"/>
      <c r="EF129" s="98"/>
      <c r="EJ129" s="51"/>
      <c r="EK129" s="51"/>
      <c r="GD129" s="22">
        <v>5</v>
      </c>
      <c r="GE129" s="83">
        <f>$B$41</f>
        <v>0.75</v>
      </c>
      <c r="GF129" s="679">
        <f>SUM($C$41,$F$41,IF(CX167="TRIFÁSICA",CV167,0))</f>
        <v>0</v>
      </c>
      <c r="GG129" s="680"/>
      <c r="GH129" s="51">
        <f>IF($CP$60=GD129,IF(GF129&gt;0,((GF129-1)*$BM$47*0.5)+$BM$47,GF129*0.5*$BM$47),GF129*0.5*$BM$47)</f>
        <v>0</v>
      </c>
      <c r="GI129" s="116">
        <f>IF(GF129&gt;0,1,0)*$A$41</f>
        <v>0</v>
      </c>
      <c r="GJ129" s="679">
        <f>GF129*$BK$47</f>
        <v>0</v>
      </c>
      <c r="GK129" s="680"/>
      <c r="GL129" s="83"/>
      <c r="GO129" s="83"/>
      <c r="GP129" s="694"/>
      <c r="GQ129" s="695"/>
      <c r="GR129" s="83"/>
      <c r="GS129" s="694"/>
      <c r="GT129" s="695"/>
      <c r="GU129" s="83"/>
      <c r="GV129" s="679"/>
      <c r="GW129" s="680"/>
      <c r="GX129" s="83"/>
      <c r="GY129" s="694"/>
      <c r="GZ129" s="695"/>
      <c r="HA129" s="83"/>
      <c r="HB129" s="694"/>
      <c r="HC129" s="695"/>
    </row>
    <row r="130" spans="1:218" ht="13.5" thickBot="1" x14ac:dyDescent="0.25">
      <c r="A130" s="22">
        <v>4</v>
      </c>
      <c r="C130">
        <f>C40*$BK$46</f>
        <v>0</v>
      </c>
      <c r="F130">
        <f>F40*$BK$46</f>
        <v>0</v>
      </c>
      <c r="I130">
        <f>I40*$BK$46</f>
        <v>0</v>
      </c>
      <c r="L130">
        <f>L40*$BK$46</f>
        <v>0</v>
      </c>
      <c r="O130">
        <f>O40*$BK$46</f>
        <v>0</v>
      </c>
      <c r="R130">
        <f>R40*$BK$46</f>
        <v>0</v>
      </c>
      <c r="U130">
        <f>U40*$BK$46</f>
        <v>0</v>
      </c>
      <c r="X130">
        <f>X40*$BK$46</f>
        <v>0</v>
      </c>
      <c r="AA130">
        <f>AA40*$BK$46</f>
        <v>0</v>
      </c>
      <c r="AD130">
        <f>AD40*$BK$46</f>
        <v>0</v>
      </c>
      <c r="AG130">
        <f>AG40*$BK$46</f>
        <v>0</v>
      </c>
      <c r="AJ130">
        <f>AJ40*$BK$46</f>
        <v>0</v>
      </c>
      <c r="AS130" s="263"/>
      <c r="AZ130"/>
      <c r="BA130" s="98"/>
      <c r="BE130" s="116"/>
      <c r="BF130" s="51"/>
      <c r="BG130" s="51"/>
      <c r="BH130" s="51"/>
      <c r="BI130" s="51"/>
      <c r="BJ130" s="128"/>
      <c r="BK130" s="51"/>
      <c r="BL130" s="51"/>
      <c r="BM130" s="51"/>
      <c r="BN130" s="51"/>
      <c r="EF130" s="98"/>
      <c r="EJ130" s="116"/>
      <c r="EK130" s="51"/>
      <c r="GD130" s="22">
        <v>7</v>
      </c>
      <c r="GE130" s="83">
        <f>$B$42</f>
        <v>0.76</v>
      </c>
      <c r="GF130" s="679">
        <f>SUM($C$42,$F$42)</f>
        <v>0</v>
      </c>
      <c r="GG130" s="680"/>
      <c r="GH130" s="51">
        <f>IF($CP$60=GD130,IF(GF130&gt;0,((GF130-1)*$BM$48*0.5)+$BM$48,GF130*0.5*$BM$48),GF130*0.5*$BM$48)</f>
        <v>0</v>
      </c>
      <c r="GI130" s="116">
        <f>IF(GF130&gt;0,1,0)*$A$42</f>
        <v>0</v>
      </c>
      <c r="GJ130" s="679">
        <f>GF130*$BK$48</f>
        <v>0</v>
      </c>
      <c r="GK130" s="680"/>
      <c r="GL130" s="83"/>
      <c r="GO130" s="83"/>
      <c r="GP130" s="694"/>
      <c r="GQ130" s="695"/>
      <c r="GR130" s="83"/>
      <c r="GS130" s="694"/>
      <c r="GT130" s="695"/>
      <c r="GU130" s="83"/>
      <c r="GV130" s="679"/>
      <c r="GW130" s="680"/>
      <c r="GX130" s="83"/>
      <c r="GY130" s="694"/>
      <c r="GZ130" s="695"/>
      <c r="HA130" s="83"/>
      <c r="HB130" s="694"/>
      <c r="HC130" s="695"/>
      <c r="HE130" s="20"/>
      <c r="HF130" s="20"/>
      <c r="HG130" s="72"/>
      <c r="HH130" s="72"/>
    </row>
    <row r="131" spans="1:218" ht="13.5" thickBot="1" x14ac:dyDescent="0.25">
      <c r="A131" s="22">
        <v>5</v>
      </c>
      <c r="C131">
        <f>C41*$BK$47</f>
        <v>0</v>
      </c>
      <c r="F131">
        <f>F41*$BK$47</f>
        <v>0</v>
      </c>
      <c r="I131">
        <f>I41*$BK$47</f>
        <v>0</v>
      </c>
      <c r="L131">
        <f>L41*$BK$47</f>
        <v>0</v>
      </c>
      <c r="O131">
        <f>O41*$BK$47</f>
        <v>0</v>
      </c>
      <c r="R131">
        <f>R41*$BK$47</f>
        <v>0</v>
      </c>
      <c r="U131">
        <f>U41*$BK$47</f>
        <v>0</v>
      </c>
      <c r="X131">
        <f>X41*$BK$47</f>
        <v>0</v>
      </c>
      <c r="AA131">
        <f>AA41*$BK$47</f>
        <v>0</v>
      </c>
      <c r="AD131">
        <f>AD41*$BK$47</f>
        <v>0</v>
      </c>
      <c r="AG131">
        <f>AG41*$BK$47</f>
        <v>0</v>
      </c>
      <c r="AJ131">
        <f>AJ41*$BK$47</f>
        <v>0</v>
      </c>
      <c r="AS131" s="263"/>
      <c r="AZ131"/>
      <c r="BA131" s="98"/>
      <c r="BE131" s="116"/>
      <c r="BF131" s="51"/>
      <c r="BG131" s="51"/>
      <c r="BH131" s="51"/>
      <c r="BI131" s="51"/>
      <c r="BJ131" s="128"/>
      <c r="BK131" s="51"/>
      <c r="BL131" s="51"/>
      <c r="BM131" s="51"/>
      <c r="BN131" s="51"/>
      <c r="EF131" s="98"/>
      <c r="EJ131" s="116"/>
      <c r="EK131" s="51"/>
      <c r="GD131" s="22">
        <v>7.5</v>
      </c>
      <c r="GE131" s="83">
        <f>$B$43</f>
        <v>0.76</v>
      </c>
      <c r="GF131" s="679">
        <f>SUM($C$43,$F$43)</f>
        <v>0</v>
      </c>
      <c r="GG131" s="680"/>
      <c r="GH131" s="51">
        <f>IF($CP$60=GD131,IF(GF131&gt;0,((GF131-1)*$BM$49*0.5)+$BM$49,GF131*0.5*$BM$49),GF131*0.5*$BM$49)</f>
        <v>0</v>
      </c>
      <c r="GI131" s="116">
        <f>IF(GF131&gt;0,1,0)*$A$43</f>
        <v>0</v>
      </c>
      <c r="GJ131" s="679">
        <f>GF131*$BK$49</f>
        <v>0</v>
      </c>
      <c r="GK131" s="680"/>
      <c r="GL131" s="83"/>
      <c r="GO131" s="83"/>
      <c r="GP131" s="694"/>
      <c r="GQ131" s="695"/>
      <c r="GR131" s="83"/>
      <c r="GS131" s="694"/>
      <c r="GT131" s="695"/>
      <c r="GU131" s="83"/>
      <c r="GV131" s="679"/>
      <c r="GW131" s="680"/>
      <c r="GX131" s="83"/>
      <c r="GY131" s="694"/>
      <c r="GZ131" s="695"/>
      <c r="HA131" s="83"/>
      <c r="HB131" s="694"/>
      <c r="HC131" s="695"/>
      <c r="HE131" s="696"/>
      <c r="HF131" s="696"/>
      <c r="HG131" s="696"/>
      <c r="HH131" s="696"/>
      <c r="HI131" s="51"/>
      <c r="HJ131" s="20"/>
    </row>
    <row r="132" spans="1:218" ht="13.5" thickBot="1" x14ac:dyDescent="0.25">
      <c r="A132" s="22">
        <v>7</v>
      </c>
      <c r="C132">
        <f>C42*$BK$48</f>
        <v>0</v>
      </c>
      <c r="F132">
        <f>F42*$BK$48</f>
        <v>0</v>
      </c>
      <c r="I132">
        <f>I42*$BK$48</f>
        <v>0</v>
      </c>
      <c r="L132">
        <f>L42*$BK$48</f>
        <v>0</v>
      </c>
      <c r="O132">
        <f>O42*$BK$48</f>
        <v>0</v>
      </c>
      <c r="R132">
        <f>R42*$BK$48</f>
        <v>0</v>
      </c>
      <c r="U132">
        <f>U42*$BK$48</f>
        <v>0</v>
      </c>
      <c r="X132">
        <f>X42*$BK$48</f>
        <v>0</v>
      </c>
      <c r="AA132">
        <f>AA42*$BK$48</f>
        <v>0</v>
      </c>
      <c r="AD132">
        <f>AD42*$BK$48</f>
        <v>0</v>
      </c>
      <c r="AG132">
        <f>AG42*$BK$48</f>
        <v>0</v>
      </c>
      <c r="AJ132">
        <f>AJ42*$BK$48</f>
        <v>0</v>
      </c>
      <c r="AS132" s="263"/>
      <c r="AZ132"/>
      <c r="BA132" s="98"/>
      <c r="BE132" s="116"/>
      <c r="BF132" s="51"/>
      <c r="BG132" s="51"/>
      <c r="BH132" s="51"/>
      <c r="BI132" s="51"/>
      <c r="BJ132" s="128"/>
      <c r="BK132" s="51"/>
      <c r="BL132" s="51"/>
      <c r="BM132" s="51"/>
      <c r="BN132" s="51"/>
      <c r="EF132" s="98"/>
      <c r="EJ132" s="116"/>
      <c r="EK132" s="51"/>
      <c r="GD132" s="22">
        <v>10</v>
      </c>
      <c r="GE132" s="83">
        <f>$B$44</f>
        <v>0.77</v>
      </c>
      <c r="GF132" s="679">
        <f>SUM($C$44,$F$44)</f>
        <v>0</v>
      </c>
      <c r="GG132" s="680"/>
      <c r="GH132" s="51">
        <f>IF($CP$60=GD132,IF(GF132&gt;0,((GF132-1)*$BM$50*0.5)+$BM$50,GF132*0.5*$BM$50),GF132*0.5*$BM$50)</f>
        <v>0</v>
      </c>
      <c r="GI132" s="116">
        <f>IF(GF132&gt;0,1,0)*$A$44</f>
        <v>0</v>
      </c>
      <c r="GJ132" s="679">
        <f>GF132*$BK$50</f>
        <v>0</v>
      </c>
      <c r="GK132" s="680"/>
      <c r="GL132" s="83"/>
      <c r="GO132" s="83"/>
      <c r="GP132" s="694"/>
      <c r="GQ132" s="695"/>
      <c r="GR132" s="83"/>
      <c r="GS132" s="694"/>
      <c r="GT132" s="695"/>
      <c r="GU132" s="83"/>
      <c r="GV132" s="679"/>
      <c r="GW132" s="680"/>
      <c r="GX132" s="83"/>
      <c r="GY132" s="694"/>
      <c r="GZ132" s="695"/>
      <c r="HA132" s="83"/>
      <c r="HB132" s="694"/>
      <c r="HC132" s="695"/>
      <c r="HI132" s="116"/>
      <c r="HJ132" s="51"/>
    </row>
    <row r="133" spans="1:218" ht="13.5" thickBot="1" x14ac:dyDescent="0.25">
      <c r="A133" s="22">
        <v>7.5</v>
      </c>
      <c r="C133">
        <f>C43*$BK$49</f>
        <v>0</v>
      </c>
      <c r="F133">
        <f>F43*$BK$49</f>
        <v>0</v>
      </c>
      <c r="I133">
        <f>I43*$BK$49</f>
        <v>0</v>
      </c>
      <c r="L133">
        <f>L43*$BK$49</f>
        <v>0</v>
      </c>
      <c r="O133">
        <f>O43*$BK$49</f>
        <v>0</v>
      </c>
      <c r="R133">
        <f>R43*$BK$49</f>
        <v>0</v>
      </c>
      <c r="U133">
        <f>U43*$BK$49</f>
        <v>0</v>
      </c>
      <c r="X133">
        <f>X43*$BK$49</f>
        <v>0</v>
      </c>
      <c r="AA133">
        <f>AA43*$BK$49</f>
        <v>0</v>
      </c>
      <c r="AD133">
        <f>AD43*$BK$49</f>
        <v>0</v>
      </c>
      <c r="AG133">
        <f>AG43*$BK$49</f>
        <v>0</v>
      </c>
      <c r="AJ133">
        <f>AJ43*$BK$49</f>
        <v>0</v>
      </c>
      <c r="AS133" s="263"/>
      <c r="AZ133"/>
      <c r="BA133" s="98"/>
      <c r="BE133" s="116"/>
      <c r="BF133" s="51"/>
      <c r="BG133" s="51"/>
      <c r="BH133" s="51"/>
      <c r="BI133" s="51"/>
      <c r="BJ133" s="128"/>
      <c r="BK133" s="51"/>
      <c r="BL133" s="51"/>
      <c r="BM133" s="51"/>
      <c r="BN133" s="51"/>
      <c r="EF133" s="98"/>
      <c r="EJ133" s="116"/>
      <c r="EK133" s="51"/>
      <c r="GD133" s="22">
        <v>12.5</v>
      </c>
      <c r="GE133" s="83">
        <f>$B$45</f>
        <v>0.77</v>
      </c>
      <c r="GF133" s="679">
        <f>SUM($C$45,$F$45)</f>
        <v>0</v>
      </c>
      <c r="GG133" s="680"/>
      <c r="GH133" s="51">
        <f>IF($CP$60=GD133,IF(GF133&gt;0,((GF133-1)*$BM$51*0.5)+$BM$51,GF133*0.5*$BM$51),GF133*0.5*$BM$51)</f>
        <v>0</v>
      </c>
      <c r="GI133" s="116">
        <f>IF(GF133&gt;0,1,0)*$A$45</f>
        <v>0</v>
      </c>
      <c r="GJ133" s="679">
        <f>GF133*$BK$51</f>
        <v>0</v>
      </c>
      <c r="GK133" s="680"/>
      <c r="GL133" s="83"/>
      <c r="GO133" s="83"/>
      <c r="GP133" s="694"/>
      <c r="GQ133" s="695"/>
      <c r="GR133" s="83"/>
      <c r="GS133" s="694"/>
      <c r="GT133" s="695"/>
      <c r="GU133" s="83"/>
      <c r="GV133" s="679"/>
      <c r="GW133" s="680"/>
      <c r="GX133" s="83"/>
      <c r="GY133" s="694"/>
      <c r="GZ133" s="695"/>
      <c r="HA133" s="83"/>
      <c r="HB133" s="694"/>
      <c r="HC133" s="695"/>
      <c r="HI133" s="116"/>
      <c r="HJ133" s="51"/>
    </row>
    <row r="134" spans="1:218" ht="13.5" thickBot="1" x14ac:dyDescent="0.25">
      <c r="A134" s="22">
        <v>10</v>
      </c>
      <c r="C134">
        <f>C44*$BK$50</f>
        <v>0</v>
      </c>
      <c r="F134">
        <f>F44*$BK$50</f>
        <v>0</v>
      </c>
      <c r="I134">
        <f>I44*$BK$50</f>
        <v>0</v>
      </c>
      <c r="L134">
        <f>L44*$BK$50</f>
        <v>0</v>
      </c>
      <c r="O134">
        <f>O44*$BK$50</f>
        <v>0</v>
      </c>
      <c r="R134">
        <f>R44*$BK$50</f>
        <v>0</v>
      </c>
      <c r="U134">
        <f>U44*$BK$50</f>
        <v>0</v>
      </c>
      <c r="X134">
        <f>X44*$BK$50</f>
        <v>0</v>
      </c>
      <c r="AA134">
        <f>AA44*$BK$50</f>
        <v>0</v>
      </c>
      <c r="AD134">
        <f>AD44*$BK$50</f>
        <v>0</v>
      </c>
      <c r="AG134">
        <f>AG44*$BK$50</f>
        <v>0</v>
      </c>
      <c r="AJ134">
        <f>AJ44*$BK$50</f>
        <v>0</v>
      </c>
      <c r="AS134" s="263"/>
      <c r="AZ134"/>
      <c r="BA134" s="98"/>
      <c r="BE134" s="116"/>
      <c r="BF134" s="51"/>
      <c r="BG134" s="51"/>
      <c r="BH134" s="51"/>
      <c r="BI134" s="51"/>
      <c r="BJ134" s="128"/>
      <c r="BK134" s="51"/>
      <c r="BL134" s="51"/>
      <c r="BM134" s="51"/>
      <c r="BN134" s="51"/>
      <c r="EF134" s="98"/>
      <c r="EJ134" s="116"/>
      <c r="EK134" s="51"/>
      <c r="GD134" s="22">
        <v>15</v>
      </c>
      <c r="GE134" s="83">
        <f>$B$46</f>
        <v>0.77</v>
      </c>
      <c r="GF134" s="679">
        <f>SUM($C$46,$F$46)</f>
        <v>0</v>
      </c>
      <c r="GG134" s="680"/>
      <c r="GH134" s="51">
        <f>IF($CP$60=GD134,IF(GF134&gt;0,((GF134-1)*$BM$52*0.5)+$BM$52,GF134*0.5*$BM$52),GF134*0.5*$BM$52)</f>
        <v>0</v>
      </c>
      <c r="GI134" s="116">
        <f>IF(GF134&gt;0,1,0)*$A$46</f>
        <v>0</v>
      </c>
      <c r="GJ134" s="679">
        <f>GF134*$BK$52</f>
        <v>0</v>
      </c>
      <c r="GK134" s="680"/>
      <c r="GL134" s="83"/>
      <c r="GO134" s="83"/>
      <c r="GP134" s="694"/>
      <c r="GQ134" s="695"/>
      <c r="GR134" s="83"/>
      <c r="GS134" s="694"/>
      <c r="GT134" s="695"/>
      <c r="GU134" s="83"/>
      <c r="GV134" s="679"/>
      <c r="GW134" s="680"/>
      <c r="GX134" s="83"/>
      <c r="GY134" s="694"/>
      <c r="GZ134" s="695"/>
      <c r="HA134" s="83"/>
      <c r="HB134" s="694"/>
      <c r="HC134" s="695"/>
      <c r="HI134" s="117"/>
      <c r="HJ134" s="51"/>
    </row>
    <row r="135" spans="1:218" ht="13.5" thickBot="1" x14ac:dyDescent="0.25">
      <c r="A135" s="22">
        <v>12.5</v>
      </c>
      <c r="C135">
        <f>C45*$BK$51</f>
        <v>0</v>
      </c>
      <c r="F135">
        <f>F45*$BK$51</f>
        <v>0</v>
      </c>
      <c r="I135">
        <f>I45*$BK$51</f>
        <v>0</v>
      </c>
      <c r="L135">
        <f>L45*$BK$51</f>
        <v>0</v>
      </c>
      <c r="O135">
        <f>O45*$BK$51</f>
        <v>0</v>
      </c>
      <c r="R135">
        <f>R45*$BK$51</f>
        <v>0</v>
      </c>
      <c r="U135">
        <f>U45*$BK$51</f>
        <v>0</v>
      </c>
      <c r="X135">
        <f>X45*$BK$51</f>
        <v>0</v>
      </c>
      <c r="AA135">
        <f>AA45*$BK$51</f>
        <v>0</v>
      </c>
      <c r="AD135">
        <f>AD45*$BK$51</f>
        <v>0</v>
      </c>
      <c r="AG135">
        <f>AG45*$BK$51</f>
        <v>0</v>
      </c>
      <c r="AJ135">
        <f>AJ45*$BK$51</f>
        <v>0</v>
      </c>
      <c r="AS135" s="263"/>
      <c r="AZ135"/>
      <c r="BA135" s="98"/>
      <c r="BE135" s="116"/>
      <c r="BF135" s="51"/>
      <c r="BG135" s="51"/>
      <c r="BH135" s="51"/>
      <c r="BI135" s="51"/>
      <c r="BJ135" s="128"/>
      <c r="BK135" s="51"/>
      <c r="BL135" s="51"/>
      <c r="BM135" s="51"/>
      <c r="BN135" s="51"/>
      <c r="EF135" s="98"/>
      <c r="EJ135" s="116"/>
      <c r="EK135" s="51"/>
      <c r="GD135" s="22">
        <v>20</v>
      </c>
      <c r="GE135" s="83">
        <f>$B$47</f>
        <v>0.77</v>
      </c>
      <c r="GF135" s="679">
        <f>SUM($C$47,$F$47)</f>
        <v>0</v>
      </c>
      <c r="GG135" s="680"/>
      <c r="GH135" s="51">
        <f>IF($CP$60=GD135,IF(GF135&gt;0,((GF135-1)*$BM$53*0.5)+$BM$53,GF135*0.5*$BM$53),GF135*0.5*$BM$53)</f>
        <v>0</v>
      </c>
      <c r="GI135" s="116">
        <f>IF(GF135&gt;0,1,0)*$A$47</f>
        <v>0</v>
      </c>
      <c r="GJ135" s="679">
        <f>GF135*$BK$53</f>
        <v>0</v>
      </c>
      <c r="GK135" s="680"/>
      <c r="GL135" s="83"/>
      <c r="GO135" s="83"/>
      <c r="GP135" s="694"/>
      <c r="GQ135" s="695"/>
      <c r="GR135" s="83"/>
      <c r="GS135" s="694"/>
      <c r="GT135" s="695"/>
      <c r="GU135" s="83"/>
      <c r="GV135" s="679"/>
      <c r="GW135" s="680"/>
      <c r="GX135" s="83"/>
      <c r="GY135" s="694"/>
      <c r="GZ135" s="695"/>
      <c r="HA135" s="83"/>
      <c r="HB135" s="694"/>
      <c r="HC135" s="695"/>
      <c r="HI135" s="116"/>
      <c r="HJ135" s="51"/>
    </row>
    <row r="136" spans="1:218" ht="13.5" thickBot="1" x14ac:dyDescent="0.25">
      <c r="A136" s="22">
        <v>15</v>
      </c>
      <c r="C136">
        <f>C46*$BK$52</f>
        <v>0</v>
      </c>
      <c r="F136">
        <f>F46*$BK$52</f>
        <v>0</v>
      </c>
      <c r="I136">
        <f>I46*$BK$52</f>
        <v>0</v>
      </c>
      <c r="L136">
        <f>L46*$BK$52</f>
        <v>0</v>
      </c>
      <c r="O136">
        <f>O46*$BK$52</f>
        <v>0</v>
      </c>
      <c r="R136">
        <f>R46*$BK$52</f>
        <v>0</v>
      </c>
      <c r="U136">
        <f>U46*$BK$52</f>
        <v>0</v>
      </c>
      <c r="X136">
        <f>X46*$BK$52</f>
        <v>0</v>
      </c>
      <c r="AA136">
        <f>AA46*$BK$52</f>
        <v>0</v>
      </c>
      <c r="AD136">
        <f>AD46*$BK$52</f>
        <v>0</v>
      </c>
      <c r="AG136">
        <f>AG46*$BK$52</f>
        <v>0</v>
      </c>
      <c r="AJ136">
        <f>AJ46*$BK$52</f>
        <v>0</v>
      </c>
      <c r="AS136" s="263"/>
      <c r="BE136" s="116"/>
      <c r="BF136" s="51"/>
      <c r="BG136" s="51"/>
      <c r="BH136" s="51"/>
      <c r="BI136" s="51"/>
      <c r="BJ136" s="128"/>
      <c r="BK136" s="51"/>
      <c r="BL136" s="51"/>
      <c r="BM136" s="51"/>
      <c r="BN136" s="51"/>
      <c r="EJ136" s="116"/>
      <c r="EK136" s="51"/>
      <c r="GD136" s="22">
        <v>25</v>
      </c>
      <c r="GE136" s="83">
        <f>$B$48</f>
        <v>0.81</v>
      </c>
      <c r="GF136" s="679">
        <f>SUM($C$48,$F$48)</f>
        <v>0</v>
      </c>
      <c r="GG136" s="680"/>
      <c r="GH136" s="51">
        <f>IF($CP$60=GD136,IF(GF136&gt;0,((GF136-1)*$BM$54*0.5)+$BM$54,GF136*0.5*$BM$54),GF136*0.5*$BM$54)</f>
        <v>0</v>
      </c>
      <c r="GI136" s="116">
        <f>IF(GF136&gt;0,1,0)*$A$48</f>
        <v>0</v>
      </c>
      <c r="GJ136" s="679">
        <f>GF136*$BK$54</f>
        <v>0</v>
      </c>
      <c r="GK136" s="680"/>
      <c r="GL136" s="83"/>
      <c r="GO136" s="83"/>
      <c r="GP136" s="694"/>
      <c r="GQ136" s="695"/>
      <c r="GR136" s="83"/>
      <c r="GS136" s="694"/>
      <c r="GT136" s="695"/>
      <c r="GU136" s="83"/>
      <c r="GV136" s="679"/>
      <c r="GW136" s="680"/>
      <c r="GX136" s="83"/>
      <c r="GY136" s="694"/>
      <c r="GZ136" s="695"/>
      <c r="HA136" s="83"/>
      <c r="HB136" s="694"/>
      <c r="HC136" s="695"/>
      <c r="HI136" s="116"/>
      <c r="HJ136" s="51"/>
    </row>
    <row r="137" spans="1:218" ht="13.5" thickBot="1" x14ac:dyDescent="0.25">
      <c r="A137" s="22">
        <v>20</v>
      </c>
      <c r="C137">
        <f>C47*$BK$53</f>
        <v>0</v>
      </c>
      <c r="F137">
        <f>F47*$BK$53</f>
        <v>0</v>
      </c>
      <c r="I137">
        <f>I47*$BK$53</f>
        <v>0</v>
      </c>
      <c r="L137">
        <f>L47*$BK$53</f>
        <v>0</v>
      </c>
      <c r="O137">
        <f>O47*$BK$53</f>
        <v>0</v>
      </c>
      <c r="R137">
        <f>R47*$BK$53</f>
        <v>0</v>
      </c>
      <c r="U137">
        <f>U47*$BK$53</f>
        <v>0</v>
      </c>
      <c r="X137">
        <f>X47*$BK$53</f>
        <v>0</v>
      </c>
      <c r="AA137">
        <f>AA47*$BK$53</f>
        <v>0</v>
      </c>
      <c r="AD137">
        <f>AD47*$BK$53</f>
        <v>0</v>
      </c>
      <c r="AG137">
        <f>AG47*$BK$53</f>
        <v>0</v>
      </c>
      <c r="AJ137">
        <f>AJ47*$BK$53</f>
        <v>0</v>
      </c>
      <c r="BE137" s="116"/>
      <c r="BF137" s="51"/>
      <c r="BG137" s="51"/>
      <c r="BH137" s="51"/>
      <c r="BI137" s="51"/>
      <c r="BJ137" s="128"/>
      <c r="BK137" s="51"/>
      <c r="BL137" s="51"/>
      <c r="BM137" s="51"/>
      <c r="BN137" s="51"/>
      <c r="EJ137" s="116"/>
      <c r="EK137" s="51"/>
      <c r="GD137" s="23">
        <v>30</v>
      </c>
      <c r="GE137" s="83">
        <f>$B$49</f>
        <v>0.82</v>
      </c>
      <c r="GF137" s="679">
        <f>SUM($C$49,$F$49)</f>
        <v>0</v>
      </c>
      <c r="GG137" s="680"/>
      <c r="GH137" s="51">
        <f>IF($CP$60=GD137,IF(GF137&gt;0,((GF137-1)*$BM$55*0.5)+$BM$55,GF137*0.5*$BM$55),GF137*0.5*$BM$55)</f>
        <v>0</v>
      </c>
      <c r="GI137" s="116">
        <f>IF(GF137&gt;0,1,0)*$A$49</f>
        <v>0</v>
      </c>
      <c r="GJ137" s="679">
        <f>GF137*$BK$55</f>
        <v>0</v>
      </c>
      <c r="GK137" s="680"/>
      <c r="GL137" s="83"/>
      <c r="GO137" s="83"/>
      <c r="GP137" s="691"/>
      <c r="GQ137" s="692"/>
      <c r="GR137" s="83"/>
      <c r="GS137" s="691"/>
      <c r="GT137" s="692"/>
      <c r="GU137" s="83"/>
      <c r="GV137" s="689"/>
      <c r="GW137" s="690"/>
      <c r="GX137" s="83"/>
      <c r="GY137" s="691"/>
      <c r="GZ137" s="692"/>
      <c r="HA137" s="83"/>
      <c r="HB137" s="691"/>
      <c r="HC137" s="692"/>
      <c r="HI137" s="116"/>
      <c r="HJ137" s="51"/>
    </row>
    <row r="138" spans="1:218" ht="13.5" thickBot="1" x14ac:dyDescent="0.25">
      <c r="A138" s="22">
        <v>25</v>
      </c>
      <c r="C138">
        <f>C48*$BK$54</f>
        <v>0</v>
      </c>
      <c r="F138">
        <f>F48*$BK$54</f>
        <v>0</v>
      </c>
      <c r="I138">
        <f>I48*$BK$54</f>
        <v>0</v>
      </c>
      <c r="L138">
        <f>L48*$BK$54</f>
        <v>0</v>
      </c>
      <c r="O138">
        <f>O48*$BK$54</f>
        <v>0</v>
      </c>
      <c r="R138">
        <f>R48*$BK$54</f>
        <v>0</v>
      </c>
      <c r="U138">
        <f>U48*$BK$54</f>
        <v>0</v>
      </c>
      <c r="X138">
        <f>X48*$BK$54</f>
        <v>0</v>
      </c>
      <c r="AA138">
        <f>AA48*$BK$54</f>
        <v>0</v>
      </c>
      <c r="AD138">
        <f>AD48*$BK$54</f>
        <v>0</v>
      </c>
      <c r="AG138">
        <f>AG48*$BK$54</f>
        <v>0</v>
      </c>
      <c r="AJ138">
        <f>AJ48*$BK$54</f>
        <v>0</v>
      </c>
      <c r="BE138" s="121"/>
      <c r="EJ138" s="121"/>
      <c r="GD138" s="32"/>
      <c r="GE138" s="84"/>
      <c r="GF138" s="679"/>
      <c r="GG138" s="680"/>
      <c r="GH138" s="89"/>
      <c r="GI138" s="116"/>
      <c r="GJ138" s="205"/>
      <c r="GK138" s="205"/>
      <c r="GL138" s="84"/>
      <c r="GM138" s="53"/>
      <c r="GN138" s="53"/>
      <c r="GO138" s="84"/>
      <c r="GP138" s="53"/>
      <c r="GQ138" s="53"/>
      <c r="GR138" s="84"/>
      <c r="GS138" s="53"/>
      <c r="GT138" s="53"/>
      <c r="GU138" s="84"/>
      <c r="GV138" s="205"/>
      <c r="GW138" s="205"/>
      <c r="GX138" s="84"/>
      <c r="GY138" s="53"/>
      <c r="GZ138" s="53"/>
      <c r="HA138" s="89"/>
      <c r="HB138" s="54"/>
      <c r="HC138" s="54"/>
      <c r="HI138" s="116"/>
      <c r="HJ138" s="51"/>
    </row>
    <row r="139" spans="1:218" ht="13.5" thickBot="1" x14ac:dyDescent="0.25">
      <c r="A139" s="23">
        <v>30</v>
      </c>
      <c r="C139">
        <f>C49*$BK$55</f>
        <v>0</v>
      </c>
      <c r="F139">
        <f>F49*$BK$55</f>
        <v>0</v>
      </c>
      <c r="I139">
        <f>I49*$BK$55</f>
        <v>0</v>
      </c>
      <c r="L139">
        <f>L49*$BK$55</f>
        <v>0</v>
      </c>
      <c r="O139">
        <f>O49*$BK$55</f>
        <v>0</v>
      </c>
      <c r="R139">
        <f>R49*$BK$55</f>
        <v>0</v>
      </c>
      <c r="U139">
        <f>U49*$BK$55</f>
        <v>0</v>
      </c>
      <c r="X139">
        <f>X49*$BK$55</f>
        <v>0</v>
      </c>
      <c r="AA139">
        <f>AA49*$BK$55</f>
        <v>0</v>
      </c>
      <c r="AD139">
        <f>AD49*$BK$55</f>
        <v>0</v>
      </c>
      <c r="AG139">
        <f>AG49*$BK$55</f>
        <v>0</v>
      </c>
      <c r="AJ139">
        <f>AJ49*$BK$55</f>
        <v>0</v>
      </c>
      <c r="BE139" s="121"/>
      <c r="EJ139" s="121"/>
      <c r="GD139" s="24" t="s">
        <v>60</v>
      </c>
      <c r="GE139" s="85"/>
      <c r="GF139" s="679"/>
      <c r="GG139" s="680"/>
      <c r="GH139" s="204"/>
      <c r="GI139" s="116"/>
      <c r="GJ139" s="204"/>
      <c r="GK139" s="204"/>
      <c r="GL139" s="194"/>
      <c r="GM139" s="194"/>
      <c r="GN139" s="194"/>
      <c r="GO139" s="194"/>
      <c r="GP139" s="194"/>
      <c r="GQ139" s="194"/>
      <c r="GR139" s="194"/>
      <c r="GS139" s="194"/>
      <c r="GT139" s="194"/>
      <c r="GU139" s="194"/>
      <c r="GV139" s="204"/>
      <c r="GW139" s="204"/>
      <c r="GX139" s="204"/>
      <c r="GY139" s="194"/>
      <c r="GZ139" s="194"/>
      <c r="HA139" s="194"/>
      <c r="HB139" s="194"/>
      <c r="HC139" s="194"/>
      <c r="HI139" s="118"/>
      <c r="HJ139" s="51"/>
    </row>
    <row r="140" spans="1:218" ht="13.5" thickBot="1" x14ac:dyDescent="0.25">
      <c r="BE140" s="121"/>
      <c r="EJ140" s="121"/>
      <c r="GD140" s="22">
        <v>0.25</v>
      </c>
      <c r="GE140" s="83">
        <f>$B$52</f>
        <v>0.63</v>
      </c>
      <c r="GF140" s="679">
        <f>SUM($C$52,$F$52)</f>
        <v>0</v>
      </c>
      <c r="GG140" s="680"/>
      <c r="GH140" s="51">
        <f>IF($CP$60=GD140,((GF140-1)*$BM$58*0.5)+$BM$58,GF140*0.5*$BM$58)</f>
        <v>0</v>
      </c>
      <c r="GI140" s="116">
        <f>IF(GF140&gt;0,1,0)*$A$52</f>
        <v>0</v>
      </c>
      <c r="GJ140" s="679">
        <f>GF140*$BK$58</f>
        <v>0</v>
      </c>
      <c r="GK140" s="680"/>
      <c r="GL140" s="83"/>
      <c r="GM140" s="694"/>
      <c r="GN140" s="695"/>
      <c r="GO140" s="83"/>
      <c r="GP140" s="694"/>
      <c r="GQ140" s="695"/>
      <c r="GR140" s="83"/>
      <c r="GS140" s="694"/>
      <c r="GT140" s="695"/>
      <c r="GU140" s="83"/>
      <c r="GV140" s="679"/>
      <c r="GW140" s="680"/>
      <c r="GX140" s="83"/>
      <c r="GY140" s="694"/>
      <c r="GZ140" s="695"/>
      <c r="HA140" s="83"/>
      <c r="HB140" s="694"/>
      <c r="HC140" s="695"/>
      <c r="HI140" s="119"/>
      <c r="HJ140" s="51"/>
    </row>
    <row r="141" spans="1:218" ht="13.5" thickBot="1" x14ac:dyDescent="0.25">
      <c r="BE141" s="121"/>
      <c r="EJ141" s="121"/>
      <c r="GD141" s="22">
        <v>0.33333333333333298</v>
      </c>
      <c r="GE141" s="83">
        <f>$B$53</f>
        <v>0.66</v>
      </c>
      <c r="GF141" s="679">
        <f>SUM($C$53,$F$53,IF(CX160="BIFÁSICA",CV160,0))</f>
        <v>0</v>
      </c>
      <c r="GG141" s="680"/>
      <c r="GH141" s="51">
        <f>IF($CP$60=GD141,IF(GF121&lt;1,((GF141-1)*$BM$59*0.5)+$BM$59,GF141*0.5*$BM$59),GF141*0.5*$BM$59)</f>
        <v>0</v>
      </c>
      <c r="GI141" s="116">
        <f>IF(GF141&gt;0,1,0)*$A$53</f>
        <v>0</v>
      </c>
      <c r="GJ141" s="679">
        <f>GF141*$BK$59</f>
        <v>0</v>
      </c>
      <c r="GK141" s="680"/>
      <c r="GL141" s="83"/>
      <c r="GM141" s="694"/>
      <c r="GN141" s="695"/>
      <c r="GO141" s="83"/>
      <c r="GP141" s="694"/>
      <c r="GQ141" s="695"/>
      <c r="GR141" s="83"/>
      <c r="GS141" s="694"/>
      <c r="GT141" s="695"/>
      <c r="GU141" s="83"/>
      <c r="GV141" s="679"/>
      <c r="GW141" s="680"/>
      <c r="GX141" s="83"/>
      <c r="GY141" s="694"/>
      <c r="GZ141" s="695"/>
      <c r="HA141" s="83"/>
      <c r="HB141" s="694"/>
      <c r="HC141" s="695"/>
      <c r="HI141" s="120"/>
      <c r="HJ141" s="51"/>
    </row>
    <row r="142" spans="1:218" ht="13.5" thickBot="1" x14ac:dyDescent="0.25">
      <c r="A142" s="22">
        <v>0.25</v>
      </c>
      <c r="C142">
        <f>C52*$BK$58</f>
        <v>0</v>
      </c>
      <c r="F142">
        <f>F52*$BK$58</f>
        <v>0</v>
      </c>
      <c r="I142">
        <f>I52*$BK$58</f>
        <v>0</v>
      </c>
      <c r="L142">
        <f>L52*$BK$58</f>
        <v>0</v>
      </c>
      <c r="O142">
        <f>O52*$BK$58</f>
        <v>0</v>
      </c>
      <c r="R142">
        <f>R52*$BK$58</f>
        <v>0</v>
      </c>
      <c r="U142">
        <f>U52*$BK$58</f>
        <v>0</v>
      </c>
      <c r="X142">
        <f>X52*$BK$58</f>
        <v>0</v>
      </c>
      <c r="AA142">
        <f>AA52*$BK$58</f>
        <v>0</v>
      </c>
      <c r="AD142">
        <f>AD52*$BK$58</f>
        <v>0</v>
      </c>
      <c r="AG142">
        <f>AG52*$BK$58</f>
        <v>0</v>
      </c>
      <c r="AJ142">
        <f>AJ52*$BK$58</f>
        <v>0</v>
      </c>
      <c r="BE142" s="121"/>
      <c r="EJ142" s="121"/>
      <c r="GD142" s="22">
        <v>0.5</v>
      </c>
      <c r="GE142" s="83">
        <f>$B$54</f>
        <v>0.67</v>
      </c>
      <c r="GF142" s="679">
        <f>SUM($C$54,$F$54,IF(CX161="BIFÁSICA",CV161,0))</f>
        <v>0</v>
      </c>
      <c r="GG142" s="680"/>
      <c r="GH142" s="51">
        <f>IF($CP$60=GD142,IF(GF122&lt;1,((GF142-1)*$BM$60*0.5)+$BM$60,GF142*0.5*$BM$60),GF142*0.5*$BM$60)</f>
        <v>0</v>
      </c>
      <c r="GI142" s="116">
        <f>IF(GF142&gt;0,1,0)*$A$54</f>
        <v>0</v>
      </c>
      <c r="GJ142" s="679">
        <f>GF142*$BK$60</f>
        <v>0</v>
      </c>
      <c r="GK142" s="680"/>
      <c r="GL142" s="83"/>
      <c r="GM142" s="694"/>
      <c r="GN142" s="695"/>
      <c r="GO142" s="83"/>
      <c r="GP142" s="694"/>
      <c r="GQ142" s="695"/>
      <c r="GR142" s="83"/>
      <c r="GS142" s="694"/>
      <c r="GT142" s="695"/>
      <c r="GU142" s="83"/>
      <c r="GV142" s="679"/>
      <c r="GW142" s="680"/>
      <c r="GX142" s="83"/>
      <c r="GY142" s="694"/>
      <c r="GZ142" s="695"/>
      <c r="HA142" s="83"/>
      <c r="HB142" s="694"/>
      <c r="HC142" s="695"/>
      <c r="HI142" s="116"/>
      <c r="HJ142" s="51"/>
    </row>
    <row r="143" spans="1:218" ht="13.5" thickBot="1" x14ac:dyDescent="0.25">
      <c r="A143" s="22">
        <v>0.33333333333333298</v>
      </c>
      <c r="C143">
        <f>C53*$BK$59</f>
        <v>0</v>
      </c>
      <c r="F143">
        <f>F53*$BK$59</f>
        <v>0</v>
      </c>
      <c r="I143">
        <f>I53*$BK$59</f>
        <v>0</v>
      </c>
      <c r="L143">
        <f>L53*$BK$59</f>
        <v>0</v>
      </c>
      <c r="O143">
        <f>O53*$BK$59</f>
        <v>0</v>
      </c>
      <c r="R143">
        <f>R53*$BK$59</f>
        <v>0</v>
      </c>
      <c r="U143">
        <f>U53*$BK$59</f>
        <v>0</v>
      </c>
      <c r="X143">
        <f>X53*$BK$59</f>
        <v>0</v>
      </c>
      <c r="AA143">
        <f>AA53*$BK$59</f>
        <v>0</v>
      </c>
      <c r="AD143">
        <f>AD53*$BK$59</f>
        <v>0</v>
      </c>
      <c r="AG143">
        <f>AG53*$BK$59</f>
        <v>0</v>
      </c>
      <c r="AJ143">
        <f>AJ53*$BK$59</f>
        <v>0</v>
      </c>
      <c r="BE143" s="121"/>
      <c r="EJ143" s="121"/>
      <c r="GD143" s="22">
        <v>0.75</v>
      </c>
      <c r="GE143" s="83">
        <f>$B$55</f>
        <v>0.67</v>
      </c>
      <c r="GF143" s="679">
        <f>SUM($C$55,$F$55,IF(CX162="BIFÁSICA",CV162,0))</f>
        <v>0</v>
      </c>
      <c r="GG143" s="680"/>
      <c r="GH143" s="51">
        <f>IF($CP$60=GD143,IF(GF123&lt;1,((GF143-1)*$BM$61*0.5)+$BM$61,GF143*0.5*$BM$61),GF143*0.5*$BM$61)</f>
        <v>0</v>
      </c>
      <c r="GI143" s="116">
        <f>IF(GF143&gt;0,1,0)*$A$55</f>
        <v>0</v>
      </c>
      <c r="GJ143" s="679">
        <f>GF143*$BK$61</f>
        <v>0</v>
      </c>
      <c r="GK143" s="680"/>
      <c r="GL143" s="83"/>
      <c r="GM143" s="694"/>
      <c r="GN143" s="695"/>
      <c r="GO143" s="83"/>
      <c r="GP143" s="694"/>
      <c r="GQ143" s="695"/>
      <c r="GR143" s="83"/>
      <c r="GS143" s="694"/>
      <c r="GT143" s="695"/>
      <c r="GU143" s="83"/>
      <c r="GV143" s="679"/>
      <c r="GW143" s="680"/>
      <c r="GX143" s="83"/>
      <c r="GY143" s="694"/>
      <c r="GZ143" s="695"/>
      <c r="HA143" s="83"/>
      <c r="HB143" s="694"/>
      <c r="HC143" s="695"/>
      <c r="HI143" s="116"/>
      <c r="HJ143" s="51"/>
    </row>
    <row r="144" spans="1:218" ht="13.5" thickBot="1" x14ac:dyDescent="0.25">
      <c r="A144" s="22">
        <v>0.5</v>
      </c>
      <c r="C144">
        <f>C54*$BK$60</f>
        <v>0</v>
      </c>
      <c r="F144">
        <f>F54*$BK$60</f>
        <v>0</v>
      </c>
      <c r="I144">
        <f>I54*$BK$60</f>
        <v>0</v>
      </c>
      <c r="L144">
        <f>L54*$BK$60</f>
        <v>0</v>
      </c>
      <c r="O144">
        <f>O54*$BK$60</f>
        <v>0</v>
      </c>
      <c r="R144">
        <f>R54*$BK$60</f>
        <v>0</v>
      </c>
      <c r="U144">
        <f>U54*$BK$60</f>
        <v>0</v>
      </c>
      <c r="X144">
        <f>X54*$BK$60</f>
        <v>0</v>
      </c>
      <c r="AA144">
        <f>AA54*$BK$60</f>
        <v>0</v>
      </c>
      <c r="AD144">
        <f>AD54*$BK$60</f>
        <v>0</v>
      </c>
      <c r="AG144">
        <f>AG54*$BK$60</f>
        <v>0</v>
      </c>
      <c r="AJ144">
        <f>AJ54*$BK$60</f>
        <v>0</v>
      </c>
      <c r="BE144" s="121"/>
      <c r="EJ144" s="121"/>
      <c r="GD144" s="22">
        <v>1</v>
      </c>
      <c r="GE144" s="83">
        <f>$B$56</f>
        <v>0.73</v>
      </c>
      <c r="GF144" s="679">
        <f>SUM($C$56,$F$56,IF(CX163="BIFÁSICA",CV163,0))</f>
        <v>0</v>
      </c>
      <c r="GG144" s="680"/>
      <c r="GH144" s="51">
        <f>IF($CP$60=GD144,IF(GF124&lt;1,((GF144-1)*$BM$62*0.5)+$BM$62,GF144*0.5*$BM$62),GF144*0.5*$BM$62)</f>
        <v>0</v>
      </c>
      <c r="GI144" s="116">
        <f>IF(GF144&gt;0,1,0)*$A$56</f>
        <v>0</v>
      </c>
      <c r="GJ144" s="679">
        <f>GF144*$BK$62</f>
        <v>0</v>
      </c>
      <c r="GK144" s="680"/>
      <c r="GL144" s="83"/>
      <c r="GM144" s="694"/>
      <c r="GN144" s="695"/>
      <c r="GO144" s="83"/>
      <c r="GP144" s="694"/>
      <c r="GQ144" s="695"/>
      <c r="GR144" s="83"/>
      <c r="GS144" s="694"/>
      <c r="GT144" s="695"/>
      <c r="GU144" s="83"/>
      <c r="GV144" s="679"/>
      <c r="GW144" s="680"/>
      <c r="GX144" s="83"/>
      <c r="GY144" s="694"/>
      <c r="GZ144" s="695"/>
      <c r="HA144" s="83"/>
      <c r="HB144" s="694"/>
      <c r="HC144" s="695"/>
      <c r="HI144" s="116"/>
      <c r="HJ144" s="51"/>
    </row>
    <row r="145" spans="1:218" ht="13.5" thickBot="1" x14ac:dyDescent="0.25">
      <c r="A145" s="22">
        <v>0.75</v>
      </c>
      <c r="C145">
        <f>C55*$BK$61</f>
        <v>0</v>
      </c>
      <c r="F145">
        <f>F55*$BK$61</f>
        <v>0</v>
      </c>
      <c r="I145">
        <f>I55*$BK$61</f>
        <v>0</v>
      </c>
      <c r="L145">
        <f>L55*$BK$61</f>
        <v>0</v>
      </c>
      <c r="O145">
        <f>O55*$BK$61</f>
        <v>0</v>
      </c>
      <c r="R145">
        <f>R55*$BK$61</f>
        <v>0</v>
      </c>
      <c r="U145">
        <f>U55*$BK$61</f>
        <v>0</v>
      </c>
      <c r="X145">
        <f>X55*$BK$61</f>
        <v>0</v>
      </c>
      <c r="AA145">
        <f>AA55*$BK$61</f>
        <v>0</v>
      </c>
      <c r="AD145">
        <f>AD55*$BK$61</f>
        <v>0</v>
      </c>
      <c r="AG145">
        <f>AG55*$BK$61</f>
        <v>0</v>
      </c>
      <c r="AJ145">
        <f>AJ55*$BK$61</f>
        <v>0</v>
      </c>
      <c r="BE145" s="121"/>
      <c r="EJ145" s="121"/>
      <c r="GD145" s="22">
        <v>1.5</v>
      </c>
      <c r="GE145" s="83">
        <f>$B$57</f>
        <v>0.71</v>
      </c>
      <c r="GF145" s="679">
        <f>SUM($C$57,$F$57,IF(CX164="BIFÁSICA",CV164,0))</f>
        <v>0</v>
      </c>
      <c r="GG145" s="680"/>
      <c r="GH145" s="51">
        <f>IF($CP$60=GD145,IF(GF125&lt;1,((GF145-1)*$BM$63*0.5)+$BM$63,GF145*0.5*$BM$63),GF145*0.5*$BM$63)</f>
        <v>0</v>
      </c>
      <c r="GI145" s="116">
        <f>IF(GF145&gt;0,1,0)*$A$57</f>
        <v>0</v>
      </c>
      <c r="GJ145" s="679">
        <f>GF145*$BK$63</f>
        <v>0</v>
      </c>
      <c r="GK145" s="680"/>
      <c r="GL145" s="83"/>
      <c r="GM145" s="694"/>
      <c r="GN145" s="695"/>
      <c r="GO145" s="83"/>
      <c r="GP145" s="694"/>
      <c r="GQ145" s="695"/>
      <c r="GR145" s="83"/>
      <c r="GS145" s="694"/>
      <c r="GT145" s="695"/>
      <c r="GU145" s="83"/>
      <c r="GV145" s="679"/>
      <c r="GW145" s="680"/>
      <c r="GX145" s="83"/>
      <c r="GY145" s="694"/>
      <c r="GZ145" s="695"/>
      <c r="HA145" s="83"/>
      <c r="HB145" s="694"/>
      <c r="HC145" s="695"/>
      <c r="HI145" s="116"/>
      <c r="HJ145" s="51"/>
    </row>
    <row r="146" spans="1:218" ht="13.5" thickBot="1" x14ac:dyDescent="0.25">
      <c r="A146" s="22">
        <v>1</v>
      </c>
      <c r="C146">
        <f>C56*$BK$62</f>
        <v>0</v>
      </c>
      <c r="F146">
        <f>F56*$BK$62</f>
        <v>0</v>
      </c>
      <c r="I146">
        <f>I56*$BK$62</f>
        <v>0</v>
      </c>
      <c r="L146">
        <f>L56*$BK$62</f>
        <v>0</v>
      </c>
      <c r="O146">
        <f>O56*$BK$62</f>
        <v>0</v>
      </c>
      <c r="R146">
        <f>R56*$BK$62</f>
        <v>0</v>
      </c>
      <c r="U146">
        <f>U56*$BK$62</f>
        <v>0</v>
      </c>
      <c r="X146">
        <f>X56*$BK$62</f>
        <v>0</v>
      </c>
      <c r="AA146">
        <f>AA56*$BK$62</f>
        <v>0</v>
      </c>
      <c r="AD146">
        <f>AD56*$BK$62</f>
        <v>0</v>
      </c>
      <c r="AG146">
        <f>AG56*$BK$62</f>
        <v>0</v>
      </c>
      <c r="AJ146">
        <f>AJ56*$BK$62</f>
        <v>0</v>
      </c>
      <c r="BE146" s="121"/>
      <c r="EJ146" s="121"/>
      <c r="GD146" s="22">
        <v>2</v>
      </c>
      <c r="GE146" s="83">
        <f>$B$58</f>
        <v>0.73</v>
      </c>
      <c r="GF146" s="679">
        <f>SUM($C$58,$F$58,IF(CX165="BIFÁSICA",CV165,0))</f>
        <v>0</v>
      </c>
      <c r="GG146" s="680"/>
      <c r="GH146" s="51">
        <f>IF($CP$60=GD146,IF(GF126&lt;1,((GF146-1)*$BM$64*0.5)+$BM$64,GF146*0.5*$BM$64),GF146*0.5*$BM$64)</f>
        <v>0</v>
      </c>
      <c r="GI146" s="116">
        <f>IF(GF146&gt;0,1,0)*$A$58</f>
        <v>0</v>
      </c>
      <c r="GJ146" s="679">
        <f>GF146*$BK$64</f>
        <v>0</v>
      </c>
      <c r="GK146" s="680"/>
      <c r="GL146" s="83"/>
      <c r="GM146" s="694"/>
      <c r="GN146" s="695"/>
      <c r="GO146" s="83"/>
      <c r="GP146" s="694"/>
      <c r="GQ146" s="695"/>
      <c r="GR146" s="83"/>
      <c r="GS146" s="694"/>
      <c r="GT146" s="695"/>
      <c r="GU146" s="83"/>
      <c r="GV146" s="679"/>
      <c r="GW146" s="680"/>
      <c r="GX146" s="83"/>
      <c r="GY146" s="694"/>
      <c r="GZ146" s="695"/>
      <c r="HA146" s="83"/>
      <c r="HB146" s="694"/>
      <c r="HC146" s="695"/>
      <c r="HI146" s="116"/>
      <c r="HJ146" s="51"/>
    </row>
    <row r="147" spans="1:218" ht="13.5" thickBot="1" x14ac:dyDescent="0.25">
      <c r="A147" s="22">
        <v>1.5</v>
      </c>
      <c r="C147">
        <f>C57*$BK$63</f>
        <v>0</v>
      </c>
      <c r="F147">
        <f>F57*$BK$63</f>
        <v>0</v>
      </c>
      <c r="I147">
        <f>I57*$BK$63</f>
        <v>0</v>
      </c>
      <c r="L147">
        <f>L57*$BK$63</f>
        <v>0</v>
      </c>
      <c r="O147">
        <f>O57*$BK$63</f>
        <v>0</v>
      </c>
      <c r="R147">
        <f>R57*$BK$63</f>
        <v>0</v>
      </c>
      <c r="U147">
        <f>U57*$BK$63</f>
        <v>0</v>
      </c>
      <c r="X147">
        <f>X57*$BK$63</f>
        <v>0</v>
      </c>
      <c r="AA147">
        <f>AA57*$BK$63</f>
        <v>0</v>
      </c>
      <c r="AD147">
        <f>AD57*$BK$63</f>
        <v>0</v>
      </c>
      <c r="AG147">
        <f>AG57*$BK$63</f>
        <v>0</v>
      </c>
      <c r="AJ147">
        <f>AJ57*$BK$63</f>
        <v>0</v>
      </c>
      <c r="GD147" s="22">
        <v>3</v>
      </c>
      <c r="GE147" s="83">
        <f>$B$59</f>
        <v>0.79</v>
      </c>
      <c r="GF147" s="679">
        <f>SUM($C$59,$F$59,IF(CX166="BIFÁSICA",CV166,0))</f>
        <v>0</v>
      </c>
      <c r="GG147" s="680"/>
      <c r="GH147" s="51">
        <f>IF($CP$60=GD147,IF(GF127&lt;1,((GF147-1)*$BM$65*0.5)+$BM$65,GF147*0.5*$BM$65),GF147*0.5*$BM$65)</f>
        <v>0</v>
      </c>
      <c r="GI147" s="116">
        <f>IF(GF147&gt;0,1,0)*$A$59</f>
        <v>0</v>
      </c>
      <c r="GJ147" s="679">
        <f>GF147*$BK$65</f>
        <v>0</v>
      </c>
      <c r="GK147" s="680"/>
      <c r="GL147" s="83"/>
      <c r="GM147" s="694"/>
      <c r="GN147" s="695"/>
      <c r="GO147" s="83"/>
      <c r="GP147" s="694"/>
      <c r="GQ147" s="695"/>
      <c r="GR147" s="83"/>
      <c r="GS147" s="694"/>
      <c r="GT147" s="695"/>
      <c r="GU147" s="83"/>
      <c r="GV147" s="679"/>
      <c r="GW147" s="680"/>
      <c r="GX147" s="83"/>
      <c r="GY147" s="694"/>
      <c r="GZ147" s="695"/>
      <c r="HA147" s="83"/>
      <c r="HB147" s="694"/>
      <c r="HC147" s="695"/>
      <c r="HI147" s="116"/>
      <c r="HJ147" s="51"/>
    </row>
    <row r="148" spans="1:218" ht="13.5" thickBot="1" x14ac:dyDescent="0.25">
      <c r="A148" s="22">
        <v>2</v>
      </c>
      <c r="C148">
        <f>C58*$BK$64</f>
        <v>0</v>
      </c>
      <c r="F148">
        <f>F58*$BK$64</f>
        <v>0</v>
      </c>
      <c r="I148">
        <f>I58*$BK$64</f>
        <v>0</v>
      </c>
      <c r="L148">
        <f>L58*$BK$64</f>
        <v>0</v>
      </c>
      <c r="O148">
        <f>O58*$BK$64</f>
        <v>0</v>
      </c>
      <c r="R148">
        <f>R58*$BK$64</f>
        <v>0</v>
      </c>
      <c r="U148">
        <f>U58*$BK$64</f>
        <v>0</v>
      </c>
      <c r="X148">
        <f>X58*$BK$64</f>
        <v>0</v>
      </c>
      <c r="AA148">
        <f>AA58*$BK$64</f>
        <v>0</v>
      </c>
      <c r="AD148">
        <f>AD58*$BK$64</f>
        <v>0</v>
      </c>
      <c r="AG148">
        <f>AG58*$BK$64</f>
        <v>0</v>
      </c>
      <c r="AJ148">
        <f>AJ58*$BK$64</f>
        <v>0</v>
      </c>
      <c r="GD148" s="22">
        <v>5</v>
      </c>
      <c r="GE148" s="83">
        <f>$B$60</f>
        <v>0.83</v>
      </c>
      <c r="GF148" s="679">
        <f>SUM($C$60,$F$60,IF(CX167="BIFÁSICA",CV167,0))</f>
        <v>0</v>
      </c>
      <c r="GG148" s="680"/>
      <c r="GH148" s="51">
        <f>IF($CP$60=GD148,IF(GF129&lt;1,((GF148-1)*$BM$66*0.5)+$BM$66,GF148*0.5*$BM$66),GF148*0.5*$BM$66)</f>
        <v>0</v>
      </c>
      <c r="GI148" s="116">
        <f>IF(GF148&gt;0,1,0)*$A$60</f>
        <v>0</v>
      </c>
      <c r="GJ148" s="679">
        <f>GF148*$BK$66</f>
        <v>0</v>
      </c>
      <c r="GK148" s="680"/>
      <c r="GL148" s="83"/>
      <c r="GM148" s="694"/>
      <c r="GN148" s="695"/>
      <c r="GO148" s="83"/>
      <c r="GP148" s="694"/>
      <c r="GQ148" s="695"/>
      <c r="GR148" s="83"/>
      <c r="GS148" s="694"/>
      <c r="GT148" s="695"/>
      <c r="GU148" s="83"/>
      <c r="GV148" s="679"/>
      <c r="GW148" s="680"/>
      <c r="GX148" s="83"/>
      <c r="GY148" s="694"/>
      <c r="GZ148" s="695"/>
      <c r="HA148" s="83"/>
      <c r="HB148" s="694"/>
      <c r="HC148" s="695"/>
      <c r="HI148" s="116"/>
      <c r="HJ148" s="51"/>
    </row>
    <row r="149" spans="1:218" ht="13.5" thickBot="1" x14ac:dyDescent="0.25">
      <c r="A149" s="22">
        <v>3</v>
      </c>
      <c r="C149">
        <f>C59*$BK$65</f>
        <v>0</v>
      </c>
      <c r="F149">
        <f>F59*$BK$65</f>
        <v>0</v>
      </c>
      <c r="I149">
        <f>I59*$BK$65</f>
        <v>0</v>
      </c>
      <c r="L149">
        <f>L59*$BK$65</f>
        <v>0</v>
      </c>
      <c r="O149">
        <f>O59*$BK$65</f>
        <v>0</v>
      </c>
      <c r="R149">
        <f>R59*$BK$65</f>
        <v>0</v>
      </c>
      <c r="U149">
        <f>U59*$BK$65</f>
        <v>0</v>
      </c>
      <c r="X149">
        <f>X59*$BK$65</f>
        <v>0</v>
      </c>
      <c r="AA149">
        <f>AA59*$BK$65</f>
        <v>0</v>
      </c>
      <c r="AD149">
        <f>AD59*$BK$65</f>
        <v>0</v>
      </c>
      <c r="AG149">
        <f>AG59*$BK$65</f>
        <v>0</v>
      </c>
      <c r="AJ149">
        <f>AJ59*$BK$65</f>
        <v>0</v>
      </c>
      <c r="GD149" s="22">
        <v>7.5</v>
      </c>
      <c r="GE149" s="83">
        <f>$B$61</f>
        <v>0.8</v>
      </c>
      <c r="GF149" s="679">
        <f>SUM($C$61,$F$61)</f>
        <v>0</v>
      </c>
      <c r="GG149" s="680"/>
      <c r="GH149" s="51">
        <f>IF($CP$60=GD149,IF(GF130&lt;1,((GF149-1)*$BM$67*0.5)+$BM$67,GF149*0.5*$BM$67),GF149*0.5*$BM$67)</f>
        <v>0</v>
      </c>
      <c r="GI149" s="116">
        <f>IF(GF149&gt;0,1,0)*$A$61</f>
        <v>0</v>
      </c>
      <c r="GJ149" s="679">
        <f>GF149*$BK$67</f>
        <v>0</v>
      </c>
      <c r="GK149" s="680"/>
      <c r="GL149" s="83"/>
      <c r="GM149" s="694"/>
      <c r="GN149" s="695"/>
      <c r="GO149" s="83"/>
      <c r="GP149" s="694"/>
      <c r="GQ149" s="695"/>
      <c r="GR149" s="83"/>
      <c r="GS149" s="694"/>
      <c r="GT149" s="695"/>
      <c r="GU149" s="83"/>
      <c r="GV149" s="679"/>
      <c r="GW149" s="680"/>
      <c r="GX149" s="83"/>
      <c r="GY149" s="694"/>
      <c r="GZ149" s="695"/>
      <c r="HA149" s="83"/>
      <c r="HB149" s="694"/>
      <c r="HC149" s="695"/>
      <c r="HE149" s="20"/>
      <c r="HF149" s="20"/>
      <c r="HG149" s="72"/>
      <c r="HH149" s="72"/>
    </row>
    <row r="150" spans="1:218" ht="13.5" thickBot="1" x14ac:dyDescent="0.25">
      <c r="A150" s="22">
        <v>5</v>
      </c>
      <c r="C150">
        <f>C60*$BK$66</f>
        <v>0</v>
      </c>
      <c r="F150">
        <f>F60*$BK$66</f>
        <v>0</v>
      </c>
      <c r="I150">
        <f>I60*$BK$66</f>
        <v>0</v>
      </c>
      <c r="L150">
        <f>L60*$BK$66</f>
        <v>0</v>
      </c>
      <c r="O150">
        <f>O60*$BK$66</f>
        <v>0</v>
      </c>
      <c r="R150">
        <f>R60*$BK$66</f>
        <v>0</v>
      </c>
      <c r="U150">
        <f>U60*$BK$66</f>
        <v>0</v>
      </c>
      <c r="X150">
        <f>X60*$BK$66</f>
        <v>0</v>
      </c>
      <c r="AA150">
        <f>AA60*$BK$66</f>
        <v>0</v>
      </c>
      <c r="AD150">
        <f>AD60*$BK$66</f>
        <v>0</v>
      </c>
      <c r="AG150">
        <f>AG60*$BK$66</f>
        <v>0</v>
      </c>
      <c r="AJ150">
        <f>AJ60*$BK$66</f>
        <v>0</v>
      </c>
      <c r="GD150" s="22">
        <v>10</v>
      </c>
      <c r="GE150" s="83">
        <f>$B$62</f>
        <v>0.8</v>
      </c>
      <c r="GF150" s="679">
        <f>SUM($C$62,$F$62)</f>
        <v>0</v>
      </c>
      <c r="GG150" s="680"/>
      <c r="GH150" s="51">
        <f>IF($CP$60=GD150,IF(GF132&lt;1,((GF150-1)*$BM$68*0.5)+$BM$68,GF150*0.5*$BM$68),GF150*0.5*$BM$68)</f>
        <v>0</v>
      </c>
      <c r="GI150" s="116">
        <f>IF(GF150&gt;0,1,0)*$A$62</f>
        <v>0</v>
      </c>
      <c r="GJ150" s="679">
        <f>GF150*$BK$68</f>
        <v>0</v>
      </c>
      <c r="GK150" s="680"/>
      <c r="GL150" s="83"/>
      <c r="GM150" s="694"/>
      <c r="GN150" s="695"/>
      <c r="GO150" s="83"/>
      <c r="GP150" s="694"/>
      <c r="GQ150" s="695"/>
      <c r="GR150" s="83"/>
      <c r="GS150" s="694"/>
      <c r="GT150" s="695"/>
      <c r="GU150" s="83"/>
      <c r="GV150" s="679"/>
      <c r="GW150" s="680"/>
      <c r="GX150" s="83"/>
      <c r="GY150" s="694"/>
      <c r="GZ150" s="695"/>
      <c r="HA150" s="83"/>
      <c r="HB150" s="694"/>
      <c r="HC150" s="695"/>
      <c r="HE150" s="696"/>
      <c r="HF150" s="696"/>
      <c r="HG150" s="696"/>
      <c r="HH150" s="696"/>
      <c r="HI150" s="51"/>
      <c r="HJ150" s="20"/>
    </row>
    <row r="151" spans="1:218" ht="13.5" thickBot="1" x14ac:dyDescent="0.25">
      <c r="A151" s="22">
        <v>7.5</v>
      </c>
      <c r="C151">
        <f>C61*$BK$67</f>
        <v>0</v>
      </c>
      <c r="F151">
        <f>F61*$BK$67</f>
        <v>0</v>
      </c>
      <c r="I151">
        <f>I61*$BK$67</f>
        <v>0</v>
      </c>
      <c r="L151">
        <f>L61*$BK$67</f>
        <v>0</v>
      </c>
      <c r="O151">
        <f>O61*$BK$67</f>
        <v>0</v>
      </c>
      <c r="R151">
        <f>R61*$BK$67</f>
        <v>0</v>
      </c>
      <c r="U151">
        <f>U61*$BK$67</f>
        <v>0</v>
      </c>
      <c r="X151">
        <f>X61*$BK$67</f>
        <v>0</v>
      </c>
      <c r="AA151">
        <f>AA61*$BK$67</f>
        <v>0</v>
      </c>
      <c r="AD151">
        <f>AD61*$BK$67</f>
        <v>0</v>
      </c>
      <c r="AG151">
        <f>AG61*$BK$67</f>
        <v>0</v>
      </c>
      <c r="AJ151">
        <f>AJ61*$BK$67</f>
        <v>0</v>
      </c>
      <c r="GD151" s="22">
        <v>12.5</v>
      </c>
      <c r="GE151" s="83">
        <f>$B$63</f>
        <v>0.78</v>
      </c>
      <c r="GF151" s="679">
        <f>SUM($C$63,$F$63)</f>
        <v>0</v>
      </c>
      <c r="GG151" s="680"/>
      <c r="GH151" s="51">
        <f>IF($CP$60=GD151,IF(GF133&lt;1,((GF151-1)*$BM$69*0.5)+$BM$69,GF151*0.5*$BM$69),GF151*0.5*$BM$69)</f>
        <v>0</v>
      </c>
      <c r="GI151" s="116">
        <f>IF(GF151&gt;0,1,0)*$A$63</f>
        <v>0</v>
      </c>
      <c r="GJ151" s="679">
        <f>GF151*$BK$69</f>
        <v>0</v>
      </c>
      <c r="GK151" s="680"/>
      <c r="GL151" s="83"/>
      <c r="GM151" s="694"/>
      <c r="GN151" s="695"/>
      <c r="GO151" s="83"/>
      <c r="GP151" s="694"/>
      <c r="GQ151" s="695"/>
      <c r="GR151" s="83"/>
      <c r="GS151" s="694"/>
      <c r="GT151" s="695"/>
      <c r="GU151" s="83"/>
      <c r="GV151" s="679"/>
      <c r="GW151" s="680"/>
      <c r="GX151" s="83"/>
      <c r="GY151" s="694"/>
      <c r="GZ151" s="695"/>
      <c r="HA151" s="83"/>
      <c r="HB151" s="694"/>
      <c r="HC151" s="695"/>
      <c r="HI151" s="116"/>
      <c r="HJ151" s="51"/>
    </row>
    <row r="152" spans="1:218" ht="13.5" thickBot="1" x14ac:dyDescent="0.25">
      <c r="A152" s="22">
        <v>10</v>
      </c>
      <c r="C152">
        <f>C62*$BK$68</f>
        <v>0</v>
      </c>
      <c r="F152">
        <f>F62*$BK$68</f>
        <v>0</v>
      </c>
      <c r="I152">
        <f>I62*$BK$68</f>
        <v>0</v>
      </c>
      <c r="L152">
        <f>L62*$BK$68</f>
        <v>0</v>
      </c>
      <c r="O152">
        <f>O62*$BK$68</f>
        <v>0</v>
      </c>
      <c r="R152">
        <f>R62*$BK$68</f>
        <v>0</v>
      </c>
      <c r="U152">
        <f>U62*$BK$68</f>
        <v>0</v>
      </c>
      <c r="X152">
        <f>X62*$BK$68</f>
        <v>0</v>
      </c>
      <c r="AA152">
        <f>AA62*$BK$68</f>
        <v>0</v>
      </c>
      <c r="AD152">
        <f>AD62*$BK$68</f>
        <v>0</v>
      </c>
      <c r="AG152">
        <f>AG62*$BK$68</f>
        <v>0</v>
      </c>
      <c r="AJ152">
        <f>AJ62*$BK$68</f>
        <v>0</v>
      </c>
      <c r="GD152" s="23">
        <v>15</v>
      </c>
      <c r="GE152" s="83">
        <f>$B$64</f>
        <v>0.81</v>
      </c>
      <c r="GF152" s="679">
        <f>SUM($C$64,$F$64)</f>
        <v>0</v>
      </c>
      <c r="GG152" s="680"/>
      <c r="GH152" s="51">
        <f>IF($CP$60=GD152,IF(GF134&lt;1,((GF152-1)*$BM$70*0.5)+$BM$70,GF152*0.5*$BM$70),GF152*0.5*$BM$70)</f>
        <v>0</v>
      </c>
      <c r="GI152" s="116">
        <f>IF(GF152&gt;0,1,0)*$A$64</f>
        <v>0</v>
      </c>
      <c r="GJ152" s="679">
        <f>GF152*$BK$70</f>
        <v>0</v>
      </c>
      <c r="GK152" s="680"/>
      <c r="GL152" s="83"/>
      <c r="GM152" s="691"/>
      <c r="GN152" s="692"/>
      <c r="GO152" s="83"/>
      <c r="GP152" s="691"/>
      <c r="GQ152" s="692"/>
      <c r="GR152" s="83"/>
      <c r="GS152" s="691"/>
      <c r="GT152" s="692"/>
      <c r="GU152" s="83"/>
      <c r="GV152" s="689"/>
      <c r="GW152" s="690"/>
      <c r="GX152" s="83"/>
      <c r="GY152" s="691"/>
      <c r="GZ152" s="692"/>
      <c r="HA152" s="83"/>
      <c r="HB152" s="691"/>
      <c r="HC152" s="692"/>
      <c r="HI152" s="116"/>
      <c r="HJ152" s="51"/>
    </row>
    <row r="153" spans="1:218" ht="13.5" thickBot="1" x14ac:dyDescent="0.25">
      <c r="A153" s="22">
        <v>12.5</v>
      </c>
      <c r="C153">
        <f>C63*$BK$69</f>
        <v>0</v>
      </c>
      <c r="F153">
        <f>F63*$BK$69</f>
        <v>0</v>
      </c>
      <c r="I153">
        <f>I63*$BK$69</f>
        <v>0</v>
      </c>
      <c r="L153">
        <f>L63*$BK$69</f>
        <v>0</v>
      </c>
      <c r="O153">
        <f>O63*$BK$69</f>
        <v>0</v>
      </c>
      <c r="R153">
        <f>R63*$BK$69</f>
        <v>0</v>
      </c>
      <c r="U153">
        <f>U63*$BK$69</f>
        <v>0</v>
      </c>
      <c r="X153">
        <f>X63*$BK$69</f>
        <v>0</v>
      </c>
      <c r="AA153">
        <f>AA63*$BK$69</f>
        <v>0</v>
      </c>
      <c r="AD153">
        <f>AD63*$BK$69</f>
        <v>0</v>
      </c>
      <c r="AG153">
        <f>AG63*$BK$69</f>
        <v>0</v>
      </c>
      <c r="AJ153">
        <f>AJ63*$BK$69</f>
        <v>0</v>
      </c>
      <c r="GD153" s="25"/>
      <c r="GE153" s="87"/>
      <c r="GF153" s="679"/>
      <c r="GG153" s="680"/>
      <c r="GH153" s="92"/>
      <c r="GI153" s="87">
        <f>LARGE(GI121:GI152,1)</f>
        <v>0</v>
      </c>
      <c r="GJ153" s="35"/>
      <c r="GK153" s="35"/>
      <c r="GL153" s="87"/>
      <c r="GM153" s="35"/>
      <c r="GN153" s="35"/>
      <c r="GO153" s="87"/>
      <c r="GP153" s="35"/>
      <c r="GQ153" s="35"/>
      <c r="GR153" s="87"/>
      <c r="GS153" s="35"/>
      <c r="GT153" s="35"/>
      <c r="GU153" s="87"/>
      <c r="GV153" s="170"/>
      <c r="GW153" s="170"/>
      <c r="GX153" s="87"/>
      <c r="GY153" s="35"/>
      <c r="GZ153" s="35"/>
      <c r="HA153" s="92"/>
      <c r="HB153" s="33"/>
      <c r="HC153" s="33"/>
      <c r="HI153" s="116"/>
      <c r="HJ153" s="51"/>
    </row>
    <row r="154" spans="1:218" ht="13.5" thickBot="1" x14ac:dyDescent="0.25">
      <c r="A154" s="23">
        <v>15</v>
      </c>
      <c r="C154">
        <f>C64*$BK$70</f>
        <v>0</v>
      </c>
      <c r="F154">
        <f>F64*$BK$70</f>
        <v>0</v>
      </c>
      <c r="I154">
        <f>I64*$BK$70</f>
        <v>0</v>
      </c>
      <c r="L154">
        <f>L64*$BK$70</f>
        <v>0</v>
      </c>
      <c r="O154">
        <f>O64*$BK$70</f>
        <v>0</v>
      </c>
      <c r="R154">
        <f>R64*$BK$70</f>
        <v>0</v>
      </c>
      <c r="U154">
        <f>U64*$BK$70</f>
        <v>0</v>
      </c>
      <c r="X154">
        <f>X64*$BK$70</f>
        <v>0</v>
      </c>
      <c r="AA154">
        <f>AA64*$BK$70</f>
        <v>0</v>
      </c>
      <c r="AD154">
        <f>AD64*$BK$70</f>
        <v>0</v>
      </c>
      <c r="AG154">
        <f>AG64*$BK$70</f>
        <v>0</v>
      </c>
      <c r="AJ154">
        <f>AJ64*$BK$70</f>
        <v>0</v>
      </c>
      <c r="GD154" s="21" t="s">
        <v>60</v>
      </c>
      <c r="GE154" s="85"/>
      <c r="GF154" s="679"/>
      <c r="GG154" s="680"/>
      <c r="GH154" s="204"/>
      <c r="GI154" s="194"/>
      <c r="GJ154" s="194"/>
      <c r="GK154" s="194"/>
      <c r="GL154" s="194"/>
      <c r="GM154" s="194"/>
      <c r="GN154" s="194"/>
      <c r="GO154" s="194"/>
      <c r="GP154" s="194"/>
      <c r="GQ154" s="194"/>
      <c r="GR154" s="194"/>
      <c r="GS154" s="194"/>
      <c r="GT154" s="194"/>
      <c r="GU154" s="194"/>
      <c r="GV154" s="204"/>
      <c r="GW154" s="204"/>
      <c r="GX154" s="204"/>
      <c r="GY154" s="194"/>
      <c r="GZ154" s="194"/>
      <c r="HA154" s="194"/>
      <c r="HB154" s="194"/>
      <c r="HC154" s="194"/>
      <c r="HI154" s="118"/>
      <c r="HJ154" s="51"/>
    </row>
    <row r="155" spans="1:218" ht="13.5" thickBot="1" x14ac:dyDescent="0.25">
      <c r="GD155" s="22">
        <f>CT160</f>
        <v>0</v>
      </c>
      <c r="GE155" s="22">
        <f>CENTRO_DE_MEDIÇÃO!DC122</f>
        <v>0</v>
      </c>
      <c r="GF155" s="679">
        <f>CV160</f>
        <v>0</v>
      </c>
      <c r="GG155" s="680"/>
      <c r="GH155" s="51">
        <f>IF($CP$70=GD155,((GF155-1)*$BM$39*0.5)+$BM$39,GF155*0.5*$BM$39)</f>
        <v>0.31967213114754101</v>
      </c>
      <c r="GI155" s="116">
        <f>IF(GF155&gt;0,1,0)*$A$33</f>
        <v>0</v>
      </c>
      <c r="GJ155" s="679">
        <f>GF155*$BK$39</f>
        <v>0</v>
      </c>
      <c r="GK155" s="680"/>
      <c r="GL155" s="83"/>
      <c r="GM155" s="694"/>
      <c r="GN155" s="695"/>
      <c r="GO155" s="83"/>
      <c r="GP155" s="694"/>
      <c r="GQ155" s="695"/>
      <c r="GR155" s="83"/>
      <c r="GS155" s="694"/>
      <c r="GT155" s="695"/>
      <c r="GU155" s="83"/>
      <c r="GV155" s="679"/>
      <c r="GW155" s="680"/>
      <c r="GX155" s="83"/>
      <c r="GY155" s="694"/>
      <c r="GZ155" s="695"/>
      <c r="HA155" s="83"/>
      <c r="HB155" s="694"/>
      <c r="HC155" s="695"/>
      <c r="HI155" s="119"/>
      <c r="HJ155" s="51"/>
    </row>
    <row r="156" spans="1:218" ht="13.5" thickBot="1" x14ac:dyDescent="0.25">
      <c r="GD156" s="22">
        <f t="shared" ref="GD156:GD161" si="149">CT161</f>
        <v>0</v>
      </c>
      <c r="GE156" s="22">
        <f t="shared" ref="GE156:GE162" si="150">GE155</f>
        <v>0</v>
      </c>
      <c r="GF156" s="679" t="str">
        <f t="shared" ref="GF156:GF162" si="151">CV161</f>
        <v>Hospital e semelhantes</v>
      </c>
      <c r="GG156" s="680"/>
      <c r="GH156" s="51" t="e">
        <f>IF($CP$70=GD156,IF(GF156&gt;0,((GF156-1)*$BM$40*0.5)+$BM$40,GF156*0.5*$BM$40),GF156*0.5*$BM$40)</f>
        <v>#VALUE!</v>
      </c>
      <c r="GI156" s="116">
        <f>IF(GF156&gt;0,1,0)*$A$34</f>
        <v>0.5</v>
      </c>
      <c r="GJ156" s="679" t="e">
        <f>GF156*$BK$40</f>
        <v>#VALUE!</v>
      </c>
      <c r="GK156" s="680"/>
      <c r="GL156" s="83"/>
      <c r="GM156" s="694"/>
      <c r="GN156" s="695"/>
      <c r="GO156" s="83"/>
      <c r="GP156" s="694"/>
      <c r="GQ156" s="695"/>
      <c r="GR156" s="83"/>
      <c r="GS156" s="694"/>
      <c r="GT156" s="695"/>
      <c r="GU156" s="83"/>
      <c r="GV156" s="679"/>
      <c r="GW156" s="680"/>
      <c r="GX156" s="83"/>
      <c r="GY156" s="694"/>
      <c r="GZ156" s="695"/>
      <c r="HA156" s="83"/>
      <c r="HB156" s="694"/>
      <c r="HC156" s="695"/>
      <c r="HI156" s="120"/>
      <c r="HJ156" s="51"/>
    </row>
    <row r="157" spans="1:218" ht="13.5" thickBot="1" x14ac:dyDescent="0.25">
      <c r="GD157" s="22">
        <f t="shared" si="149"/>
        <v>0</v>
      </c>
      <c r="GE157" s="22">
        <f t="shared" si="150"/>
        <v>0</v>
      </c>
      <c r="GF157" s="679">
        <f t="shared" si="151"/>
        <v>0</v>
      </c>
      <c r="GG157" s="680"/>
      <c r="GH157" s="51">
        <f>IF($CP$70=GD157,IF(GF157&gt;0,((GF157-1)*$BM$41*0.5)+$BM$41,GF157*0.5*$BM$41),GF157*0.5*$BM$41)</f>
        <v>0</v>
      </c>
      <c r="GI157" s="116">
        <f>IF(GF157&gt;0,1,0)*$A$35</f>
        <v>0</v>
      </c>
      <c r="GJ157" s="679">
        <f>GF157*$BK$41</f>
        <v>0</v>
      </c>
      <c r="GK157" s="680"/>
      <c r="GL157" s="83"/>
      <c r="GM157" s="694"/>
      <c r="GN157" s="695"/>
      <c r="GO157" s="83"/>
      <c r="GP157" s="694"/>
      <c r="GQ157" s="695"/>
      <c r="GR157" s="83"/>
      <c r="GS157" s="694"/>
      <c r="GT157" s="695"/>
      <c r="GU157" s="83"/>
      <c r="GV157" s="679"/>
      <c r="GW157" s="680"/>
      <c r="GX157" s="83"/>
      <c r="GY157" s="694"/>
      <c r="GZ157" s="695"/>
      <c r="HA157" s="83"/>
      <c r="HB157" s="694"/>
      <c r="HC157" s="695"/>
      <c r="HI157" s="116"/>
      <c r="HJ157" s="51"/>
    </row>
    <row r="158" spans="1:218" ht="13.5" thickBot="1" x14ac:dyDescent="0.25">
      <c r="C158">
        <v>1</v>
      </c>
      <c r="F158">
        <v>2</v>
      </c>
      <c r="I158">
        <v>3</v>
      </c>
      <c r="L158">
        <v>4</v>
      </c>
      <c r="O158">
        <v>5</v>
      </c>
      <c r="R158">
        <v>6</v>
      </c>
      <c r="U158">
        <v>7</v>
      </c>
      <c r="X158">
        <v>8</v>
      </c>
      <c r="AA158">
        <v>9</v>
      </c>
      <c r="AD158">
        <v>10</v>
      </c>
      <c r="AG158">
        <v>11</v>
      </c>
      <c r="AJ158">
        <v>12</v>
      </c>
      <c r="GD158" s="22">
        <f t="shared" si="149"/>
        <v>0</v>
      </c>
      <c r="GE158" s="22">
        <f t="shared" si="150"/>
        <v>0</v>
      </c>
      <c r="GF158" s="679">
        <f t="shared" si="151"/>
        <v>0</v>
      </c>
      <c r="GG158" s="680"/>
      <c r="GH158" s="51">
        <f>IF($CP$70=GD158,IF(GF158&gt;0,((GF158-1)*$BM$42*0.5)+$BM$42,GF158*0.5*$BM$42),GF158*0.5*$BM$42)</f>
        <v>0</v>
      </c>
      <c r="GI158" s="116">
        <f>IF(GF158&gt;0,1,0)*$A$36</f>
        <v>0</v>
      </c>
      <c r="GJ158" s="679">
        <f>GF158*$BK$42</f>
        <v>0</v>
      </c>
      <c r="GK158" s="680"/>
      <c r="GL158" s="83"/>
      <c r="GM158" s="694"/>
      <c r="GN158" s="695"/>
      <c r="GO158" s="83"/>
      <c r="GP158" s="694"/>
      <c r="GQ158" s="695"/>
      <c r="GR158" s="83"/>
      <c r="GS158" s="694"/>
      <c r="GT158" s="695"/>
      <c r="GU158" s="83"/>
      <c r="GV158" s="679"/>
      <c r="GW158" s="680"/>
      <c r="GX158" s="83"/>
      <c r="GY158" s="694"/>
      <c r="GZ158" s="695"/>
      <c r="HA158" s="83"/>
      <c r="HB158" s="694"/>
      <c r="HC158" s="695"/>
      <c r="HI158" s="116"/>
      <c r="HJ158" s="51"/>
    </row>
    <row r="159" spans="1:218" ht="13.5" thickBot="1" x14ac:dyDescent="0.25">
      <c r="GD159" s="22">
        <f t="shared" si="149"/>
        <v>0</v>
      </c>
      <c r="GE159" s="22">
        <f t="shared" si="150"/>
        <v>0</v>
      </c>
      <c r="GF159" s="679">
        <f t="shared" si="151"/>
        <v>0</v>
      </c>
      <c r="GG159" s="680"/>
      <c r="GH159" s="51">
        <f>IF($CP$70=GD159,IF(GF159&gt;0,((GF159-1)*$BM$43*0.5)+$BM$43,GF159*0.5*$BM$43),GF159*0.5*$BM$43)</f>
        <v>0</v>
      </c>
      <c r="GI159" s="116">
        <f>IF(GF159&gt;0,1,0)*$A$37</f>
        <v>0</v>
      </c>
      <c r="GJ159" s="679">
        <f>GF159*$BK$43</f>
        <v>0</v>
      </c>
      <c r="GK159" s="680"/>
      <c r="GL159" s="83"/>
      <c r="GM159" s="694"/>
      <c r="GN159" s="695"/>
      <c r="GO159" s="83"/>
      <c r="GP159" s="694"/>
      <c r="GQ159" s="695"/>
      <c r="GR159" s="83"/>
      <c r="GS159" s="694"/>
      <c r="GT159" s="695"/>
      <c r="GU159" s="83"/>
      <c r="GV159" s="679"/>
      <c r="GW159" s="680"/>
      <c r="GX159" s="83"/>
      <c r="GY159" s="694"/>
      <c r="GZ159" s="695"/>
      <c r="HA159" s="83"/>
      <c r="HB159" s="694"/>
      <c r="HC159" s="695"/>
      <c r="HI159" s="116"/>
      <c r="HJ159" s="51"/>
    </row>
    <row r="160" spans="1:218" ht="13.5" thickBot="1" x14ac:dyDescent="0.25">
      <c r="GD160" s="22">
        <f t="shared" si="149"/>
        <v>0</v>
      </c>
      <c r="GE160" s="22">
        <f t="shared" si="150"/>
        <v>0</v>
      </c>
      <c r="GF160" s="679">
        <f t="shared" si="151"/>
        <v>0</v>
      </c>
      <c r="GG160" s="680"/>
      <c r="GH160" s="51">
        <f>IF($CP$70=GD160,IF(GF160&gt;0,((GF160-1)*$BM$44*0.5)+$BM$44,GF160*0.5*$BM$44),GF160*0.5*$BM$44)</f>
        <v>0</v>
      </c>
      <c r="GI160" s="116">
        <f>IF(GF160&gt;0,1,0)*$A$38</f>
        <v>0</v>
      </c>
      <c r="GJ160" s="679">
        <f>GF160*$BK$44</f>
        <v>0</v>
      </c>
      <c r="GK160" s="680"/>
      <c r="GL160" s="83"/>
      <c r="GM160" s="694"/>
      <c r="GN160" s="695"/>
      <c r="GO160" s="83"/>
      <c r="GP160" s="694"/>
      <c r="GQ160" s="695"/>
      <c r="GR160" s="83"/>
      <c r="GS160" s="694"/>
      <c r="GT160" s="695"/>
      <c r="GU160" s="83"/>
      <c r="GV160" s="679"/>
      <c r="GW160" s="680"/>
      <c r="GX160" s="83"/>
      <c r="GY160" s="694"/>
      <c r="GZ160" s="695"/>
      <c r="HA160" s="83"/>
      <c r="HB160" s="694"/>
      <c r="HC160" s="695"/>
      <c r="HI160" s="116"/>
      <c r="HJ160" s="51"/>
    </row>
    <row r="161" spans="1:218" ht="13.5" thickBot="1" x14ac:dyDescent="0.25">
      <c r="A161" s="51"/>
      <c r="B161"/>
      <c r="C161" s="676" t="s">
        <v>1567</v>
      </c>
      <c r="D161" s="673" t="s">
        <v>102</v>
      </c>
      <c r="E161" s="698" t="s">
        <v>68</v>
      </c>
      <c r="F161" s="699"/>
      <c r="G161" s="708" t="s">
        <v>102</v>
      </c>
      <c r="H161" s="685" t="s">
        <v>115</v>
      </c>
      <c r="I161" s="686"/>
      <c r="J161" s="708" t="s">
        <v>102</v>
      </c>
      <c r="K161" s="685" t="s">
        <v>116</v>
      </c>
      <c r="L161" s="686"/>
      <c r="M161" s="673" t="s">
        <v>102</v>
      </c>
      <c r="N161" s="685" t="s">
        <v>117</v>
      </c>
      <c r="O161" s="686"/>
      <c r="P161" s="673" t="s">
        <v>102</v>
      </c>
      <c r="Q161" s="685" t="s">
        <v>1837</v>
      </c>
      <c r="R161" s="686"/>
      <c r="S161" s="673" t="s">
        <v>102</v>
      </c>
      <c r="T161" s="685" t="s">
        <v>119</v>
      </c>
      <c r="U161" s="686"/>
      <c r="V161" s="673" t="s">
        <v>102</v>
      </c>
      <c r="W161" s="685" t="s">
        <v>120</v>
      </c>
      <c r="X161" s="686"/>
      <c r="Y161" s="673" t="s">
        <v>102</v>
      </c>
      <c r="Z161" s="685" t="s">
        <v>121</v>
      </c>
      <c r="AA161" s="686"/>
      <c r="AB161" s="673" t="s">
        <v>102</v>
      </c>
      <c r="AC161" s="698" t="s">
        <v>122</v>
      </c>
      <c r="AD161" s="699"/>
      <c r="AE161" s="673" t="s">
        <v>102</v>
      </c>
      <c r="AF161" s="685" t="s">
        <v>123</v>
      </c>
      <c r="AG161" s="686"/>
      <c r="AH161" s="673" t="s">
        <v>102</v>
      </c>
      <c r="AI161" s="685" t="s">
        <v>69</v>
      </c>
      <c r="AJ161" s="686"/>
      <c r="AL161" s="51"/>
      <c r="AM161" s="697"/>
      <c r="AN161" s="697"/>
      <c r="AO161" s="697"/>
      <c r="AP161" s="697"/>
      <c r="AQ161" s="697"/>
      <c r="AR161" s="51"/>
      <c r="AT161" s="676" t="s">
        <v>1568</v>
      </c>
      <c r="AU161" s="673" t="s">
        <v>102</v>
      </c>
      <c r="AV161" s="698" t="s">
        <v>68</v>
      </c>
      <c r="AW161" s="699"/>
      <c r="AX161" s="708" t="s">
        <v>102</v>
      </c>
      <c r="AY161" s="685" t="s">
        <v>115</v>
      </c>
      <c r="AZ161" s="686"/>
      <c r="BA161" s="708" t="s">
        <v>102</v>
      </c>
      <c r="BB161" s="685" t="s">
        <v>116</v>
      </c>
      <c r="BC161" s="686"/>
      <c r="BD161" s="673" t="s">
        <v>102</v>
      </c>
      <c r="BE161" s="685" t="s">
        <v>117</v>
      </c>
      <c r="BF161" s="686"/>
      <c r="BG161" s="673" t="s">
        <v>102</v>
      </c>
      <c r="BH161" s="685" t="s">
        <v>1837</v>
      </c>
      <c r="BI161" s="686"/>
      <c r="BJ161" s="673" t="s">
        <v>102</v>
      </c>
      <c r="BK161" s="685" t="s">
        <v>119</v>
      </c>
      <c r="BL161" s="686"/>
      <c r="BM161" s="673" t="s">
        <v>102</v>
      </c>
      <c r="BN161" s="685" t="s">
        <v>120</v>
      </c>
      <c r="BO161" s="686"/>
      <c r="BP161" s="673" t="s">
        <v>102</v>
      </c>
      <c r="BQ161" s="685" t="s">
        <v>121</v>
      </c>
      <c r="BR161" s="686"/>
      <c r="BS161" s="673" t="s">
        <v>102</v>
      </c>
      <c r="BT161" s="698" t="s">
        <v>122</v>
      </c>
      <c r="BU161" s="699"/>
      <c r="BV161" s="673" t="s">
        <v>102</v>
      </c>
      <c r="BW161" s="685" t="s">
        <v>123</v>
      </c>
      <c r="BX161" s="686"/>
      <c r="BY161" s="673" t="s">
        <v>102</v>
      </c>
      <c r="BZ161" s="685" t="s">
        <v>69</v>
      </c>
      <c r="CA161" s="686"/>
      <c r="CB161"/>
      <c r="CC161" s="51"/>
      <c r="CD161" s="697"/>
      <c r="CE161" s="697"/>
      <c r="CF161" s="697"/>
      <c r="CG161" s="697"/>
      <c r="CH161" s="697"/>
      <c r="CI161" s="51"/>
      <c r="CK161" s="676" t="s">
        <v>1569</v>
      </c>
      <c r="CL161" s="673" t="s">
        <v>102</v>
      </c>
      <c r="CM161" s="698" t="s">
        <v>68</v>
      </c>
      <c r="CN161" s="699"/>
      <c r="CO161" s="708" t="s">
        <v>102</v>
      </c>
      <c r="CP161" s="685" t="s">
        <v>115</v>
      </c>
      <c r="CQ161" s="686"/>
      <c r="CR161" s="708" t="s">
        <v>102</v>
      </c>
      <c r="CS161" s="685" t="s">
        <v>116</v>
      </c>
      <c r="CT161" s="686"/>
      <c r="CU161" s="673" t="s">
        <v>102</v>
      </c>
      <c r="CV161" s="685" t="s">
        <v>117</v>
      </c>
      <c r="CW161" s="686"/>
      <c r="CX161" s="673" t="s">
        <v>102</v>
      </c>
      <c r="CY161" s="685" t="s">
        <v>1837</v>
      </c>
      <c r="CZ161" s="686"/>
      <c r="DA161" s="673" t="s">
        <v>102</v>
      </c>
      <c r="DB161" s="685" t="s">
        <v>119</v>
      </c>
      <c r="DC161" s="686"/>
      <c r="DD161" s="673" t="s">
        <v>102</v>
      </c>
      <c r="DE161" s="685" t="s">
        <v>120</v>
      </c>
      <c r="DF161" s="686"/>
      <c r="DG161" s="673" t="s">
        <v>102</v>
      </c>
      <c r="DH161" s="685" t="s">
        <v>121</v>
      </c>
      <c r="DI161" s="686"/>
      <c r="DJ161" s="673" t="s">
        <v>102</v>
      </c>
      <c r="DK161" s="698" t="s">
        <v>122</v>
      </c>
      <c r="DL161" s="699"/>
      <c r="DM161" s="673" t="s">
        <v>102</v>
      </c>
      <c r="DN161" s="685" t="s">
        <v>123</v>
      </c>
      <c r="DO161" s="686"/>
      <c r="DP161" s="673" t="s">
        <v>102</v>
      </c>
      <c r="DQ161" s="685" t="s">
        <v>69</v>
      </c>
      <c r="DR161" s="686"/>
      <c r="DS161"/>
      <c r="DT161" s="51"/>
      <c r="DU161" s="697"/>
      <c r="DV161" s="697"/>
      <c r="DW161" s="697"/>
      <c r="DX161" s="697"/>
      <c r="DY161" s="697"/>
      <c r="GD161" s="22">
        <f t="shared" si="149"/>
        <v>0</v>
      </c>
      <c r="GE161" s="22">
        <f t="shared" si="150"/>
        <v>0</v>
      </c>
      <c r="GF161" s="679">
        <f t="shared" si="151"/>
        <v>0</v>
      </c>
      <c r="GG161" s="680"/>
      <c r="GH161" s="51">
        <f>IF($CP$70=GD161,IF(GF161&gt;0,((GF161-1)*$BM$45*0.5)+$BM$45,GF161*0.5*$BM$45),GF161*0.5*$BM$45)</f>
        <v>0</v>
      </c>
      <c r="GI161" s="116">
        <f>IF(GF161&gt;0,1,0)*$A$39</f>
        <v>0</v>
      </c>
      <c r="GJ161" s="679">
        <f>GF161*$BK$45</f>
        <v>0</v>
      </c>
      <c r="GK161" s="680"/>
      <c r="GL161" s="83"/>
      <c r="GM161" s="694"/>
      <c r="GN161" s="695"/>
      <c r="GO161" s="83"/>
      <c r="GP161" s="694"/>
      <c r="GQ161" s="695"/>
      <c r="GR161" s="83"/>
      <c r="GS161" s="694"/>
      <c r="GT161" s="695"/>
      <c r="GU161" s="83"/>
      <c r="GV161" s="679"/>
      <c r="GW161" s="680"/>
      <c r="GX161" s="83"/>
      <c r="GY161" s="694"/>
      <c r="GZ161" s="695"/>
      <c r="HA161" s="83"/>
      <c r="HB161" s="694"/>
      <c r="HC161" s="695"/>
      <c r="HI161" s="116"/>
      <c r="HJ161" s="51"/>
    </row>
    <row r="162" spans="1:218" ht="13.5" thickBot="1" x14ac:dyDescent="0.25">
      <c r="A162" s="51"/>
      <c r="B162" s="98">
        <f>VLOOKUP(SUM($B$1,$E$1,$H$1,$K$1,$N$1,$Q$1),SIMULTANEIDADE!$B$3:$D$41,3,TRUE)</f>
        <v>1</v>
      </c>
      <c r="C162" s="677"/>
      <c r="D162" s="674"/>
      <c r="E162" s="700"/>
      <c r="F162" s="701"/>
      <c r="G162" s="709"/>
      <c r="H162" s="687"/>
      <c r="I162" s="688"/>
      <c r="J162" s="709"/>
      <c r="K162" s="687"/>
      <c r="L162" s="688"/>
      <c r="M162" s="674"/>
      <c r="N162" s="687"/>
      <c r="O162" s="688"/>
      <c r="P162" s="674"/>
      <c r="Q162" s="687"/>
      <c r="R162" s="688"/>
      <c r="S162" s="674"/>
      <c r="T162" s="687"/>
      <c r="U162" s="688"/>
      <c r="V162" s="674"/>
      <c r="W162" s="687"/>
      <c r="X162" s="688"/>
      <c r="Y162" s="674"/>
      <c r="Z162" s="687"/>
      <c r="AA162" s="688"/>
      <c r="AB162" s="674"/>
      <c r="AC162" s="700"/>
      <c r="AD162" s="701"/>
      <c r="AE162" s="674"/>
      <c r="AF162" s="687"/>
      <c r="AG162" s="688"/>
      <c r="AH162" s="674"/>
      <c r="AI162" s="687"/>
      <c r="AJ162" s="688"/>
      <c r="AK162" s="190"/>
      <c r="AM162" s="696"/>
      <c r="AN162" s="696"/>
      <c r="AO162" s="696"/>
      <c r="AP162" s="696"/>
      <c r="AQ162" s="696"/>
      <c r="AR162" s="51"/>
      <c r="AS162" s="98">
        <f>VLOOKUP(SUM($B$1,$E$1,$H$1),SIMULTANEIDADE!$B$3:$D$41,3,TRUE)</f>
        <v>1</v>
      </c>
      <c r="AT162" s="677"/>
      <c r="AU162" s="674"/>
      <c r="AV162" s="700"/>
      <c r="AW162" s="701"/>
      <c r="AX162" s="709"/>
      <c r="AY162" s="687"/>
      <c r="AZ162" s="688"/>
      <c r="BA162" s="709"/>
      <c r="BB162" s="687"/>
      <c r="BC162" s="688"/>
      <c r="BD162" s="674"/>
      <c r="BE162" s="687"/>
      <c r="BF162" s="688"/>
      <c r="BG162" s="674"/>
      <c r="BH162" s="687"/>
      <c r="BI162" s="688"/>
      <c r="BJ162" s="674"/>
      <c r="BK162" s="687"/>
      <c r="BL162" s="688"/>
      <c r="BM162" s="674"/>
      <c r="BN162" s="687"/>
      <c r="BO162" s="688"/>
      <c r="BP162" s="674"/>
      <c r="BQ162" s="687"/>
      <c r="BR162" s="688"/>
      <c r="BS162" s="674"/>
      <c r="BT162" s="700"/>
      <c r="BU162" s="701"/>
      <c r="BV162" s="674"/>
      <c r="BW162" s="687"/>
      <c r="BX162" s="688"/>
      <c r="BY162" s="674"/>
      <c r="BZ162" s="687"/>
      <c r="CA162" s="688"/>
      <c r="CB162" s="190"/>
      <c r="CC162"/>
      <c r="CD162" s="696"/>
      <c r="CE162" s="696"/>
      <c r="CF162" s="696"/>
      <c r="CG162" s="696"/>
      <c r="CH162" s="696"/>
      <c r="CI162" s="51"/>
      <c r="CJ162" s="98">
        <f>VLOOKUP(SUM($N$1,$K$1,$Q$1),SIMULTANEIDADE!$B$3:$D$41,3,TRUE)</f>
        <v>1</v>
      </c>
      <c r="CK162" s="677"/>
      <c r="CL162" s="674"/>
      <c r="CM162" s="700"/>
      <c r="CN162" s="701"/>
      <c r="CO162" s="709"/>
      <c r="CP162" s="687"/>
      <c r="CQ162" s="688"/>
      <c r="CR162" s="709"/>
      <c r="CS162" s="687"/>
      <c r="CT162" s="688"/>
      <c r="CU162" s="674"/>
      <c r="CV162" s="687"/>
      <c r="CW162" s="688"/>
      <c r="CX162" s="674"/>
      <c r="CY162" s="687"/>
      <c r="CZ162" s="688"/>
      <c r="DA162" s="674"/>
      <c r="DB162" s="687"/>
      <c r="DC162" s="688"/>
      <c r="DD162" s="674"/>
      <c r="DE162" s="687"/>
      <c r="DF162" s="688"/>
      <c r="DG162" s="674"/>
      <c r="DH162" s="687"/>
      <c r="DI162" s="688"/>
      <c r="DJ162" s="674"/>
      <c r="DK162" s="700"/>
      <c r="DL162" s="701"/>
      <c r="DM162" s="674"/>
      <c r="DN162" s="687"/>
      <c r="DO162" s="688"/>
      <c r="DP162" s="674"/>
      <c r="DQ162" s="687"/>
      <c r="DR162" s="688"/>
      <c r="DS162" s="190"/>
      <c r="DT162"/>
      <c r="DU162" s="696"/>
      <c r="DV162" s="696"/>
      <c r="DW162" s="696"/>
      <c r="DX162" s="696"/>
      <c r="DY162" s="696"/>
      <c r="GD162" s="22" t="str">
        <f>CT167</f>
        <v>KW</v>
      </c>
      <c r="GE162" s="22">
        <f t="shared" si="150"/>
        <v>0</v>
      </c>
      <c r="GF162" s="679" t="str">
        <f t="shared" si="151"/>
        <v>Qtd</v>
      </c>
      <c r="GG162" s="680"/>
      <c r="GH162" s="51" t="e">
        <f>IF($CP$70=GD162,IF(GF162&gt;0,((GF162-1)*$BM$47*0.5)+$BM$47,GF162*0.5*$BM$47),GF162*0.5*$BM$47)</f>
        <v>#VALUE!</v>
      </c>
      <c r="GI162" s="116">
        <f>IF(GF162&gt;0,1,0)*$A$41</f>
        <v>5</v>
      </c>
      <c r="GJ162" s="679" t="e">
        <f>GF162*$BK$47</f>
        <v>#VALUE!</v>
      </c>
      <c r="GK162" s="680"/>
      <c r="GL162" s="83"/>
      <c r="GM162" s="694"/>
      <c r="GN162" s="695"/>
      <c r="GO162" s="83"/>
      <c r="GP162" s="694"/>
      <c r="GQ162" s="695"/>
      <c r="GR162" s="83"/>
      <c r="GS162" s="694"/>
      <c r="GT162" s="695"/>
      <c r="GU162" s="83"/>
      <c r="GV162" s="679"/>
      <c r="GW162" s="680"/>
      <c r="GX162" s="83"/>
      <c r="GY162" s="694"/>
      <c r="GZ162" s="695"/>
      <c r="HA162" s="83"/>
      <c r="HB162" s="694"/>
      <c r="HC162" s="695"/>
      <c r="HI162" s="116"/>
      <c r="HJ162" s="51"/>
    </row>
    <row r="163" spans="1:218" ht="13.5" thickBot="1" x14ac:dyDescent="0.25">
      <c r="B163"/>
      <c r="C163" s="678"/>
      <c r="D163" s="675"/>
      <c r="E163" s="704"/>
      <c r="F163" s="705"/>
      <c r="G163" s="710"/>
      <c r="H163" s="706"/>
      <c r="I163" s="707"/>
      <c r="J163" s="710"/>
      <c r="K163" s="683"/>
      <c r="L163" s="684"/>
      <c r="M163" s="675"/>
      <c r="N163" s="683"/>
      <c r="O163" s="684"/>
      <c r="P163" s="675"/>
      <c r="Q163" s="683"/>
      <c r="R163" s="684"/>
      <c r="S163" s="675"/>
      <c r="T163" s="683"/>
      <c r="U163" s="684"/>
      <c r="V163" s="675"/>
      <c r="W163" s="683"/>
      <c r="X163" s="684"/>
      <c r="Y163" s="675"/>
      <c r="Z163" s="683"/>
      <c r="AA163" s="684"/>
      <c r="AB163" s="675"/>
      <c r="AC163" s="702"/>
      <c r="AD163" s="703"/>
      <c r="AE163" s="675"/>
      <c r="AF163" s="683"/>
      <c r="AG163" s="684"/>
      <c r="AH163" s="675"/>
      <c r="AI163" s="683"/>
      <c r="AJ163" s="684"/>
      <c r="AK163" s="191"/>
      <c r="AM163" s="20"/>
      <c r="AN163" s="20"/>
      <c r="AO163" s="20"/>
      <c r="AP163" s="72"/>
      <c r="AQ163" s="72"/>
      <c r="AT163" s="678"/>
      <c r="AU163" s="675"/>
      <c r="AV163" s="704"/>
      <c r="AW163" s="705"/>
      <c r="AX163" s="710"/>
      <c r="AY163" s="706"/>
      <c r="AZ163" s="707"/>
      <c r="BA163" s="710"/>
      <c r="BB163" s="683"/>
      <c r="BC163" s="684"/>
      <c r="BD163" s="675"/>
      <c r="BE163" s="683"/>
      <c r="BF163" s="684"/>
      <c r="BG163" s="675"/>
      <c r="BH163" s="683"/>
      <c r="BI163" s="684"/>
      <c r="BJ163" s="675"/>
      <c r="BK163" s="683"/>
      <c r="BL163" s="684"/>
      <c r="BM163" s="675"/>
      <c r="BN163" s="683"/>
      <c r="BO163" s="684"/>
      <c r="BP163" s="675"/>
      <c r="BQ163" s="683"/>
      <c r="BR163" s="684"/>
      <c r="BS163" s="675"/>
      <c r="BT163" s="702"/>
      <c r="BU163" s="703"/>
      <c r="BV163" s="675"/>
      <c r="BW163" s="683"/>
      <c r="BX163" s="684"/>
      <c r="BY163" s="675"/>
      <c r="BZ163" s="683"/>
      <c r="CA163" s="684"/>
      <c r="CB163" s="191"/>
      <c r="CC163"/>
      <c r="CD163" s="20"/>
      <c r="CE163" s="20"/>
      <c r="CF163" s="20"/>
      <c r="CG163" s="72"/>
      <c r="CH163" s="72"/>
      <c r="CK163" s="678"/>
      <c r="CL163" s="675"/>
      <c r="CM163" s="704"/>
      <c r="CN163" s="705"/>
      <c r="CO163" s="710"/>
      <c r="CP163" s="706"/>
      <c r="CQ163" s="707"/>
      <c r="CR163" s="710"/>
      <c r="CS163" s="683"/>
      <c r="CT163" s="684"/>
      <c r="CU163" s="675"/>
      <c r="CV163" s="683"/>
      <c r="CW163" s="684"/>
      <c r="CX163" s="675"/>
      <c r="CY163" s="683"/>
      <c r="CZ163" s="684"/>
      <c r="DA163" s="675"/>
      <c r="DB163" s="683"/>
      <c r="DC163" s="684"/>
      <c r="DD163" s="675"/>
      <c r="DE163" s="683"/>
      <c r="DF163" s="684"/>
      <c r="DG163" s="675"/>
      <c r="DH163" s="683"/>
      <c r="DI163" s="684"/>
      <c r="DJ163" s="675"/>
      <c r="DK163" s="702"/>
      <c r="DL163" s="703"/>
      <c r="DM163" s="675"/>
      <c r="DN163" s="683"/>
      <c r="DO163" s="684"/>
      <c r="DP163" s="675"/>
      <c r="DQ163" s="683"/>
      <c r="DR163" s="684"/>
      <c r="DS163" s="191"/>
      <c r="DT163"/>
      <c r="DU163" s="20"/>
      <c r="DV163" s="20"/>
      <c r="DW163" s="20"/>
      <c r="DX163" s="72"/>
      <c r="DY163" s="72"/>
      <c r="GD163" s="22"/>
      <c r="GE163" s="83"/>
      <c r="GF163" s="679"/>
      <c r="GG163" s="680"/>
      <c r="GH163" s="83"/>
      <c r="GI163" s="87">
        <f>LARGE(GI155:GI162,1)</f>
        <v>5</v>
      </c>
      <c r="GJ163" s="679"/>
      <c r="GK163" s="680"/>
      <c r="GL163" s="83"/>
      <c r="GM163" s="694"/>
      <c r="GN163" s="695"/>
      <c r="GO163" s="83"/>
      <c r="GP163" s="694"/>
      <c r="GQ163" s="695"/>
      <c r="GR163" s="83"/>
      <c r="GS163" s="694"/>
      <c r="GT163" s="695"/>
      <c r="GU163" s="83"/>
      <c r="GV163" s="679"/>
      <c r="GW163" s="680"/>
      <c r="GX163" s="83"/>
      <c r="GY163" s="694"/>
      <c r="GZ163" s="695"/>
      <c r="HA163" s="83"/>
      <c r="HB163" s="694"/>
      <c r="HC163" s="695"/>
      <c r="HI163" s="116"/>
      <c r="HJ163" s="51"/>
    </row>
    <row r="164" spans="1:218" ht="13.5" thickBot="1" x14ac:dyDescent="0.25">
      <c r="A164" s="51"/>
      <c r="B164"/>
      <c r="C164" s="27" t="s">
        <v>39</v>
      </c>
      <c r="D164" s="93"/>
      <c r="E164" s="681">
        <f>SUM(IF(OR($C$1=DX1,C1="Flat"),$C$4,0),IF(OR($F$1=DX1,F1="Flat"),$F$4,0),IF(OR($I$1=DX1,I1="Flat"),$I$4,0),IF(OR($L$1=DX1,L1="Flat"),$L$4,0),IF(OR($O$1=DX1,O1="Flat"),$O$4,0),IF(OR($R$1=DX1,R1="Flat"),$R$4,0))</f>
        <v>0</v>
      </c>
      <c r="F164" s="682"/>
      <c r="G164" s="93"/>
      <c r="H164" s="689"/>
      <c r="I164" s="690"/>
      <c r="J164" s="93"/>
      <c r="K164" s="681"/>
      <c r="L164" s="682"/>
      <c r="M164" s="93"/>
      <c r="N164" s="681"/>
      <c r="O164" s="682"/>
      <c r="P164" s="93"/>
      <c r="Q164" s="681"/>
      <c r="R164" s="682"/>
      <c r="S164" s="93"/>
      <c r="T164" s="681"/>
      <c r="U164" s="682"/>
      <c r="V164" s="93"/>
      <c r="W164" s="681"/>
      <c r="X164" s="682"/>
      <c r="Y164" s="93"/>
      <c r="Z164" s="681"/>
      <c r="AA164" s="682"/>
      <c r="AB164" s="93"/>
      <c r="AC164" s="681"/>
      <c r="AD164" s="682"/>
      <c r="AE164" s="93"/>
      <c r="AF164" s="681"/>
      <c r="AG164" s="682"/>
      <c r="AH164" s="93"/>
      <c r="AI164" s="681">
        <f>SUM(IF($C$1=FB1,$C$4,0),IF($F$1=FB1,$F$4,0),IF($I$1=FB1,$I$4,0),IF($L$1=FB1,$L$4,0),IF($O$1=FB1,$O$4,0),IF($R$1=FB1,$R$4,0))</f>
        <v>0</v>
      </c>
      <c r="AJ164" s="682"/>
      <c r="AK164" s="170"/>
      <c r="AM164" s="51"/>
      <c r="AN164" s="70"/>
      <c r="AO164" s="51"/>
      <c r="AP164" s="51"/>
      <c r="AQ164" s="51"/>
      <c r="AR164" s="51"/>
      <c r="AT164" s="27" t="s">
        <v>39</v>
      </c>
      <c r="AU164" s="93"/>
      <c r="AV164" s="681">
        <f>SUM(IF(OR($C$1=AV161,C1="Flat"),$C$4,0),IF(OR($F$1=AV161,F1="Flat"),$F$4,0),IF(OR($I$1=AV161,I1="Flat"),$I$4,0))</f>
        <v>0</v>
      </c>
      <c r="AW164" s="682"/>
      <c r="AX164" s="93"/>
      <c r="AY164" s="689"/>
      <c r="AZ164" s="690"/>
      <c r="BA164" s="93"/>
      <c r="BB164" s="681"/>
      <c r="BC164" s="682"/>
      <c r="BD164" s="93"/>
      <c r="BE164" s="681"/>
      <c r="BF164" s="682"/>
      <c r="BG164" s="93"/>
      <c r="BH164" s="681"/>
      <c r="BI164" s="682"/>
      <c r="BJ164" s="93"/>
      <c r="BK164" s="681"/>
      <c r="BL164" s="682"/>
      <c r="BM164" s="93"/>
      <c r="BN164" s="681"/>
      <c r="BO164" s="682"/>
      <c r="BP164" s="93"/>
      <c r="BQ164" s="681"/>
      <c r="BR164" s="682"/>
      <c r="BS164" s="93"/>
      <c r="BT164" s="681"/>
      <c r="BU164" s="682"/>
      <c r="BV164" s="93"/>
      <c r="BW164" s="681"/>
      <c r="BX164" s="682"/>
      <c r="BY164" s="93"/>
      <c r="BZ164" s="681">
        <f>SUM(IF($C$1=BZ161,$C$4,0),IF($F$1=BZ161,$F$4,0),IF($I$1=BZ161,$I$4,0))</f>
        <v>0</v>
      </c>
      <c r="CA164" s="682"/>
      <c r="CB164" s="170"/>
      <c r="CC164"/>
      <c r="CD164" s="51"/>
      <c r="CE164" s="70"/>
      <c r="CF164" s="51"/>
      <c r="CG164" s="51"/>
      <c r="CH164" s="51"/>
      <c r="CI164" s="51"/>
      <c r="CK164" s="27" t="s">
        <v>39</v>
      </c>
      <c r="CL164" s="93"/>
      <c r="CM164" s="681">
        <f>SUM(IF(OR($O$1=CM161,O1="Flat"),$O$4,0),IF(OR($L$1=CM161,L1="Flat"),$L$4,0),IF(OR($R$1=CM161,R1="Flat"),$R$4,0))</f>
        <v>0</v>
      </c>
      <c r="CN164" s="682"/>
      <c r="CO164" s="93"/>
      <c r="CP164" s="689"/>
      <c r="CQ164" s="690"/>
      <c r="CR164" s="93"/>
      <c r="CS164" s="681"/>
      <c r="CT164" s="682"/>
      <c r="CU164" s="93"/>
      <c r="CV164" s="681"/>
      <c r="CW164" s="682"/>
      <c r="CX164" s="93"/>
      <c r="CY164" s="681"/>
      <c r="CZ164" s="682"/>
      <c r="DA164" s="93"/>
      <c r="DB164" s="681"/>
      <c r="DC164" s="682"/>
      <c r="DD164" s="93"/>
      <c r="DE164" s="681"/>
      <c r="DF164" s="682"/>
      <c r="DG164" s="93"/>
      <c r="DH164" s="681"/>
      <c r="DI164" s="682"/>
      <c r="DJ164" s="93"/>
      <c r="DK164" s="681"/>
      <c r="DL164" s="682"/>
      <c r="DM164" s="93"/>
      <c r="DN164" s="681"/>
      <c r="DO164" s="682"/>
      <c r="DP164" s="93"/>
      <c r="DQ164" s="681">
        <f>SUM(IF($R$1=DQ161,$R$4,0),IF($L$1=DQ161,$L$4,0),IF($O$1=DQ161,$O$4,0))</f>
        <v>0</v>
      </c>
      <c r="DR164" s="682"/>
      <c r="DS164" s="170"/>
      <c r="DT164"/>
      <c r="DU164" s="51"/>
      <c r="DV164" s="70"/>
      <c r="DW164" s="51"/>
      <c r="DX164" s="51"/>
      <c r="DY164" s="51"/>
      <c r="GD164" s="22"/>
      <c r="GE164" s="83"/>
      <c r="GF164" s="679"/>
      <c r="GG164" s="680"/>
      <c r="GH164" s="83"/>
      <c r="GI164" s="83"/>
      <c r="GJ164" s="694"/>
      <c r="GK164" s="695"/>
      <c r="GL164" s="83"/>
      <c r="GM164" s="694"/>
      <c r="GN164" s="695"/>
      <c r="GO164" s="83"/>
      <c r="GP164" s="694"/>
      <c r="GQ164" s="695"/>
      <c r="GR164" s="83"/>
      <c r="GS164" s="694"/>
      <c r="GT164" s="695"/>
      <c r="GU164" s="83"/>
      <c r="GV164" s="679"/>
      <c r="GW164" s="680"/>
      <c r="GX164" s="83"/>
      <c r="GY164" s="694"/>
      <c r="GZ164" s="695"/>
      <c r="HA164" s="83"/>
      <c r="HB164" s="694"/>
      <c r="HC164" s="695"/>
      <c r="HE164" s="20"/>
      <c r="HF164" s="20"/>
      <c r="HG164" s="72"/>
      <c r="HH164" s="72"/>
    </row>
    <row r="165" spans="1:218" ht="13.5" thickBot="1" x14ac:dyDescent="0.25">
      <c r="A165" s="681"/>
      <c r="B165" s="682"/>
      <c r="C165" s="27" t="s">
        <v>168</v>
      </c>
      <c r="D165" s="83"/>
      <c r="E165" s="681"/>
      <c r="F165" s="682"/>
      <c r="G165" s="83"/>
      <c r="H165" s="681">
        <f>SUM(IF($C$1=H161,$AR$5:$AR$10,0),IF($F$1=H161,$AT$5:$AT$10,0),IF($I$1=H161,$AV$5:$AV$10,0),IF($L$1=H161,$AX$5:$AX$10,0),IF($O$1=H161,$AZ$5:$AZ$10,0),IF($R$1=H161,$BB$5:$BB$10,0))</f>
        <v>0</v>
      </c>
      <c r="I165" s="682"/>
      <c r="J165" s="83"/>
      <c r="K165" s="681">
        <f>SUM(IF($C$1=K161,$AR$5:$AR$10,0),IF($F$1=K161,$AT$5:$AT$10,0),IF($I$1=K161,$AV$5:$AV$10,0),IF($L$1=K161,$AX$5:$AX$10,0),IF($O$1=K161,$AZ$5:$AZ$10,0),IF($R$1=K161,$BB$5:$BB$10,0))</f>
        <v>0</v>
      </c>
      <c r="L165" s="682"/>
      <c r="M165" s="83"/>
      <c r="N165" s="681">
        <f>SUM(IF($C$1=N161,$AR$5:$AR$10,0),IF($F$1=N161,$AT$5:$AT$10,0),IF($I$1=N161,$AV$5:$AV$10,0),IF($L$1=N161,$AX$5:$AX$10,0),IF($O$1=N161,$AZ$5:$AZ$10,0),IF($R$1=N161,$BB$5:$BB$10,0))</f>
        <v>0</v>
      </c>
      <c r="O165" s="682"/>
      <c r="P165" s="83"/>
      <c r="Q165" s="681">
        <f>SUM(IF($C$1=Q161,$AR$5:$AR$10,0),IF($F$1=Q161,$AT$5:$AT$10,0),IF($I$1=Q161,$AV$5:$AV$10,0),IF($L$1=Q161,$AX$5:$AX$10,0),IF($O$1=Q161,$AZ$5:$AZ$10,0),IF($R$1=Q161,$BB$5:$BB$10,0))</f>
        <v>0</v>
      </c>
      <c r="R165" s="682"/>
      <c r="S165" s="83"/>
      <c r="T165" s="681">
        <f>SUM(IF($C$1=T161,$AR$5:$AR$10,0),IF($F$1=T161,$AT$5:$AT$10,0),IF($I$1=T161,$AV$5:$AV$10,0),IF($L$1=T161,$AX$5:$AX$10,0),IF($O$1=T161,$AZ$5:$AZ$10,0),IF($R$1=T161,$BB$5:$BB$10,0))</f>
        <v>0</v>
      </c>
      <c r="U165" s="682"/>
      <c r="V165" s="83"/>
      <c r="W165" s="681">
        <f>SUM(IF($C$1=W161,$AR$5:$AR$10,0),IF($F$1=W161,$AT$5:$AT$10,0),IF($I$1=W161,$AV$5:$AV$10,0),IF($L$1=W161,$AX$5:$AX$10,0),IF($O$1=W161,$AZ$5:$AZ$10,0),IF($R$1=W161,$BB$5:$BB$10,0))</f>
        <v>0</v>
      </c>
      <c r="X165" s="682"/>
      <c r="Y165" s="83"/>
      <c r="Z165" s="681">
        <f>SUM(IF($C$1=Z161,$AR$5:$AR$10,0),IF($F$1=Z161,$AT$5:$AT$10,0),IF($I$1=Z161,$AV$5:$AV$10,0),IF($L$1=Z161,$AX$5:$AX$10,0),IF($O$1=Z161,$AZ$5:$AZ$10,0),IF($R$1=Z161,$BB$5:$BB$10,0))</f>
        <v>0</v>
      </c>
      <c r="AA165" s="682"/>
      <c r="AB165" s="83"/>
      <c r="AC165" s="681">
        <f>SUM(IF($C$1=AC161,$AR$5:$AR$10,0),IF($F$1=AC161,$AT$5:$AT$10,0),IF($I$1=AC161,$AV$5:$AV$10,0),IF($L$1=AC161,$AX$5:$AX$10,0),IF($O$1=AC161,$AZ$5:$AZ$10,0),IF($R$1=AC161,$BB$5:$BB$10,0))</f>
        <v>0</v>
      </c>
      <c r="AD165" s="682"/>
      <c r="AE165" s="83"/>
      <c r="AF165" s="681">
        <f>SUM(IF($C$1=AF161,$AR$5:$AR$10,0),IF($F$1=AF161,$AT$5:$AT$10,0),IF($I$1=AF161,$AV$5:$AV$10,0),IF($L$1=AF161,$AX$5:$AX$10,0),IF($O$1=AF161,$AZ$5:$AZ$10,0),IF($R$1=AF161,$BB$5:$BB$10,0))</f>
        <v>0</v>
      </c>
      <c r="AG165" s="682"/>
      <c r="AH165" s="83"/>
      <c r="AI165" s="681"/>
      <c r="AJ165" s="682"/>
      <c r="AK165" s="681"/>
      <c r="AL165" s="682"/>
      <c r="AM165" s="697" t="s">
        <v>124</v>
      </c>
      <c r="AN165" s="697"/>
      <c r="AO165" s="697"/>
      <c r="AP165" s="697"/>
      <c r="AQ165" s="697"/>
      <c r="AR165" s="681"/>
      <c r="AS165" s="682"/>
      <c r="AT165" s="27" t="s">
        <v>168</v>
      </c>
      <c r="AU165" s="83"/>
      <c r="AV165" s="681"/>
      <c r="AW165" s="682"/>
      <c r="AX165" s="83"/>
      <c r="AY165" s="681">
        <f>SUM(IF($C$1=AY161,$AR$5:$AR$10,0),IF($F$1=AY161,$AT$5:$AT$10,0),IF($I$1=AY161,$AV$5:$AV$10,0))</f>
        <v>0</v>
      </c>
      <c r="AZ165" s="682"/>
      <c r="BA165" s="83"/>
      <c r="BB165" s="681">
        <f>SUM(IF($C$1=BB161,$AR$5:$AR$10,0),IF($F$1=BB161,$AT$5:$AT$10,0),IF($I$1=BB161,$AV$5:$AV$10,0))</f>
        <v>0</v>
      </c>
      <c r="BC165" s="682"/>
      <c r="BD165" s="83"/>
      <c r="BE165" s="681">
        <f>SUM(IF($C$1=BE161,$AR$5:$AR$10,0),IF($F$1=BE161,$AT$5:$AT$10,0),IF($I$1=BE161,$AV$5:$AV$10,0))</f>
        <v>0</v>
      </c>
      <c r="BF165" s="682"/>
      <c r="BG165" s="83"/>
      <c r="BH165" s="681">
        <f>SUM(IF($C$1=BH161,$AR$5:$AR$10,0),IF($F$1=BH161,$AT$5:$AT$10,0),IF($I$1=BH161,$AV$5:$AV$10,0))</f>
        <v>0</v>
      </c>
      <c r="BI165" s="682"/>
      <c r="BJ165" s="83"/>
      <c r="BK165" s="681">
        <f>SUM(IF($C$1=BK161,$AR$5:$AR$10,0),IF($F$1=BK161,$AT$5:$AT$10,0),IF($I$1=BK161,$AV$5:$AV$10,0))</f>
        <v>0</v>
      </c>
      <c r="BL165" s="682"/>
      <c r="BM165" s="83"/>
      <c r="BN165" s="681">
        <f>SUM(IF($C$1=BN161,$AR$5:$AR$10,0),IF($F$1=BN161,$AT$5:$AT$10,0),IF($I$1=BN161,$AV$5:$AV$10,0))</f>
        <v>0</v>
      </c>
      <c r="BO165" s="682"/>
      <c r="BP165" s="83"/>
      <c r="BQ165" s="681">
        <f>SUM(IF($C$1=BQ161,$AR$5:$AR$10,0),IF($F$1=BQ161,$AT$5:$AT$10,0),IF($I$1=BQ161,$AV$5:$AV$10,0))</f>
        <v>0</v>
      </c>
      <c r="BR165" s="682"/>
      <c r="BS165" s="83"/>
      <c r="BT165" s="681">
        <f>SUM(IF($C$1=BT161,$AR$5:$AR$10,0),IF($F$1=BT161,$AT$5:$AT$10,0),IF($I$1=BT161,$AV$5:$AV$10,0))</f>
        <v>0</v>
      </c>
      <c r="BU165" s="682"/>
      <c r="BV165" s="83"/>
      <c r="BW165" s="681">
        <f>SUM(IF($C$1=BW161,$AR$5:$AR$10,0),IF($F$1=BW161,$AT$5:$AT$10,0),IF($I$1=BW161,$AV$5:$AV$10,0))</f>
        <v>0</v>
      </c>
      <c r="BX165" s="682"/>
      <c r="BY165" s="83"/>
      <c r="BZ165" s="681"/>
      <c r="CA165" s="682"/>
      <c r="CB165" s="681"/>
      <c r="CC165" s="682"/>
      <c r="CD165" s="697" t="s">
        <v>124</v>
      </c>
      <c r="CE165" s="697"/>
      <c r="CF165" s="697"/>
      <c r="CG165" s="697"/>
      <c r="CH165" s="697"/>
      <c r="CI165" s="681"/>
      <c r="CJ165" s="682"/>
      <c r="CK165" s="27" t="s">
        <v>168</v>
      </c>
      <c r="CL165" s="83"/>
      <c r="CM165" s="681"/>
      <c r="CN165" s="682"/>
      <c r="CO165" s="83"/>
      <c r="CP165" s="681">
        <f>SUM(IF($O$1=CP161,$AZ$5:$AZ$10,0),IF($L$1=CP161,$AX$5:$AX$10,0),IF($R$1=CP161,$BB$5:$BB$10,0))</f>
        <v>0</v>
      </c>
      <c r="CQ165" s="682"/>
      <c r="CR165" s="83"/>
      <c r="CS165" s="681">
        <f>SUM(IF($O$1=CS161,$AZ$5:$AZ$10,0),IF($L$1=CS161,$AX$5:$AX$10,0),IF($R$1=CS161,$BB$5:$BB$10,0))</f>
        <v>0</v>
      </c>
      <c r="CT165" s="682"/>
      <c r="CU165" s="83"/>
      <c r="CV165" s="681">
        <f>SUM(IF($O$1=CV161,$AZ$5:$AZ$10,0),IF($L$1=CV161,$AX$5:$AX$10,0),IF($R$1=CV161,$BB$5:$BB$10,0))</f>
        <v>0</v>
      </c>
      <c r="CW165" s="682"/>
      <c r="CX165" s="83"/>
      <c r="CY165" s="681">
        <f>SUM(IF($O$1=CY161,$AZ$5:$AZ$10,0),IF($L$1=CY161,$AX$5:$AX$10,0),IF($R$1=CY161,$BB$5:$BB$10,0))</f>
        <v>0</v>
      </c>
      <c r="CZ165" s="682"/>
      <c r="DA165" s="83"/>
      <c r="DB165" s="681">
        <f>SUM(IF($O$1=DB161,$AZ$5:$AZ$10,0),IF($L$1=DB161,$AX$5:$AX$10,0),IF($R$1=DB161,$BB$5:$BB$10,0))</f>
        <v>0</v>
      </c>
      <c r="DC165" s="682"/>
      <c r="DD165" s="83"/>
      <c r="DE165" s="681">
        <f>SUM(IF($O$1=DE161,$AZ$5:$AZ$10,0),IF($L$1=DE161,$AX$5:$AX$10,0),IF($R$1=DE161,$BB$5:$BB$10,0))</f>
        <v>0</v>
      </c>
      <c r="DF165" s="682"/>
      <c r="DG165" s="83"/>
      <c r="DH165" s="681">
        <f>SUM(IF($O$1=DH161,$AZ$5:$AZ$10,0),IF($L$1=DH161,$AX$5:$AX$10,0),IF($R$1=DH161,$BB$5:$BB$10,0))</f>
        <v>0</v>
      </c>
      <c r="DI165" s="682"/>
      <c r="DJ165" s="83"/>
      <c r="DK165" s="681">
        <f>SUM(IF($O$1=DK161,$AZ$5:$AZ$10,0),IF($L$1=DK161,$AX$5:$AX$10,0),IF($R$1=DK161,$BB$5:$BB$10,0))</f>
        <v>0</v>
      </c>
      <c r="DL165" s="682"/>
      <c r="DM165" s="83"/>
      <c r="DN165" s="681">
        <f>SUM(IF($O$1=DN161,$AZ$5:$AZ$10,0),IF($L$1=DN161,$AX$5:$AX$10,0),IF($R$1=DN161,$BB$5:$BB$10,0))</f>
        <v>0</v>
      </c>
      <c r="DO165" s="682"/>
      <c r="DP165" s="83"/>
      <c r="DQ165" s="681"/>
      <c r="DR165" s="682"/>
      <c r="DS165" s="681"/>
      <c r="DT165" s="682"/>
      <c r="DU165" s="717" t="s">
        <v>124</v>
      </c>
      <c r="DV165" s="697"/>
      <c r="DW165" s="697"/>
      <c r="DX165" s="697"/>
      <c r="DY165" s="697"/>
      <c r="GD165" s="22"/>
      <c r="GE165" s="83"/>
      <c r="GF165" s="679"/>
      <c r="GG165" s="680"/>
      <c r="GH165" s="83"/>
      <c r="GI165" s="83"/>
      <c r="GJ165" s="694"/>
      <c r="GK165" s="695"/>
      <c r="GL165" s="83"/>
      <c r="GM165" s="694"/>
      <c r="GN165" s="695"/>
      <c r="GO165" s="83"/>
      <c r="GP165" s="694"/>
      <c r="GQ165" s="695"/>
      <c r="GR165" s="83"/>
      <c r="GS165" s="694"/>
      <c r="GT165" s="695"/>
      <c r="GU165" s="83"/>
      <c r="GV165" s="679"/>
      <c r="GW165" s="680"/>
      <c r="GX165" s="83"/>
      <c r="GY165" s="694"/>
      <c r="GZ165" s="695"/>
      <c r="HA165" s="83"/>
      <c r="HB165" s="694"/>
      <c r="HC165" s="695"/>
      <c r="HE165" s="696"/>
      <c r="HF165" s="696"/>
      <c r="HG165" s="696"/>
      <c r="HH165" s="696"/>
      <c r="HI165" s="384"/>
      <c r="HJ165" s="384"/>
    </row>
    <row r="166" spans="1:218" ht="13.5" thickBot="1" x14ac:dyDescent="0.25">
      <c r="A166" s="51"/>
      <c r="B166"/>
      <c r="C166" s="195" t="s">
        <v>169</v>
      </c>
      <c r="D166" s="196"/>
      <c r="E166" s="197"/>
      <c r="F166" s="198">
        <f>E164*0.005</f>
        <v>0</v>
      </c>
      <c r="G166" s="196"/>
      <c r="H166" s="197"/>
      <c r="I166" s="198">
        <f>IF(H165&gt;12,((H165-12)*0.5)+12,H165)</f>
        <v>0</v>
      </c>
      <c r="J166" s="196"/>
      <c r="K166" s="197"/>
      <c r="L166" s="198">
        <f>IF(K165&gt;20,((K165-20)*0.7)+20,K165)</f>
        <v>0</v>
      </c>
      <c r="M166" s="196"/>
      <c r="N166" s="197"/>
      <c r="O166" s="198">
        <f>IF(N165&gt;50,((N165-50)*0.2)+(50*0.4),N165*0.4)</f>
        <v>0</v>
      </c>
      <c r="P166" s="196"/>
      <c r="Q166" s="197">
        <v>1</v>
      </c>
      <c r="R166" s="198">
        <f>Q166*Q165</f>
        <v>0</v>
      </c>
      <c r="S166" s="196"/>
      <c r="T166" s="197">
        <v>1</v>
      </c>
      <c r="U166" s="198">
        <f>T166*T165</f>
        <v>0</v>
      </c>
      <c r="V166" s="196"/>
      <c r="W166" s="197">
        <v>1</v>
      </c>
      <c r="X166" s="198">
        <f>W166*W165</f>
        <v>0</v>
      </c>
      <c r="Y166" s="196"/>
      <c r="Z166" s="197">
        <v>1</v>
      </c>
      <c r="AA166" s="198">
        <f>Z166*Z165</f>
        <v>0</v>
      </c>
      <c r="AB166" s="196"/>
      <c r="AC166" s="197">
        <v>1</v>
      </c>
      <c r="AD166" s="198">
        <f>AC166*AC165</f>
        <v>0</v>
      </c>
      <c r="AE166" s="196"/>
      <c r="AF166" s="197">
        <v>1</v>
      </c>
      <c r="AG166" s="198">
        <f>AF166*AF165</f>
        <v>0</v>
      </c>
      <c r="AH166" s="196"/>
      <c r="AI166" s="197"/>
      <c r="AJ166" s="198">
        <f>AI164*0.005</f>
        <v>0</v>
      </c>
      <c r="AK166" s="192"/>
      <c r="AM166" s="696" t="s">
        <v>104</v>
      </c>
      <c r="AN166" s="696"/>
      <c r="AO166" s="696"/>
      <c r="AP166" s="696"/>
      <c r="AQ166" s="696"/>
      <c r="AR166" s="51"/>
      <c r="AT166" s="195" t="s">
        <v>169</v>
      </c>
      <c r="AU166" s="196"/>
      <c r="AV166" s="197"/>
      <c r="AW166" s="198">
        <f>AV164*0.005</f>
        <v>0</v>
      </c>
      <c r="AX166" s="196"/>
      <c r="AY166" s="197"/>
      <c r="AZ166" s="198">
        <f>IF(AY165&gt;12,((AY165-12)*0.5)+12,AY165)</f>
        <v>0</v>
      </c>
      <c r="BA166" s="196"/>
      <c r="BB166" s="197"/>
      <c r="BC166" s="198">
        <f>IF(BB165&gt;20,((BB165-20)*0.7)+20,BB165)</f>
        <v>0</v>
      </c>
      <c r="BD166" s="196"/>
      <c r="BE166" s="197"/>
      <c r="BF166" s="198">
        <f>IF(BE165&gt;50,((BE165-50)*0.2)+(50*0.4),BE165*0.4)</f>
        <v>0</v>
      </c>
      <c r="BG166" s="196"/>
      <c r="BH166" s="197">
        <v>1</v>
      </c>
      <c r="BI166" s="198">
        <f>BH166*BH165</f>
        <v>0</v>
      </c>
      <c r="BJ166" s="196"/>
      <c r="BK166" s="197">
        <v>1</v>
      </c>
      <c r="BL166" s="198">
        <f>BK166*BK165</f>
        <v>0</v>
      </c>
      <c r="BM166" s="196"/>
      <c r="BN166" s="197">
        <v>1</v>
      </c>
      <c r="BO166" s="198">
        <f>BN166*BN165</f>
        <v>0</v>
      </c>
      <c r="BP166" s="196"/>
      <c r="BQ166" s="197">
        <v>1</v>
      </c>
      <c r="BR166" s="198">
        <f>BQ166*BQ165</f>
        <v>0</v>
      </c>
      <c r="BS166" s="196"/>
      <c r="BT166" s="197">
        <v>1</v>
      </c>
      <c r="BU166" s="198">
        <f>BT166*BT165</f>
        <v>0</v>
      </c>
      <c r="BV166" s="196"/>
      <c r="BW166" s="197">
        <v>1</v>
      </c>
      <c r="BX166" s="198">
        <f>BW166*BW165</f>
        <v>0</v>
      </c>
      <c r="BY166" s="196"/>
      <c r="BZ166" s="197"/>
      <c r="CA166" s="198">
        <f>BZ164*0.005</f>
        <v>0</v>
      </c>
      <c r="CB166" s="192"/>
      <c r="CC166"/>
      <c r="CD166" s="696" t="s">
        <v>104</v>
      </c>
      <c r="CE166" s="696"/>
      <c r="CF166" s="696"/>
      <c r="CG166" s="696"/>
      <c r="CH166" s="696"/>
      <c r="CI166" s="51"/>
      <c r="CK166" s="195" t="s">
        <v>169</v>
      </c>
      <c r="CL166" s="196"/>
      <c r="CM166" s="197"/>
      <c r="CN166" s="198">
        <f>CM164*0.005</f>
        <v>0</v>
      </c>
      <c r="CO166" s="196"/>
      <c r="CP166" s="197"/>
      <c r="CQ166" s="198">
        <f>IF(CP165&gt;12,((CP165-12)*0.5)+12,CP165)</f>
        <v>0</v>
      </c>
      <c r="CR166" s="196"/>
      <c r="CS166" s="197"/>
      <c r="CT166" s="198">
        <f>IF(CS165&gt;20,((CS165-20)*0.7)+20,CS165)</f>
        <v>0</v>
      </c>
      <c r="CU166" s="196"/>
      <c r="CV166" s="197"/>
      <c r="CW166" s="198">
        <f>IF(CV165&gt;50,((CV165-50)*0.2)+(50*0.4),CV165*0.4)</f>
        <v>0</v>
      </c>
      <c r="CX166" s="196"/>
      <c r="CY166" s="197">
        <v>1</v>
      </c>
      <c r="CZ166" s="198">
        <f>CY166*CY165</f>
        <v>0</v>
      </c>
      <c r="DA166" s="196"/>
      <c r="DB166" s="197">
        <v>1</v>
      </c>
      <c r="DC166" s="198">
        <f>DB166*DB165</f>
        <v>0</v>
      </c>
      <c r="DD166" s="196"/>
      <c r="DE166" s="197">
        <v>1</v>
      </c>
      <c r="DF166" s="198">
        <f>DE166*DE165</f>
        <v>0</v>
      </c>
      <c r="DG166" s="196"/>
      <c r="DH166" s="197">
        <v>1</v>
      </c>
      <c r="DI166" s="198">
        <f>DH166*DH165</f>
        <v>0</v>
      </c>
      <c r="DJ166" s="196"/>
      <c r="DK166" s="197">
        <v>1</v>
      </c>
      <c r="DL166" s="198">
        <f>DK166*DK165</f>
        <v>0</v>
      </c>
      <c r="DM166" s="196"/>
      <c r="DN166" s="197">
        <v>1</v>
      </c>
      <c r="DO166" s="198">
        <f>DN166*DN165</f>
        <v>0</v>
      </c>
      <c r="DP166" s="196"/>
      <c r="DQ166" s="197"/>
      <c r="DR166" s="198">
        <f>DQ164*0.005</f>
        <v>0</v>
      </c>
      <c r="DS166" s="192"/>
      <c r="DT166"/>
      <c r="DU166" s="696" t="s">
        <v>104</v>
      </c>
      <c r="DV166" s="696"/>
      <c r="DW166" s="696"/>
      <c r="DX166" s="696"/>
      <c r="DY166" s="696"/>
      <c r="GD166" s="22"/>
      <c r="GE166" s="83"/>
      <c r="GF166" s="679"/>
      <c r="GG166" s="680"/>
      <c r="GH166" s="83"/>
      <c r="GI166" s="83"/>
      <c r="GJ166" s="694"/>
      <c r="GK166" s="695"/>
      <c r="GL166" s="83"/>
      <c r="GM166" s="694"/>
      <c r="GN166" s="695"/>
      <c r="GO166" s="83"/>
      <c r="GP166" s="694"/>
      <c r="GQ166" s="695"/>
      <c r="GR166" s="83"/>
      <c r="GS166" s="694"/>
      <c r="GT166" s="695"/>
      <c r="GU166" s="83"/>
      <c r="GV166" s="679"/>
      <c r="GW166" s="680"/>
      <c r="GX166" s="83"/>
      <c r="GY166" s="694"/>
      <c r="GZ166" s="695"/>
      <c r="HA166" s="83"/>
      <c r="HB166" s="694"/>
      <c r="HC166" s="695"/>
      <c r="HI166" s="22"/>
      <c r="HJ166" s="384"/>
    </row>
    <row r="167" spans="1:218" ht="13.5" thickBot="1" x14ac:dyDescent="0.25">
      <c r="A167" s="51"/>
      <c r="B167"/>
      <c r="C167" s="21"/>
      <c r="D167" s="85"/>
      <c r="E167" s="200"/>
      <c r="F167" s="201" t="s">
        <v>41</v>
      </c>
      <c r="G167" s="90" t="s">
        <v>171</v>
      </c>
      <c r="H167" s="57" t="s">
        <v>38</v>
      </c>
      <c r="I167" s="58" t="s">
        <v>41</v>
      </c>
      <c r="J167" s="85"/>
      <c r="K167" s="55" t="s">
        <v>38</v>
      </c>
      <c r="L167" s="59" t="s">
        <v>41</v>
      </c>
      <c r="M167" s="85"/>
      <c r="N167" s="55" t="s">
        <v>38</v>
      </c>
      <c r="O167" s="59" t="s">
        <v>41</v>
      </c>
      <c r="P167" s="85"/>
      <c r="Q167" s="55" t="s">
        <v>38</v>
      </c>
      <c r="R167" s="59" t="s">
        <v>41</v>
      </c>
      <c r="S167" s="85"/>
      <c r="T167" s="55" t="s">
        <v>38</v>
      </c>
      <c r="U167" s="59" t="s">
        <v>41</v>
      </c>
      <c r="V167" s="85"/>
      <c r="W167" s="55" t="s">
        <v>38</v>
      </c>
      <c r="X167" s="59" t="s">
        <v>41</v>
      </c>
      <c r="Y167" s="85"/>
      <c r="Z167" s="55" t="s">
        <v>38</v>
      </c>
      <c r="AA167" s="59" t="s">
        <v>41</v>
      </c>
      <c r="AB167" s="85"/>
      <c r="AC167" s="200" t="s">
        <v>38</v>
      </c>
      <c r="AD167" s="201" t="s">
        <v>41</v>
      </c>
      <c r="AE167" s="85" t="s">
        <v>171</v>
      </c>
      <c r="AF167" s="55" t="s">
        <v>38</v>
      </c>
      <c r="AG167" s="59" t="s">
        <v>41</v>
      </c>
      <c r="AH167" s="90"/>
      <c r="AI167" s="60" t="s">
        <v>38</v>
      </c>
      <c r="AJ167" s="58" t="s">
        <v>41</v>
      </c>
      <c r="AK167" s="35"/>
      <c r="AM167" s="20" t="s">
        <v>105</v>
      </c>
      <c r="AN167" s="20" t="s">
        <v>171</v>
      </c>
      <c r="AO167" s="20"/>
      <c r="AP167" s="72"/>
      <c r="AQ167" s="72"/>
      <c r="AR167" s="51"/>
      <c r="AT167" s="21"/>
      <c r="AU167" s="85"/>
      <c r="AV167" s="200"/>
      <c r="AW167" s="201" t="s">
        <v>41</v>
      </c>
      <c r="AX167" s="90" t="s">
        <v>171</v>
      </c>
      <c r="AY167" s="57" t="s">
        <v>38</v>
      </c>
      <c r="AZ167" s="58" t="s">
        <v>41</v>
      </c>
      <c r="BA167" s="85"/>
      <c r="BB167" s="55" t="s">
        <v>38</v>
      </c>
      <c r="BC167" s="59" t="s">
        <v>41</v>
      </c>
      <c r="BD167" s="85"/>
      <c r="BE167" s="55" t="s">
        <v>38</v>
      </c>
      <c r="BF167" s="59" t="s">
        <v>41</v>
      </c>
      <c r="BG167" s="85"/>
      <c r="BH167" s="55" t="s">
        <v>38</v>
      </c>
      <c r="BI167" s="59" t="s">
        <v>41</v>
      </c>
      <c r="BJ167" s="85"/>
      <c r="BK167" s="55" t="s">
        <v>38</v>
      </c>
      <c r="BL167" s="59" t="s">
        <v>41</v>
      </c>
      <c r="BM167" s="85"/>
      <c r="BN167" s="55" t="s">
        <v>38</v>
      </c>
      <c r="BO167" s="59" t="s">
        <v>41</v>
      </c>
      <c r="BP167" s="85"/>
      <c r="BQ167" s="55" t="s">
        <v>38</v>
      </c>
      <c r="BR167" s="59" t="s">
        <v>41</v>
      </c>
      <c r="BS167" s="85"/>
      <c r="BT167" s="200" t="s">
        <v>38</v>
      </c>
      <c r="BU167" s="201" t="s">
        <v>41</v>
      </c>
      <c r="BV167" s="85" t="s">
        <v>171</v>
      </c>
      <c r="BW167" s="55" t="s">
        <v>38</v>
      </c>
      <c r="BX167" s="59" t="s">
        <v>41</v>
      </c>
      <c r="BY167" s="90"/>
      <c r="BZ167" s="60" t="s">
        <v>38</v>
      </c>
      <c r="CA167" s="58" t="s">
        <v>41</v>
      </c>
      <c r="CB167" s="35"/>
      <c r="CC167"/>
      <c r="CD167" s="20" t="s">
        <v>105</v>
      </c>
      <c r="CE167" s="20" t="s">
        <v>171</v>
      </c>
      <c r="CF167" s="20"/>
      <c r="CG167" s="72"/>
      <c r="CH167" s="72"/>
      <c r="CI167" s="51"/>
      <c r="CK167" s="21"/>
      <c r="CL167" s="85"/>
      <c r="CM167" s="200"/>
      <c r="CN167" s="201" t="s">
        <v>41</v>
      </c>
      <c r="CO167" s="90" t="s">
        <v>171</v>
      </c>
      <c r="CP167" s="57" t="s">
        <v>38</v>
      </c>
      <c r="CQ167" s="58" t="s">
        <v>41</v>
      </c>
      <c r="CR167" s="85"/>
      <c r="CS167" s="55" t="s">
        <v>38</v>
      </c>
      <c r="CT167" s="59" t="s">
        <v>41</v>
      </c>
      <c r="CU167" s="85"/>
      <c r="CV167" s="55" t="s">
        <v>38</v>
      </c>
      <c r="CW167" s="59" t="s">
        <v>41</v>
      </c>
      <c r="CX167" s="85"/>
      <c r="CY167" s="55" t="s">
        <v>38</v>
      </c>
      <c r="CZ167" s="59" t="s">
        <v>41</v>
      </c>
      <c r="DA167" s="85"/>
      <c r="DB167" s="55" t="s">
        <v>38</v>
      </c>
      <c r="DC167" s="59" t="s">
        <v>41</v>
      </c>
      <c r="DD167" s="85"/>
      <c r="DE167" s="55" t="s">
        <v>38</v>
      </c>
      <c r="DF167" s="59" t="s">
        <v>41</v>
      </c>
      <c r="DG167" s="85"/>
      <c r="DH167" s="55" t="s">
        <v>38</v>
      </c>
      <c r="DI167" s="59" t="s">
        <v>41</v>
      </c>
      <c r="DJ167" s="85"/>
      <c r="DK167" s="200" t="s">
        <v>38</v>
      </c>
      <c r="DL167" s="201" t="s">
        <v>41</v>
      </c>
      <c r="DM167" s="85" t="s">
        <v>171</v>
      </c>
      <c r="DN167" s="55" t="s">
        <v>38</v>
      </c>
      <c r="DO167" s="59" t="s">
        <v>41</v>
      </c>
      <c r="DP167" s="90"/>
      <c r="DQ167" s="60" t="s">
        <v>38</v>
      </c>
      <c r="DR167" s="58" t="s">
        <v>41</v>
      </c>
      <c r="DS167" s="35"/>
      <c r="DT167"/>
      <c r="DU167" s="20" t="s">
        <v>105</v>
      </c>
      <c r="DV167" s="20" t="s">
        <v>171</v>
      </c>
      <c r="DW167" s="20"/>
      <c r="DX167" s="72"/>
      <c r="DY167" s="72"/>
      <c r="GD167" s="22"/>
      <c r="GE167" s="83"/>
      <c r="GF167" s="679"/>
      <c r="GG167" s="680"/>
      <c r="GH167" s="83"/>
      <c r="GI167" s="83"/>
      <c r="GJ167" s="694"/>
      <c r="GK167" s="695"/>
      <c r="GL167" s="83"/>
      <c r="GM167" s="694"/>
      <c r="GN167" s="695"/>
      <c r="GO167" s="83"/>
      <c r="GP167" s="694"/>
      <c r="GQ167" s="695"/>
      <c r="GR167" s="83"/>
      <c r="GS167" s="694"/>
      <c r="GT167" s="695"/>
      <c r="GU167" s="83"/>
      <c r="GV167" s="679"/>
      <c r="GW167" s="680"/>
      <c r="GX167" s="83"/>
      <c r="GY167" s="694"/>
      <c r="GZ167" s="695"/>
      <c r="HA167" s="83"/>
      <c r="HB167" s="694"/>
      <c r="HC167" s="695"/>
      <c r="HI167" s="22"/>
      <c r="HJ167" s="384"/>
    </row>
    <row r="168" spans="1:218" ht="13.5" thickBot="1" x14ac:dyDescent="0.25">
      <c r="A168" s="51"/>
      <c r="B168"/>
      <c r="C168" s="26" t="s">
        <v>42</v>
      </c>
      <c r="D168" s="83"/>
      <c r="E168" s="202">
        <f t="shared" ref="E168:E185" si="152">SUM(IF($C$1=$DX$1,C13,0),IF($F$1=$DX$1,F13,0),IF($I$1=$DX$1,I13,0),IF($L$1=$DX$1,L13,0),IF($O$1=$DX$1,O13,0),IF($R$1=$DX$1,R13,0))</f>
        <v>0</v>
      </c>
      <c r="F168" s="202">
        <f t="shared" ref="F168:F185" si="153">SUM(IF($C$1=$DX$1,D13,0),IF($F$1=$DX$1,G13,0),IF($I$1=$DX$1,J13,0),IF($L$1=$DX$1,M13,0),IF($O$1=$DX$1,P13,0),IF($R$1=$DX$1,S13,0))</f>
        <v>0</v>
      </c>
      <c r="G168" s="199">
        <f t="shared" ref="G168:G176" si="154">F168*AN168</f>
        <v>0</v>
      </c>
      <c r="H168" s="193"/>
      <c r="I168" s="199">
        <f>SUM(F168,R168)</f>
        <v>0</v>
      </c>
      <c r="J168" s="193"/>
      <c r="K168" s="193"/>
      <c r="L168" s="193"/>
      <c r="M168" s="193"/>
      <c r="N168" s="193"/>
      <c r="O168" s="193"/>
      <c r="P168" s="193"/>
      <c r="Q168" s="199">
        <f>SUM(IF(OR($C$1=$DX$1,$C$1=$EV$1),0,C13),IF(OR($F$1=$DX$1,$F$1=$EV$1),0,F13),IF(OR($I$1=$DX$1,$I$1=$EV$1),0,I13),IF(OR($L$1=$DX$1,$L$1=$EV$1),0,L13),IF(OR($O$1=$DX$1,$O$1=$EV$1),0,O13),IF(OR($R$1=$DX$1,$R$1=$EV$1),0,R13))</f>
        <v>0</v>
      </c>
      <c r="R168" s="199">
        <f>SUM(IF(OR($C$1=$DX$1,$C$1=$EV$1),0,D13),IF(OR($F$1=$DX$1,$F$1=$EV$1),0,G13),IF(OR($I$1=$DX$1,$I$1=$EV$1),0,J13),IF(OR($L$1=$DX$1,$L$1=$EV$1),0,M13),IF(OR($O$1=$DX$1,$O$1=$EV$1),0,P13),IF(OR($R$1=$DX$1,$R$1=$EV$1),0,S13))</f>
        <v>0</v>
      </c>
      <c r="S168" s="199">
        <f>R168*AN168</f>
        <v>0</v>
      </c>
      <c r="T168" s="193"/>
      <c r="U168" s="193"/>
      <c r="V168" s="193"/>
      <c r="W168" s="193"/>
      <c r="X168" s="193"/>
      <c r="Y168" s="193"/>
      <c r="Z168" s="193"/>
      <c r="AA168" s="193"/>
      <c r="AB168" s="193"/>
      <c r="AC168" s="202">
        <f>SUM(IF($C$1=$EV$1,$C$13,0),IF($F$1=$EV$1,$F13,0),IF($I$1=$EV$1,$I13,0),IF($L$1=$EV$1,$L13,0),IF($O$1=$EV$1,$O13,0),IF($R$1=$EV$1,$R13,0))</f>
        <v>0</v>
      </c>
      <c r="AD168" s="202">
        <f>SUM(IF($C$1=$EV$1,$D$13,0),IF($F$1=$EV$1,$G13,0),IF($I$1=$EV$1,$J13,0),IF($L$1=$EV$1,$M13,0),IF($O$1=$EV$1,$P13,0),IF($R$1=$EV$1,$S13,0))</f>
        <v>0</v>
      </c>
      <c r="AE168" s="199">
        <f>AD168</f>
        <v>0</v>
      </c>
      <c r="AF168" s="193"/>
      <c r="AG168" s="193"/>
      <c r="AH168" s="193"/>
      <c r="AI168" s="193"/>
      <c r="AJ168" s="193"/>
      <c r="AK168" s="35"/>
      <c r="AM168" s="51" t="s">
        <v>42</v>
      </c>
      <c r="AN168" s="51">
        <f>VLOOKUP(SUM(E168:E170,Q168:Q170),'tab aparelhos'!$B$4:$C$35,2)</f>
        <v>0</v>
      </c>
      <c r="AO168" s="51"/>
      <c r="AP168" s="51"/>
      <c r="AQ168" s="51"/>
      <c r="AR168" s="51"/>
      <c r="AT168" s="26" t="s">
        <v>42</v>
      </c>
      <c r="AU168" s="83"/>
      <c r="AV168" s="202">
        <f t="shared" ref="AV168:AV185" si="155">SUM(IF($C$1=$DX$1,C13,0),IF($I$1=$DX$1,I13,0),IF($F$1=$DX$1,F13,0))</f>
        <v>0</v>
      </c>
      <c r="AW168" s="202">
        <f t="shared" ref="AW168:AW185" si="156">SUM(IF($C$1=$DX$1,D13,0),IF($I$1=$DX$1,J13,0),IF($F$1=$DX$1,G13,0))</f>
        <v>0</v>
      </c>
      <c r="AX168" s="199">
        <f>AW168*CE168</f>
        <v>0</v>
      </c>
      <c r="AY168" s="193"/>
      <c r="AZ168" s="199">
        <f>SUM(AW168,BI168)</f>
        <v>0</v>
      </c>
      <c r="BA168" s="193"/>
      <c r="BB168" s="193"/>
      <c r="BC168" s="193"/>
      <c r="BD168" s="193"/>
      <c r="BE168" s="193"/>
      <c r="BF168" s="193"/>
      <c r="BG168" s="193"/>
      <c r="BH168" s="199">
        <f>SUM(IF(OR($C$1=$DX$1,$C$1=$EV$1),0,C13),IF(OR($I$1=$DX$1,$I$1=$EV$1),0,I13),IF(OR($F$1=$DX$1,$F$1=$EV$1),0,F13))</f>
        <v>0</v>
      </c>
      <c r="BI168" s="199">
        <f>SUM(IF(OR($C$1=$DX$1,$C$1=$EV$1),0,D13),IF(OR($I$1=$DX$1,$I$1=$EV$1),0,J13),IF(OR($F$1=$DX$1,$F$1=$EV$1),0,G13))</f>
        <v>0</v>
      </c>
      <c r="BJ168" s="199">
        <f>BI168*CE168</f>
        <v>0</v>
      </c>
      <c r="BK168" s="193"/>
      <c r="BL168" s="193"/>
      <c r="BM168" s="193"/>
      <c r="BN168" s="193"/>
      <c r="BO168" s="193"/>
      <c r="BP168" s="193"/>
      <c r="BQ168" s="193"/>
      <c r="BR168" s="193"/>
      <c r="BS168" s="193"/>
      <c r="BT168" s="202">
        <f>SUM(IF($C$1=$EV$1,$C$13,0),IF($F$1=$EV$1,$F13,0),IF($I$1=$EV$1,$I13,0))</f>
        <v>0</v>
      </c>
      <c r="BU168" s="202">
        <f>SUM(IF($C$1=$EV$1,$D$13,0),IF($F$1=$EV$1,$G13,0),IF($I$1=$EV$1,$J13,0))</f>
        <v>0</v>
      </c>
      <c r="BV168" s="199">
        <f>BU168</f>
        <v>0</v>
      </c>
      <c r="BW168" s="193"/>
      <c r="BX168" s="193"/>
      <c r="BY168" s="193"/>
      <c r="BZ168" s="193"/>
      <c r="CA168" s="193"/>
      <c r="CB168" s="35"/>
      <c r="CC168"/>
      <c r="CD168" s="51" t="s">
        <v>42</v>
      </c>
      <c r="CE168" s="51">
        <f>VLOOKUP(SUM(AV168:AV170,BH168:BH170),'tab aparelhos'!$B$4:$C$35,2)</f>
        <v>0</v>
      </c>
      <c r="CF168" s="51"/>
      <c r="CG168" s="51"/>
      <c r="CH168" s="51"/>
      <c r="CI168" s="51"/>
      <c r="CK168" s="26" t="s">
        <v>42</v>
      </c>
      <c r="CL168" s="83"/>
      <c r="CM168" s="202">
        <f t="shared" ref="CM168:CM185" si="157">SUM(IF($O$1=$DX$1,O13,0),IF($L$1=$DX$1,L13,0),IF($R$1=$DX$1,R13,0))</f>
        <v>0</v>
      </c>
      <c r="CN168" s="202">
        <f t="shared" ref="CN168:CN185" si="158">SUM(IF($O$1=$DX$1,P13,0),IF($L$1=$DX$1,M13,0),IF($R$1=$DX$1,S13,0))</f>
        <v>0</v>
      </c>
      <c r="CO168" s="199">
        <f t="shared" ref="CO168:CO183" si="159">CN168*DV168</f>
        <v>0</v>
      </c>
      <c r="CP168" s="193"/>
      <c r="CQ168" s="199">
        <f>SUM(CN168,CZ168)</f>
        <v>0</v>
      </c>
      <c r="CR168" s="193"/>
      <c r="CS168" s="193"/>
      <c r="CT168" s="193"/>
      <c r="CU168" s="193"/>
      <c r="CV168" s="193"/>
      <c r="CW168" s="193"/>
      <c r="CX168" s="193"/>
      <c r="CY168" s="199">
        <f t="shared" ref="CY168:CY185" si="160">SUM(IF(OR($O$1=$DX$1,$O$1=$EV$1),0,O13),IF(OR($L$1=$DX$1,$L$1=$EV$1),0,L13),IF(OR($R$1=$DX$1,$R$1=$EV$1),0,R13))</f>
        <v>0</v>
      </c>
      <c r="CZ168" s="199">
        <f t="shared" ref="CZ168:CZ185" si="161">SUM(IF(OR($O$1=$DX$1,$O$1=$EV$1),0,P13),IF(OR($L$1=$DX$1,$L$1=$EV$1),0,M13),IF(OR($R$1=$DX$1,$R$1=$EV$1),0,S13))</f>
        <v>0</v>
      </c>
      <c r="DA168" s="199">
        <f t="shared" ref="DA168:DA183" si="162">CZ168*DV168</f>
        <v>0</v>
      </c>
      <c r="DB168" s="193"/>
      <c r="DC168" s="193"/>
      <c r="DD168" s="193"/>
      <c r="DE168" s="193"/>
      <c r="DF168" s="193"/>
      <c r="DG168" s="193"/>
      <c r="DH168" s="193"/>
      <c r="DI168" s="193"/>
      <c r="DJ168" s="193"/>
      <c r="DK168" s="202">
        <f>SUM(IF($O$1=$EV$1,$O$13,0),IF($L$1=$EV$1,$L13,0),IF($R$1=$EV$1,$R13,0))</f>
        <v>0</v>
      </c>
      <c r="DL168" s="202">
        <f>SUM(IF($O$1=$EV$1,$P$13,0),IF($L$1=$EV$1,$M13,0),IF($R$1=$EV$1,$S13,0))</f>
        <v>0</v>
      </c>
      <c r="DM168" s="199">
        <f>DL168</f>
        <v>0</v>
      </c>
      <c r="DN168" s="193"/>
      <c r="DO168" s="193"/>
      <c r="DP168" s="193"/>
      <c r="DQ168" s="193"/>
      <c r="DR168" s="193"/>
      <c r="DS168" s="35"/>
      <c r="DT168"/>
      <c r="DU168" s="51" t="s">
        <v>42</v>
      </c>
      <c r="DV168" s="51">
        <f>VLOOKUP(SUM(CM168:CM170,CY168:CY170),'tab aparelhos'!$B$4:$C$35,2)</f>
        <v>0</v>
      </c>
      <c r="DW168" s="51"/>
      <c r="DX168" s="51"/>
      <c r="DY168" s="51"/>
      <c r="GD168" s="22"/>
      <c r="GE168" s="83"/>
      <c r="GF168" s="679"/>
      <c r="GG168" s="680"/>
      <c r="GH168" s="83"/>
      <c r="GI168" s="83"/>
      <c r="GJ168" s="694"/>
      <c r="GK168" s="695"/>
      <c r="GL168" s="83"/>
      <c r="GM168" s="694"/>
      <c r="GN168" s="695"/>
      <c r="GO168" s="83"/>
      <c r="GP168" s="694"/>
      <c r="GQ168" s="695"/>
      <c r="GR168" s="83"/>
      <c r="GS168" s="694"/>
      <c r="GT168" s="695"/>
      <c r="GU168" s="83"/>
      <c r="GV168" s="679"/>
      <c r="GW168" s="680"/>
      <c r="GX168" s="83"/>
      <c r="GY168" s="694"/>
      <c r="GZ168" s="695"/>
      <c r="HA168" s="83"/>
      <c r="HB168" s="694"/>
      <c r="HC168" s="695"/>
      <c r="HI168" s="22"/>
      <c r="HJ168" s="384"/>
    </row>
    <row r="169" spans="1:218" ht="13.5" thickBot="1" x14ac:dyDescent="0.25">
      <c r="A169" s="51"/>
      <c r="B169"/>
      <c r="C169" s="27" t="s">
        <v>43</v>
      </c>
      <c r="D169" s="83"/>
      <c r="E169" s="202">
        <f t="shared" si="152"/>
        <v>0</v>
      </c>
      <c r="F169" s="202">
        <f t="shared" si="153"/>
        <v>0</v>
      </c>
      <c r="G169" s="199">
        <f t="shared" si="154"/>
        <v>0</v>
      </c>
      <c r="H169" s="193"/>
      <c r="I169" s="199">
        <f t="shared" ref="I169:I185" si="163">SUM(F169,R169)</f>
        <v>0</v>
      </c>
      <c r="J169" s="193"/>
      <c r="K169" s="193"/>
      <c r="L169" s="193"/>
      <c r="M169" s="193"/>
      <c r="N169" s="193"/>
      <c r="O169" s="193"/>
      <c r="P169" s="193"/>
      <c r="Q169" s="199">
        <f t="shared" ref="Q169:Q185" si="164">SUM(IF($C$1=$DX$1,0,C14),IF($F$1=$DX$1,0,F14),IF($I$1=$DX$1,0,I14),IF($L$1=$DX$1,0,L14),IF($O$1=$DX$1,0,O14),IF($R$1=$DX$1,0,R14))</f>
        <v>0</v>
      </c>
      <c r="R169" s="199">
        <f t="shared" ref="R169:R185" si="165">SUM(IF($C$1=$DX$1,0,D14),IF($F$1=$DX$1,0,G14),IF($I$1=$DX$1,0,J14),IF($L$1=$DX$1,0,M14),IF($O$1=$DX$1,0,P14),IF($R$1=$DX$1,0,S14))</f>
        <v>0</v>
      </c>
      <c r="S169" s="199">
        <f t="shared" ref="S169:S185" si="166">R169*AN169</f>
        <v>0</v>
      </c>
      <c r="T169" s="193"/>
      <c r="U169" s="193"/>
      <c r="V169" s="193"/>
      <c r="W169" s="193"/>
      <c r="X169" s="193"/>
      <c r="Y169" s="193"/>
      <c r="Z169" s="193"/>
      <c r="AA169" s="193"/>
      <c r="AB169" s="193"/>
      <c r="AC169" s="199"/>
      <c r="AD169" s="199"/>
      <c r="AE169" s="199"/>
      <c r="AF169" s="193"/>
      <c r="AG169" s="193"/>
      <c r="AH169" s="193"/>
      <c r="AI169" s="193"/>
      <c r="AJ169" s="193"/>
      <c r="AK169" s="35"/>
      <c r="AM169" s="51" t="s">
        <v>43</v>
      </c>
      <c r="AN169" s="51">
        <f>VLOOKUP(SUM(E168:E170,Q168:Q170),'tab aparelhos'!$B$4:$C$35,2)</f>
        <v>0</v>
      </c>
      <c r="AO169" s="51"/>
      <c r="AP169" s="51"/>
      <c r="AQ169" s="51"/>
      <c r="AR169" s="51"/>
      <c r="AT169" s="27" t="s">
        <v>43</v>
      </c>
      <c r="AU169" s="83"/>
      <c r="AV169" s="202">
        <f t="shared" si="155"/>
        <v>0</v>
      </c>
      <c r="AW169" s="202">
        <f t="shared" si="156"/>
        <v>0</v>
      </c>
      <c r="AX169" s="199">
        <f t="shared" ref="AX169:AX185" si="167">AW169*CE169</f>
        <v>0</v>
      </c>
      <c r="AY169" s="193"/>
      <c r="AZ169" s="199">
        <f t="shared" ref="AZ169:AZ185" si="168">SUM(AW169,BI169)</f>
        <v>0</v>
      </c>
      <c r="BA169" s="193"/>
      <c r="BB169" s="193"/>
      <c r="BC169" s="193"/>
      <c r="BD169" s="193"/>
      <c r="BE169" s="193"/>
      <c r="BF169" s="193"/>
      <c r="BG169" s="193"/>
      <c r="BH169" s="199">
        <f t="shared" ref="BH169:BH185" si="169">SUM(IF(OR($C$1=$DX$1,$C$1=$EV$1),0,C14),IF(OR($I$1=$DX$1,$I$1=$EV$1),0,I14),IF(OR($F$1=$DX$1,$F$1=$EV$1),0,F14))</f>
        <v>0</v>
      </c>
      <c r="BI169" s="199">
        <f t="shared" ref="BI169:BI185" si="170">SUM(IF(OR($C$1=$DX$1,$C$1=$EV$1),0,D14),IF(OR($I$1=$DX$1,$I$1=$EV$1),0,J14),IF(OR($F$1=$DX$1,$F$1=$EV$1),0,G14))</f>
        <v>0</v>
      </c>
      <c r="BJ169" s="199">
        <f t="shared" ref="BJ169:BJ185" si="171">BI169*CE169</f>
        <v>0</v>
      </c>
      <c r="BK169" s="193"/>
      <c r="BL169" s="193"/>
      <c r="BM169" s="193"/>
      <c r="BN169" s="193"/>
      <c r="BO169" s="193"/>
      <c r="BP169" s="193"/>
      <c r="BQ169" s="193"/>
      <c r="BR169" s="193"/>
      <c r="BS169" s="193"/>
      <c r="BT169" s="199"/>
      <c r="BU169" s="199"/>
      <c r="BV169" s="199"/>
      <c r="BW169" s="193"/>
      <c r="BX169" s="193"/>
      <c r="BY169" s="193"/>
      <c r="BZ169" s="193"/>
      <c r="CA169" s="193"/>
      <c r="CB169" s="35"/>
      <c r="CC169"/>
      <c r="CD169" s="51" t="s">
        <v>43</v>
      </c>
      <c r="CE169" s="51">
        <f>VLOOKUP(SUM(AV168:AV170,BH168:BH170),'tab aparelhos'!$B$4:$C$35,2)</f>
        <v>0</v>
      </c>
      <c r="CF169" s="51"/>
      <c r="CG169" s="51"/>
      <c r="CH169" s="51"/>
      <c r="CI169" s="51"/>
      <c r="CK169" s="27" t="s">
        <v>43</v>
      </c>
      <c r="CL169" s="83"/>
      <c r="CM169" s="202">
        <f t="shared" si="157"/>
        <v>0</v>
      </c>
      <c r="CN169" s="202">
        <f t="shared" si="158"/>
        <v>0</v>
      </c>
      <c r="CO169" s="199">
        <f t="shared" si="159"/>
        <v>0</v>
      </c>
      <c r="CP169" s="193"/>
      <c r="CQ169" s="199">
        <f t="shared" ref="CQ169:CQ185" si="172">SUM(CN169,CZ169)</f>
        <v>0</v>
      </c>
      <c r="CR169" s="193"/>
      <c r="CS169" s="193"/>
      <c r="CT169" s="193"/>
      <c r="CU169" s="193"/>
      <c r="CV169" s="193"/>
      <c r="CW169" s="193"/>
      <c r="CX169" s="193"/>
      <c r="CY169" s="199">
        <f t="shared" si="160"/>
        <v>0</v>
      </c>
      <c r="CZ169" s="199">
        <f t="shared" si="161"/>
        <v>0</v>
      </c>
      <c r="DA169" s="199">
        <f t="shared" si="162"/>
        <v>0</v>
      </c>
      <c r="DB169" s="193"/>
      <c r="DC169" s="193"/>
      <c r="DD169" s="193"/>
      <c r="DE169" s="193"/>
      <c r="DF169" s="193"/>
      <c r="DG169" s="193"/>
      <c r="DH169" s="193"/>
      <c r="DI169" s="193"/>
      <c r="DJ169" s="193"/>
      <c r="DK169" s="199"/>
      <c r="DL169" s="199"/>
      <c r="DM169" s="199"/>
      <c r="DN169" s="193"/>
      <c r="DO169" s="193"/>
      <c r="DP169" s="193"/>
      <c r="DQ169" s="193"/>
      <c r="DR169" s="193"/>
      <c r="DS169" s="35"/>
      <c r="DT169"/>
      <c r="DU169" s="51" t="s">
        <v>43</v>
      </c>
      <c r="DV169" s="51">
        <f>VLOOKUP(SUM(CM168:CM170,CY168:CY170),'tab aparelhos'!$B$4:$C$35,2)</f>
        <v>0</v>
      </c>
      <c r="DW169" s="51"/>
      <c r="DX169" s="51"/>
      <c r="DY169" s="51"/>
      <c r="GD169" s="22"/>
      <c r="GE169" s="83"/>
      <c r="GF169" s="679"/>
      <c r="GG169" s="680"/>
      <c r="GH169" s="83"/>
      <c r="GI169" s="83"/>
      <c r="GJ169" s="694"/>
      <c r="GK169" s="695"/>
      <c r="GL169" s="83"/>
      <c r="GM169" s="694"/>
      <c r="GN169" s="695"/>
      <c r="GO169" s="83"/>
      <c r="GP169" s="694"/>
      <c r="GQ169" s="695"/>
      <c r="GR169" s="83"/>
      <c r="GS169" s="694"/>
      <c r="GT169" s="695"/>
      <c r="GU169" s="83"/>
      <c r="GV169" s="679"/>
      <c r="GW169" s="680"/>
      <c r="GX169" s="83"/>
      <c r="GY169" s="694"/>
      <c r="GZ169" s="695"/>
      <c r="HA169" s="83"/>
      <c r="HB169" s="694"/>
      <c r="HC169" s="695"/>
      <c r="HI169" s="22"/>
      <c r="HJ169" s="384"/>
    </row>
    <row r="170" spans="1:218" ht="13.5" thickBot="1" x14ac:dyDescent="0.25">
      <c r="A170" s="51"/>
      <c r="B170"/>
      <c r="C170" s="27" t="s">
        <v>44</v>
      </c>
      <c r="D170" s="83"/>
      <c r="E170" s="202">
        <f t="shared" si="152"/>
        <v>0</v>
      </c>
      <c r="F170" s="202">
        <f t="shared" si="153"/>
        <v>0</v>
      </c>
      <c r="G170" s="199">
        <f t="shared" si="154"/>
        <v>0</v>
      </c>
      <c r="H170" s="193"/>
      <c r="I170" s="199">
        <f t="shared" si="163"/>
        <v>0</v>
      </c>
      <c r="J170" s="193"/>
      <c r="K170" s="193"/>
      <c r="L170" s="193"/>
      <c r="M170" s="193"/>
      <c r="N170" s="193"/>
      <c r="O170" s="193"/>
      <c r="P170" s="193"/>
      <c r="Q170" s="199">
        <f t="shared" si="164"/>
        <v>0</v>
      </c>
      <c r="R170" s="199">
        <f t="shared" si="165"/>
        <v>0</v>
      </c>
      <c r="S170" s="199">
        <f t="shared" si="166"/>
        <v>0</v>
      </c>
      <c r="T170" s="193"/>
      <c r="U170" s="193"/>
      <c r="V170" s="193"/>
      <c r="W170" s="193"/>
      <c r="X170" s="193"/>
      <c r="Y170" s="193"/>
      <c r="Z170" s="193"/>
      <c r="AA170" s="193"/>
      <c r="AB170" s="193"/>
      <c r="AC170" s="199"/>
      <c r="AD170" s="199"/>
      <c r="AE170" s="199"/>
      <c r="AF170" s="193"/>
      <c r="AG170" s="193"/>
      <c r="AH170" s="193"/>
      <c r="AI170" s="193"/>
      <c r="AJ170" s="193"/>
      <c r="AK170" s="35"/>
      <c r="AM170" s="51" t="s">
        <v>44</v>
      </c>
      <c r="AN170" s="51">
        <f>VLOOKUP(SUM(E168:E170,Q168:Q170),'tab aparelhos'!$B$4:$C$35,2)</f>
        <v>0</v>
      </c>
      <c r="AO170" s="51"/>
      <c r="AP170" s="51"/>
      <c r="AQ170" s="51"/>
      <c r="AR170" s="51"/>
      <c r="AT170" s="27" t="s">
        <v>44</v>
      </c>
      <c r="AU170" s="83"/>
      <c r="AV170" s="202">
        <f t="shared" si="155"/>
        <v>0</v>
      </c>
      <c r="AW170" s="202">
        <f t="shared" si="156"/>
        <v>0</v>
      </c>
      <c r="AX170" s="199">
        <f t="shared" si="167"/>
        <v>0</v>
      </c>
      <c r="AY170" s="193"/>
      <c r="AZ170" s="199">
        <f t="shared" si="168"/>
        <v>0</v>
      </c>
      <c r="BA170" s="193"/>
      <c r="BB170" s="193"/>
      <c r="BC170" s="193"/>
      <c r="BD170" s="193"/>
      <c r="BE170" s="193"/>
      <c r="BF170" s="193"/>
      <c r="BG170" s="193"/>
      <c r="BH170" s="199">
        <f t="shared" si="169"/>
        <v>0</v>
      </c>
      <c r="BI170" s="199">
        <f t="shared" si="170"/>
        <v>0</v>
      </c>
      <c r="BJ170" s="199">
        <f t="shared" si="171"/>
        <v>0</v>
      </c>
      <c r="BK170" s="193"/>
      <c r="BL170" s="193"/>
      <c r="BM170" s="193"/>
      <c r="BN170" s="193"/>
      <c r="BO170" s="193"/>
      <c r="BP170" s="193"/>
      <c r="BQ170" s="193"/>
      <c r="BR170" s="193"/>
      <c r="BS170" s="193"/>
      <c r="BT170" s="199"/>
      <c r="BU170" s="199"/>
      <c r="BV170" s="199"/>
      <c r="BW170" s="193"/>
      <c r="BX170" s="193"/>
      <c r="BY170" s="193"/>
      <c r="BZ170" s="193"/>
      <c r="CA170" s="193"/>
      <c r="CB170" s="35"/>
      <c r="CC170"/>
      <c r="CD170" s="51" t="s">
        <v>44</v>
      </c>
      <c r="CE170" s="51">
        <f>VLOOKUP(SUM(AV168:AV170,BH168:BH170),'tab aparelhos'!$B$4:$C$35,2)</f>
        <v>0</v>
      </c>
      <c r="CF170" s="51"/>
      <c r="CG170" s="51"/>
      <c r="CH170" s="51"/>
      <c r="CI170" s="51"/>
      <c r="CK170" s="27" t="s">
        <v>44</v>
      </c>
      <c r="CL170" s="83"/>
      <c r="CM170" s="202">
        <f t="shared" si="157"/>
        <v>0</v>
      </c>
      <c r="CN170" s="202">
        <f t="shared" si="158"/>
        <v>0</v>
      </c>
      <c r="CO170" s="199">
        <f t="shared" si="159"/>
        <v>0</v>
      </c>
      <c r="CP170" s="193"/>
      <c r="CQ170" s="199">
        <f t="shared" si="172"/>
        <v>0</v>
      </c>
      <c r="CR170" s="193"/>
      <c r="CS170" s="193"/>
      <c r="CT170" s="193"/>
      <c r="CU170" s="193"/>
      <c r="CV170" s="193"/>
      <c r="CW170" s="193"/>
      <c r="CX170" s="193"/>
      <c r="CY170" s="199">
        <f t="shared" si="160"/>
        <v>0</v>
      </c>
      <c r="CZ170" s="199">
        <f t="shared" si="161"/>
        <v>0</v>
      </c>
      <c r="DA170" s="199">
        <f t="shared" si="162"/>
        <v>0</v>
      </c>
      <c r="DB170" s="193"/>
      <c r="DC170" s="193"/>
      <c r="DD170" s="193"/>
      <c r="DE170" s="193"/>
      <c r="DF170" s="193"/>
      <c r="DG170" s="193"/>
      <c r="DH170" s="193"/>
      <c r="DI170" s="193"/>
      <c r="DJ170" s="193"/>
      <c r="DK170" s="199"/>
      <c r="DL170" s="199"/>
      <c r="DM170" s="199"/>
      <c r="DN170" s="193"/>
      <c r="DO170" s="193"/>
      <c r="DP170" s="193"/>
      <c r="DQ170" s="193"/>
      <c r="DR170" s="193"/>
      <c r="DS170" s="35"/>
      <c r="DT170"/>
      <c r="DU170" s="51" t="s">
        <v>44</v>
      </c>
      <c r="DV170" s="51">
        <f>VLOOKUP(SUM(CM168:CM170,CY168:CY170),'tab aparelhos'!$B$4:$C$35,2)</f>
        <v>0</v>
      </c>
      <c r="DW170" s="51"/>
      <c r="DX170" s="51"/>
      <c r="DY170" s="51"/>
      <c r="GD170" s="22"/>
      <c r="GE170" s="83"/>
      <c r="GF170" s="679"/>
      <c r="GG170" s="680"/>
      <c r="GH170" s="83"/>
      <c r="GI170" s="83"/>
      <c r="GJ170" s="694"/>
      <c r="GK170" s="695"/>
      <c r="GL170" s="83"/>
      <c r="GM170" s="694"/>
      <c r="GN170" s="695"/>
      <c r="GO170" s="83"/>
      <c r="GP170" s="694"/>
      <c r="GQ170" s="695"/>
      <c r="GR170" s="83"/>
      <c r="GS170" s="694"/>
      <c r="GT170" s="695"/>
      <c r="GU170" s="83"/>
      <c r="GV170" s="679"/>
      <c r="GW170" s="680"/>
      <c r="GX170" s="83"/>
      <c r="GY170" s="694"/>
      <c r="GZ170" s="695"/>
      <c r="HA170" s="83"/>
      <c r="HB170" s="694"/>
      <c r="HC170" s="695"/>
      <c r="HI170" s="22"/>
      <c r="HJ170" s="384"/>
    </row>
    <row r="171" spans="1:218" ht="13.5" thickBot="1" x14ac:dyDescent="0.25">
      <c r="A171" s="51"/>
      <c r="B171"/>
      <c r="C171" s="27" t="s">
        <v>45</v>
      </c>
      <c r="D171" s="83"/>
      <c r="E171" s="202">
        <f t="shared" si="152"/>
        <v>0</v>
      </c>
      <c r="F171" s="202">
        <f t="shared" si="153"/>
        <v>0</v>
      </c>
      <c r="G171" s="199">
        <f t="shared" si="154"/>
        <v>0</v>
      </c>
      <c r="H171" s="193"/>
      <c r="I171" s="199">
        <f t="shared" si="163"/>
        <v>0</v>
      </c>
      <c r="J171" s="193"/>
      <c r="K171" s="193"/>
      <c r="L171" s="193"/>
      <c r="M171" s="193"/>
      <c r="N171" s="193"/>
      <c r="O171" s="193"/>
      <c r="P171" s="193"/>
      <c r="Q171" s="199">
        <f t="shared" si="164"/>
        <v>0</v>
      </c>
      <c r="R171" s="199">
        <f t="shared" si="165"/>
        <v>0</v>
      </c>
      <c r="S171" s="199">
        <f t="shared" si="166"/>
        <v>0</v>
      </c>
      <c r="T171" s="193"/>
      <c r="U171" s="193"/>
      <c r="V171" s="193"/>
      <c r="W171" s="193"/>
      <c r="X171" s="193"/>
      <c r="Y171" s="193"/>
      <c r="Z171" s="193"/>
      <c r="AA171" s="193"/>
      <c r="AB171" s="193"/>
      <c r="AC171" s="199"/>
      <c r="AD171" s="199"/>
      <c r="AE171" s="199"/>
      <c r="AF171" s="193"/>
      <c r="AG171" s="193"/>
      <c r="AH171" s="193"/>
      <c r="AI171" s="193"/>
      <c r="AJ171" s="193"/>
      <c r="AK171" s="35"/>
      <c r="AM171" s="51" t="s">
        <v>45</v>
      </c>
      <c r="AN171" s="51">
        <f>VLOOKUP(E171+E172+Q171+Q172,'tab aparelhos'!$E$4:$F$35,2)</f>
        <v>0</v>
      </c>
      <c r="AO171" s="51"/>
      <c r="AP171" s="51"/>
      <c r="AQ171" s="51"/>
      <c r="AR171" s="51"/>
      <c r="AT171" s="27" t="s">
        <v>45</v>
      </c>
      <c r="AU171" s="83"/>
      <c r="AV171" s="202">
        <f t="shared" si="155"/>
        <v>0</v>
      </c>
      <c r="AW171" s="202">
        <f t="shared" si="156"/>
        <v>0</v>
      </c>
      <c r="AX171" s="199">
        <f t="shared" si="167"/>
        <v>0</v>
      </c>
      <c r="AY171" s="193"/>
      <c r="AZ171" s="199">
        <f t="shared" si="168"/>
        <v>0</v>
      </c>
      <c r="BA171" s="193"/>
      <c r="BB171" s="193"/>
      <c r="BC171" s="193"/>
      <c r="BD171" s="193"/>
      <c r="BE171" s="193"/>
      <c r="BF171" s="193"/>
      <c r="BG171" s="193"/>
      <c r="BH171" s="199">
        <f t="shared" si="169"/>
        <v>0</v>
      </c>
      <c r="BI171" s="199">
        <f t="shared" si="170"/>
        <v>0</v>
      </c>
      <c r="BJ171" s="199">
        <f t="shared" si="171"/>
        <v>0</v>
      </c>
      <c r="BK171" s="193"/>
      <c r="BL171" s="193"/>
      <c r="BM171" s="193"/>
      <c r="BN171" s="193"/>
      <c r="BO171" s="193"/>
      <c r="BP171" s="193"/>
      <c r="BQ171" s="193"/>
      <c r="BR171" s="193"/>
      <c r="BS171" s="193"/>
      <c r="BT171" s="199"/>
      <c r="BU171" s="199"/>
      <c r="BV171" s="199"/>
      <c r="BW171" s="193"/>
      <c r="BX171" s="193"/>
      <c r="BY171" s="193"/>
      <c r="BZ171" s="193"/>
      <c r="CA171" s="193"/>
      <c r="CB171" s="35"/>
      <c r="CC171"/>
      <c r="CD171" s="51" t="s">
        <v>45</v>
      </c>
      <c r="CE171" s="51">
        <f>VLOOKUP(AV171+AV172+BH171+BH172,'tab aparelhos'!$E$4:$F$35,2)</f>
        <v>0</v>
      </c>
      <c r="CF171" s="51"/>
      <c r="CG171" s="51"/>
      <c r="CH171" s="51"/>
      <c r="CI171" s="51"/>
      <c r="CK171" s="27" t="s">
        <v>45</v>
      </c>
      <c r="CL171" s="83"/>
      <c r="CM171" s="202">
        <f t="shared" si="157"/>
        <v>0</v>
      </c>
      <c r="CN171" s="202">
        <f t="shared" si="158"/>
        <v>0</v>
      </c>
      <c r="CO171" s="199">
        <f t="shared" si="159"/>
        <v>0</v>
      </c>
      <c r="CP171" s="193"/>
      <c r="CQ171" s="199">
        <f t="shared" si="172"/>
        <v>0</v>
      </c>
      <c r="CR171" s="193"/>
      <c r="CS171" s="193"/>
      <c r="CT171" s="193"/>
      <c r="CU171" s="193"/>
      <c r="CV171" s="193"/>
      <c r="CW171" s="193"/>
      <c r="CX171" s="193"/>
      <c r="CY171" s="199">
        <f t="shared" si="160"/>
        <v>0</v>
      </c>
      <c r="CZ171" s="199">
        <f t="shared" si="161"/>
        <v>0</v>
      </c>
      <c r="DA171" s="199">
        <f t="shared" si="162"/>
        <v>0</v>
      </c>
      <c r="DB171" s="193"/>
      <c r="DC171" s="193"/>
      <c r="DD171" s="193"/>
      <c r="DE171" s="193"/>
      <c r="DF171" s="193"/>
      <c r="DG171" s="193"/>
      <c r="DH171" s="193"/>
      <c r="DI171" s="193"/>
      <c r="DJ171" s="193"/>
      <c r="DK171" s="199"/>
      <c r="DL171" s="199"/>
      <c r="DM171" s="199"/>
      <c r="DN171" s="193"/>
      <c r="DO171" s="193"/>
      <c r="DP171" s="193"/>
      <c r="DQ171" s="193"/>
      <c r="DR171" s="193"/>
      <c r="DS171" s="35"/>
      <c r="DT171"/>
      <c r="DU171" s="51" t="s">
        <v>45</v>
      </c>
      <c r="DV171" s="51">
        <f>VLOOKUP(CM171+CM172+CY171+CY172,'tab aparelhos'!$E$4:$F$35,2)</f>
        <v>0</v>
      </c>
      <c r="DW171" s="51"/>
      <c r="DX171" s="51"/>
      <c r="DY171" s="51"/>
      <c r="GD171" s="23"/>
      <c r="GE171" s="83"/>
      <c r="GF171" s="689"/>
      <c r="GG171" s="690"/>
      <c r="GH171" s="83"/>
      <c r="GI171" s="83"/>
      <c r="GJ171" s="691"/>
      <c r="GK171" s="692"/>
      <c r="GL171" s="83"/>
      <c r="GM171" s="691"/>
      <c r="GN171" s="692"/>
      <c r="GO171" s="83"/>
      <c r="GP171" s="691"/>
      <c r="GQ171" s="692"/>
      <c r="GR171" s="83"/>
      <c r="GS171" s="691"/>
      <c r="GT171" s="692"/>
      <c r="GU171" s="83"/>
      <c r="GV171" s="689"/>
      <c r="GW171" s="690"/>
      <c r="GX171" s="83"/>
      <c r="GY171" s="691"/>
      <c r="GZ171" s="692"/>
      <c r="HA171" s="83"/>
      <c r="HB171" s="691"/>
      <c r="HC171" s="692"/>
      <c r="HI171" s="22"/>
      <c r="HJ171" s="384"/>
    </row>
    <row r="172" spans="1:218" x14ac:dyDescent="0.2">
      <c r="A172" s="51"/>
      <c r="B172"/>
      <c r="C172" s="27" t="s">
        <v>46</v>
      </c>
      <c r="D172" s="83"/>
      <c r="E172" s="202">
        <f t="shared" si="152"/>
        <v>0</v>
      </c>
      <c r="F172" s="202">
        <f t="shared" si="153"/>
        <v>0</v>
      </c>
      <c r="G172" s="199">
        <f t="shared" si="154"/>
        <v>0</v>
      </c>
      <c r="H172" s="193"/>
      <c r="I172" s="199">
        <f t="shared" si="163"/>
        <v>0</v>
      </c>
      <c r="J172" s="193"/>
      <c r="K172" s="193"/>
      <c r="L172" s="193"/>
      <c r="M172" s="193"/>
      <c r="N172" s="193"/>
      <c r="O172" s="193"/>
      <c r="P172" s="193"/>
      <c r="Q172" s="199">
        <f t="shared" si="164"/>
        <v>0</v>
      </c>
      <c r="R172" s="199">
        <f t="shared" si="165"/>
        <v>0</v>
      </c>
      <c r="S172" s="199">
        <f t="shared" si="166"/>
        <v>0</v>
      </c>
      <c r="T172" s="193"/>
      <c r="U172" s="193"/>
      <c r="V172" s="193"/>
      <c r="W172" s="193"/>
      <c r="X172" s="193"/>
      <c r="Y172" s="193"/>
      <c r="Z172" s="193"/>
      <c r="AA172" s="193"/>
      <c r="AB172" s="193"/>
      <c r="AC172" s="199"/>
      <c r="AD172" s="199"/>
      <c r="AE172" s="199"/>
      <c r="AF172" s="193"/>
      <c r="AG172" s="193"/>
      <c r="AH172" s="193"/>
      <c r="AI172" s="193"/>
      <c r="AJ172" s="193"/>
      <c r="AK172" s="35"/>
      <c r="AM172" s="51" t="s">
        <v>46</v>
      </c>
      <c r="AN172" s="51">
        <f>VLOOKUP(E172+E171+Q171+Q172,'tab aparelhos'!$E$4:$F$35,2)</f>
        <v>0</v>
      </c>
      <c r="AO172" s="51"/>
      <c r="AP172" s="51"/>
      <c r="AQ172" s="51"/>
      <c r="AR172" s="51"/>
      <c r="AT172" s="27" t="s">
        <v>46</v>
      </c>
      <c r="AU172" s="83"/>
      <c r="AV172" s="202">
        <f t="shared" si="155"/>
        <v>0</v>
      </c>
      <c r="AW172" s="202">
        <f t="shared" si="156"/>
        <v>0</v>
      </c>
      <c r="AX172" s="199">
        <f t="shared" si="167"/>
        <v>0</v>
      </c>
      <c r="AY172" s="193"/>
      <c r="AZ172" s="199">
        <f t="shared" si="168"/>
        <v>0</v>
      </c>
      <c r="BA172" s="193"/>
      <c r="BB172" s="193"/>
      <c r="BC172" s="193"/>
      <c r="BD172" s="193"/>
      <c r="BE172" s="193"/>
      <c r="BF172" s="193"/>
      <c r="BG172" s="193"/>
      <c r="BH172" s="199">
        <f t="shared" si="169"/>
        <v>0</v>
      </c>
      <c r="BI172" s="199">
        <f t="shared" si="170"/>
        <v>0</v>
      </c>
      <c r="BJ172" s="199">
        <f t="shared" si="171"/>
        <v>0</v>
      </c>
      <c r="BK172" s="193"/>
      <c r="BL172" s="193"/>
      <c r="BM172" s="193"/>
      <c r="BN172" s="193"/>
      <c r="BO172" s="193"/>
      <c r="BP172" s="193"/>
      <c r="BQ172" s="193"/>
      <c r="BR172" s="193"/>
      <c r="BS172" s="193"/>
      <c r="BT172" s="199"/>
      <c r="BU172" s="199"/>
      <c r="BV172" s="199"/>
      <c r="BW172" s="193"/>
      <c r="BX172" s="193"/>
      <c r="BY172" s="193"/>
      <c r="BZ172" s="193"/>
      <c r="CA172" s="193"/>
      <c r="CB172" s="35"/>
      <c r="CC172"/>
      <c r="CD172" s="51" t="s">
        <v>46</v>
      </c>
      <c r="CE172" s="51">
        <f>VLOOKUP(AV172+AV171+BH171+BH172,'tab aparelhos'!$E$4:$F$35,2)</f>
        <v>0</v>
      </c>
      <c r="CF172" s="51"/>
      <c r="CG172" s="51"/>
      <c r="CH172" s="51"/>
      <c r="CI172" s="51"/>
      <c r="CK172" s="27" t="s">
        <v>46</v>
      </c>
      <c r="CL172" s="83"/>
      <c r="CM172" s="202">
        <f t="shared" si="157"/>
        <v>0</v>
      </c>
      <c r="CN172" s="202">
        <f t="shared" si="158"/>
        <v>0</v>
      </c>
      <c r="CO172" s="199">
        <f t="shared" si="159"/>
        <v>0</v>
      </c>
      <c r="CP172" s="193"/>
      <c r="CQ172" s="199">
        <f t="shared" si="172"/>
        <v>0</v>
      </c>
      <c r="CR172" s="193"/>
      <c r="CS172" s="193"/>
      <c r="CT172" s="193"/>
      <c r="CU172" s="193"/>
      <c r="CV172" s="193"/>
      <c r="CW172" s="193"/>
      <c r="CX172" s="193"/>
      <c r="CY172" s="199">
        <f t="shared" si="160"/>
        <v>0</v>
      </c>
      <c r="CZ172" s="199">
        <f t="shared" si="161"/>
        <v>0</v>
      </c>
      <c r="DA172" s="199">
        <f t="shared" si="162"/>
        <v>0</v>
      </c>
      <c r="DB172" s="193"/>
      <c r="DC172" s="193"/>
      <c r="DD172" s="193"/>
      <c r="DE172" s="193"/>
      <c r="DF172" s="193"/>
      <c r="DG172" s="193"/>
      <c r="DH172" s="193"/>
      <c r="DI172" s="193"/>
      <c r="DJ172" s="193"/>
      <c r="DK172" s="199"/>
      <c r="DL172" s="199"/>
      <c r="DM172" s="199"/>
      <c r="DN172" s="193"/>
      <c r="DO172" s="193"/>
      <c r="DP172" s="193"/>
      <c r="DQ172" s="193"/>
      <c r="DR172" s="193"/>
      <c r="DS172" s="35"/>
      <c r="DT172"/>
      <c r="DU172" s="51" t="s">
        <v>46</v>
      </c>
      <c r="DV172" s="51">
        <f>VLOOKUP(CM172+CM171+CY171+CY172,'tab aparelhos'!$E$4:$F$35,2)</f>
        <v>0</v>
      </c>
      <c r="DW172" s="51"/>
      <c r="DX172" s="51"/>
      <c r="DY172" s="51"/>
    </row>
    <row r="173" spans="1:218" x14ac:dyDescent="0.2">
      <c r="A173" s="51"/>
      <c r="B173"/>
      <c r="C173" s="27" t="s">
        <v>47</v>
      </c>
      <c r="D173" s="83"/>
      <c r="E173" s="202">
        <f t="shared" si="152"/>
        <v>0</v>
      </c>
      <c r="F173" s="202">
        <f t="shared" si="153"/>
        <v>0</v>
      </c>
      <c r="G173" s="199">
        <f t="shared" si="154"/>
        <v>0</v>
      </c>
      <c r="H173" s="193"/>
      <c r="I173" s="199">
        <f t="shared" si="163"/>
        <v>0</v>
      </c>
      <c r="J173" s="193"/>
      <c r="K173" s="193"/>
      <c r="L173" s="193"/>
      <c r="M173" s="193"/>
      <c r="N173" s="193"/>
      <c r="O173" s="193"/>
      <c r="P173" s="193"/>
      <c r="Q173" s="199">
        <f t="shared" si="164"/>
        <v>0</v>
      </c>
      <c r="R173" s="199">
        <f t="shared" si="165"/>
        <v>0</v>
      </c>
      <c r="S173" s="199">
        <f t="shared" si="166"/>
        <v>0</v>
      </c>
      <c r="T173" s="193"/>
      <c r="U173" s="193"/>
      <c r="V173" s="193"/>
      <c r="W173" s="193"/>
      <c r="X173" s="193"/>
      <c r="Y173" s="193"/>
      <c r="Z173" s="193"/>
      <c r="AA173" s="193"/>
      <c r="AB173" s="193"/>
      <c r="AC173" s="199"/>
      <c r="AD173" s="199"/>
      <c r="AE173" s="199"/>
      <c r="AF173" s="193"/>
      <c r="AG173" s="193"/>
      <c r="AH173" s="193"/>
      <c r="AI173" s="193"/>
      <c r="AJ173" s="193"/>
      <c r="AK173" s="35"/>
      <c r="AM173" s="51" t="s">
        <v>47</v>
      </c>
      <c r="AN173" s="51">
        <f>VLOOKUP(E173+Q173,'tab aparelhos'!$K$4:$L$35,2)</f>
        <v>0</v>
      </c>
      <c r="AO173" s="51"/>
      <c r="AP173" s="51"/>
      <c r="AQ173" s="51"/>
      <c r="AR173" s="51"/>
      <c r="AT173" s="27" t="s">
        <v>47</v>
      </c>
      <c r="AU173" s="83"/>
      <c r="AV173" s="202">
        <f t="shared" si="155"/>
        <v>0</v>
      </c>
      <c r="AW173" s="202">
        <f t="shared" si="156"/>
        <v>0</v>
      </c>
      <c r="AX173" s="199">
        <f t="shared" si="167"/>
        <v>0</v>
      </c>
      <c r="AY173" s="193"/>
      <c r="AZ173" s="199">
        <f t="shared" si="168"/>
        <v>0</v>
      </c>
      <c r="BA173" s="193"/>
      <c r="BB173" s="193"/>
      <c r="BC173" s="193"/>
      <c r="BD173" s="193"/>
      <c r="BE173" s="193"/>
      <c r="BF173" s="193"/>
      <c r="BG173" s="193"/>
      <c r="BH173" s="199">
        <f t="shared" si="169"/>
        <v>0</v>
      </c>
      <c r="BI173" s="199">
        <f t="shared" si="170"/>
        <v>0</v>
      </c>
      <c r="BJ173" s="199">
        <f t="shared" si="171"/>
        <v>0</v>
      </c>
      <c r="BK173" s="193"/>
      <c r="BL173" s="193"/>
      <c r="BM173" s="193"/>
      <c r="BN173" s="193"/>
      <c r="BO173" s="193"/>
      <c r="BP173" s="193"/>
      <c r="BQ173" s="193"/>
      <c r="BR173" s="193"/>
      <c r="BS173" s="193"/>
      <c r="BT173" s="199"/>
      <c r="BU173" s="199"/>
      <c r="BV173" s="199"/>
      <c r="BW173" s="193"/>
      <c r="BX173" s="193"/>
      <c r="BY173" s="193"/>
      <c r="BZ173" s="193"/>
      <c r="CA173" s="193"/>
      <c r="CB173" s="35"/>
      <c r="CC173"/>
      <c r="CD173" s="51" t="s">
        <v>47</v>
      </c>
      <c r="CE173" s="51">
        <f>VLOOKUP(AV173+BH173,'tab aparelhos'!$K$4:$L$35,2)</f>
        <v>0</v>
      </c>
      <c r="CF173" s="51"/>
      <c r="CG173" s="51"/>
      <c r="CH173" s="51"/>
      <c r="CI173" s="51"/>
      <c r="CK173" s="27" t="s">
        <v>47</v>
      </c>
      <c r="CL173" s="83"/>
      <c r="CM173" s="202">
        <f t="shared" si="157"/>
        <v>0</v>
      </c>
      <c r="CN173" s="202">
        <f t="shared" si="158"/>
        <v>0</v>
      </c>
      <c r="CO173" s="199">
        <f t="shared" si="159"/>
        <v>0</v>
      </c>
      <c r="CP173" s="193"/>
      <c r="CQ173" s="199">
        <f t="shared" si="172"/>
        <v>0</v>
      </c>
      <c r="CR173" s="193"/>
      <c r="CS173" s="193"/>
      <c r="CT173" s="193"/>
      <c r="CU173" s="193"/>
      <c r="CV173" s="193"/>
      <c r="CW173" s="193"/>
      <c r="CX173" s="193"/>
      <c r="CY173" s="199">
        <f t="shared" si="160"/>
        <v>0</v>
      </c>
      <c r="CZ173" s="199">
        <f t="shared" si="161"/>
        <v>0</v>
      </c>
      <c r="DA173" s="199">
        <f t="shared" si="162"/>
        <v>0</v>
      </c>
      <c r="DB173" s="193"/>
      <c r="DC173" s="193"/>
      <c r="DD173" s="193"/>
      <c r="DE173" s="193"/>
      <c r="DF173" s="193"/>
      <c r="DG173" s="193"/>
      <c r="DH173" s="193"/>
      <c r="DI173" s="193"/>
      <c r="DJ173" s="193"/>
      <c r="DK173" s="199"/>
      <c r="DL173" s="199"/>
      <c r="DM173" s="199"/>
      <c r="DN173" s="193"/>
      <c r="DO173" s="193"/>
      <c r="DP173" s="193"/>
      <c r="DQ173" s="193"/>
      <c r="DR173" s="193"/>
      <c r="DS173" s="35"/>
      <c r="DT173"/>
      <c r="DU173" s="51" t="s">
        <v>47</v>
      </c>
      <c r="DV173" s="51">
        <f>VLOOKUP(CM173+CY173,'tab aparelhos'!$K$4:$L$35,2)</f>
        <v>0</v>
      </c>
      <c r="DW173" s="51"/>
      <c r="DX173" s="51"/>
      <c r="DY173" s="51"/>
    </row>
    <row r="174" spans="1:218" x14ac:dyDescent="0.2">
      <c r="A174" s="51"/>
      <c r="B174"/>
      <c r="C174" s="27" t="s">
        <v>48</v>
      </c>
      <c r="D174" s="83"/>
      <c r="E174" s="202">
        <f t="shared" si="152"/>
        <v>0</v>
      </c>
      <c r="F174" s="202">
        <f t="shared" si="153"/>
        <v>0</v>
      </c>
      <c r="G174" s="199">
        <f t="shared" si="154"/>
        <v>0</v>
      </c>
      <c r="H174" s="193"/>
      <c r="I174" s="199">
        <f t="shared" si="163"/>
        <v>0</v>
      </c>
      <c r="J174" s="193"/>
      <c r="K174" s="193"/>
      <c r="L174" s="193"/>
      <c r="M174" s="193"/>
      <c r="N174" s="193"/>
      <c r="O174" s="193"/>
      <c r="P174" s="193"/>
      <c r="Q174" s="199">
        <f t="shared" si="164"/>
        <v>0</v>
      </c>
      <c r="R174" s="199">
        <f t="shared" si="165"/>
        <v>0</v>
      </c>
      <c r="S174" s="199">
        <f t="shared" si="166"/>
        <v>0</v>
      </c>
      <c r="T174" s="193"/>
      <c r="U174" s="193"/>
      <c r="V174" s="193"/>
      <c r="W174" s="193"/>
      <c r="X174" s="193"/>
      <c r="Y174" s="193"/>
      <c r="Z174" s="193"/>
      <c r="AA174" s="193"/>
      <c r="AB174" s="193"/>
      <c r="AC174" s="199"/>
      <c r="AD174" s="199"/>
      <c r="AE174" s="199"/>
      <c r="AF174" s="193"/>
      <c r="AG174" s="193"/>
      <c r="AH174" s="193"/>
      <c r="AI174" s="193"/>
      <c r="AJ174" s="193"/>
      <c r="AK174" s="35"/>
      <c r="AM174" s="51" t="s">
        <v>48</v>
      </c>
      <c r="AN174" s="51">
        <f>VLOOKUP(E113+E175+Q113+Q175,'tab aparelhos'!$N$4:$O$35,2)</f>
        <v>0</v>
      </c>
      <c r="AO174" s="51"/>
      <c r="AP174" s="51"/>
      <c r="AQ174" s="51"/>
      <c r="AR174" s="51"/>
      <c r="AT174" s="27" t="s">
        <v>48</v>
      </c>
      <c r="AU174" s="83"/>
      <c r="AV174" s="202">
        <f t="shared" si="155"/>
        <v>0</v>
      </c>
      <c r="AW174" s="202">
        <f t="shared" si="156"/>
        <v>0</v>
      </c>
      <c r="AX174" s="199">
        <f t="shared" si="167"/>
        <v>0</v>
      </c>
      <c r="AY174" s="193"/>
      <c r="AZ174" s="199">
        <f t="shared" si="168"/>
        <v>0</v>
      </c>
      <c r="BA174" s="193"/>
      <c r="BB174" s="193"/>
      <c r="BC174" s="193"/>
      <c r="BD174" s="193"/>
      <c r="BE174" s="193"/>
      <c r="BF174" s="193"/>
      <c r="BG174" s="193"/>
      <c r="BH174" s="199">
        <f t="shared" si="169"/>
        <v>0</v>
      </c>
      <c r="BI174" s="199">
        <f t="shared" si="170"/>
        <v>0</v>
      </c>
      <c r="BJ174" s="199">
        <f t="shared" si="171"/>
        <v>0</v>
      </c>
      <c r="BK174" s="193"/>
      <c r="BL174" s="193"/>
      <c r="BM174" s="193"/>
      <c r="BN174" s="193"/>
      <c r="BO174" s="193"/>
      <c r="BP174" s="193"/>
      <c r="BQ174" s="193"/>
      <c r="BR174" s="193"/>
      <c r="BS174" s="193"/>
      <c r="BT174" s="199"/>
      <c r="BU174" s="199"/>
      <c r="BV174" s="199"/>
      <c r="BW174" s="193"/>
      <c r="BX174" s="193"/>
      <c r="BY174" s="193"/>
      <c r="BZ174" s="193"/>
      <c r="CA174" s="193"/>
      <c r="CB174" s="35"/>
      <c r="CC174"/>
      <c r="CD174" s="51" t="s">
        <v>48</v>
      </c>
      <c r="CE174" s="51">
        <f>VLOOKUP(AV174+AV175+BH174+BH175,'tab aparelhos'!$N$4:$O$35,2)</f>
        <v>0</v>
      </c>
      <c r="CF174" s="51"/>
      <c r="CG174" s="51"/>
      <c r="CH174" s="51"/>
      <c r="CI174" s="51"/>
      <c r="CK174" s="27" t="s">
        <v>48</v>
      </c>
      <c r="CL174" s="83"/>
      <c r="CM174" s="202">
        <f t="shared" si="157"/>
        <v>0</v>
      </c>
      <c r="CN174" s="202">
        <f t="shared" si="158"/>
        <v>0</v>
      </c>
      <c r="CO174" s="199">
        <f t="shared" si="159"/>
        <v>0</v>
      </c>
      <c r="CP174" s="193"/>
      <c r="CQ174" s="199">
        <f t="shared" si="172"/>
        <v>0</v>
      </c>
      <c r="CR174" s="193"/>
      <c r="CS174" s="193"/>
      <c r="CT174" s="193"/>
      <c r="CU174" s="193"/>
      <c r="CV174" s="193"/>
      <c r="CW174" s="193"/>
      <c r="CX174" s="193"/>
      <c r="CY174" s="199">
        <f t="shared" si="160"/>
        <v>0</v>
      </c>
      <c r="CZ174" s="199">
        <f t="shared" si="161"/>
        <v>0</v>
      </c>
      <c r="DA174" s="199">
        <f t="shared" si="162"/>
        <v>0</v>
      </c>
      <c r="DB174" s="193"/>
      <c r="DC174" s="193"/>
      <c r="DD174" s="193"/>
      <c r="DE174" s="193"/>
      <c r="DF174" s="193"/>
      <c r="DG174" s="193"/>
      <c r="DH174" s="193"/>
      <c r="DI174" s="193"/>
      <c r="DJ174" s="193"/>
      <c r="DK174" s="199"/>
      <c r="DL174" s="199"/>
      <c r="DM174" s="199"/>
      <c r="DN174" s="193"/>
      <c r="DO174" s="193"/>
      <c r="DP174" s="193"/>
      <c r="DQ174" s="193"/>
      <c r="DR174" s="193"/>
      <c r="DS174" s="35"/>
      <c r="DT174"/>
      <c r="DU174" s="51" t="s">
        <v>48</v>
      </c>
      <c r="DV174" s="51">
        <f>VLOOKUP(CM174+CM175+CY174+CY175,'tab aparelhos'!$N$4:$O$35,2)</f>
        <v>0</v>
      </c>
      <c r="DW174" s="51"/>
      <c r="DX174" s="51"/>
      <c r="DY174" s="51"/>
    </row>
    <row r="175" spans="1:218" x14ac:dyDescent="0.2">
      <c r="A175" s="51"/>
      <c r="B175"/>
      <c r="C175" s="27" t="s">
        <v>49</v>
      </c>
      <c r="D175" s="83"/>
      <c r="E175" s="202">
        <f t="shared" si="152"/>
        <v>0</v>
      </c>
      <c r="F175" s="202">
        <f t="shared" si="153"/>
        <v>0</v>
      </c>
      <c r="G175" s="199">
        <f t="shared" si="154"/>
        <v>0</v>
      </c>
      <c r="H175" s="193"/>
      <c r="I175" s="199">
        <f t="shared" si="163"/>
        <v>0</v>
      </c>
      <c r="J175" s="193"/>
      <c r="K175" s="193"/>
      <c r="L175" s="193"/>
      <c r="M175" s="193"/>
      <c r="N175" s="193"/>
      <c r="O175" s="193"/>
      <c r="P175" s="193"/>
      <c r="Q175" s="199">
        <f t="shared" si="164"/>
        <v>0</v>
      </c>
      <c r="R175" s="199">
        <f t="shared" si="165"/>
        <v>0</v>
      </c>
      <c r="S175" s="199">
        <f t="shared" si="166"/>
        <v>0</v>
      </c>
      <c r="T175" s="193"/>
      <c r="U175" s="193"/>
      <c r="V175" s="193"/>
      <c r="W175" s="193"/>
      <c r="X175" s="193"/>
      <c r="Y175" s="193"/>
      <c r="Z175" s="193"/>
      <c r="AA175" s="193"/>
      <c r="AB175" s="193"/>
      <c r="AC175" s="199"/>
      <c r="AD175" s="199"/>
      <c r="AE175" s="199"/>
      <c r="AF175" s="193"/>
      <c r="AG175" s="193"/>
      <c r="AH175" s="193"/>
      <c r="AI175" s="193"/>
      <c r="AJ175" s="193"/>
      <c r="AK175" s="35"/>
      <c r="AM175" s="51" t="s">
        <v>49</v>
      </c>
      <c r="AN175" s="51">
        <f>VLOOKUP(E175+E113+Q113+Q175,'tab aparelhos'!$N$4:$O$35,2)</f>
        <v>0</v>
      </c>
      <c r="AO175" s="51"/>
      <c r="AP175" s="51"/>
      <c r="AQ175" s="51"/>
      <c r="AR175" s="51"/>
      <c r="AT175" s="27" t="s">
        <v>49</v>
      </c>
      <c r="AU175" s="83"/>
      <c r="AV175" s="202">
        <f t="shared" si="155"/>
        <v>0</v>
      </c>
      <c r="AW175" s="202">
        <f t="shared" si="156"/>
        <v>0</v>
      </c>
      <c r="AX175" s="199">
        <f t="shared" si="167"/>
        <v>0</v>
      </c>
      <c r="AY175" s="193"/>
      <c r="AZ175" s="199">
        <f t="shared" si="168"/>
        <v>0</v>
      </c>
      <c r="BA175" s="193"/>
      <c r="BB175" s="193"/>
      <c r="BC175" s="193"/>
      <c r="BD175" s="193"/>
      <c r="BE175" s="193"/>
      <c r="BF175" s="193"/>
      <c r="BG175" s="193"/>
      <c r="BH175" s="199">
        <f t="shared" si="169"/>
        <v>0</v>
      </c>
      <c r="BI175" s="199">
        <f t="shared" si="170"/>
        <v>0</v>
      </c>
      <c r="BJ175" s="199">
        <f t="shared" si="171"/>
        <v>0</v>
      </c>
      <c r="BK175" s="193"/>
      <c r="BL175" s="193"/>
      <c r="BM175" s="193"/>
      <c r="BN175" s="193"/>
      <c r="BO175" s="193"/>
      <c r="BP175" s="193"/>
      <c r="BQ175" s="193"/>
      <c r="BR175" s="193"/>
      <c r="BS175" s="193"/>
      <c r="BT175" s="199"/>
      <c r="BU175" s="199"/>
      <c r="BV175" s="199"/>
      <c r="BW175" s="193"/>
      <c r="BX175" s="193"/>
      <c r="BY175" s="193"/>
      <c r="BZ175" s="193"/>
      <c r="CA175" s="193"/>
      <c r="CB175" s="35"/>
      <c r="CC175"/>
      <c r="CD175" s="51" t="s">
        <v>49</v>
      </c>
      <c r="CE175" s="51">
        <f>VLOOKUP(AV174+AV175+BH174+BH175,'tab aparelhos'!$N$4:$O$35,2)</f>
        <v>0</v>
      </c>
      <c r="CF175" s="51"/>
      <c r="CG175" s="51"/>
      <c r="CH175" s="51"/>
      <c r="CI175" s="51"/>
      <c r="CK175" s="27" t="s">
        <v>49</v>
      </c>
      <c r="CL175" s="83"/>
      <c r="CM175" s="202">
        <f t="shared" si="157"/>
        <v>0</v>
      </c>
      <c r="CN175" s="202">
        <f t="shared" si="158"/>
        <v>0</v>
      </c>
      <c r="CO175" s="199">
        <f t="shared" si="159"/>
        <v>0</v>
      </c>
      <c r="CP175" s="193"/>
      <c r="CQ175" s="199">
        <f t="shared" si="172"/>
        <v>0</v>
      </c>
      <c r="CR175" s="193"/>
      <c r="CS175" s="193"/>
      <c r="CT175" s="193"/>
      <c r="CU175" s="193"/>
      <c r="CV175" s="193"/>
      <c r="CW175" s="193"/>
      <c r="CX175" s="193"/>
      <c r="CY175" s="199">
        <f t="shared" si="160"/>
        <v>0</v>
      </c>
      <c r="CZ175" s="199">
        <f t="shared" si="161"/>
        <v>0</v>
      </c>
      <c r="DA175" s="199">
        <f t="shared" si="162"/>
        <v>0</v>
      </c>
      <c r="DB175" s="193"/>
      <c r="DC175" s="193"/>
      <c r="DD175" s="193"/>
      <c r="DE175" s="193"/>
      <c r="DF175" s="193"/>
      <c r="DG175" s="193"/>
      <c r="DH175" s="193"/>
      <c r="DI175" s="193"/>
      <c r="DJ175" s="193"/>
      <c r="DK175" s="199"/>
      <c r="DL175" s="199"/>
      <c r="DM175" s="199"/>
      <c r="DN175" s="193"/>
      <c r="DO175" s="193"/>
      <c r="DP175" s="193"/>
      <c r="DQ175" s="193"/>
      <c r="DR175" s="193"/>
      <c r="DS175" s="35"/>
      <c r="DT175"/>
      <c r="DU175" s="51" t="s">
        <v>49</v>
      </c>
      <c r="DV175" s="51">
        <f>VLOOKUP(CM174+CM175+CY174+CY175,'tab aparelhos'!$N$4:$O$35,2)</f>
        <v>0</v>
      </c>
      <c r="DW175" s="51"/>
      <c r="DX175" s="51"/>
      <c r="DY175" s="51"/>
    </row>
    <row r="176" spans="1:218" x14ac:dyDescent="0.2">
      <c r="A176" s="51"/>
      <c r="B176"/>
      <c r="C176" s="27" t="s">
        <v>50</v>
      </c>
      <c r="D176" s="83"/>
      <c r="E176" s="202">
        <f t="shared" si="152"/>
        <v>0</v>
      </c>
      <c r="F176" s="202">
        <f t="shared" si="153"/>
        <v>0</v>
      </c>
      <c r="G176" s="199">
        <f t="shared" si="154"/>
        <v>0</v>
      </c>
      <c r="H176" s="193"/>
      <c r="I176" s="199">
        <f t="shared" si="163"/>
        <v>0</v>
      </c>
      <c r="J176" s="193"/>
      <c r="K176" s="193"/>
      <c r="L176" s="193"/>
      <c r="M176" s="193"/>
      <c r="N176" s="193"/>
      <c r="O176" s="193"/>
      <c r="P176" s="193"/>
      <c r="Q176" s="199">
        <f t="shared" si="164"/>
        <v>0</v>
      </c>
      <c r="R176" s="199">
        <f t="shared" si="165"/>
        <v>0</v>
      </c>
      <c r="S176" s="199">
        <f t="shared" si="166"/>
        <v>0</v>
      </c>
      <c r="T176" s="193"/>
      <c r="U176" s="193"/>
      <c r="V176" s="193"/>
      <c r="W176" s="193"/>
      <c r="X176" s="193"/>
      <c r="Y176" s="193"/>
      <c r="Z176" s="193"/>
      <c r="AA176" s="193"/>
      <c r="AB176" s="193"/>
      <c r="AC176" s="199"/>
      <c r="AD176" s="199"/>
      <c r="AE176" s="199"/>
      <c r="AF176" s="193"/>
      <c r="AG176" s="193"/>
      <c r="AH176" s="193"/>
      <c r="AI176" s="193"/>
      <c r="AJ176" s="193"/>
      <c r="AK176" s="35"/>
      <c r="AM176" s="51" t="s">
        <v>50</v>
      </c>
      <c r="AN176" s="51">
        <f>VLOOKUP(SUM(E176:E179,Q176:Q179),'tab aparelhos'!$T$4:$U$35,2)</f>
        <v>0</v>
      </c>
      <c r="AO176" s="51"/>
      <c r="AP176" s="51"/>
      <c r="AQ176" s="51"/>
      <c r="AR176" s="51"/>
      <c r="AT176" s="27" t="s">
        <v>50</v>
      </c>
      <c r="AU176" s="83"/>
      <c r="AV176" s="202">
        <f t="shared" si="155"/>
        <v>0</v>
      </c>
      <c r="AW176" s="202">
        <f t="shared" si="156"/>
        <v>0</v>
      </c>
      <c r="AX176" s="199">
        <f t="shared" si="167"/>
        <v>0</v>
      </c>
      <c r="AY176" s="193"/>
      <c r="AZ176" s="199">
        <f t="shared" si="168"/>
        <v>0</v>
      </c>
      <c r="BA176" s="193"/>
      <c r="BB176" s="193"/>
      <c r="BC176" s="193"/>
      <c r="BD176" s="193"/>
      <c r="BE176" s="193"/>
      <c r="BF176" s="193"/>
      <c r="BG176" s="193"/>
      <c r="BH176" s="199">
        <f t="shared" si="169"/>
        <v>0</v>
      </c>
      <c r="BI176" s="199">
        <f t="shared" si="170"/>
        <v>0</v>
      </c>
      <c r="BJ176" s="199">
        <f t="shared" si="171"/>
        <v>0</v>
      </c>
      <c r="BK176" s="193"/>
      <c r="BL176" s="193"/>
      <c r="BM176" s="193"/>
      <c r="BN176" s="193"/>
      <c r="BO176" s="193"/>
      <c r="BP176" s="193"/>
      <c r="BQ176" s="193"/>
      <c r="BR176" s="193"/>
      <c r="BS176" s="193"/>
      <c r="BT176" s="199"/>
      <c r="BU176" s="199"/>
      <c r="BV176" s="199"/>
      <c r="BW176" s="193"/>
      <c r="BX176" s="193"/>
      <c r="BY176" s="193"/>
      <c r="BZ176" s="193"/>
      <c r="CA176" s="193"/>
      <c r="CB176" s="35"/>
      <c r="CC176"/>
      <c r="CD176" s="51" t="s">
        <v>50</v>
      </c>
      <c r="CE176" s="51">
        <f>VLOOKUP(SUM(AV176:AV179,BH176:BH179),'tab aparelhos'!$T$4:$U$35,2)</f>
        <v>0</v>
      </c>
      <c r="CF176" s="51"/>
      <c r="CG176" s="51"/>
      <c r="CH176" s="51"/>
      <c r="CI176" s="51"/>
      <c r="CK176" s="27" t="s">
        <v>50</v>
      </c>
      <c r="CL176" s="83"/>
      <c r="CM176" s="202">
        <f t="shared" si="157"/>
        <v>0</v>
      </c>
      <c r="CN176" s="202">
        <f t="shared" si="158"/>
        <v>0</v>
      </c>
      <c r="CO176" s="199">
        <f t="shared" si="159"/>
        <v>0</v>
      </c>
      <c r="CP176" s="193"/>
      <c r="CQ176" s="199">
        <f t="shared" si="172"/>
        <v>0</v>
      </c>
      <c r="CR176" s="193"/>
      <c r="CS176" s="193"/>
      <c r="CT176" s="193"/>
      <c r="CU176" s="193"/>
      <c r="CV176" s="193"/>
      <c r="CW176" s="193"/>
      <c r="CX176" s="193"/>
      <c r="CY176" s="199">
        <f t="shared" si="160"/>
        <v>0</v>
      </c>
      <c r="CZ176" s="199">
        <f t="shared" si="161"/>
        <v>0</v>
      </c>
      <c r="DA176" s="199">
        <f t="shared" si="162"/>
        <v>0</v>
      </c>
      <c r="DB176" s="193"/>
      <c r="DC176" s="193"/>
      <c r="DD176" s="193"/>
      <c r="DE176" s="193"/>
      <c r="DF176" s="193"/>
      <c r="DG176" s="193"/>
      <c r="DH176" s="193"/>
      <c r="DI176" s="193"/>
      <c r="DJ176" s="193"/>
      <c r="DK176" s="199"/>
      <c r="DL176" s="199"/>
      <c r="DM176" s="199"/>
      <c r="DN176" s="193"/>
      <c r="DO176" s="193"/>
      <c r="DP176" s="193"/>
      <c r="DQ176" s="193"/>
      <c r="DR176" s="193"/>
      <c r="DS176" s="35"/>
      <c r="DT176"/>
      <c r="DU176" s="51" t="s">
        <v>50</v>
      </c>
      <c r="DV176" s="51">
        <f>VLOOKUP(SUM(CM176:CM179,CY176:CY179),'tab aparelhos'!$T$4:$U$35,2)</f>
        <v>0</v>
      </c>
      <c r="DW176" s="51"/>
      <c r="DX176" s="51"/>
      <c r="DY176" s="51"/>
    </row>
    <row r="177" spans="1:129" x14ac:dyDescent="0.2">
      <c r="A177" s="51"/>
      <c r="B177"/>
      <c r="C177" s="27" t="s">
        <v>51</v>
      </c>
      <c r="D177" s="83"/>
      <c r="E177" s="202">
        <f t="shared" si="152"/>
        <v>0</v>
      </c>
      <c r="F177" s="202">
        <f t="shared" si="153"/>
        <v>0</v>
      </c>
      <c r="G177" s="199">
        <f t="shared" ref="G177:G185" si="173">F177*AN177</f>
        <v>0</v>
      </c>
      <c r="H177" s="193"/>
      <c r="I177" s="199">
        <f t="shared" si="163"/>
        <v>0</v>
      </c>
      <c r="J177" s="193"/>
      <c r="K177" s="193"/>
      <c r="L177" s="193"/>
      <c r="M177" s="193"/>
      <c r="N177" s="193"/>
      <c r="O177" s="193"/>
      <c r="P177" s="193"/>
      <c r="Q177" s="199">
        <f t="shared" si="164"/>
        <v>0</v>
      </c>
      <c r="R177" s="199">
        <f t="shared" si="165"/>
        <v>0</v>
      </c>
      <c r="S177" s="199">
        <f t="shared" si="166"/>
        <v>0</v>
      </c>
      <c r="T177" s="193"/>
      <c r="U177" s="193"/>
      <c r="V177" s="193"/>
      <c r="W177" s="193"/>
      <c r="X177" s="193"/>
      <c r="Y177" s="193"/>
      <c r="Z177" s="193"/>
      <c r="AA177" s="193"/>
      <c r="AB177" s="193"/>
      <c r="AC177" s="199"/>
      <c r="AD177" s="199"/>
      <c r="AE177" s="199"/>
      <c r="AF177" s="193"/>
      <c r="AG177" s="193"/>
      <c r="AH177" s="193"/>
      <c r="AI177" s="193"/>
      <c r="AJ177" s="193"/>
      <c r="AK177" s="35"/>
      <c r="AM177" s="51" t="s">
        <v>51</v>
      </c>
      <c r="AN177" s="51">
        <f>VLOOKUP(SUM(E176:E179,Q176:Q179),'tab aparelhos'!$T$4:$U$35,2)</f>
        <v>0</v>
      </c>
      <c r="AO177" s="51"/>
      <c r="AP177" s="51"/>
      <c r="AQ177" s="51"/>
      <c r="AR177" s="51"/>
      <c r="AT177" s="27" t="s">
        <v>51</v>
      </c>
      <c r="AU177" s="83"/>
      <c r="AV177" s="202">
        <f t="shared" si="155"/>
        <v>0</v>
      </c>
      <c r="AW177" s="202">
        <f t="shared" si="156"/>
        <v>0</v>
      </c>
      <c r="AX177" s="199">
        <f t="shared" si="167"/>
        <v>0</v>
      </c>
      <c r="AY177" s="193"/>
      <c r="AZ177" s="199">
        <f t="shared" si="168"/>
        <v>0</v>
      </c>
      <c r="BA177" s="193"/>
      <c r="BB177" s="193"/>
      <c r="BC177" s="193"/>
      <c r="BD177" s="193"/>
      <c r="BE177" s="193"/>
      <c r="BF177" s="193"/>
      <c r="BG177" s="193"/>
      <c r="BH177" s="199">
        <f t="shared" si="169"/>
        <v>0</v>
      </c>
      <c r="BI177" s="199">
        <f t="shared" si="170"/>
        <v>0</v>
      </c>
      <c r="BJ177" s="199">
        <f t="shared" si="171"/>
        <v>0</v>
      </c>
      <c r="BK177" s="193"/>
      <c r="BL177" s="193"/>
      <c r="BM177" s="193"/>
      <c r="BN177" s="193"/>
      <c r="BO177" s="193"/>
      <c r="BP177" s="193"/>
      <c r="BQ177" s="193"/>
      <c r="BR177" s="193"/>
      <c r="BS177" s="193"/>
      <c r="BT177" s="199"/>
      <c r="BU177" s="199"/>
      <c r="BV177" s="199"/>
      <c r="BW177" s="193"/>
      <c r="BX177" s="193"/>
      <c r="BY177" s="193"/>
      <c r="BZ177" s="193"/>
      <c r="CA177" s="193"/>
      <c r="CB177" s="35"/>
      <c r="CC177"/>
      <c r="CD177" s="51" t="s">
        <v>51</v>
      </c>
      <c r="CE177" s="51">
        <f>VLOOKUP(SUM(AV176:AV179,BH176:BH179),'tab aparelhos'!$T$4:$U$35,2)</f>
        <v>0</v>
      </c>
      <c r="CF177" s="51"/>
      <c r="CG177" s="51"/>
      <c r="CH177" s="51"/>
      <c r="CI177" s="51"/>
      <c r="CK177" s="27" t="s">
        <v>51</v>
      </c>
      <c r="CL177" s="83"/>
      <c r="CM177" s="202">
        <f t="shared" si="157"/>
        <v>0</v>
      </c>
      <c r="CN177" s="202">
        <f t="shared" si="158"/>
        <v>0</v>
      </c>
      <c r="CO177" s="199">
        <f t="shared" si="159"/>
        <v>0</v>
      </c>
      <c r="CP177" s="193"/>
      <c r="CQ177" s="199">
        <f t="shared" si="172"/>
        <v>0</v>
      </c>
      <c r="CR177" s="193"/>
      <c r="CS177" s="193"/>
      <c r="CT177" s="193"/>
      <c r="CU177" s="193"/>
      <c r="CV177" s="193"/>
      <c r="CW177" s="193"/>
      <c r="CX177" s="193"/>
      <c r="CY177" s="199">
        <f t="shared" si="160"/>
        <v>0</v>
      </c>
      <c r="CZ177" s="199">
        <f t="shared" si="161"/>
        <v>0</v>
      </c>
      <c r="DA177" s="199">
        <f t="shared" si="162"/>
        <v>0</v>
      </c>
      <c r="DB177" s="193"/>
      <c r="DC177" s="193"/>
      <c r="DD177" s="193"/>
      <c r="DE177" s="193"/>
      <c r="DF177" s="193"/>
      <c r="DG177" s="193"/>
      <c r="DH177" s="193"/>
      <c r="DI177" s="193"/>
      <c r="DJ177" s="193"/>
      <c r="DK177" s="199"/>
      <c r="DL177" s="199"/>
      <c r="DM177" s="199"/>
      <c r="DN177" s="193"/>
      <c r="DO177" s="193"/>
      <c r="DP177" s="193"/>
      <c r="DQ177" s="193"/>
      <c r="DR177" s="193"/>
      <c r="DS177" s="35"/>
      <c r="DT177"/>
      <c r="DU177" s="51" t="s">
        <v>51</v>
      </c>
      <c r="DV177" s="51">
        <f>VLOOKUP(SUM(CM176:CM179,CY176:CY179),'tab aparelhos'!$T$4:$U$35,2)</f>
        <v>0</v>
      </c>
      <c r="DW177" s="51"/>
      <c r="DX177" s="51"/>
      <c r="DY177" s="51"/>
    </row>
    <row r="178" spans="1:129" x14ac:dyDescent="0.2">
      <c r="A178" s="51"/>
      <c r="B178"/>
      <c r="C178" s="27" t="s">
        <v>52</v>
      </c>
      <c r="D178" s="83"/>
      <c r="E178" s="202">
        <f t="shared" si="152"/>
        <v>0</v>
      </c>
      <c r="F178" s="202">
        <f t="shared" si="153"/>
        <v>0</v>
      </c>
      <c r="G178" s="199">
        <f t="shared" si="173"/>
        <v>0</v>
      </c>
      <c r="H178" s="193"/>
      <c r="I178" s="199">
        <f t="shared" si="163"/>
        <v>0</v>
      </c>
      <c r="J178" s="193"/>
      <c r="K178" s="193"/>
      <c r="L178" s="193"/>
      <c r="M178" s="193"/>
      <c r="N178" s="193"/>
      <c r="O178" s="193"/>
      <c r="P178" s="193"/>
      <c r="Q178" s="199">
        <f t="shared" si="164"/>
        <v>0</v>
      </c>
      <c r="R178" s="199">
        <f t="shared" si="165"/>
        <v>0</v>
      </c>
      <c r="S178" s="199">
        <f t="shared" si="166"/>
        <v>0</v>
      </c>
      <c r="T178" s="193"/>
      <c r="U178" s="193"/>
      <c r="V178" s="193"/>
      <c r="W178" s="193"/>
      <c r="X178" s="193"/>
      <c r="Y178" s="193"/>
      <c r="Z178" s="193"/>
      <c r="AA178" s="193"/>
      <c r="AB178" s="193"/>
      <c r="AC178" s="199"/>
      <c r="AD178" s="199"/>
      <c r="AE178" s="199"/>
      <c r="AF178" s="193"/>
      <c r="AG178" s="193"/>
      <c r="AH178" s="193"/>
      <c r="AI178" s="193"/>
      <c r="AJ178" s="193"/>
      <c r="AK178" s="35"/>
      <c r="AM178" s="51" t="s">
        <v>52</v>
      </c>
      <c r="AN178" s="51">
        <f>VLOOKUP(SUM(E176:E179,Q176:Q179),'tab aparelhos'!$T$4:$U$35,2)</f>
        <v>0</v>
      </c>
      <c r="AO178" s="51"/>
      <c r="AP178" s="51"/>
      <c r="AQ178" s="51"/>
      <c r="AR178" s="51"/>
      <c r="AT178" s="27" t="s">
        <v>52</v>
      </c>
      <c r="AU178" s="83"/>
      <c r="AV178" s="202">
        <f t="shared" si="155"/>
        <v>0</v>
      </c>
      <c r="AW178" s="202">
        <f t="shared" si="156"/>
        <v>0</v>
      </c>
      <c r="AX178" s="199">
        <f t="shared" si="167"/>
        <v>0</v>
      </c>
      <c r="AY178" s="193"/>
      <c r="AZ178" s="199">
        <f t="shared" si="168"/>
        <v>0</v>
      </c>
      <c r="BA178" s="193"/>
      <c r="BB178" s="193"/>
      <c r="BC178" s="193"/>
      <c r="BD178" s="193"/>
      <c r="BE178" s="193"/>
      <c r="BF178" s="193"/>
      <c r="BG178" s="193"/>
      <c r="BH178" s="199">
        <f t="shared" si="169"/>
        <v>0</v>
      </c>
      <c r="BI178" s="199">
        <f t="shared" si="170"/>
        <v>0</v>
      </c>
      <c r="BJ178" s="199">
        <f t="shared" si="171"/>
        <v>0</v>
      </c>
      <c r="BK178" s="193"/>
      <c r="BL178" s="193"/>
      <c r="BM178" s="193"/>
      <c r="BN178" s="193"/>
      <c r="BO178" s="193"/>
      <c r="BP178" s="193"/>
      <c r="BQ178" s="193"/>
      <c r="BR178" s="193"/>
      <c r="BS178" s="193"/>
      <c r="BT178" s="199"/>
      <c r="BU178" s="199"/>
      <c r="BV178" s="199"/>
      <c r="BW178" s="193"/>
      <c r="BX178" s="193"/>
      <c r="BY178" s="193"/>
      <c r="BZ178" s="193"/>
      <c r="CA178" s="193"/>
      <c r="CB178" s="35"/>
      <c r="CC178"/>
      <c r="CD178" s="51" t="s">
        <v>52</v>
      </c>
      <c r="CE178" s="51">
        <f>VLOOKUP(SUM(AV176:AV179,BH176:BH179),'tab aparelhos'!$T$4:$U$35,2)</f>
        <v>0</v>
      </c>
      <c r="CF178" s="51"/>
      <c r="CG178" s="51"/>
      <c r="CH178" s="51"/>
      <c r="CI178" s="51"/>
      <c r="CK178" s="27" t="s">
        <v>52</v>
      </c>
      <c r="CL178" s="83"/>
      <c r="CM178" s="202">
        <f t="shared" si="157"/>
        <v>0</v>
      </c>
      <c r="CN178" s="202">
        <f t="shared" si="158"/>
        <v>0</v>
      </c>
      <c r="CO178" s="199">
        <f t="shared" si="159"/>
        <v>0</v>
      </c>
      <c r="CP178" s="193"/>
      <c r="CQ178" s="199">
        <f t="shared" si="172"/>
        <v>0</v>
      </c>
      <c r="CR178" s="193"/>
      <c r="CS178" s="193"/>
      <c r="CT178" s="193"/>
      <c r="CU178" s="193"/>
      <c r="CV178" s="193"/>
      <c r="CW178" s="193"/>
      <c r="CX178" s="193"/>
      <c r="CY178" s="199">
        <f t="shared" si="160"/>
        <v>0</v>
      </c>
      <c r="CZ178" s="199">
        <f t="shared" si="161"/>
        <v>0</v>
      </c>
      <c r="DA178" s="199">
        <f t="shared" si="162"/>
        <v>0</v>
      </c>
      <c r="DB178" s="193"/>
      <c r="DC178" s="193"/>
      <c r="DD178" s="193"/>
      <c r="DE178" s="193"/>
      <c r="DF178" s="193"/>
      <c r="DG178" s="193"/>
      <c r="DH178" s="193"/>
      <c r="DI178" s="193"/>
      <c r="DJ178" s="193"/>
      <c r="DK178" s="199"/>
      <c r="DL178" s="199"/>
      <c r="DM178" s="199"/>
      <c r="DN178" s="193"/>
      <c r="DO178" s="193"/>
      <c r="DP178" s="193"/>
      <c r="DQ178" s="193"/>
      <c r="DR178" s="193"/>
      <c r="DS178" s="35"/>
      <c r="DT178"/>
      <c r="DU178" s="51" t="s">
        <v>52</v>
      </c>
      <c r="DV178" s="51">
        <f>VLOOKUP(SUM(CM176:CM179,CY176:CY179),'tab aparelhos'!$T$4:$U$35,2)</f>
        <v>0</v>
      </c>
      <c r="DW178" s="51"/>
      <c r="DX178" s="51"/>
      <c r="DY178" s="51"/>
    </row>
    <row r="179" spans="1:129" x14ac:dyDescent="0.2">
      <c r="A179" s="51"/>
      <c r="B179"/>
      <c r="C179" s="27" t="s">
        <v>125</v>
      </c>
      <c r="D179" s="83"/>
      <c r="E179" s="202">
        <f t="shared" si="152"/>
        <v>0</v>
      </c>
      <c r="F179" s="202">
        <f t="shared" si="153"/>
        <v>0</v>
      </c>
      <c r="G179" s="199">
        <f t="shared" si="173"/>
        <v>0</v>
      </c>
      <c r="H179" s="193"/>
      <c r="I179" s="199">
        <f t="shared" si="163"/>
        <v>0</v>
      </c>
      <c r="J179" s="193"/>
      <c r="K179" s="193"/>
      <c r="L179" s="193"/>
      <c r="M179" s="193"/>
      <c r="N179" s="193"/>
      <c r="O179" s="193"/>
      <c r="P179" s="193"/>
      <c r="Q179" s="199">
        <f t="shared" si="164"/>
        <v>0</v>
      </c>
      <c r="R179" s="199">
        <f t="shared" si="165"/>
        <v>0</v>
      </c>
      <c r="S179" s="199">
        <f t="shared" si="166"/>
        <v>0</v>
      </c>
      <c r="T179" s="193"/>
      <c r="U179" s="193"/>
      <c r="V179" s="193"/>
      <c r="W179" s="193"/>
      <c r="X179" s="193"/>
      <c r="Y179" s="193"/>
      <c r="Z179" s="193"/>
      <c r="AA179" s="193"/>
      <c r="AB179" s="193"/>
      <c r="AC179" s="199"/>
      <c r="AD179" s="199"/>
      <c r="AE179" s="199"/>
      <c r="AF179" s="193"/>
      <c r="AG179" s="193"/>
      <c r="AH179" s="193"/>
      <c r="AI179" s="193"/>
      <c r="AJ179" s="193"/>
      <c r="AK179" s="35"/>
      <c r="AM179" s="51" t="s">
        <v>53</v>
      </c>
      <c r="AN179" s="51">
        <f>VLOOKUP(SUM(E176:E179,Q176:Q179),'tab aparelhos'!$T$4:$U$35,2)</f>
        <v>0</v>
      </c>
      <c r="AO179" s="51"/>
      <c r="AP179" s="51"/>
      <c r="AQ179" s="51"/>
      <c r="AR179" s="51"/>
      <c r="AT179" s="27" t="s">
        <v>125</v>
      </c>
      <c r="AU179" s="83"/>
      <c r="AV179" s="202">
        <f t="shared" si="155"/>
        <v>0</v>
      </c>
      <c r="AW179" s="202">
        <f t="shared" si="156"/>
        <v>0</v>
      </c>
      <c r="AX179" s="199">
        <f t="shared" si="167"/>
        <v>0</v>
      </c>
      <c r="AY179" s="193"/>
      <c r="AZ179" s="199">
        <f t="shared" si="168"/>
        <v>0</v>
      </c>
      <c r="BA179" s="193"/>
      <c r="BB179" s="193"/>
      <c r="BC179" s="193"/>
      <c r="BD179" s="193"/>
      <c r="BE179" s="193"/>
      <c r="BF179" s="193"/>
      <c r="BG179" s="193"/>
      <c r="BH179" s="199">
        <f t="shared" si="169"/>
        <v>0</v>
      </c>
      <c r="BI179" s="199">
        <f t="shared" si="170"/>
        <v>0</v>
      </c>
      <c r="BJ179" s="199">
        <f t="shared" si="171"/>
        <v>0</v>
      </c>
      <c r="BK179" s="193"/>
      <c r="BL179" s="193"/>
      <c r="BM179" s="193"/>
      <c r="BN179" s="193"/>
      <c r="BO179" s="193"/>
      <c r="BP179" s="193"/>
      <c r="BQ179" s="193"/>
      <c r="BR179" s="193"/>
      <c r="BS179" s="193"/>
      <c r="BT179" s="199"/>
      <c r="BU179" s="199"/>
      <c r="BV179" s="199"/>
      <c r="BW179" s="193"/>
      <c r="BX179" s="193"/>
      <c r="BY179" s="193"/>
      <c r="BZ179" s="193"/>
      <c r="CA179" s="193"/>
      <c r="CB179" s="35"/>
      <c r="CC179"/>
      <c r="CD179" s="51" t="s">
        <v>53</v>
      </c>
      <c r="CE179" s="51">
        <f>VLOOKUP(SUM(AV176:AV179,BH176:BH179),'tab aparelhos'!$T$4:$U$35,2)</f>
        <v>0</v>
      </c>
      <c r="CF179" s="51"/>
      <c r="CG179" s="51"/>
      <c r="CH179" s="51"/>
      <c r="CI179" s="51"/>
      <c r="CK179" s="27" t="s">
        <v>125</v>
      </c>
      <c r="CL179" s="83"/>
      <c r="CM179" s="202">
        <f t="shared" si="157"/>
        <v>0</v>
      </c>
      <c r="CN179" s="202">
        <f t="shared" si="158"/>
        <v>0</v>
      </c>
      <c r="CO179" s="199">
        <f t="shared" si="159"/>
        <v>0</v>
      </c>
      <c r="CP179" s="193"/>
      <c r="CQ179" s="199">
        <f t="shared" si="172"/>
        <v>0</v>
      </c>
      <c r="CR179" s="193"/>
      <c r="CS179" s="193"/>
      <c r="CT179" s="193"/>
      <c r="CU179" s="193"/>
      <c r="CV179" s="193"/>
      <c r="CW179" s="193"/>
      <c r="CX179" s="193"/>
      <c r="CY179" s="199">
        <f t="shared" si="160"/>
        <v>0</v>
      </c>
      <c r="CZ179" s="199">
        <f t="shared" si="161"/>
        <v>0</v>
      </c>
      <c r="DA179" s="199">
        <f t="shared" si="162"/>
        <v>0</v>
      </c>
      <c r="DB179" s="193"/>
      <c r="DC179" s="193"/>
      <c r="DD179" s="193"/>
      <c r="DE179" s="193"/>
      <c r="DF179" s="193"/>
      <c r="DG179" s="193"/>
      <c r="DH179" s="193"/>
      <c r="DI179" s="193"/>
      <c r="DJ179" s="193"/>
      <c r="DK179" s="199"/>
      <c r="DL179" s="199"/>
      <c r="DM179" s="199"/>
      <c r="DN179" s="193"/>
      <c r="DO179" s="193"/>
      <c r="DP179" s="193"/>
      <c r="DQ179" s="193"/>
      <c r="DR179" s="193"/>
      <c r="DS179" s="35"/>
      <c r="DT179"/>
      <c r="DU179" s="51" t="s">
        <v>53</v>
      </c>
      <c r="DV179" s="51">
        <f>VLOOKUP(SUM(CM176:CM179,CY176:CY179),'tab aparelhos'!$T$4:$U$35,2)</f>
        <v>0</v>
      </c>
      <c r="DW179" s="51"/>
      <c r="DX179" s="51"/>
      <c r="DY179" s="51"/>
    </row>
    <row r="180" spans="1:129" x14ac:dyDescent="0.2">
      <c r="A180" s="51"/>
      <c r="B180"/>
      <c r="C180" s="27" t="s">
        <v>54</v>
      </c>
      <c r="D180" s="83"/>
      <c r="E180" s="202">
        <f t="shared" si="152"/>
        <v>0</v>
      </c>
      <c r="F180" s="202">
        <f t="shared" si="153"/>
        <v>0</v>
      </c>
      <c r="G180" s="199">
        <f t="shared" si="173"/>
        <v>0</v>
      </c>
      <c r="H180" s="193"/>
      <c r="I180" s="199">
        <f t="shared" si="163"/>
        <v>0</v>
      </c>
      <c r="J180" s="193"/>
      <c r="K180" s="193"/>
      <c r="L180" s="193"/>
      <c r="M180" s="193"/>
      <c r="N180" s="193"/>
      <c r="O180" s="193"/>
      <c r="P180" s="193"/>
      <c r="Q180" s="199">
        <f t="shared" si="164"/>
        <v>0</v>
      </c>
      <c r="R180" s="199">
        <f t="shared" si="165"/>
        <v>0</v>
      </c>
      <c r="S180" s="199">
        <f t="shared" si="166"/>
        <v>0</v>
      </c>
      <c r="T180" s="193"/>
      <c r="U180" s="193"/>
      <c r="V180" s="193"/>
      <c r="W180" s="193"/>
      <c r="X180" s="193"/>
      <c r="Y180" s="193"/>
      <c r="Z180" s="193"/>
      <c r="AA180" s="193"/>
      <c r="AB180" s="193"/>
      <c r="AC180" s="199"/>
      <c r="AD180" s="199"/>
      <c r="AE180" s="199"/>
      <c r="AF180" s="193"/>
      <c r="AG180" s="193"/>
      <c r="AH180" s="193"/>
      <c r="AI180" s="193"/>
      <c r="AJ180" s="193"/>
      <c r="AK180" s="35"/>
      <c r="AM180" s="51" t="s">
        <v>54</v>
      </c>
      <c r="AN180" s="51">
        <f>VLOOKUP(E180+Q180,'tab aparelhos'!$AF$4:$AG$35,2)</f>
        <v>0</v>
      </c>
      <c r="AO180" s="51"/>
      <c r="AP180" s="51"/>
      <c r="AQ180" s="51"/>
      <c r="AR180" s="51"/>
      <c r="AT180" s="27" t="s">
        <v>54</v>
      </c>
      <c r="AU180" s="83"/>
      <c r="AV180" s="202">
        <f t="shared" si="155"/>
        <v>0</v>
      </c>
      <c r="AW180" s="202">
        <f t="shared" si="156"/>
        <v>0</v>
      </c>
      <c r="AX180" s="199">
        <f t="shared" si="167"/>
        <v>0</v>
      </c>
      <c r="AY180" s="193"/>
      <c r="AZ180" s="199">
        <f t="shared" si="168"/>
        <v>0</v>
      </c>
      <c r="BA180" s="193"/>
      <c r="BB180" s="193"/>
      <c r="BC180" s="193"/>
      <c r="BD180" s="193"/>
      <c r="BE180" s="193"/>
      <c r="BF180" s="193"/>
      <c r="BG180" s="193"/>
      <c r="BH180" s="199">
        <f t="shared" si="169"/>
        <v>0</v>
      </c>
      <c r="BI180" s="199">
        <f t="shared" si="170"/>
        <v>0</v>
      </c>
      <c r="BJ180" s="199">
        <f t="shared" si="171"/>
        <v>0</v>
      </c>
      <c r="BK180" s="193"/>
      <c r="BL180" s="193"/>
      <c r="BM180" s="193"/>
      <c r="BN180" s="193"/>
      <c r="BO180" s="193"/>
      <c r="BP180" s="193"/>
      <c r="BQ180" s="193"/>
      <c r="BR180" s="193"/>
      <c r="BS180" s="193"/>
      <c r="BT180" s="199"/>
      <c r="BU180" s="199"/>
      <c r="BV180" s="199"/>
      <c r="BW180" s="193"/>
      <c r="BX180" s="193"/>
      <c r="BY180" s="193"/>
      <c r="BZ180" s="193"/>
      <c r="CA180" s="193"/>
      <c r="CB180" s="35"/>
      <c r="CC180"/>
      <c r="CD180" s="51" t="s">
        <v>54</v>
      </c>
      <c r="CE180" s="51">
        <f>VLOOKUP(AV180+BH180,'tab aparelhos'!$AF$4:$AG$35,2)</f>
        <v>0</v>
      </c>
      <c r="CF180" s="51"/>
      <c r="CG180" s="51"/>
      <c r="CH180" s="51"/>
      <c r="CI180" s="51"/>
      <c r="CK180" s="27" t="s">
        <v>54</v>
      </c>
      <c r="CL180" s="83"/>
      <c r="CM180" s="202">
        <f t="shared" si="157"/>
        <v>0</v>
      </c>
      <c r="CN180" s="202">
        <f t="shared" si="158"/>
        <v>0</v>
      </c>
      <c r="CO180" s="199">
        <f t="shared" si="159"/>
        <v>0</v>
      </c>
      <c r="CP180" s="193"/>
      <c r="CQ180" s="199">
        <f t="shared" si="172"/>
        <v>0</v>
      </c>
      <c r="CR180" s="193"/>
      <c r="CS180" s="193"/>
      <c r="CT180" s="193"/>
      <c r="CU180" s="193"/>
      <c r="CV180" s="193"/>
      <c r="CW180" s="193"/>
      <c r="CX180" s="193"/>
      <c r="CY180" s="199">
        <f t="shared" si="160"/>
        <v>0</v>
      </c>
      <c r="CZ180" s="199">
        <f t="shared" si="161"/>
        <v>0</v>
      </c>
      <c r="DA180" s="199">
        <f t="shared" si="162"/>
        <v>0</v>
      </c>
      <c r="DB180" s="193"/>
      <c r="DC180" s="193"/>
      <c r="DD180" s="193"/>
      <c r="DE180" s="193"/>
      <c r="DF180" s="193"/>
      <c r="DG180" s="193"/>
      <c r="DH180" s="193"/>
      <c r="DI180" s="193"/>
      <c r="DJ180" s="193"/>
      <c r="DK180" s="199"/>
      <c r="DL180" s="199"/>
      <c r="DM180" s="199"/>
      <c r="DN180" s="193"/>
      <c r="DO180" s="193"/>
      <c r="DP180" s="193"/>
      <c r="DQ180" s="193"/>
      <c r="DR180" s="193"/>
      <c r="DS180" s="35"/>
      <c r="DT180"/>
      <c r="DU180" s="51" t="s">
        <v>54</v>
      </c>
      <c r="DV180" s="51">
        <f>VLOOKUP(CM180+CY180,'tab aparelhos'!$AF$4:$AG$35,2)</f>
        <v>0</v>
      </c>
      <c r="DW180" s="51"/>
      <c r="DX180" s="51"/>
      <c r="DY180" s="51"/>
    </row>
    <row r="181" spans="1:129" x14ac:dyDescent="0.2">
      <c r="A181" s="51"/>
      <c r="B181"/>
      <c r="C181" s="27" t="s">
        <v>55</v>
      </c>
      <c r="D181" s="83"/>
      <c r="E181" s="202">
        <f t="shared" si="152"/>
        <v>0</v>
      </c>
      <c r="F181" s="202">
        <f t="shared" si="153"/>
        <v>0</v>
      </c>
      <c r="G181" s="199">
        <f t="shared" si="173"/>
        <v>0</v>
      </c>
      <c r="H181" s="193"/>
      <c r="I181" s="199">
        <f t="shared" si="163"/>
        <v>0</v>
      </c>
      <c r="J181" s="193"/>
      <c r="K181" s="193"/>
      <c r="L181" s="193"/>
      <c r="M181" s="193"/>
      <c r="N181" s="193"/>
      <c r="O181" s="193"/>
      <c r="P181" s="193"/>
      <c r="Q181" s="199">
        <f t="shared" si="164"/>
        <v>0</v>
      </c>
      <c r="R181" s="199">
        <f t="shared" si="165"/>
        <v>0</v>
      </c>
      <c r="S181" s="199">
        <f t="shared" si="166"/>
        <v>0</v>
      </c>
      <c r="T181" s="193"/>
      <c r="U181" s="193"/>
      <c r="V181" s="193"/>
      <c r="W181" s="193"/>
      <c r="X181" s="193"/>
      <c r="Y181" s="193"/>
      <c r="Z181" s="193"/>
      <c r="AA181" s="193"/>
      <c r="AB181" s="193"/>
      <c r="AC181" s="199"/>
      <c r="AD181" s="199"/>
      <c r="AE181" s="199"/>
      <c r="AF181" s="193"/>
      <c r="AG181" s="193"/>
      <c r="AH181" s="193"/>
      <c r="AI181" s="193"/>
      <c r="AJ181" s="193"/>
      <c r="AK181" s="35"/>
      <c r="AM181" s="51" t="s">
        <v>55</v>
      </c>
      <c r="AN181" s="51">
        <v>1</v>
      </c>
      <c r="AO181" s="51"/>
      <c r="AP181" s="51"/>
      <c r="AQ181" s="51"/>
      <c r="AR181" s="51"/>
      <c r="AT181" s="27" t="s">
        <v>55</v>
      </c>
      <c r="AU181" s="83"/>
      <c r="AV181" s="202">
        <f t="shared" si="155"/>
        <v>0</v>
      </c>
      <c r="AW181" s="202">
        <f t="shared" si="156"/>
        <v>0</v>
      </c>
      <c r="AX181" s="199">
        <f t="shared" si="167"/>
        <v>0</v>
      </c>
      <c r="AY181" s="193"/>
      <c r="AZ181" s="199">
        <f t="shared" si="168"/>
        <v>0</v>
      </c>
      <c r="BA181" s="193"/>
      <c r="BB181" s="193"/>
      <c r="BC181" s="193"/>
      <c r="BD181" s="193"/>
      <c r="BE181" s="193"/>
      <c r="BF181" s="193"/>
      <c r="BG181" s="193"/>
      <c r="BH181" s="199">
        <f t="shared" si="169"/>
        <v>0</v>
      </c>
      <c r="BI181" s="199">
        <f t="shared" si="170"/>
        <v>0</v>
      </c>
      <c r="BJ181" s="199">
        <f t="shared" si="171"/>
        <v>0</v>
      </c>
      <c r="BK181" s="193"/>
      <c r="BL181" s="193"/>
      <c r="BM181" s="193"/>
      <c r="BN181" s="193"/>
      <c r="BO181" s="193"/>
      <c r="BP181" s="193"/>
      <c r="BQ181" s="193"/>
      <c r="BR181" s="193"/>
      <c r="BS181" s="193"/>
      <c r="BT181" s="199"/>
      <c r="BU181" s="199"/>
      <c r="BV181" s="199"/>
      <c r="BW181" s="193"/>
      <c r="BX181" s="193"/>
      <c r="BY181" s="193"/>
      <c r="BZ181" s="193"/>
      <c r="CA181" s="193"/>
      <c r="CB181" s="35"/>
      <c r="CC181"/>
      <c r="CD181" s="51" t="s">
        <v>55</v>
      </c>
      <c r="CE181" s="51">
        <v>1</v>
      </c>
      <c r="CF181" s="51"/>
      <c r="CG181" s="51"/>
      <c r="CH181" s="51"/>
      <c r="CI181" s="51"/>
      <c r="CK181" s="27" t="s">
        <v>55</v>
      </c>
      <c r="CL181" s="83"/>
      <c r="CM181" s="202">
        <f t="shared" si="157"/>
        <v>0</v>
      </c>
      <c r="CN181" s="202">
        <f t="shared" si="158"/>
        <v>0</v>
      </c>
      <c r="CO181" s="199">
        <f t="shared" si="159"/>
        <v>0</v>
      </c>
      <c r="CP181" s="193"/>
      <c r="CQ181" s="199">
        <f t="shared" si="172"/>
        <v>0</v>
      </c>
      <c r="CR181" s="193"/>
      <c r="CS181" s="193"/>
      <c r="CT181" s="193"/>
      <c r="CU181" s="193"/>
      <c r="CV181" s="193"/>
      <c r="CW181" s="193"/>
      <c r="CX181" s="193"/>
      <c r="CY181" s="199">
        <f t="shared" si="160"/>
        <v>0</v>
      </c>
      <c r="CZ181" s="199">
        <f t="shared" si="161"/>
        <v>0</v>
      </c>
      <c r="DA181" s="199">
        <f t="shared" si="162"/>
        <v>0</v>
      </c>
      <c r="DB181" s="193"/>
      <c r="DC181" s="193"/>
      <c r="DD181" s="193"/>
      <c r="DE181" s="193"/>
      <c r="DF181" s="193"/>
      <c r="DG181" s="193"/>
      <c r="DH181" s="193"/>
      <c r="DI181" s="193"/>
      <c r="DJ181" s="193"/>
      <c r="DK181" s="199"/>
      <c r="DL181" s="199"/>
      <c r="DM181" s="199"/>
      <c r="DN181" s="193"/>
      <c r="DO181" s="193"/>
      <c r="DP181" s="193"/>
      <c r="DQ181" s="193"/>
      <c r="DR181" s="193"/>
      <c r="DS181" s="35"/>
      <c r="DT181"/>
      <c r="DU181" s="51" t="s">
        <v>55</v>
      </c>
      <c r="DV181" s="51">
        <v>1</v>
      </c>
      <c r="DW181" s="51"/>
      <c r="DX181" s="51"/>
      <c r="DY181" s="51"/>
    </row>
    <row r="182" spans="1:129" x14ac:dyDescent="0.2">
      <c r="A182" s="51"/>
      <c r="B182"/>
      <c r="C182" s="27" t="s">
        <v>56</v>
      </c>
      <c r="D182" s="83"/>
      <c r="E182" s="202">
        <f t="shared" si="152"/>
        <v>0</v>
      </c>
      <c r="F182" s="202">
        <f t="shared" si="153"/>
        <v>0</v>
      </c>
      <c r="G182" s="199">
        <f t="shared" si="173"/>
        <v>0</v>
      </c>
      <c r="H182" s="193"/>
      <c r="I182" s="199">
        <f t="shared" si="163"/>
        <v>0</v>
      </c>
      <c r="J182" s="193"/>
      <c r="K182" s="193"/>
      <c r="L182" s="193"/>
      <c r="M182" s="193"/>
      <c r="N182" s="193"/>
      <c r="O182" s="193"/>
      <c r="P182" s="193"/>
      <c r="Q182" s="199">
        <f t="shared" si="164"/>
        <v>0</v>
      </c>
      <c r="R182" s="199">
        <f t="shared" si="165"/>
        <v>0</v>
      </c>
      <c r="S182" s="199">
        <f t="shared" si="166"/>
        <v>0</v>
      </c>
      <c r="T182" s="193"/>
      <c r="U182" s="193"/>
      <c r="V182" s="193"/>
      <c r="W182" s="193"/>
      <c r="X182" s="193"/>
      <c r="Y182" s="193"/>
      <c r="Z182" s="193"/>
      <c r="AA182" s="193"/>
      <c r="AB182" s="193"/>
      <c r="AC182" s="199"/>
      <c r="AD182" s="199"/>
      <c r="AE182" s="199"/>
      <c r="AF182" s="193"/>
      <c r="AG182" s="193"/>
      <c r="AH182" s="193"/>
      <c r="AI182" s="193"/>
      <c r="AJ182" s="193"/>
      <c r="AL182" s="51"/>
      <c r="AM182" s="51" t="s">
        <v>56</v>
      </c>
      <c r="AN182" s="51">
        <f>VLOOKUP(E182+Q182,'tab ar'!$A$1:$D$9,3,TRUE)</f>
        <v>1</v>
      </c>
      <c r="AO182" s="51"/>
      <c r="AP182" s="51"/>
      <c r="AQ182" s="51"/>
      <c r="AR182" s="51"/>
      <c r="AT182" s="27" t="s">
        <v>56</v>
      </c>
      <c r="AU182" s="83"/>
      <c r="AV182" s="202">
        <f t="shared" si="155"/>
        <v>0</v>
      </c>
      <c r="AW182" s="202">
        <f t="shared" si="156"/>
        <v>0</v>
      </c>
      <c r="AX182" s="199">
        <f t="shared" si="167"/>
        <v>0</v>
      </c>
      <c r="AY182" s="193"/>
      <c r="AZ182" s="199">
        <f t="shared" si="168"/>
        <v>0</v>
      </c>
      <c r="BA182" s="193"/>
      <c r="BB182" s="193"/>
      <c r="BC182" s="193"/>
      <c r="BD182" s="193"/>
      <c r="BE182" s="193"/>
      <c r="BF182" s="193"/>
      <c r="BG182" s="193"/>
      <c r="BH182" s="199">
        <f t="shared" si="169"/>
        <v>0</v>
      </c>
      <c r="BI182" s="199">
        <f t="shared" si="170"/>
        <v>0</v>
      </c>
      <c r="BJ182" s="199">
        <f t="shared" si="171"/>
        <v>0</v>
      </c>
      <c r="BK182" s="193"/>
      <c r="BL182" s="193"/>
      <c r="BM182" s="193"/>
      <c r="BN182" s="193"/>
      <c r="BO182" s="193"/>
      <c r="BP182" s="193"/>
      <c r="BQ182" s="193"/>
      <c r="BR182" s="193"/>
      <c r="BS182" s="193"/>
      <c r="BT182" s="199"/>
      <c r="BU182" s="199"/>
      <c r="BV182" s="199"/>
      <c r="BW182" s="193"/>
      <c r="BX182" s="193"/>
      <c r="BY182" s="193"/>
      <c r="BZ182" s="193"/>
      <c r="CA182" s="193"/>
      <c r="CB182"/>
      <c r="CC182" s="51"/>
      <c r="CD182" s="51" t="s">
        <v>56</v>
      </c>
      <c r="CE182" s="51">
        <f>VLOOKUP(AV182+BH182,'tab ar'!$A$1:$D$9,3,TRUE)</f>
        <v>1</v>
      </c>
      <c r="CF182" s="51"/>
      <c r="CG182" s="51"/>
      <c r="CH182" s="51"/>
      <c r="CI182" s="51"/>
      <c r="CK182" s="27" t="s">
        <v>56</v>
      </c>
      <c r="CL182" s="83"/>
      <c r="CM182" s="202">
        <f t="shared" si="157"/>
        <v>0</v>
      </c>
      <c r="CN182" s="202">
        <f t="shared" si="158"/>
        <v>0</v>
      </c>
      <c r="CO182" s="199">
        <f t="shared" si="159"/>
        <v>0</v>
      </c>
      <c r="CP182" s="193"/>
      <c r="CQ182" s="199">
        <f t="shared" si="172"/>
        <v>0</v>
      </c>
      <c r="CR182" s="193"/>
      <c r="CS182" s="193"/>
      <c r="CT182" s="193"/>
      <c r="CU182" s="193"/>
      <c r="CV182" s="193"/>
      <c r="CW182" s="193"/>
      <c r="CX182" s="193"/>
      <c r="CY182" s="199">
        <f t="shared" si="160"/>
        <v>0</v>
      </c>
      <c r="CZ182" s="199">
        <f t="shared" si="161"/>
        <v>0</v>
      </c>
      <c r="DA182" s="199">
        <f t="shared" si="162"/>
        <v>0</v>
      </c>
      <c r="DB182" s="193"/>
      <c r="DC182" s="193"/>
      <c r="DD182" s="193"/>
      <c r="DE182" s="193"/>
      <c r="DF182" s="193"/>
      <c r="DG182" s="193"/>
      <c r="DH182" s="193"/>
      <c r="DI182" s="193"/>
      <c r="DJ182" s="193"/>
      <c r="DK182" s="199"/>
      <c r="DL182" s="199"/>
      <c r="DM182" s="199"/>
      <c r="DN182" s="193"/>
      <c r="DO182" s="193"/>
      <c r="DP182" s="193"/>
      <c r="DQ182" s="193"/>
      <c r="DR182" s="193"/>
      <c r="DS182"/>
      <c r="DT182" s="51"/>
      <c r="DU182" s="51" t="s">
        <v>56</v>
      </c>
      <c r="DV182" s="51">
        <f>VLOOKUP(CM182+CY182,'tab ar'!$A$1:$D$9,3,TRUE)</f>
        <v>1</v>
      </c>
      <c r="DW182" s="51"/>
      <c r="DX182" s="51"/>
      <c r="DY182" s="51"/>
    </row>
    <row r="183" spans="1:129" x14ac:dyDescent="0.2">
      <c r="A183" s="51"/>
      <c r="B183"/>
      <c r="C183" s="29" t="s">
        <v>57</v>
      </c>
      <c r="D183" s="83"/>
      <c r="E183" s="202">
        <f t="shared" si="152"/>
        <v>0</v>
      </c>
      <c r="F183" s="202">
        <f t="shared" si="153"/>
        <v>0</v>
      </c>
      <c r="G183" s="199">
        <f t="shared" si="173"/>
        <v>0</v>
      </c>
      <c r="H183" s="193"/>
      <c r="I183" s="199">
        <f t="shared" si="163"/>
        <v>0</v>
      </c>
      <c r="J183" s="193"/>
      <c r="K183" s="193"/>
      <c r="L183" s="193"/>
      <c r="M183" s="193"/>
      <c r="N183" s="193"/>
      <c r="O183" s="193"/>
      <c r="P183" s="193"/>
      <c r="Q183" s="199">
        <f t="shared" si="164"/>
        <v>0</v>
      </c>
      <c r="R183" s="199">
        <f t="shared" si="165"/>
        <v>0</v>
      </c>
      <c r="S183" s="199">
        <f t="shared" si="166"/>
        <v>0</v>
      </c>
      <c r="T183" s="193"/>
      <c r="U183" s="193"/>
      <c r="V183" s="193"/>
      <c r="W183" s="193"/>
      <c r="X183" s="193"/>
      <c r="Y183" s="193"/>
      <c r="Z183" s="193"/>
      <c r="AA183" s="193"/>
      <c r="AB183" s="193"/>
      <c r="AC183" s="199"/>
      <c r="AD183" s="199"/>
      <c r="AE183" s="199"/>
      <c r="AF183" s="193"/>
      <c r="AG183" s="193"/>
      <c r="AH183" s="193"/>
      <c r="AI183" s="193"/>
      <c r="AJ183" s="193"/>
      <c r="AL183" s="51"/>
      <c r="AM183" s="51" t="s">
        <v>57</v>
      </c>
      <c r="AN183" s="51">
        <f>VLOOKUP(E183+Q183,'tab ar'!$A$1:$D$9,4,TRUE)</f>
        <v>1</v>
      </c>
      <c r="AO183" s="51"/>
      <c r="AP183" s="51"/>
      <c r="AQ183" s="51"/>
      <c r="AR183" s="51"/>
      <c r="AT183" s="29" t="s">
        <v>57</v>
      </c>
      <c r="AU183" s="83"/>
      <c r="AV183" s="202">
        <f t="shared" si="155"/>
        <v>0</v>
      </c>
      <c r="AW183" s="202">
        <f t="shared" si="156"/>
        <v>0</v>
      </c>
      <c r="AX183" s="199">
        <f t="shared" si="167"/>
        <v>0</v>
      </c>
      <c r="AY183" s="193"/>
      <c r="AZ183" s="199">
        <f t="shared" si="168"/>
        <v>0</v>
      </c>
      <c r="BA183" s="193"/>
      <c r="BB183" s="193"/>
      <c r="BC183" s="193"/>
      <c r="BD183" s="193"/>
      <c r="BE183" s="193"/>
      <c r="BF183" s="193"/>
      <c r="BG183" s="193"/>
      <c r="BH183" s="199">
        <f t="shared" si="169"/>
        <v>0</v>
      </c>
      <c r="BI183" s="199">
        <f t="shared" si="170"/>
        <v>0</v>
      </c>
      <c r="BJ183" s="199">
        <f t="shared" si="171"/>
        <v>0</v>
      </c>
      <c r="BK183" s="193"/>
      <c r="BL183" s="193"/>
      <c r="BM183" s="193"/>
      <c r="BN183" s="193"/>
      <c r="BO183" s="193"/>
      <c r="BP183" s="193"/>
      <c r="BQ183" s="193"/>
      <c r="BR183" s="193"/>
      <c r="BS183" s="193"/>
      <c r="BT183" s="199"/>
      <c r="BU183" s="199"/>
      <c r="BV183" s="199"/>
      <c r="BW183" s="193"/>
      <c r="BX183" s="193"/>
      <c r="BY183" s="193"/>
      <c r="BZ183" s="193"/>
      <c r="CA183" s="193"/>
      <c r="CB183"/>
      <c r="CC183" s="51"/>
      <c r="CD183" s="51" t="s">
        <v>57</v>
      </c>
      <c r="CE183" s="51">
        <f>VLOOKUP(AV183+BH183,'tab ar'!$A$1:$D$9,4,TRUE)</f>
        <v>1</v>
      </c>
      <c r="CF183" s="51"/>
      <c r="CG183" s="51"/>
      <c r="CH183" s="51"/>
      <c r="CI183" s="51"/>
      <c r="CK183" s="29" t="s">
        <v>57</v>
      </c>
      <c r="CL183" s="83"/>
      <c r="CM183" s="202">
        <f t="shared" si="157"/>
        <v>0</v>
      </c>
      <c r="CN183" s="202">
        <f t="shared" si="158"/>
        <v>0</v>
      </c>
      <c r="CO183" s="199">
        <f t="shared" si="159"/>
        <v>0</v>
      </c>
      <c r="CP183" s="193"/>
      <c r="CQ183" s="199">
        <f t="shared" si="172"/>
        <v>0</v>
      </c>
      <c r="CR183" s="193"/>
      <c r="CS183" s="193"/>
      <c r="CT183" s="193"/>
      <c r="CU183" s="193"/>
      <c r="CV183" s="193"/>
      <c r="CW183" s="193"/>
      <c r="CX183" s="193"/>
      <c r="CY183" s="199">
        <f t="shared" si="160"/>
        <v>0</v>
      </c>
      <c r="CZ183" s="199">
        <f t="shared" si="161"/>
        <v>0</v>
      </c>
      <c r="DA183" s="199">
        <f t="shared" si="162"/>
        <v>0</v>
      </c>
      <c r="DB183" s="193"/>
      <c r="DC183" s="193"/>
      <c r="DD183" s="193"/>
      <c r="DE183" s="193"/>
      <c r="DF183" s="193"/>
      <c r="DG183" s="193"/>
      <c r="DH183" s="193"/>
      <c r="DI183" s="193"/>
      <c r="DJ183" s="193"/>
      <c r="DK183" s="199"/>
      <c r="DL183" s="199"/>
      <c r="DM183" s="199"/>
      <c r="DN183" s="193"/>
      <c r="DO183" s="193"/>
      <c r="DP183" s="193"/>
      <c r="DQ183" s="193"/>
      <c r="DR183" s="193"/>
      <c r="DS183"/>
      <c r="DT183" s="51"/>
      <c r="DU183" s="51" t="s">
        <v>57</v>
      </c>
      <c r="DV183" s="51">
        <f>VLOOKUP(CM183+CY183,'tab ar'!$A$1:$D$9,4,TRUE)</f>
        <v>1</v>
      </c>
      <c r="DW183" s="51"/>
      <c r="DX183" s="51"/>
      <c r="DY183" s="51"/>
    </row>
    <row r="184" spans="1:129" x14ac:dyDescent="0.2">
      <c r="A184" s="51"/>
      <c r="B184"/>
      <c r="C184" s="29" t="s">
        <v>58</v>
      </c>
      <c r="D184" s="83"/>
      <c r="E184" s="202">
        <f t="shared" si="152"/>
        <v>0</v>
      </c>
      <c r="F184" s="202">
        <f t="shared" si="153"/>
        <v>0</v>
      </c>
      <c r="G184" s="199">
        <f>IF(E184=0,0,IF(E184=1,F184,((E184-1)*F184*0.6/E184)+F184/E184))</f>
        <v>0</v>
      </c>
      <c r="H184" s="193"/>
      <c r="I184" s="199">
        <f>SUM(F184*E184,R184*Q184)</f>
        <v>0</v>
      </c>
      <c r="J184" s="193"/>
      <c r="K184" s="193"/>
      <c r="L184" s="193"/>
      <c r="M184" s="193"/>
      <c r="N184" s="193"/>
      <c r="O184" s="193"/>
      <c r="P184" s="193"/>
      <c r="Q184" s="199">
        <f t="shared" si="164"/>
        <v>0</v>
      </c>
      <c r="R184" s="199">
        <f t="shared" si="165"/>
        <v>0</v>
      </c>
      <c r="S184" s="199">
        <f>IF(Q184=0,0,IF(Q184=1,R184,((Q184-1)*R184*0.6/Q184)+R184/Q184))</f>
        <v>0</v>
      </c>
      <c r="T184" s="193"/>
      <c r="U184" s="193"/>
      <c r="V184" s="193"/>
      <c r="W184" s="193"/>
      <c r="X184" s="193"/>
      <c r="Y184" s="193"/>
      <c r="Z184" s="193"/>
      <c r="AA184" s="193"/>
      <c r="AB184" s="193"/>
      <c r="AC184" s="199"/>
      <c r="AD184" s="199"/>
      <c r="AE184" s="199"/>
      <c r="AF184" s="193"/>
      <c r="AG184" s="193"/>
      <c r="AH184" s="193"/>
      <c r="AI184" s="193"/>
      <c r="AJ184" s="193"/>
      <c r="AL184" s="51"/>
      <c r="AM184" s="51" t="s">
        <v>58</v>
      </c>
      <c r="AN184" s="51">
        <f>IF(Q184=0,0,IF(Q184=1,R184,((Q184-1)*R184*0.6)+R184))</f>
        <v>0</v>
      </c>
      <c r="AO184" s="51"/>
      <c r="AP184" s="51"/>
      <c r="AQ184" s="51"/>
      <c r="AR184" s="51"/>
      <c r="AT184" s="29" t="s">
        <v>58</v>
      </c>
      <c r="AU184" s="83"/>
      <c r="AV184" s="202">
        <f t="shared" si="155"/>
        <v>0</v>
      </c>
      <c r="AW184" s="202">
        <f t="shared" si="156"/>
        <v>0</v>
      </c>
      <c r="AX184" s="199">
        <f>IF(AV184=0,0,IF(AV184=1,AW184,((AV184-1)*AW184*0.6/AV184)+AW184/AV184))</f>
        <v>0</v>
      </c>
      <c r="AY184" s="193"/>
      <c r="AZ184" s="199">
        <f>SUM(AW184*AV184,BI184*BH184)</f>
        <v>0</v>
      </c>
      <c r="BA184" s="193"/>
      <c r="BB184" s="193"/>
      <c r="BC184" s="193"/>
      <c r="BD184" s="193"/>
      <c r="BE184" s="193"/>
      <c r="BF184" s="193"/>
      <c r="BG184" s="193"/>
      <c r="BH184" s="199">
        <f t="shared" si="169"/>
        <v>0</v>
      </c>
      <c r="BI184" s="199">
        <f t="shared" si="170"/>
        <v>0</v>
      </c>
      <c r="BJ184" s="199">
        <f>IF(BH184=0,0,IF(BH184=1,BI184,((BH184-1)*BI184*0.6/BH184)+BI184/BH184))</f>
        <v>0</v>
      </c>
      <c r="BK184" s="193"/>
      <c r="BL184" s="193"/>
      <c r="BM184" s="193"/>
      <c r="BN184" s="193"/>
      <c r="BO184" s="193"/>
      <c r="BP184" s="193"/>
      <c r="BQ184" s="193"/>
      <c r="BR184" s="193"/>
      <c r="BS184" s="193"/>
      <c r="BT184" s="199"/>
      <c r="BU184" s="199"/>
      <c r="BV184" s="199"/>
      <c r="BW184" s="193"/>
      <c r="BX184" s="193"/>
      <c r="BY184" s="193"/>
      <c r="BZ184" s="193"/>
      <c r="CA184" s="193"/>
      <c r="CB184"/>
      <c r="CC184" s="51"/>
      <c r="CD184" s="51" t="s">
        <v>58</v>
      </c>
      <c r="CE184" s="51">
        <f>IF(BH184=0,0,IF(BH184=1,BI184,((BH184-1)*BI184*0.6)+BI184))</f>
        <v>0</v>
      </c>
      <c r="CF184" s="51"/>
      <c r="CG184" s="51"/>
      <c r="CH184" s="51"/>
      <c r="CI184" s="51"/>
      <c r="CK184" s="29" t="s">
        <v>58</v>
      </c>
      <c r="CL184" s="83"/>
      <c r="CM184" s="202">
        <f t="shared" si="157"/>
        <v>0</v>
      </c>
      <c r="CN184" s="202">
        <f t="shared" si="158"/>
        <v>0</v>
      </c>
      <c r="CO184" s="199">
        <f>IF(CM184=0,0,IF(CM184=1,CN184,((CM184-1)*CN184*0.6/CM184)+CN184/CM184))</f>
        <v>0</v>
      </c>
      <c r="CP184" s="193"/>
      <c r="CQ184" s="199">
        <f>SUM(CN184*CM184,CZ184*CY184)</f>
        <v>0</v>
      </c>
      <c r="CR184" s="193"/>
      <c r="CS184" s="193"/>
      <c r="CT184" s="193"/>
      <c r="CU184" s="193"/>
      <c r="CV184" s="193"/>
      <c r="CW184" s="193"/>
      <c r="CX184" s="193"/>
      <c r="CY184" s="199">
        <f t="shared" si="160"/>
        <v>0</v>
      </c>
      <c r="CZ184" s="199">
        <f t="shared" si="161"/>
        <v>0</v>
      </c>
      <c r="DA184" s="199">
        <f>IF(CY184=0,0,IF(CY184=1,CZ184,((CY184-1)*CZ184*0.6/CY184)+CZ184/CY184))</f>
        <v>0</v>
      </c>
      <c r="DB184" s="193"/>
      <c r="DC184" s="193"/>
      <c r="DD184" s="193"/>
      <c r="DE184" s="193"/>
      <c r="DF184" s="193"/>
      <c r="DG184" s="193"/>
      <c r="DH184" s="193"/>
      <c r="DI184" s="193"/>
      <c r="DJ184" s="193"/>
      <c r="DK184" s="199"/>
      <c r="DL184" s="199"/>
      <c r="DM184" s="199"/>
      <c r="DN184" s="193"/>
      <c r="DO184" s="193"/>
      <c r="DP184" s="193"/>
      <c r="DQ184" s="193"/>
      <c r="DR184" s="193"/>
      <c r="DS184"/>
      <c r="DT184" s="51"/>
      <c r="DU184" s="51" t="s">
        <v>58</v>
      </c>
      <c r="DV184" s="51">
        <f>IF(CY184=0,0,IF(CY184=1,CZ184,((CY184-1)*CZ184*0.6)+CZ184))</f>
        <v>0</v>
      </c>
      <c r="DW184" s="51"/>
      <c r="DX184" s="51"/>
      <c r="DY184" s="51"/>
    </row>
    <row r="185" spans="1:129" x14ac:dyDescent="0.2">
      <c r="A185" s="51"/>
      <c r="B185"/>
      <c r="C185" s="30" t="s">
        <v>59</v>
      </c>
      <c r="D185" s="83"/>
      <c r="E185" s="202">
        <f t="shared" si="152"/>
        <v>0</v>
      </c>
      <c r="F185" s="202">
        <f t="shared" si="153"/>
        <v>0</v>
      </c>
      <c r="G185" s="199">
        <f t="shared" si="173"/>
        <v>0</v>
      </c>
      <c r="H185" s="193"/>
      <c r="I185" s="199">
        <f t="shared" si="163"/>
        <v>0</v>
      </c>
      <c r="J185" s="193"/>
      <c r="K185" s="193"/>
      <c r="L185" s="193"/>
      <c r="M185" s="193"/>
      <c r="N185" s="193"/>
      <c r="O185" s="193"/>
      <c r="P185" s="193"/>
      <c r="Q185" s="199">
        <f t="shared" si="164"/>
        <v>0</v>
      </c>
      <c r="R185" s="199">
        <f t="shared" si="165"/>
        <v>0</v>
      </c>
      <c r="S185" s="199">
        <f t="shared" si="166"/>
        <v>0</v>
      </c>
      <c r="T185" s="193"/>
      <c r="U185" s="193"/>
      <c r="V185" s="193"/>
      <c r="W185" s="193"/>
      <c r="X185" s="193"/>
      <c r="Y185" s="193"/>
      <c r="Z185" s="193"/>
      <c r="AA185" s="193"/>
      <c r="AB185" s="193"/>
      <c r="AC185" s="199"/>
      <c r="AD185" s="199"/>
      <c r="AE185" s="199"/>
      <c r="AF185" s="193"/>
      <c r="AG185" s="193"/>
      <c r="AH185" s="193"/>
      <c r="AI185" s="193"/>
      <c r="AJ185" s="193"/>
      <c r="AL185" s="51"/>
      <c r="AM185" s="51" t="s">
        <v>59</v>
      </c>
      <c r="AN185" s="51">
        <v>1</v>
      </c>
      <c r="AO185" s="51"/>
      <c r="AP185" s="51"/>
      <c r="AQ185" s="51"/>
      <c r="AR185" s="51"/>
      <c r="AT185" s="30" t="s">
        <v>59</v>
      </c>
      <c r="AU185" s="83"/>
      <c r="AV185" s="202">
        <f t="shared" si="155"/>
        <v>0</v>
      </c>
      <c r="AW185" s="202">
        <f t="shared" si="156"/>
        <v>0</v>
      </c>
      <c r="AX185" s="199">
        <f t="shared" si="167"/>
        <v>0</v>
      </c>
      <c r="AY185" s="193"/>
      <c r="AZ185" s="199">
        <f t="shared" si="168"/>
        <v>0</v>
      </c>
      <c r="BA185" s="193"/>
      <c r="BB185" s="193"/>
      <c r="BC185" s="193"/>
      <c r="BD185" s="193"/>
      <c r="BE185" s="193"/>
      <c r="BF185" s="193"/>
      <c r="BG185" s="193"/>
      <c r="BH185" s="199">
        <f t="shared" si="169"/>
        <v>0</v>
      </c>
      <c r="BI185" s="199">
        <f t="shared" si="170"/>
        <v>0</v>
      </c>
      <c r="BJ185" s="199">
        <f t="shared" si="171"/>
        <v>0</v>
      </c>
      <c r="BK185" s="193"/>
      <c r="BL185" s="193"/>
      <c r="BM185" s="193"/>
      <c r="BN185" s="193"/>
      <c r="BO185" s="193"/>
      <c r="BP185" s="193"/>
      <c r="BQ185" s="193"/>
      <c r="BR185" s="193"/>
      <c r="BS185" s="193"/>
      <c r="BT185" s="199"/>
      <c r="BU185" s="199"/>
      <c r="BV185" s="199"/>
      <c r="BW185" s="193"/>
      <c r="BX185" s="193"/>
      <c r="BY185" s="193"/>
      <c r="BZ185" s="193"/>
      <c r="CA185" s="193"/>
      <c r="CB185"/>
      <c r="CC185" s="51"/>
      <c r="CD185" s="51" t="s">
        <v>59</v>
      </c>
      <c r="CE185" s="51">
        <v>1</v>
      </c>
      <c r="CF185" s="51"/>
      <c r="CG185" s="51"/>
      <c r="CH185" s="51"/>
      <c r="CI185" s="51"/>
      <c r="CK185" s="30" t="s">
        <v>59</v>
      </c>
      <c r="CL185" s="83"/>
      <c r="CM185" s="202">
        <f t="shared" si="157"/>
        <v>0</v>
      </c>
      <c r="CN185" s="202">
        <f t="shared" si="158"/>
        <v>0</v>
      </c>
      <c r="CO185" s="199">
        <f>CN185*DV185</f>
        <v>0</v>
      </c>
      <c r="CP185" s="193"/>
      <c r="CQ185" s="199">
        <f t="shared" si="172"/>
        <v>0</v>
      </c>
      <c r="CR185" s="193"/>
      <c r="CS185" s="193"/>
      <c r="CT185" s="193"/>
      <c r="CU185" s="193"/>
      <c r="CV185" s="193"/>
      <c r="CW185" s="193"/>
      <c r="CX185" s="193"/>
      <c r="CY185" s="199">
        <f t="shared" si="160"/>
        <v>0</v>
      </c>
      <c r="CZ185" s="199">
        <f t="shared" si="161"/>
        <v>0</v>
      </c>
      <c r="DA185" s="199">
        <f>CZ185*DV185</f>
        <v>0</v>
      </c>
      <c r="DB185" s="193"/>
      <c r="DC185" s="193"/>
      <c r="DD185" s="193"/>
      <c r="DE185" s="193"/>
      <c r="DF185" s="193"/>
      <c r="DG185" s="193"/>
      <c r="DH185" s="193"/>
      <c r="DI185" s="193"/>
      <c r="DJ185" s="193"/>
      <c r="DK185" s="199"/>
      <c r="DL185" s="199"/>
      <c r="DM185" s="199"/>
      <c r="DN185" s="193"/>
      <c r="DO185" s="193"/>
      <c r="DP185" s="193"/>
      <c r="DQ185" s="193"/>
      <c r="DR185" s="193"/>
      <c r="DS185"/>
      <c r="DT185" s="51"/>
      <c r="DU185" s="51" t="s">
        <v>59</v>
      </c>
      <c r="DV185" s="51">
        <v>1</v>
      </c>
      <c r="DW185" s="51"/>
      <c r="DX185" s="51"/>
      <c r="DY185" s="51"/>
    </row>
    <row r="186" spans="1:129" ht="13.5" thickBot="1" x14ac:dyDescent="0.25">
      <c r="A186" s="51"/>
      <c r="B186"/>
      <c r="C186" s="31"/>
      <c r="D186" s="86"/>
      <c r="E186" s="203"/>
      <c r="F186" s="203"/>
      <c r="G186" s="91">
        <f>SUM(G168:G185)</f>
        <v>0</v>
      </c>
      <c r="H186" s="62"/>
      <c r="I186" s="297">
        <f>SUM(I168:I185)</f>
        <v>0</v>
      </c>
      <c r="J186" s="86"/>
      <c r="K186" s="61"/>
      <c r="L186" s="61"/>
      <c r="M186" s="86"/>
      <c r="N186" s="61"/>
      <c r="O186" s="61"/>
      <c r="P186" s="86"/>
      <c r="Q186" s="61"/>
      <c r="R186" s="61"/>
      <c r="S186" s="297">
        <f>SUM(S168:S185)</f>
        <v>0</v>
      </c>
      <c r="T186" s="61"/>
      <c r="U186" s="61"/>
      <c r="V186" s="86"/>
      <c r="W186" s="61"/>
      <c r="X186" s="61"/>
      <c r="Y186" s="86"/>
      <c r="Z186" s="61"/>
      <c r="AA186" s="61"/>
      <c r="AB186" s="86"/>
      <c r="AC186" s="203"/>
      <c r="AD186" s="203"/>
      <c r="AE186" s="86"/>
      <c r="AF186" s="61"/>
      <c r="AG186" s="61"/>
      <c r="AH186" s="91"/>
      <c r="AI186" s="62"/>
      <c r="AJ186" s="62"/>
      <c r="AL186" s="51"/>
      <c r="AR186" s="51"/>
      <c r="AT186" s="31"/>
      <c r="AU186" s="86"/>
      <c r="AV186" s="203"/>
      <c r="AW186" s="203"/>
      <c r="AX186" s="91">
        <f>SUM(AX168:AX185)</f>
        <v>0</v>
      </c>
      <c r="AY186" s="62"/>
      <c r="AZ186" s="297">
        <f>SUM(AZ168:AZ185)</f>
        <v>0</v>
      </c>
      <c r="BA186" s="86"/>
      <c r="BB186" s="61"/>
      <c r="BC186" s="61"/>
      <c r="BD186" s="86"/>
      <c r="BE186" s="61"/>
      <c r="BF186" s="61"/>
      <c r="BG186" s="86"/>
      <c r="BH186" s="61"/>
      <c r="BI186" s="61"/>
      <c r="BJ186" s="86"/>
      <c r="BK186" s="61"/>
      <c r="BL186" s="61"/>
      <c r="BM186" s="86"/>
      <c r="BN186" s="61"/>
      <c r="BO186" s="61"/>
      <c r="BP186" s="86"/>
      <c r="BQ186" s="61"/>
      <c r="BR186" s="61"/>
      <c r="BS186" s="86"/>
      <c r="BT186" s="203"/>
      <c r="BU186" s="203"/>
      <c r="BV186" s="86"/>
      <c r="BW186" s="61"/>
      <c r="BX186" s="61"/>
      <c r="BY186" s="91"/>
      <c r="BZ186" s="62"/>
      <c r="CA186" s="62"/>
      <c r="CB186"/>
      <c r="CC186" s="51"/>
      <c r="CD186"/>
      <c r="CG186"/>
      <c r="CI186" s="51"/>
      <c r="CK186" s="31"/>
      <c r="CL186" s="86"/>
      <c r="CM186" s="203"/>
      <c r="CN186" s="203"/>
      <c r="CO186" s="91">
        <f>SUM(CO168:CO185)</f>
        <v>0</v>
      </c>
      <c r="CP186" s="62"/>
      <c r="CQ186" s="297">
        <f>SUM(CQ168:CQ185)</f>
        <v>0</v>
      </c>
      <c r="CR186" s="86"/>
      <c r="CS186" s="61"/>
      <c r="CT186" s="61"/>
      <c r="CU186" s="86"/>
      <c r="CV186" s="61"/>
      <c r="CW186" s="61"/>
      <c r="CX186" s="86"/>
      <c r="CY186" s="61"/>
      <c r="CZ186" s="61"/>
      <c r="DA186" s="86"/>
      <c r="DB186" s="61"/>
      <c r="DC186" s="61"/>
      <c r="DD186" s="86"/>
      <c r="DE186" s="61"/>
      <c r="DF186" s="61"/>
      <c r="DG186" s="86"/>
      <c r="DH186" s="61"/>
      <c r="DI186" s="61"/>
      <c r="DJ186" s="86"/>
      <c r="DK186" s="203"/>
      <c r="DL186" s="203"/>
      <c r="DM186" s="86"/>
      <c r="DN186" s="61"/>
      <c r="DO186" s="61"/>
      <c r="DP186" s="91"/>
      <c r="DQ186" s="62"/>
      <c r="DR186" s="62"/>
      <c r="DS186"/>
      <c r="DT186" s="51"/>
      <c r="DV186"/>
      <c r="DW186"/>
      <c r="DX186"/>
      <c r="DY186"/>
    </row>
    <row r="187" spans="1:129" ht="13.5" thickBot="1" x14ac:dyDescent="0.25">
      <c r="A187" s="51"/>
      <c r="B187"/>
      <c r="C187" s="21" t="s">
        <v>60</v>
      </c>
      <c r="D187" s="85"/>
      <c r="E187" s="206"/>
      <c r="F187" s="204"/>
      <c r="G187" s="20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204"/>
      <c r="AD187" s="204"/>
      <c r="AE187" s="204"/>
      <c r="AF187" s="194"/>
      <c r="AG187" s="194"/>
      <c r="AH187" s="194"/>
      <c r="AI187" s="194"/>
      <c r="AJ187" s="194"/>
      <c r="AL187" s="51"/>
      <c r="AR187" s="51"/>
      <c r="AT187" s="21" t="s">
        <v>60</v>
      </c>
      <c r="AU187" s="85"/>
      <c r="AV187" s="206"/>
      <c r="AW187" s="204"/>
      <c r="AX187" s="204"/>
      <c r="AY187" s="194"/>
      <c r="AZ187" s="194"/>
      <c r="BA187" s="194"/>
      <c r="BB187" s="194"/>
      <c r="BC187" s="194"/>
      <c r="BD187" s="194"/>
      <c r="BE187" s="194"/>
      <c r="BF187" s="194"/>
      <c r="BG187" s="194"/>
      <c r="BH187" s="194"/>
      <c r="BI187" s="194"/>
      <c r="BJ187" s="194"/>
      <c r="BK187" s="194"/>
      <c r="BL187" s="194"/>
      <c r="BM187" s="194"/>
      <c r="BN187" s="194"/>
      <c r="BO187" s="194"/>
      <c r="BP187" s="194"/>
      <c r="BQ187" s="194"/>
      <c r="BR187" s="194"/>
      <c r="BS187" s="194"/>
      <c r="BT187" s="204"/>
      <c r="BU187" s="204"/>
      <c r="BV187" s="204"/>
      <c r="BW187" s="194"/>
      <c r="BX187" s="194"/>
      <c r="BY187" s="194"/>
      <c r="BZ187" s="194"/>
      <c r="CA187" s="194"/>
      <c r="CB187"/>
      <c r="CC187" s="51"/>
      <c r="CD187"/>
      <c r="CG187"/>
      <c r="CI187" s="51"/>
      <c r="CK187" s="21" t="s">
        <v>60</v>
      </c>
      <c r="CL187" s="85"/>
      <c r="CM187" s="206"/>
      <c r="CN187" s="204"/>
      <c r="CO187" s="204"/>
      <c r="CP187" s="194"/>
      <c r="CQ187" s="194"/>
      <c r="CR187" s="194"/>
      <c r="CS187" s="194"/>
      <c r="CT187" s="194"/>
      <c r="CU187" s="194"/>
      <c r="CV187" s="194"/>
      <c r="CW187" s="194"/>
      <c r="CX187" s="194"/>
      <c r="CY187" s="194"/>
      <c r="CZ187" s="194"/>
      <c r="DA187" s="194"/>
      <c r="DB187" s="194"/>
      <c r="DC187" s="194"/>
      <c r="DD187" s="194"/>
      <c r="DE187" s="194"/>
      <c r="DF187" s="194"/>
      <c r="DG187" s="194"/>
      <c r="DH187" s="194"/>
      <c r="DI187" s="194"/>
      <c r="DJ187" s="194"/>
      <c r="DK187" s="204"/>
      <c r="DL187" s="204"/>
      <c r="DM187" s="204"/>
      <c r="DN187" s="194"/>
      <c r="DO187" s="194"/>
      <c r="DP187" s="194"/>
      <c r="DQ187" s="194"/>
      <c r="DR187" s="194"/>
      <c r="DS187"/>
      <c r="DT187" s="51"/>
      <c r="DV187"/>
      <c r="DW187"/>
      <c r="DX187"/>
      <c r="DY187"/>
    </row>
    <row r="188" spans="1:129" ht="13.5" thickBot="1" x14ac:dyDescent="0.25">
      <c r="A188" s="51"/>
      <c r="B188"/>
      <c r="C188" s="22">
        <v>0.33333333333333298</v>
      </c>
      <c r="D188" s="83">
        <f>$B$33</f>
        <v>0.61</v>
      </c>
      <c r="E188" s="679">
        <f>SUM(IF($C$1="Residência",$C$33,0),IF($F$1="Residência",$F$33,0),IF($I$1="Residência",$I$33,0),IF($L$1="Residência",$L$33,0),IF($O$1="Residência",$O$33,0),IF($R$1="Residência",$R$33,0))</f>
        <v>0</v>
      </c>
      <c r="F188" s="680"/>
      <c r="G188" s="70">
        <f>IF($H$220=$DV$28,IF(E188&gt;0,((E188-1)*$BM$39*0.5)+$BM$39,E188*0.5*$BM$39),E188*0.5*$BM$39)</f>
        <v>0</v>
      </c>
      <c r="H188" s="70">
        <f>IF(E188&gt;0,1,0)*$A$33</f>
        <v>0</v>
      </c>
      <c r="I188" s="679">
        <f>E188*$BK$39</f>
        <v>0</v>
      </c>
      <c r="J188" s="680"/>
      <c r="K188" s="83"/>
      <c r="N188" s="116"/>
      <c r="O188" s="679">
        <f>SUM(IF($C$1="Residência",0,$C$33),IF($F$1="Residência",0,$F$33),IF($I$1="Residência",0,$I$33),IF($L$1="Residência",0,$L$33),IF($O$1="Residência",0,$O$33),IF($R$1="Residência",0,$R$33),IF($E$67="TRIFÁSICA",$C$67,0))</f>
        <v>0</v>
      </c>
      <c r="P188" s="680"/>
      <c r="Q188" s="70">
        <f>IF($H$220=$DV$28,IF(AND(O188&gt;0,$E$188&lt;1),((O188-1)*$BM$39*0.5)+$BM$39,O188*0.5*$BM$39),O188*0.5*$BM$39)</f>
        <v>0</v>
      </c>
      <c r="R188" s="70">
        <f>IF(O188&gt;0,1,0)*$A$33</f>
        <v>0</v>
      </c>
      <c r="S188" s="679">
        <f>O188*$BK$39</f>
        <v>0</v>
      </c>
      <c r="T188" s="680"/>
      <c r="U188" s="689"/>
      <c r="V188" s="690"/>
      <c r="W188" s="679">
        <f>SUM(IF($C$1="Residência",$C$33,0),IF($F$1="Residência",$F$33,0),IF($I$1="Residência",$I$33,0),IF($L$1="Residência",$L$33,0),IF($O$1="Residência",$O$33,0),IF($R$1="Residência",$R$33,0))</f>
        <v>0</v>
      </c>
      <c r="X188" s="680"/>
      <c r="Y188" s="70">
        <f>IF($H$220=$DV$28,IF(W188&gt;0,((W188-1)*$BM$39*0.5)+$BM$39,W188*0.5*$BM$39),W188*0.5*$BM$39)</f>
        <v>0</v>
      </c>
      <c r="Z188" s="70">
        <f>IF(W188&gt;0,1,0)*$A$33</f>
        <v>0</v>
      </c>
      <c r="AA188" s="679">
        <f>W188*$BK$39</f>
        <v>0</v>
      </c>
      <c r="AB188" s="680"/>
      <c r="AC188" s="83"/>
      <c r="AF188" s="116"/>
      <c r="AG188" s="679">
        <f>SUM(IF($C$1="Residência",0,$C$33),IF($F$1="Residência",0,$F$33),IF($I$1="Residência",0,$I$33),IF($L$1="Residência",0,$L$33),IF($O$1="Residência",0,$O$33),IF($R$1="Residência",0,$R$33))</f>
        <v>0</v>
      </c>
      <c r="AH188" s="680"/>
      <c r="AI188" s="70">
        <f>IF($H$220=$DV$28,IF(AND(AG188&gt;0,$E$188&lt;1),((AG188-1)*$BM$39*0.5)+$BM$39,AG188*0.5*$BM$39),AG188*0.5*$BM$39)</f>
        <v>0</v>
      </c>
      <c r="AJ188" s="70">
        <f>IF(AG188&gt;0,1,0)*$A$33</f>
        <v>0</v>
      </c>
      <c r="AK188" s="679">
        <f>AG188*$BK$39</f>
        <v>0</v>
      </c>
      <c r="AL188" s="680"/>
      <c r="AR188" s="51"/>
      <c r="AT188" s="22">
        <v>0.33333333333333298</v>
      </c>
      <c r="AU188" s="83">
        <f>$B$33</f>
        <v>0.61</v>
      </c>
      <c r="AV188" s="679">
        <f t="shared" ref="AV188:AV204" si="174">SUM(IF($C$1="Residência",C33,0),IF($I$1="Residência",I33,0),IF($F$1="Residência",F33,0))</f>
        <v>0</v>
      </c>
      <c r="AW188" s="680"/>
      <c r="AX188" s="70">
        <f>IF($AY$220=$DV$28,IF(AV188&gt;0,((AV188-1)*$BM$39*0.5)+$BM$39,AV188*0.5*$BM$39),AV188*0.5*$BM$39)</f>
        <v>0</v>
      </c>
      <c r="AY188" s="70">
        <f>IF(AV188&gt;0,1,0)*$A$33</f>
        <v>0</v>
      </c>
      <c r="AZ188" s="679">
        <f>AV188*$BK$39</f>
        <v>0</v>
      </c>
      <c r="BA188" s="680"/>
      <c r="BB188" s="83"/>
      <c r="BE188" s="116"/>
      <c r="BF188" s="679">
        <f t="shared" ref="BF188:BF204" si="175">SUM(IF($C$1="Residência",0,C33),IF($I$1="Residência",0,I33),IF($F$1="Residência",0,F33))</f>
        <v>0</v>
      </c>
      <c r="BG188" s="680"/>
      <c r="BH188" s="70">
        <f>IF($AY$220=$DV$28,IF(AND(BF188&gt;0,AV188&lt;1),((BF188-1)*$BM$39*0.5)+$BM$39,BF188*0.5*$BM$39),BF188*0.5*$BM$39)</f>
        <v>0</v>
      </c>
      <c r="BI188" s="70">
        <f>IF(BF188&gt;0,1,0)*$A$33</f>
        <v>0</v>
      </c>
      <c r="BJ188" s="679">
        <f>BF188*$BK$39</f>
        <v>0</v>
      </c>
      <c r="BK188" s="680"/>
      <c r="BL188" s="689"/>
      <c r="BM188" s="690"/>
      <c r="BN188" s="83"/>
      <c r="BO188" s="395"/>
      <c r="BP188" s="396"/>
      <c r="BQ188" s="83"/>
      <c r="BR188" s="691"/>
      <c r="BS188" s="692"/>
      <c r="CB188"/>
      <c r="CC188" s="51"/>
      <c r="CD188"/>
      <c r="CG188"/>
      <c r="CI188" s="51"/>
      <c r="CK188" s="22">
        <v>0.33333333333333298</v>
      </c>
      <c r="CL188" s="83">
        <f>$B$33</f>
        <v>0.61</v>
      </c>
      <c r="CM188" s="679">
        <f t="shared" ref="CM188:CM204" si="176">SUM(IF($O$1="Residência",O33,0),IF($L$1="Residência",L33,0),IF($R$1="Residência",R33,0))</f>
        <v>0</v>
      </c>
      <c r="CN188" s="680"/>
      <c r="CO188" s="70">
        <f>IF($CP$220=$DV$28,IF(CM188&gt;0,((CM188-1)*$BM$39*0.5)+$BM$39,CM188*0.5*$BM$39),CM188*0.5*$BM$39)</f>
        <v>0</v>
      </c>
      <c r="CP188" s="70">
        <f>IF(CM188&gt;0,1,0)*$A$33</f>
        <v>0</v>
      </c>
      <c r="CQ188" s="679">
        <f>CM188*$BK$39</f>
        <v>0</v>
      </c>
      <c r="CR188" s="680"/>
      <c r="CS188" s="83"/>
      <c r="CV188" s="116"/>
      <c r="CW188" s="679">
        <f t="shared" ref="CW188:CW204" si="177">SUM(IF($O$1="Residência",0,O33),IF($L$1="Residência",0,L33),IF($R$1="Residência",0,R33))</f>
        <v>0</v>
      </c>
      <c r="CX188" s="680"/>
      <c r="CY188" s="70">
        <f>IF($CP$220=$DV$28,IF(AND(CW188&gt;0,CM188&lt;1),((CW188-1)*$BM$39*0.5)+$BM$39,CW188*0.5*$BM$39),CW188*0.5*$BM$39)</f>
        <v>0</v>
      </c>
      <c r="CZ188" s="70">
        <f>IF(CW188&gt;0,1,0)*$A$33</f>
        <v>0</v>
      </c>
      <c r="DA188" s="679">
        <f>CW188*$BK$39</f>
        <v>0</v>
      </c>
      <c r="DB188" s="680"/>
      <c r="DC188" s="689"/>
      <c r="DD188" s="690"/>
      <c r="DE188" s="83"/>
      <c r="DF188" s="691"/>
      <c r="DG188" s="692"/>
      <c r="DH188" s="83"/>
      <c r="DI188" s="691"/>
      <c r="DJ188" s="692"/>
      <c r="DP188"/>
      <c r="DQ188"/>
      <c r="DR188"/>
      <c r="DS188"/>
      <c r="DT188" s="51"/>
      <c r="DV188"/>
      <c r="DW188"/>
      <c r="DX188"/>
      <c r="DY188"/>
    </row>
    <row r="189" spans="1:129" ht="13.5" thickBot="1" x14ac:dyDescent="0.25">
      <c r="B189"/>
      <c r="C189" s="22">
        <v>0.5</v>
      </c>
      <c r="D189" s="83">
        <f>$B$34</f>
        <v>0.66</v>
      </c>
      <c r="E189" s="679">
        <f>SUM(IF($C$1="Residência",$C$34,0),IF($F$1="Residência",$F$34,0),IF($I$1="Residência",$I$34,0),IF($L$1="Residência",$L$34,0),IF($O$1="Residência",$O$34,0),IF($R$1="Residência",$R$34,0))</f>
        <v>0</v>
      </c>
      <c r="F189" s="680"/>
      <c r="G189" s="70">
        <f>IF($H$220=$DV$29,IF(E189&gt;0,((E189-1)*$BM$40*0.5)+$BM$40,E189*0.5*$BM$40),E189*0.5*$BM$40)</f>
        <v>0</v>
      </c>
      <c r="H189" s="70">
        <f>IF(E189&gt;0,1,0)*$A$34</f>
        <v>0</v>
      </c>
      <c r="I189" s="679">
        <f>E189*$BK$40</f>
        <v>0</v>
      </c>
      <c r="J189" s="680"/>
      <c r="K189" s="83"/>
      <c r="N189" s="116"/>
      <c r="O189" s="679">
        <f>SUM(IF($C$1="Residência",0,$C$34),IF($F$1="Residência",0,$F$34),IF($I$1="Residência",0,$I$34),IF($L$1="Residência",0,$L$34),IF($O$1="Residência",0,$O$34),IF($R$1="Residência",0,$R$34),IF($E$68="TRIFÁSICA",$C$68,0))</f>
        <v>0</v>
      </c>
      <c r="P189" s="680"/>
      <c r="Q189" s="70">
        <f>IF($H$220=$DV$29,IF(AND(O189&gt;0,$E$189&lt;1),((O189-1)*$BM$40*0.5)+$BM$40,0),O189*0.5*$BM$40)</f>
        <v>0</v>
      </c>
      <c r="R189" s="70">
        <f>IF(O189&gt;0,1,0)*$A$34</f>
        <v>0</v>
      </c>
      <c r="S189" s="679">
        <f>O189*$BK$40</f>
        <v>0</v>
      </c>
      <c r="T189" s="680"/>
      <c r="U189" s="689"/>
      <c r="V189" s="690"/>
      <c r="W189" s="679">
        <f>SUM(IF($C$1="Residência",$C$34,0),IF($F$1="Residência",$F$34,0),IF($I$1="Residência",$I$34,0),IF($L$1="Residência",$L$34,0),IF($O$1="Residência",$O$34,0),IF($R$1="Residência",$R$34,0))</f>
        <v>0</v>
      </c>
      <c r="X189" s="680"/>
      <c r="Y189" s="70">
        <f>IF($H$220=$DV$29,IF(W189&gt;0,((W189-1)*$BM$40*0.5)+$BM$40,W189*0.5*$BM$40),W189*0.5*$BM$40)</f>
        <v>0</v>
      </c>
      <c r="Z189" s="70">
        <f>IF(W189&gt;0,1,0)*$A$34</f>
        <v>0</v>
      </c>
      <c r="AA189" s="679">
        <f>W189*$BK$40</f>
        <v>0</v>
      </c>
      <c r="AB189" s="680"/>
      <c r="AC189" s="83"/>
      <c r="AF189" s="116"/>
      <c r="AG189" s="679">
        <f>SUM(IF($C$1="Residência",0,$C$34),IF($F$1="Residência",0,$F$34),IF($I$1="Residência",0,$I$34),IF($L$1="Residência",0,$L$34),IF($O$1="Residência",0,$O$34),IF($R$1="Residência",0,$R$34))</f>
        <v>0</v>
      </c>
      <c r="AH189" s="680"/>
      <c r="AI189" s="70">
        <f>IF($H$220=$DV$29,IF(AND(AG189&gt;0,$E$189&lt;1),((AG189-1)*$BM$40*0.5)+$BM$40,0),AG189*0.5*$BM$40)</f>
        <v>0</v>
      </c>
      <c r="AJ189" s="70">
        <f>IF(AG189&gt;0,1,0)*$A$34</f>
        <v>0</v>
      </c>
      <c r="AK189" s="679">
        <f>AG189*$BK$40</f>
        <v>0</v>
      </c>
      <c r="AL189" s="680"/>
      <c r="AT189" s="22">
        <v>0.5</v>
      </c>
      <c r="AU189" s="83">
        <f>$B$34</f>
        <v>0.66</v>
      </c>
      <c r="AV189" s="679">
        <f t="shared" si="174"/>
        <v>0</v>
      </c>
      <c r="AW189" s="680"/>
      <c r="AX189" s="70">
        <f>IF($AY$220=$DV$29,IF(AV189&gt;0,((AV189-1)*$BM$40*0.5)+$BM$40,AV189*0.5*$BM$40),AV189*0.5*$BM$40)</f>
        <v>0</v>
      </c>
      <c r="AY189" s="70">
        <f>IF(AV189&gt;0,1,0)*$A$34</f>
        <v>0</v>
      </c>
      <c r="AZ189" s="679">
        <f>AV189*$BK$40</f>
        <v>0</v>
      </c>
      <c r="BA189" s="680"/>
      <c r="BB189" s="83"/>
      <c r="BE189" s="116"/>
      <c r="BF189" s="679">
        <f t="shared" si="175"/>
        <v>0</v>
      </c>
      <c r="BG189" s="680"/>
      <c r="BH189" s="70">
        <f>IF($AY$220=$DV$29,IF(AND(BF189&gt;0,AV189&lt;1),((BF189-1)*$BM$40*0.5)+$BM$40,0),BF189*0.5*$BM$40)</f>
        <v>0</v>
      </c>
      <c r="BI189" s="70">
        <f>IF(BF189&gt;0,1,0)*$A$34</f>
        <v>0</v>
      </c>
      <c r="BJ189" s="679">
        <f>BF189*$BK$40</f>
        <v>0</v>
      </c>
      <c r="BK189" s="680"/>
      <c r="BL189" s="689"/>
      <c r="BM189" s="690"/>
      <c r="BN189" s="83"/>
      <c r="BO189" s="395"/>
      <c r="BP189" s="396"/>
      <c r="BQ189" s="83"/>
      <c r="BR189" s="691"/>
      <c r="BS189" s="692"/>
      <c r="CB189"/>
      <c r="CC189"/>
      <c r="CD189"/>
      <c r="CG189"/>
      <c r="CK189" s="22">
        <v>0.5</v>
      </c>
      <c r="CL189" s="83">
        <f>$B$34</f>
        <v>0.66</v>
      </c>
      <c r="CM189" s="679">
        <f t="shared" si="176"/>
        <v>0</v>
      </c>
      <c r="CN189" s="680"/>
      <c r="CO189" s="70">
        <f>IF($CP$220=$DV$29,IF(CM189&gt;0,((CM189-1)*$BM$40*0.5)+$BM$40,CM189*0.5*$BM$40),CM189*0.5*$BM$40)</f>
        <v>0</v>
      </c>
      <c r="CP189" s="70">
        <f>IF(CM189&gt;0,1,0)*$A$34</f>
        <v>0</v>
      </c>
      <c r="CQ189" s="679">
        <f>CM189*$BK$40</f>
        <v>0</v>
      </c>
      <c r="CR189" s="680"/>
      <c r="CS189" s="83"/>
      <c r="CV189" s="116"/>
      <c r="CW189" s="679">
        <f t="shared" si="177"/>
        <v>0</v>
      </c>
      <c r="CX189" s="680"/>
      <c r="CY189" s="70">
        <f>IF($CP$220=$DV$29,IF(AND(CW189&gt;0,CM189&lt;1),((CW189-1)*$BM$40*0.5)+$BM$40,0),CW189*0.5*$BM$40)</f>
        <v>0</v>
      </c>
      <c r="CZ189" s="70">
        <f>IF(CW189&gt;0,1,0)*$A$34</f>
        <v>0</v>
      </c>
      <c r="DA189" s="679">
        <f>CW189*$BK$40</f>
        <v>0</v>
      </c>
      <c r="DB189" s="680"/>
      <c r="DC189" s="689"/>
      <c r="DD189" s="690"/>
      <c r="DE189" s="83"/>
      <c r="DF189" s="691"/>
      <c r="DG189" s="692"/>
      <c r="DH189" s="83"/>
      <c r="DI189" s="691"/>
      <c r="DJ189" s="692"/>
      <c r="DP189"/>
      <c r="DQ189"/>
      <c r="DR189"/>
      <c r="DS189"/>
      <c r="DT189"/>
      <c r="DV189"/>
      <c r="DW189"/>
      <c r="DX189"/>
      <c r="DY189"/>
    </row>
    <row r="190" spans="1:129" ht="13.5" thickBot="1" x14ac:dyDescent="0.25">
      <c r="A190" s="51"/>
      <c r="B190"/>
      <c r="C190" s="22">
        <v>0.75</v>
      </c>
      <c r="D190" s="83">
        <f>$B$35</f>
        <v>0.66</v>
      </c>
      <c r="E190" s="679">
        <f>SUM(IF($C$1="Residência",$C$35,0),IF($F$1="Residência",$F$35,0),IF($I$1="Residência",$I$35,0),IF($L$1="Residência",$L$35,0),IF($O$1="Residência",$O$35,0),IF($R$1="Residência",$R$35,0))</f>
        <v>0</v>
      </c>
      <c r="F190" s="680"/>
      <c r="G190" s="70">
        <f>IF($H$220=$DV$30,IF(E190&gt;0,((E190-1)*$BM$41*0.5)+$BM$41,E190*0.5*$BM$41),E190*0.5*$BM$41)</f>
        <v>0</v>
      </c>
      <c r="H190" s="70">
        <f>IF(E190&gt;0,1,0)*$A$35</f>
        <v>0</v>
      </c>
      <c r="I190" s="679">
        <f>E190*$BK$41</f>
        <v>0</v>
      </c>
      <c r="J190" s="680"/>
      <c r="K190" s="83"/>
      <c r="N190" s="116"/>
      <c r="O190" s="679">
        <f>SUM(IF($C$1="Residência",0,$C$35),IF($F$1="Residência",0,$F$35),IF($I$1="Residência",0,$I$35),IF($L$1="Residência",0,$L$35),IF($O$1="Residência",0,$O$35),IF($R$1="Residência",0,$R$35),IF($E$69="TRIFÁSICA",$C$69,0))</f>
        <v>0</v>
      </c>
      <c r="P190" s="680"/>
      <c r="Q190" s="70">
        <f>IF($H$220=$DV$30,IF(AND(O190&gt;0,$E$190&lt;1),((O190-1)*$BM$41*0.5)+$BM$41,O190*0.5*$BM$41),O190*0.5*$BM$41)</f>
        <v>0</v>
      </c>
      <c r="R190" s="70">
        <f>IF(O190&gt;0,1,0)*$A$35</f>
        <v>0</v>
      </c>
      <c r="S190" s="679">
        <f>O190*$BK$41</f>
        <v>0</v>
      </c>
      <c r="T190" s="680"/>
      <c r="U190" s="689"/>
      <c r="V190" s="690"/>
      <c r="W190" s="679">
        <f>SUM(IF($C$1="Residência",$C$35,0),IF($F$1="Residência",$F$35,0),IF($I$1="Residência",$I$35,0),IF($L$1="Residência",$L$35,0),IF($O$1="Residência",$O$35,0),IF($R$1="Residência",$R$35,0))</f>
        <v>0</v>
      </c>
      <c r="X190" s="680"/>
      <c r="Y190" s="70">
        <f>IF($H$220=$DV$30,IF(W190&gt;0,((W190-1)*$BM$41*0.5)+$BM$41,W190*0.5*$BM$41),W190*0.5*$BM$41)</f>
        <v>0</v>
      </c>
      <c r="Z190" s="70">
        <f>IF(W190&gt;0,1,0)*$A$35</f>
        <v>0</v>
      </c>
      <c r="AA190" s="679">
        <f>W190*$BK$41</f>
        <v>0</v>
      </c>
      <c r="AB190" s="680"/>
      <c r="AC190" s="83"/>
      <c r="AF190" s="116"/>
      <c r="AG190" s="679">
        <f>SUM(IF($C$1="Residência",0,$C$35),IF($F$1="Residência",0,$F$35),IF($I$1="Residência",0,$I$35),IF($L$1="Residência",0,$L$35),IF($O$1="Residência",0,$O$35),IF($R$1="Residência",0,$R$35))</f>
        <v>0</v>
      </c>
      <c r="AH190" s="680"/>
      <c r="AI190" s="70">
        <f>IF($H$220=$DV$30,IF(AND(AG190&gt;0,$E$190&lt;1),((AG190-1)*$BM$41*0.5)+$BM$41,AG190*0.5*$BM$41),AG190*0.5*$BM$41)</f>
        <v>0</v>
      </c>
      <c r="AJ190" s="70">
        <f>IF(AG190&gt;0,1,0)*$A$35</f>
        <v>0</v>
      </c>
      <c r="AK190" s="679">
        <f>AG190*$BK$41</f>
        <v>0</v>
      </c>
      <c r="AL190" s="680"/>
      <c r="AR190" s="51"/>
      <c r="AT190" s="22">
        <v>0.75</v>
      </c>
      <c r="AU190" s="83">
        <f>$B$35</f>
        <v>0.66</v>
      </c>
      <c r="AV190" s="679">
        <f t="shared" si="174"/>
        <v>0</v>
      </c>
      <c r="AW190" s="680"/>
      <c r="AX190" s="70">
        <f>IF($AY$220=$DV$30,IF(AV190&gt;0,((AV190-1)*$BM$41*0.5)+$BM$41,AV190*0.5*$BM$41),AV190*0.5*$BM$41)</f>
        <v>0</v>
      </c>
      <c r="AY190" s="70">
        <f>IF(AV190&gt;0,1,0)*$A$35</f>
        <v>0</v>
      </c>
      <c r="AZ190" s="679">
        <f>AV190*$BK$41</f>
        <v>0</v>
      </c>
      <c r="BA190" s="680"/>
      <c r="BB190" s="83"/>
      <c r="BE190" s="116"/>
      <c r="BF190" s="679">
        <f t="shared" si="175"/>
        <v>0</v>
      </c>
      <c r="BG190" s="680"/>
      <c r="BH190" s="70">
        <f>IF($AY$220=$DV$30,IF(AND(BF190&gt;0,AV190&lt;1),((BF190-1)*$BM$41*0.5)+$BM$41,BF190*0.5*$BM$41),BF190*0.5*$BM$41)</f>
        <v>0</v>
      </c>
      <c r="BI190" s="70">
        <f>IF(BF190&gt;0,1,0)*$A$35</f>
        <v>0</v>
      </c>
      <c r="BJ190" s="679">
        <f>BF190*$BK$41</f>
        <v>0</v>
      </c>
      <c r="BK190" s="680"/>
      <c r="BL190" s="689"/>
      <c r="BM190" s="690"/>
      <c r="BN190" s="83"/>
      <c r="BO190" s="395"/>
      <c r="BP190" s="396"/>
      <c r="BQ190" s="83"/>
      <c r="BR190" s="691"/>
      <c r="BS190" s="692"/>
      <c r="CB190"/>
      <c r="CC190" s="51"/>
      <c r="CD190"/>
      <c r="CG190"/>
      <c r="CI190" s="51"/>
      <c r="CK190" s="22">
        <v>0.75</v>
      </c>
      <c r="CL190" s="83">
        <f>$B$35</f>
        <v>0.66</v>
      </c>
      <c r="CM190" s="679">
        <f t="shared" si="176"/>
        <v>0</v>
      </c>
      <c r="CN190" s="680"/>
      <c r="CO190" s="70">
        <f>IF($CP$220=$DV$30,IF(CM190&gt;0,((CM190-1)*$BM$41*0.5)+$BM$41,CM190*0.5*$BM$41),CM190*0.5*$BM$41)</f>
        <v>0</v>
      </c>
      <c r="CP190" s="70">
        <f>IF(CM190&gt;0,1,0)*$A$35</f>
        <v>0</v>
      </c>
      <c r="CQ190" s="679">
        <f>CM190*$BK$41</f>
        <v>0</v>
      </c>
      <c r="CR190" s="680"/>
      <c r="CS190" s="83"/>
      <c r="CV190" s="116"/>
      <c r="CW190" s="679">
        <f t="shared" si="177"/>
        <v>0</v>
      </c>
      <c r="CX190" s="680"/>
      <c r="CY190" s="70">
        <f>IF($CP$220=$DV$30,IF(AND(CW190&gt;0,CM190&lt;1),((CW190-1)*$BM$41*0.5)+$BM$41,CW190*0.5*$BM$41),CW190*0.5*$BM$41)</f>
        <v>0</v>
      </c>
      <c r="CZ190" s="70">
        <f>IF(CW190&gt;0,1,0)*$A$35</f>
        <v>0</v>
      </c>
      <c r="DA190" s="679">
        <f>CW190*$BK$41</f>
        <v>0</v>
      </c>
      <c r="DB190" s="680"/>
      <c r="DC190" s="689"/>
      <c r="DD190" s="690"/>
      <c r="DE190" s="83"/>
      <c r="DF190" s="691"/>
      <c r="DG190" s="692"/>
      <c r="DH190" s="83"/>
      <c r="DI190" s="691"/>
      <c r="DJ190" s="692"/>
      <c r="DP190"/>
      <c r="DQ190"/>
      <c r="DR190"/>
      <c r="DS190"/>
      <c r="DT190" s="51"/>
      <c r="DV190"/>
      <c r="DW190"/>
      <c r="DX190"/>
      <c r="DY190"/>
    </row>
    <row r="191" spans="1:129" ht="13.5" thickBot="1" x14ac:dyDescent="0.25">
      <c r="A191" s="51"/>
      <c r="B191"/>
      <c r="C191" s="22">
        <v>1</v>
      </c>
      <c r="D191" s="83">
        <f>$B$36</f>
        <v>0.69</v>
      </c>
      <c r="E191" s="679">
        <f>SUM(IF($C$1="Residência",$C$36,0),IF($F$1="Residência",$F$36,0),IF($I$1="Residência",$I$36,0),IF($L$1="Residência",$L$36,0),IF($O$1="Residência",$O$36,0),IF($R$1="Residência",$R$36,0))</f>
        <v>0</v>
      </c>
      <c r="F191" s="680"/>
      <c r="G191" s="70">
        <f>IF($H$220=$DV$31,IF(E191&gt;0,((E191-1)*$BM$42*0.5)+$BM$42,E191*0.5*$BM$42),E191*0.5*$BM$42)</f>
        <v>0</v>
      </c>
      <c r="H191" s="70">
        <f>IF(E191&gt;0,1,0)*$A$36</f>
        <v>0</v>
      </c>
      <c r="I191" s="679">
        <f>E191*$BK$42</f>
        <v>0</v>
      </c>
      <c r="J191" s="680"/>
      <c r="K191" s="83"/>
      <c r="N191" s="116"/>
      <c r="O191" s="679">
        <f>SUM(IF($C$1="Residência",0,$C$36),IF($F$1="Residência",0,$F$36),IF($I$1="Residência",0,$I$36),IF($L$1="Residência",0,$L$36),IF($O$1="Residência",0,$O$36),IF($R$1="Residência",0,$R$36),IF($E$70="TRIFÁSICA",$C$70,0))</f>
        <v>0</v>
      </c>
      <c r="P191" s="680"/>
      <c r="Q191" s="70">
        <f>IF($H$220=$DV$31,IF(AND(O191&gt;0,$E$191&lt;1),((O191-1)*$BM$42*0.5)+$BM$42,O191*0.5*$BM$42),O191*0.5*$BM$42)</f>
        <v>0</v>
      </c>
      <c r="R191" s="70">
        <f>IF(O191&gt;0,1,0)*$A$36</f>
        <v>0</v>
      </c>
      <c r="S191" s="679">
        <f>O191*$BK$42</f>
        <v>0</v>
      </c>
      <c r="T191" s="680"/>
      <c r="U191" s="689"/>
      <c r="V191" s="690"/>
      <c r="W191" s="679">
        <f>SUM(IF($C$1="Residência",$C$36,0),IF($F$1="Residência",$F$36,0),IF($I$1="Residência",$I$36,0),IF($L$1="Residência",$L$36,0),IF($O$1="Residência",$O$36,0),IF($R$1="Residência",$R$36,0))</f>
        <v>0</v>
      </c>
      <c r="X191" s="680"/>
      <c r="Y191" s="70">
        <f>IF($H$220=$DV$31,IF(W191&gt;0,((W191-1)*$BM$42*0.5)+$BM$42,W191*0.5*$BM$42),W191*0.5*$BM$42)</f>
        <v>0</v>
      </c>
      <c r="Z191" s="70">
        <f>IF(W191&gt;0,1,0)*$A$36</f>
        <v>0</v>
      </c>
      <c r="AA191" s="679">
        <f>W191*$BK$42</f>
        <v>0</v>
      </c>
      <c r="AB191" s="680"/>
      <c r="AC191" s="83"/>
      <c r="AF191" s="116"/>
      <c r="AG191" s="679">
        <f>SUM(IF($C$1="Residência",0,$C$36),IF($F$1="Residência",0,$F$36),IF($I$1="Residência",0,$I$36),IF($L$1="Residência",0,$L$36),IF($O$1="Residência",0,$O$36),IF($R$1="Residência",0,$R$36))</f>
        <v>0</v>
      </c>
      <c r="AH191" s="680"/>
      <c r="AI191" s="70">
        <f>IF($H$220=$DV$31,IF(AND(AG191&gt;0,$E$191&lt;1),((AG191-1)*$BM$42*0.5)+$BM$42,AG191*0.5*$BM$42),AG191*0.5*$BM$42)</f>
        <v>0</v>
      </c>
      <c r="AJ191" s="70">
        <f>IF(AG191&gt;0,1,0)*$A$36</f>
        <v>0</v>
      </c>
      <c r="AK191" s="679">
        <f>AG191*$BK$42</f>
        <v>0</v>
      </c>
      <c r="AL191" s="680"/>
      <c r="AR191" s="51"/>
      <c r="AT191" s="22">
        <v>1</v>
      </c>
      <c r="AU191" s="83">
        <f>$B$36</f>
        <v>0.69</v>
      </c>
      <c r="AV191" s="679">
        <f t="shared" si="174"/>
        <v>0</v>
      </c>
      <c r="AW191" s="680"/>
      <c r="AX191" s="70">
        <f>IF($AY$220=$DV$31,IF(AV191&gt;0,((AV191-1)*$BM$42*0.5)+$BM$42,AV191*0.5*$BM$42),AV191*0.5*$BM$42)</f>
        <v>0</v>
      </c>
      <c r="AY191" s="70">
        <f>IF(AV191&gt;0,1,0)*$A$36</f>
        <v>0</v>
      </c>
      <c r="AZ191" s="679">
        <f>AV191*$BK$42</f>
        <v>0</v>
      </c>
      <c r="BA191" s="680"/>
      <c r="BB191" s="83"/>
      <c r="BE191" s="116"/>
      <c r="BF191" s="679">
        <f t="shared" si="175"/>
        <v>0</v>
      </c>
      <c r="BG191" s="680"/>
      <c r="BH191" s="70">
        <f>IF($AY$220=$DV$31,IF(AND(BF191&gt;0,AV191&lt;1),((BF191-1)*$BM$42*0.5)+$BM$42,BF191*0.5*$BM$42),BF191*0.5*$BM$42)</f>
        <v>0</v>
      </c>
      <c r="BI191" s="70">
        <f>IF(BF191&gt;0,1,0)*$A$36</f>
        <v>0</v>
      </c>
      <c r="BJ191" s="679">
        <f>BF191*$BK$42</f>
        <v>0</v>
      </c>
      <c r="BK191" s="680"/>
      <c r="BL191" s="689"/>
      <c r="BM191" s="690"/>
      <c r="BN191" s="83"/>
      <c r="BO191" s="395"/>
      <c r="BP191" s="396"/>
      <c r="BQ191" s="83"/>
      <c r="BR191" s="691"/>
      <c r="BS191" s="692"/>
      <c r="CB191"/>
      <c r="CC191" s="51"/>
      <c r="CD191"/>
      <c r="CG191"/>
      <c r="CI191" s="51"/>
      <c r="CK191" s="22">
        <v>1</v>
      </c>
      <c r="CL191" s="83">
        <f>$B$36</f>
        <v>0.69</v>
      </c>
      <c r="CM191" s="679">
        <f t="shared" si="176"/>
        <v>0</v>
      </c>
      <c r="CN191" s="680"/>
      <c r="CO191" s="70">
        <f>IF($CP$220=$DV$31,IF(CM191&gt;0,((CM191-1)*$BM$42*0.5)+$BM$42,CM191*0.5*$BM$42),CM191*0.5*$BM$42)</f>
        <v>0</v>
      </c>
      <c r="CP191" s="70">
        <f>IF(CM191&gt;0,1,0)*$A$36</f>
        <v>0</v>
      </c>
      <c r="CQ191" s="679">
        <f>CM191*$BK$42</f>
        <v>0</v>
      </c>
      <c r="CR191" s="680"/>
      <c r="CS191" s="83"/>
      <c r="CV191" s="116"/>
      <c r="CW191" s="679">
        <f t="shared" si="177"/>
        <v>0</v>
      </c>
      <c r="CX191" s="680"/>
      <c r="CY191" s="70">
        <f>IF($CP$220=$DV$31,IF(AND(CW191&gt;0,CM191&lt;1),((CW191-1)*$BM$42*0.5)+$BM$42,CW191*0.5*$BM$42),CW191*0.5*$BM$42)</f>
        <v>0</v>
      </c>
      <c r="CZ191" s="70">
        <f>IF(CW191&gt;0,1,0)*$A$36</f>
        <v>0</v>
      </c>
      <c r="DA191" s="679">
        <f>CW191*$BK$42</f>
        <v>0</v>
      </c>
      <c r="DB191" s="680"/>
      <c r="DC191" s="689"/>
      <c r="DD191" s="690"/>
      <c r="DE191" s="83"/>
      <c r="DF191" s="691"/>
      <c r="DG191" s="692"/>
      <c r="DH191" s="83"/>
      <c r="DI191" s="691"/>
      <c r="DJ191" s="692"/>
      <c r="DP191"/>
      <c r="DQ191"/>
      <c r="DR191"/>
      <c r="DS191"/>
      <c r="DT191" s="51"/>
      <c r="DV191"/>
      <c r="DW191"/>
      <c r="DX191"/>
      <c r="DY191"/>
    </row>
    <row r="192" spans="1:129" ht="13.5" thickBot="1" x14ac:dyDescent="0.25">
      <c r="A192" s="51"/>
      <c r="B192"/>
      <c r="C192" s="22">
        <v>1.5</v>
      </c>
      <c r="D192" s="83">
        <f>$B$37</f>
        <v>0.71</v>
      </c>
      <c r="E192" s="679">
        <f>SUM(IF($C$1="Residência",$C$37,0),IF($F$1="Residência",$F$37,0),IF($I$1="Residência",$I$37,0),IF($L$1="Residência",$L$37,0),IF($O$1="Residência",$O$37,0),IF($R$1="Residência",$R$37,0))</f>
        <v>0</v>
      </c>
      <c r="F192" s="680"/>
      <c r="G192" s="70">
        <f>IF($H$220=$DV$32,IF(E192&gt;0,((E192-1)*$BM$43*0.5)+$BM$43,E192*0.5*$BM$43),E192*0.5*$BM$43)</f>
        <v>0</v>
      </c>
      <c r="H192" s="70">
        <f>IF(E192&gt;0,1,0)*$A$37</f>
        <v>0</v>
      </c>
      <c r="I192" s="679">
        <f>E192*$BK$43</f>
        <v>0</v>
      </c>
      <c r="J192" s="680"/>
      <c r="K192" s="83"/>
      <c r="N192" s="116"/>
      <c r="O192" s="679">
        <f>SUM(IF($C$1="Residência",0,$C$37),IF($F$1="Residência",0,$F$37),IF($I$1="Residência",0,$I$37),IF($L$1="Residência",0,$L$37),IF($O$1="Residência",0,$O$37),IF($R$1="Residência",0,$R$37),IF($E$71="TRIFÁSICA",$C$71,0))</f>
        <v>0</v>
      </c>
      <c r="P192" s="680"/>
      <c r="Q192" s="70">
        <f>IF($H$220=$DV$32,IF(AND(O192&gt;0,$E$192&lt;1),((O192-1)*$BM$43*0.5)+$BM$43,O192*0.5*$BM$43),O192*0.5*$BM$43)</f>
        <v>0</v>
      </c>
      <c r="R192" s="70">
        <f>IF(O192&gt;0,1,0)*$A$37</f>
        <v>0</v>
      </c>
      <c r="S192" s="679">
        <f>O192*$BK$43</f>
        <v>0</v>
      </c>
      <c r="T192" s="680"/>
      <c r="U192" s="689"/>
      <c r="V192" s="690"/>
      <c r="W192" s="679">
        <f>SUM(IF($C$1="Residência",$C$37,0),IF($F$1="Residência",$F$37,0),IF($I$1="Residência",$I$37,0),IF($L$1="Residência",$L$37,0),IF($O$1="Residência",$O$37,0),IF($R$1="Residência",$R$37,0))</f>
        <v>0</v>
      </c>
      <c r="X192" s="680"/>
      <c r="Y192" s="70">
        <f>IF($H$220=$DV$32,IF(W192&gt;0,((W192-1)*$BM$43*0.5)+$BM$43,W192*0.5*$BM$43),W192*0.5*$BM$43)</f>
        <v>0</v>
      </c>
      <c r="Z192" s="70">
        <f>IF(W192&gt;0,1,0)*$A$37</f>
        <v>0</v>
      </c>
      <c r="AA192" s="679">
        <f>W192*$BK$43</f>
        <v>0</v>
      </c>
      <c r="AB192" s="680"/>
      <c r="AC192" s="83"/>
      <c r="AF192" s="116"/>
      <c r="AG192" s="679">
        <f>SUM(IF($C$1="Residência",0,$C$37),IF($F$1="Residência",0,$F$37),IF($I$1="Residência",0,$I$37),IF($L$1="Residência",0,$L$37),IF($O$1="Residência",0,$O$37),IF($R$1="Residência",0,$R$37))</f>
        <v>0</v>
      </c>
      <c r="AH192" s="680"/>
      <c r="AI192" s="70">
        <f>IF($H$220=$DV$32,IF(AND(AG192&gt;0,$E$192&lt;1),((AG192-1)*$BM$43*0.5)+$BM$43,AG192*0.5*$BM$43),AG192*0.5*$BM$43)</f>
        <v>0</v>
      </c>
      <c r="AJ192" s="70">
        <f>IF(AG192&gt;0,1,0)*$A$37</f>
        <v>0</v>
      </c>
      <c r="AK192" s="679">
        <f>AG192*$BK$43</f>
        <v>0</v>
      </c>
      <c r="AL192" s="680"/>
      <c r="AR192" s="51"/>
      <c r="AT192" s="22">
        <v>1.5</v>
      </c>
      <c r="AU192" s="83">
        <f>$B$37</f>
        <v>0.71</v>
      </c>
      <c r="AV192" s="679">
        <f t="shared" si="174"/>
        <v>0</v>
      </c>
      <c r="AW192" s="680"/>
      <c r="AX192" s="70">
        <f>IF($AY$220=$DV$32,IF(AV192&gt;0,((AV192-1)*$BM$43*0.5)+$BM$43,AV192*0.5*$BM$43),AV192*0.5*$BM$43)</f>
        <v>0</v>
      </c>
      <c r="AY192" s="70">
        <f>IF(AV192&gt;0,1,0)*$A$37</f>
        <v>0</v>
      </c>
      <c r="AZ192" s="679">
        <f>AV192*$BK$43</f>
        <v>0</v>
      </c>
      <c r="BA192" s="680"/>
      <c r="BB192" s="83"/>
      <c r="BE192" s="116"/>
      <c r="BF192" s="679">
        <f t="shared" si="175"/>
        <v>0</v>
      </c>
      <c r="BG192" s="680"/>
      <c r="BH192" s="70">
        <f>IF($AY$220=$DV$32,IF(AND(BF192&gt;0,AV192&lt;1),((BF192-1)*$BM$43*0.5)+$BM$43,BF192*0.5*$BM$43),BF192*0.5*$BM$43)</f>
        <v>0</v>
      </c>
      <c r="BI192" s="70">
        <f>IF(BF192&gt;0,1,0)*$A$37</f>
        <v>0</v>
      </c>
      <c r="BJ192" s="679">
        <f>BF192*$BK$43</f>
        <v>0</v>
      </c>
      <c r="BK192" s="680"/>
      <c r="BL192" s="689"/>
      <c r="BM192" s="690"/>
      <c r="BN192" s="83"/>
      <c r="BO192" s="395"/>
      <c r="BP192" s="396"/>
      <c r="BQ192" s="83"/>
      <c r="BR192" s="691"/>
      <c r="BS192" s="692"/>
      <c r="CB192"/>
      <c r="CC192" s="51"/>
      <c r="CD192"/>
      <c r="CG192"/>
      <c r="CI192" s="51"/>
      <c r="CK192" s="22">
        <v>1.5</v>
      </c>
      <c r="CL192" s="83">
        <f>$B$37</f>
        <v>0.71</v>
      </c>
      <c r="CM192" s="679">
        <f t="shared" si="176"/>
        <v>0</v>
      </c>
      <c r="CN192" s="680"/>
      <c r="CO192" s="70">
        <f>IF($CP$220=$DV$32,IF(CM192&gt;0,((CM192-1)*$BM$43*0.5)+$BM$43,CM192*0.5*$BM$43),CM192*0.5*$BM$43)</f>
        <v>0</v>
      </c>
      <c r="CP192" s="70">
        <f>IF(CM192&gt;0,1,0)*$A$37</f>
        <v>0</v>
      </c>
      <c r="CQ192" s="679">
        <f>CM192*$BK$43</f>
        <v>0</v>
      </c>
      <c r="CR192" s="680"/>
      <c r="CS192" s="83"/>
      <c r="CV192" s="116"/>
      <c r="CW192" s="679">
        <f t="shared" si="177"/>
        <v>0</v>
      </c>
      <c r="CX192" s="680"/>
      <c r="CY192" s="70">
        <f>IF($CP$220=$DV$32,IF(AND(CW192&gt;0,CM192&lt;1),((CW192-1)*$BM$43*0.5)+$BM$43,CW192*0.5*$BM$43),CW192*0.5*$BM$43)</f>
        <v>0</v>
      </c>
      <c r="CZ192" s="70">
        <f>IF(CW192&gt;0,1,0)*$A$37</f>
        <v>0</v>
      </c>
      <c r="DA192" s="679">
        <f>CW192*$BK$43</f>
        <v>0</v>
      </c>
      <c r="DB192" s="680"/>
      <c r="DC192" s="689"/>
      <c r="DD192" s="690"/>
      <c r="DE192" s="83"/>
      <c r="DF192" s="691"/>
      <c r="DG192" s="692"/>
      <c r="DH192" s="83"/>
      <c r="DI192" s="691"/>
      <c r="DJ192" s="692"/>
      <c r="DP192"/>
      <c r="DQ192"/>
      <c r="DR192"/>
      <c r="DS192"/>
      <c r="DT192" s="51"/>
      <c r="DV192"/>
      <c r="DW192"/>
      <c r="DX192"/>
      <c r="DY192"/>
    </row>
    <row r="193" spans="1:129" ht="13.5" thickBot="1" x14ac:dyDescent="0.25">
      <c r="A193" s="51"/>
      <c r="B193"/>
      <c r="C193" s="22">
        <v>2</v>
      </c>
      <c r="D193" s="83">
        <f>$B$38</f>
        <v>0.72</v>
      </c>
      <c r="E193" s="679">
        <f>SUM(IF($C$1="Residência",$C$38,0),IF($F$1="Residência",$F$38,0),IF($I$1="Residência",$I$38,0),IF($L$1="Residência",$L$38,0),IF($O$1="Residência",$O$38,0),IF($R$1="Residência",$R$38,0))</f>
        <v>0</v>
      </c>
      <c r="F193" s="680"/>
      <c r="G193" s="70">
        <f>IF($H$220=$DV$33,IF(E193&gt;0,((E193-1)*$BM$44*0.5)+$BM$44,E193*0.5*$BM$44),E193*0.5*$BM$44)</f>
        <v>0</v>
      </c>
      <c r="H193" s="70">
        <f>IF(E193&gt;0,1,0)*$A$38</f>
        <v>0</v>
      </c>
      <c r="I193" s="679">
        <f>E193*$BK$44</f>
        <v>0</v>
      </c>
      <c r="J193" s="680"/>
      <c r="K193" s="83"/>
      <c r="N193" s="116"/>
      <c r="O193" s="679">
        <f>SUM(IF($C$1="Residência",0,$C$38),IF($F$1="Residência",0,$F$38),IF($I$1="Residência",0,$I$38),IF($L$1="Residência",0,$L$38),IF($O$1="Residência",0,$O$38),IF($R$1="Residência",0,$R$38),IF($E$72="TRIFÁSICA",$C$72,0))</f>
        <v>0</v>
      </c>
      <c r="P193" s="680"/>
      <c r="Q193" s="70">
        <f>IF($H$220=$DV$33,IF(AND(O193&gt;0,$E$193&lt;1),((O193-1)*$BM$44*0.5)+$BM$44,O193*0.5*$BM$44),O193*0.5*$BM$44)</f>
        <v>0</v>
      </c>
      <c r="R193" s="70">
        <f>IF(O193&gt;0,1,0)*$A$38</f>
        <v>0</v>
      </c>
      <c r="S193" s="679">
        <f>O193*$BK$44</f>
        <v>0</v>
      </c>
      <c r="T193" s="680"/>
      <c r="U193" s="689"/>
      <c r="V193" s="690"/>
      <c r="W193" s="679">
        <f>SUM(IF($C$1="Residência",$C$38,0),IF($F$1="Residência",$F$38,0),IF($I$1="Residência",$I$38,0),IF($L$1="Residência",$L$38,0),IF($O$1="Residência",$O$38,0),IF($R$1="Residência",$R$38,0))</f>
        <v>0</v>
      </c>
      <c r="X193" s="680"/>
      <c r="Y193" s="70">
        <f>IF($H$220=$DV$33,IF(W193&gt;0,((W193-1)*$BM$44*0.5)+$BM$44,W193*0.5*$BM$44),W193*0.5*$BM$44)</f>
        <v>0</v>
      </c>
      <c r="Z193" s="70">
        <f>IF(W193&gt;0,1,0)*$A$38</f>
        <v>0</v>
      </c>
      <c r="AA193" s="679">
        <f>W193*$BK$44</f>
        <v>0</v>
      </c>
      <c r="AB193" s="680"/>
      <c r="AC193" s="83"/>
      <c r="AF193" s="116"/>
      <c r="AG193" s="679">
        <f>SUM(IF($C$1="Residência",0,$C$38),IF($F$1="Residência",0,$F$38),IF($I$1="Residência",0,$I$38),IF($L$1="Residência",0,$L$38),IF($O$1="Residência",0,$O$38),IF($R$1="Residência",0,$R$38))</f>
        <v>0</v>
      </c>
      <c r="AH193" s="680"/>
      <c r="AI193" s="70">
        <f>IF($H$220=$DV$33,IF(AND(AG193&gt;0,$E$193&lt;1),((AG193-1)*$BM$44*0.5)+$BM$44,AG193*0.5*$BM$44),AG193*0.5*$BM$44)</f>
        <v>0</v>
      </c>
      <c r="AJ193" s="70">
        <f>IF(AG193&gt;0,1,0)*$A$38</f>
        <v>0</v>
      </c>
      <c r="AK193" s="679">
        <f>AG193*$BK$44</f>
        <v>0</v>
      </c>
      <c r="AL193" s="680"/>
      <c r="AR193" s="51"/>
      <c r="AT193" s="22">
        <v>2</v>
      </c>
      <c r="AU193" s="83">
        <f>$B$38</f>
        <v>0.72</v>
      </c>
      <c r="AV193" s="679">
        <f t="shared" si="174"/>
        <v>0</v>
      </c>
      <c r="AW193" s="680"/>
      <c r="AX193" s="70">
        <f>IF($AY$220=$DV$33,IF(AV193&gt;0,((AV193-1)*$BM$44*0.5)+$BM$44,AV193*0.5*$BM$44),AV193*0.5*$BM$44)</f>
        <v>0</v>
      </c>
      <c r="AY193" s="70">
        <f>IF(AV193&gt;0,1,0)*$A$38</f>
        <v>0</v>
      </c>
      <c r="AZ193" s="679">
        <f>AV193*$BK$44</f>
        <v>0</v>
      </c>
      <c r="BA193" s="680"/>
      <c r="BB193" s="83"/>
      <c r="BE193" s="116"/>
      <c r="BF193" s="679">
        <f t="shared" si="175"/>
        <v>0</v>
      </c>
      <c r="BG193" s="680"/>
      <c r="BH193" s="70">
        <f>IF($AY$220=$DV$33,IF(AND(BF193&gt;0,AV193&lt;1),((BF193-1)*$BM$44*0.5)+$BM$44,BF193*0.5*$BM$44),BF193*0.5*$BM$44)</f>
        <v>0</v>
      </c>
      <c r="BI193" s="70">
        <f>IF(BF193&gt;0,1,0)*$A$38</f>
        <v>0</v>
      </c>
      <c r="BJ193" s="679">
        <f>BF193*$BK$44</f>
        <v>0</v>
      </c>
      <c r="BK193" s="680"/>
      <c r="BL193" s="689"/>
      <c r="BM193" s="690"/>
      <c r="BN193" s="83"/>
      <c r="BO193" s="395"/>
      <c r="BP193" s="396"/>
      <c r="BQ193" s="83"/>
      <c r="BR193" s="691"/>
      <c r="BS193" s="692"/>
      <c r="CB193"/>
      <c r="CC193" s="51"/>
      <c r="CD193"/>
      <c r="CG193"/>
      <c r="CI193" s="51"/>
      <c r="CK193" s="22">
        <v>2</v>
      </c>
      <c r="CL193" s="83">
        <f>$B$38</f>
        <v>0.72</v>
      </c>
      <c r="CM193" s="679">
        <f t="shared" si="176"/>
        <v>0</v>
      </c>
      <c r="CN193" s="680"/>
      <c r="CO193" s="70">
        <f>IF($CP$220=$DV$33,IF(CM193&gt;0,((CM193-1)*$BM$44*0.5)+$BM$44,CM193*0.5*$BM$44),CM193*0.5*$BM$44)</f>
        <v>0</v>
      </c>
      <c r="CP193" s="70">
        <f>IF(CM193&gt;0,1,0)*$A$38</f>
        <v>0</v>
      </c>
      <c r="CQ193" s="679">
        <f>CM193*$BK$44</f>
        <v>0</v>
      </c>
      <c r="CR193" s="680"/>
      <c r="CS193" s="83"/>
      <c r="CV193" s="116"/>
      <c r="CW193" s="679">
        <f t="shared" si="177"/>
        <v>0</v>
      </c>
      <c r="CX193" s="680"/>
      <c r="CY193" s="70">
        <f>IF($CP$220=$DV$33,IF(AND(CW193&gt;0,CM193&lt;1),((CW193-1)*$BM$44*0.5)+$BM$44,CW193*0.5*$BM$44),CW193*0.5*$BM$44)</f>
        <v>0</v>
      </c>
      <c r="CZ193" s="70">
        <f>IF(CW193&gt;0,1,0)*$A$38</f>
        <v>0</v>
      </c>
      <c r="DA193" s="679">
        <f>CW193*$BK$44</f>
        <v>0</v>
      </c>
      <c r="DB193" s="680"/>
      <c r="DC193" s="689"/>
      <c r="DD193" s="690"/>
      <c r="DE193" s="83"/>
      <c r="DF193" s="691"/>
      <c r="DG193" s="692"/>
      <c r="DH193" s="83"/>
      <c r="DI193" s="691"/>
      <c r="DJ193" s="692"/>
      <c r="DP193"/>
      <c r="DQ193"/>
      <c r="DR193"/>
      <c r="DS193"/>
      <c r="DT193" s="51"/>
      <c r="DV193"/>
      <c r="DW193"/>
      <c r="DX193"/>
      <c r="DY193"/>
    </row>
    <row r="194" spans="1:129" ht="13.5" thickBot="1" x14ac:dyDescent="0.25">
      <c r="A194" s="51"/>
      <c r="B194"/>
      <c r="C194" s="22">
        <v>3</v>
      </c>
      <c r="D194" s="83">
        <f>$B$39</f>
        <v>0.73</v>
      </c>
      <c r="E194" s="679">
        <f>SUM(IF($C$1="Residência",$C$39,0),IF($F$1="Residência",$F$39,0),IF($I$1="Residência",$I$39,0),IF($L$1="Residência",$L$39,0),IF($O$1="Residência",$O$39,0),IF($R$1="Residência",$R$39,0))</f>
        <v>0</v>
      </c>
      <c r="F194" s="680"/>
      <c r="G194" s="70">
        <f>IF($H$220=$DV$34,IF(E194&gt;0,((E194-1)*$BM$45*0.5)+$BM$45,E194*0.5*$BM$45),E194*0.5*$BM$45)</f>
        <v>0</v>
      </c>
      <c r="H194" s="70">
        <f>IF(E194&gt;0,1,0)*$A$39</f>
        <v>0</v>
      </c>
      <c r="I194" s="679">
        <f>E194*$BK$45</f>
        <v>0</v>
      </c>
      <c r="J194" s="680"/>
      <c r="K194" s="83"/>
      <c r="N194" s="116"/>
      <c r="O194" s="679">
        <f>SUM(IF($C$1="Residência",0,$C$39),IF($F$1="Residência",0,$F$39),IF($I$1="Residência",0,$I$39),IF($L$1="Residência",0,$L$39),IF($O$1="Residência",0,$O$39),IF($R$1="Residência",0,$R$39),IF($E$73="TRIFÁSICA",$C$73,0))</f>
        <v>0</v>
      </c>
      <c r="P194" s="680"/>
      <c r="Q194" s="70">
        <f>IF($H$220=$DV$34,IF(AND(O194&gt;0,$E$194&lt;1),((O194-1)*$BM$45*0.5)+$BM$45,O194*0.5*$BM$45),O194*0.5*$BM$45)</f>
        <v>0</v>
      </c>
      <c r="R194" s="70">
        <f>IF(O194&gt;0,1,0)*$A$39</f>
        <v>0</v>
      </c>
      <c r="S194" s="679">
        <f>O194*$BK$45</f>
        <v>0</v>
      </c>
      <c r="T194" s="680"/>
      <c r="U194" s="689"/>
      <c r="V194" s="690"/>
      <c r="W194" s="679">
        <f>SUM(IF($C$1="Residência",$C$39,0),IF($F$1="Residência",$F$39,0),IF($I$1="Residência",$I$39,0),IF($L$1="Residência",$L$39,0),IF($O$1="Residência",$O$39,0),IF($R$1="Residência",$R$39,0))</f>
        <v>0</v>
      </c>
      <c r="X194" s="680"/>
      <c r="Y194" s="70">
        <f>IF($H$220=$DV$34,IF(W194&gt;0,((W194-1)*$BM$45*0.5)+$BM$45,W194*0.5*$BM$45),W194*0.5*$BM$45)</f>
        <v>0</v>
      </c>
      <c r="Z194" s="70">
        <f>IF(W194&gt;0,1,0)*$A$39</f>
        <v>0</v>
      </c>
      <c r="AA194" s="679">
        <f>W194*$BK$45</f>
        <v>0</v>
      </c>
      <c r="AB194" s="680"/>
      <c r="AC194" s="83"/>
      <c r="AF194" s="116"/>
      <c r="AG194" s="679">
        <f>SUM(IF($C$1="Residência",0,$C$39),IF($F$1="Residência",0,$F$39),IF($I$1="Residência",0,$I$39),IF($L$1="Residência",0,$L$39),IF($O$1="Residência",0,$O$39),IF($R$1="Residência",0,$R$39))</f>
        <v>0</v>
      </c>
      <c r="AH194" s="680"/>
      <c r="AI194" s="70">
        <f>IF($H$220=$DV$34,IF(AND(AG194&gt;0,$E$194&lt;1),((AG194-1)*$BM$45*0.5)+$BM$45,AG194*0.5*$BM$45),AG194*0.5*$BM$45)</f>
        <v>0</v>
      </c>
      <c r="AJ194" s="70">
        <f>IF(AG194&gt;0,1,0)*$A$39</f>
        <v>0</v>
      </c>
      <c r="AK194" s="679">
        <f>AG194*$BK$45</f>
        <v>0</v>
      </c>
      <c r="AL194" s="680"/>
      <c r="AR194" s="51"/>
      <c r="AT194" s="22">
        <v>3</v>
      </c>
      <c r="AU194" s="83">
        <f>$B$39</f>
        <v>0.73</v>
      </c>
      <c r="AV194" s="679">
        <f t="shared" si="174"/>
        <v>0</v>
      </c>
      <c r="AW194" s="680"/>
      <c r="AX194" s="70">
        <f>IF($AY$220=$DV$34,IF(AV194&gt;0,((AV194-1)*$BM$45*0.5)+$BM$45,AV194*0.5*$BM$45),AV194*0.5*$BM$45)</f>
        <v>0</v>
      </c>
      <c r="AY194" s="70">
        <f>IF(AV194&gt;0,1,0)*$A$39</f>
        <v>0</v>
      </c>
      <c r="AZ194" s="679">
        <f>AV194*$BK$45</f>
        <v>0</v>
      </c>
      <c r="BA194" s="680"/>
      <c r="BB194" s="83"/>
      <c r="BE194" s="116"/>
      <c r="BF194" s="679">
        <f t="shared" si="175"/>
        <v>0</v>
      </c>
      <c r="BG194" s="680"/>
      <c r="BH194" s="70">
        <f>IF($AY$220=$DV$34,IF(AND(BF194&gt;0,AV194&lt;1),((BF194-1)*$BM$45*0.5)+$BM$45,BF194*0.5*$BM$45),BF194*0.5*$BM$45)</f>
        <v>0</v>
      </c>
      <c r="BI194" s="70">
        <f>IF(BF194&gt;0,1,0)*$A$39</f>
        <v>0</v>
      </c>
      <c r="BJ194" s="679">
        <f>BF194*$BK$45</f>
        <v>0</v>
      </c>
      <c r="BK194" s="680"/>
      <c r="BL194" s="689"/>
      <c r="BM194" s="690"/>
      <c r="BN194" s="83"/>
      <c r="BO194" s="395"/>
      <c r="BP194" s="396"/>
      <c r="BQ194" s="83"/>
      <c r="BR194" s="691"/>
      <c r="BS194" s="692"/>
      <c r="CB194"/>
      <c r="CC194" s="51"/>
      <c r="CD194"/>
      <c r="CG194"/>
      <c r="CI194" s="51"/>
      <c r="CK194" s="22">
        <v>3</v>
      </c>
      <c r="CL194" s="83">
        <f>$B$39</f>
        <v>0.73</v>
      </c>
      <c r="CM194" s="679">
        <f t="shared" si="176"/>
        <v>0</v>
      </c>
      <c r="CN194" s="680"/>
      <c r="CO194" s="70">
        <f>IF($CP$220=$DV$34,IF(CM194&gt;0,((CM194-1)*$BM$45*0.5)+$BM$45,CM194*0.5*$BM$45),CM194*0.5*$BM$45)</f>
        <v>0</v>
      </c>
      <c r="CP194" s="70">
        <f>IF(CM194&gt;0,1,0)*$A$39</f>
        <v>0</v>
      </c>
      <c r="CQ194" s="679">
        <f>CM194*$BK$45</f>
        <v>0</v>
      </c>
      <c r="CR194" s="680"/>
      <c r="CS194" s="83"/>
      <c r="CV194" s="116"/>
      <c r="CW194" s="679">
        <f t="shared" si="177"/>
        <v>0</v>
      </c>
      <c r="CX194" s="680"/>
      <c r="CY194" s="70">
        <f>IF($CP$220=$DV$34,IF(AND(CW194&gt;0,CM194&lt;1),((CW194-1)*$BM$45*0.5)+$BM$45,CW194*0.5*$BM$45),CW194*0.5*$BM$45)</f>
        <v>0</v>
      </c>
      <c r="CZ194" s="70">
        <f>IF(CW194&gt;0,1,0)*$A$39</f>
        <v>0</v>
      </c>
      <c r="DA194" s="679">
        <f>CW194*$BK$45</f>
        <v>0</v>
      </c>
      <c r="DB194" s="680"/>
      <c r="DC194" s="689"/>
      <c r="DD194" s="690"/>
      <c r="DE194" s="83"/>
      <c r="DF194" s="691"/>
      <c r="DG194" s="692"/>
      <c r="DH194" s="83"/>
      <c r="DI194" s="691"/>
      <c r="DJ194" s="692"/>
      <c r="DP194"/>
      <c r="DQ194"/>
      <c r="DR194"/>
      <c r="DS194"/>
      <c r="DT194" s="51"/>
      <c r="DV194"/>
      <c r="DW194"/>
      <c r="DX194"/>
      <c r="DY194"/>
    </row>
    <row r="195" spans="1:129" ht="13.5" thickBot="1" x14ac:dyDescent="0.25">
      <c r="A195" s="51"/>
      <c r="B195"/>
      <c r="C195" s="22">
        <v>4</v>
      </c>
      <c r="D195" s="83">
        <f>$B$40</f>
        <v>0.13</v>
      </c>
      <c r="E195" s="679">
        <f>SUM(IF($C$1="Residência",$C$40,0),IF($F$1="Residência",$F$40,0),IF($I$1="Residência",$I$40,0),IF($L$1="Residência",$L$40,0),IF($O$1="Residência",$O$40,0),IF($R$1="Residência",$R$40,0))</f>
        <v>0</v>
      </c>
      <c r="F195" s="680"/>
      <c r="G195" s="70">
        <f>IF($H$220=$DV$35,IF(E195&gt;0,((E195-1)*$BM$46*0.5)+$BM$46,E195*0.5*$BM$46),E195*0.5*$BM$46)</f>
        <v>0</v>
      </c>
      <c r="H195" s="70">
        <f>IF(E195&gt;0,1,0)*$A$40</f>
        <v>0</v>
      </c>
      <c r="I195" s="679">
        <f>E195*$BK$46</f>
        <v>0</v>
      </c>
      <c r="J195" s="680"/>
      <c r="K195" s="83"/>
      <c r="N195" s="116"/>
      <c r="O195" s="679">
        <f>SUM(IF($C$1="Residência",0,$C$40),IF($F$1="Residência",0,$F$40),IF($I$1="Residência",0,$I$40),IF($L$1="Residência",0,$L$40),IF($O$1="Residência",0,$O$40),IF($R$1="Residência",0,$R$40))</f>
        <v>0</v>
      </c>
      <c r="P195" s="680"/>
      <c r="Q195" s="70">
        <f>IF($H$220=$DV$35,IF(AND(O195&gt;0,$E$195&lt;1),((O195-1)*$BM$46*0.5)+$BM$46,O195*0.5*$BM$46),O195*0.5*$BM$46)</f>
        <v>0</v>
      </c>
      <c r="R195" s="70">
        <f>IF(O195&gt;0,1,0)*$A$40</f>
        <v>0</v>
      </c>
      <c r="S195" s="679">
        <f>O195*$BK$46</f>
        <v>0</v>
      </c>
      <c r="T195" s="680"/>
      <c r="U195" s="689"/>
      <c r="V195" s="690"/>
      <c r="W195" s="679">
        <f>SUM(IF($C$1="Residência",$C$40,0),IF($F$1="Residência",$F$40,0),IF($I$1="Residência",$I$40,0),IF($L$1="Residência",$L$40,0),IF($O$1="Residência",$O$40,0),IF($R$1="Residência",$R$40,0))</f>
        <v>0</v>
      </c>
      <c r="X195" s="680"/>
      <c r="Y195" s="70">
        <f>IF($H$220=$DV$35,IF(W195&gt;0,((W195-1)*$BM$46*0.5)+$BM$46,W195*0.5*$BM$46),W195*0.5*$BM$46)</f>
        <v>0</v>
      </c>
      <c r="Z195" s="70">
        <f>IF(W195&gt;0,1,0)*$A$40</f>
        <v>0</v>
      </c>
      <c r="AA195" s="679">
        <f>W195*$BK$46</f>
        <v>0</v>
      </c>
      <c r="AB195" s="680"/>
      <c r="AC195" s="83"/>
      <c r="AF195" s="116"/>
      <c r="AG195" s="679">
        <f>SUM(IF($C$1="Residência",0,$C$40),IF($F$1="Residência",0,$F$40),IF($I$1="Residência",0,$I$40),IF($L$1="Residência",0,$L$40),IF($O$1="Residência",0,$O$40),IF($R$1="Residência",0,$R$40))</f>
        <v>0</v>
      </c>
      <c r="AH195" s="680"/>
      <c r="AI195" s="70">
        <f>IF($H$220=$DV$35,IF(AND(AG195&gt;0,$E$195&lt;1),((AG195-1)*$BM$46*0.5)+$BM$46,AG195*0.5*$BM$46),AG195*0.5*$BM$46)</f>
        <v>0</v>
      </c>
      <c r="AJ195" s="70">
        <f>IF(AG195&gt;0,1,0)*$A$40</f>
        <v>0</v>
      </c>
      <c r="AK195" s="679">
        <f>AG195*$BK$46</f>
        <v>0</v>
      </c>
      <c r="AL195" s="680"/>
      <c r="AR195" s="51"/>
      <c r="AT195" s="22">
        <v>4</v>
      </c>
      <c r="AU195" s="83">
        <f>$B$40</f>
        <v>0.13</v>
      </c>
      <c r="AV195" s="679">
        <f t="shared" si="174"/>
        <v>0</v>
      </c>
      <c r="AW195" s="680"/>
      <c r="AX195" s="70">
        <f>IF($AY$220=$DV$35,IF(AV195&gt;0,((AV195-1)*$BM$46*0.5)+$BM$46,AV195*0.5*$BM$46),AV195*0.5*$BM$46)</f>
        <v>0</v>
      </c>
      <c r="AY195" s="70">
        <f>IF(AV195&gt;0,1,0)*$A$40</f>
        <v>0</v>
      </c>
      <c r="AZ195" s="679">
        <f>AV195*$BK$46</f>
        <v>0</v>
      </c>
      <c r="BA195" s="680"/>
      <c r="BB195" s="83"/>
      <c r="BE195" s="116"/>
      <c r="BF195" s="679">
        <f t="shared" si="175"/>
        <v>0</v>
      </c>
      <c r="BG195" s="680"/>
      <c r="BH195" s="70">
        <f>IF($AY$220=$DV$35,IF(AND(BF195&gt;0,AV195&lt;1),((BF195-1)*$BM$46*0.5)+$BM$46,BF195*0.5*$BM$46),BF195*0.5*$BM$46)</f>
        <v>0</v>
      </c>
      <c r="BI195" s="70">
        <f>IF(BF195&gt;0,1,0)*$A$40</f>
        <v>0</v>
      </c>
      <c r="BJ195" s="679">
        <f>BF195*$BK$46</f>
        <v>0</v>
      </c>
      <c r="BK195" s="680"/>
      <c r="BL195" s="689"/>
      <c r="BM195" s="690"/>
      <c r="BN195" s="83"/>
      <c r="BO195" s="395"/>
      <c r="BP195" s="396"/>
      <c r="BQ195" s="83"/>
      <c r="BR195" s="691"/>
      <c r="BS195" s="692"/>
      <c r="CB195"/>
      <c r="CC195" s="51"/>
      <c r="CD195"/>
      <c r="CG195"/>
      <c r="CI195" s="51"/>
      <c r="CK195" s="22">
        <v>4</v>
      </c>
      <c r="CL195" s="83">
        <f>$B$40</f>
        <v>0.13</v>
      </c>
      <c r="CM195" s="679">
        <f t="shared" si="176"/>
        <v>0</v>
      </c>
      <c r="CN195" s="680"/>
      <c r="CO195" s="70">
        <f>IF($CP$220=$DV$35,IF(CM195&gt;0,((CM195-1)*$BM$46*0.5)+$BM$46,CM195*0.5*$BM$46),CM195*0.5*$BM$46)</f>
        <v>0</v>
      </c>
      <c r="CP195" s="70">
        <f>IF(CM195&gt;0,1,0)*$A$40</f>
        <v>0</v>
      </c>
      <c r="CQ195" s="679">
        <f>CM195*$BK$46</f>
        <v>0</v>
      </c>
      <c r="CR195" s="680"/>
      <c r="CS195" s="83"/>
      <c r="CV195" s="116"/>
      <c r="CW195" s="679">
        <f t="shared" si="177"/>
        <v>0</v>
      </c>
      <c r="CX195" s="680"/>
      <c r="CY195" s="70">
        <f>IF($CP$220=$DV$35,IF(AND(CW195&gt;0,CM195&lt;1),((CW195-1)*$BM$46*0.5)+$BM$46,CW195*0.5*$BM$46),CW195*0.5*$BM$46)</f>
        <v>0</v>
      </c>
      <c r="CZ195" s="70">
        <f>IF(CW195&gt;0,1,0)*$A$40</f>
        <v>0</v>
      </c>
      <c r="DA195" s="679">
        <f>CW195*$BK$46</f>
        <v>0</v>
      </c>
      <c r="DB195" s="680"/>
      <c r="DC195" s="689"/>
      <c r="DD195" s="690"/>
      <c r="DE195" s="83"/>
      <c r="DF195" s="691"/>
      <c r="DG195" s="692"/>
      <c r="DH195" s="83"/>
      <c r="DI195" s="691"/>
      <c r="DJ195" s="692"/>
      <c r="DP195"/>
      <c r="DQ195"/>
      <c r="DR195"/>
      <c r="DS195"/>
      <c r="DT195" s="51"/>
      <c r="DV195"/>
      <c r="DW195"/>
      <c r="DX195"/>
      <c r="DY195"/>
    </row>
    <row r="196" spans="1:129" ht="13.5" thickBot="1" x14ac:dyDescent="0.25">
      <c r="A196" s="51"/>
      <c r="B196"/>
      <c r="C196" s="22">
        <v>5</v>
      </c>
      <c r="D196" s="83">
        <f>$B$41</f>
        <v>0.75</v>
      </c>
      <c r="E196" s="679">
        <f>SUM(IF($C$1="Residência",$C$41,0),IF($F$1="Residência",$F$41,0),IF($I$1="Residência",$I$41,0),IF($L$1="Residência",$L$41,0),IF($O$1="Residência",$O$41,0),IF($R$1="Residência",$R$41,0))</f>
        <v>0</v>
      </c>
      <c r="F196" s="680"/>
      <c r="G196" s="70">
        <f>IF($H$220=$DV$36,IF(E196&gt;0,((E196-1)*$BM$47*0.5)+$BM$47,E196*0.5*$BM$47),E196*0.5*$BM$47)</f>
        <v>0</v>
      </c>
      <c r="H196" s="70">
        <f>IF(E196&gt;0,1,0)*$A$41</f>
        <v>0</v>
      </c>
      <c r="I196" s="679">
        <f>E196*$BK$47</f>
        <v>0</v>
      </c>
      <c r="J196" s="680"/>
      <c r="K196" s="83"/>
      <c r="N196" s="116"/>
      <c r="O196" s="679">
        <f>SUM(IF($C$1="Residência",0,$C$41),IF($F$1="Residência",0,$F$41),IF($I$1="Residência",0,$I$41),IF($L$1="Residência",0,$L$41),IF($O$1="Residência",0,$O$41),IF($R$1="Residência",0,$R$41),IF($E$74="TRIFÁSICA",$C$74,0))</f>
        <v>0</v>
      </c>
      <c r="P196" s="680"/>
      <c r="Q196" s="70">
        <f>IF($H$220=$DV$36,IF(AND(O196&gt;0,$E$196&lt;1),((O196-1)*$BM$47*0.5)+$BM$47,O196*0.5*$BM$47),O196*0.5*$BM$47)</f>
        <v>0</v>
      </c>
      <c r="R196" s="70">
        <f>IF(O196&gt;0,1,0)*$A$41</f>
        <v>0</v>
      </c>
      <c r="S196" s="679">
        <f>O196*$BK$47</f>
        <v>0</v>
      </c>
      <c r="T196" s="680"/>
      <c r="U196" s="689"/>
      <c r="V196" s="690"/>
      <c r="W196" s="679">
        <f>SUM(IF($C$1="Residência",$C$41,0),IF($F$1="Residência",$F$41,0),IF($I$1="Residência",$I$41,0),IF($L$1="Residência",$L$41,0),IF($O$1="Residência",$O$41,0),IF($R$1="Residência",$R$41,0))</f>
        <v>0</v>
      </c>
      <c r="X196" s="680"/>
      <c r="Y196" s="70">
        <f>IF($H$220=$DV$36,IF(W196&gt;0,((W196-1)*$BM$47*0.5)+$BM$47,W196*0.5*$BM$47),W196*0.5*$BM$47)</f>
        <v>0</v>
      </c>
      <c r="Z196" s="70">
        <f>IF(W196&gt;0,1,0)*$A$41</f>
        <v>0</v>
      </c>
      <c r="AA196" s="679">
        <f>W196*$BK$47</f>
        <v>0</v>
      </c>
      <c r="AB196" s="680"/>
      <c r="AC196" s="83"/>
      <c r="AF196" s="116"/>
      <c r="AG196" s="679">
        <f>SUM(IF($C$1="Residência",0,$C$41),IF($F$1="Residência",0,$F$41),IF($I$1="Residência",0,$I$41),IF($L$1="Residência",0,$L$41),IF($O$1="Residência",0,$O$41),IF($R$1="Residência",0,$R$41))</f>
        <v>0</v>
      </c>
      <c r="AH196" s="680"/>
      <c r="AI196" s="70">
        <f>IF($H$220=$DV$36,IF(AND(AG196&gt;0,$E$196&lt;1),((AG196-1)*$BM$47*0.5)+$BM$47,AG196*0.5*$BM$47),AG196*0.5*$BM$47)</f>
        <v>0</v>
      </c>
      <c r="AJ196" s="70">
        <f>IF(AG196&gt;0,1,0)*$A$41</f>
        <v>0</v>
      </c>
      <c r="AK196" s="679">
        <f>AG196*$BK$47</f>
        <v>0</v>
      </c>
      <c r="AL196" s="680"/>
      <c r="AR196" s="51"/>
      <c r="AT196" s="22">
        <v>5</v>
      </c>
      <c r="AU196" s="83">
        <f>$B$41</f>
        <v>0.75</v>
      </c>
      <c r="AV196" s="679">
        <f t="shared" si="174"/>
        <v>0</v>
      </c>
      <c r="AW196" s="680"/>
      <c r="AX196" s="70">
        <f>IF($AY$220=$DV$36,IF(AV196&gt;0,((AV196-1)*$BM$47*0.5)+$BM$47,AV196*0.5*$BM$47),AV196*0.5*$BM$47)</f>
        <v>0</v>
      </c>
      <c r="AY196" s="70">
        <f>IF(AV196&gt;0,1,0)*$A$41</f>
        <v>0</v>
      </c>
      <c r="AZ196" s="679">
        <f>AV196*$BK$47</f>
        <v>0</v>
      </c>
      <c r="BA196" s="680"/>
      <c r="BB196" s="83"/>
      <c r="BE196" s="116"/>
      <c r="BF196" s="679">
        <f t="shared" si="175"/>
        <v>0</v>
      </c>
      <c r="BG196" s="680"/>
      <c r="BH196" s="70">
        <f>IF($AY$220=$DV$36,IF(AND(BF196&gt;0,AV196&lt;1),((BF196-1)*$BM$47*0.5)+$BM$47,BF196*0.5*$BM$47),BF196*0.5*$BM$47)</f>
        <v>0</v>
      </c>
      <c r="BI196" s="70">
        <f>IF(BF196&gt;0,1,0)*$A$41</f>
        <v>0</v>
      </c>
      <c r="BJ196" s="679">
        <f>BF196*$BK$47</f>
        <v>0</v>
      </c>
      <c r="BK196" s="680"/>
      <c r="BL196" s="689"/>
      <c r="BM196" s="690"/>
      <c r="BN196" s="83"/>
      <c r="BO196" s="395"/>
      <c r="BP196" s="396"/>
      <c r="BQ196" s="83"/>
      <c r="BR196" s="691"/>
      <c r="BS196" s="692"/>
      <c r="CB196"/>
      <c r="CC196" s="51"/>
      <c r="CD196"/>
      <c r="CG196"/>
      <c r="CI196" s="51"/>
      <c r="CK196" s="22">
        <v>5</v>
      </c>
      <c r="CL196" s="83">
        <f>$B$41</f>
        <v>0.75</v>
      </c>
      <c r="CM196" s="679">
        <f t="shared" si="176"/>
        <v>0</v>
      </c>
      <c r="CN196" s="680"/>
      <c r="CO196" s="70">
        <f>IF($CP$220=$DV$36,IF(CM196&gt;0,((CM196-1)*$BM$47*0.5)+$BM$47,CM196*0.5*$BM$47),CM196*0.5*$BM$47)</f>
        <v>0</v>
      </c>
      <c r="CP196" s="70">
        <f>IF(CM196&gt;0,1,0)*$A$41</f>
        <v>0</v>
      </c>
      <c r="CQ196" s="679">
        <f>CM196*$BK$47</f>
        <v>0</v>
      </c>
      <c r="CR196" s="680"/>
      <c r="CS196" s="83"/>
      <c r="CV196" s="116"/>
      <c r="CW196" s="679">
        <f t="shared" si="177"/>
        <v>0</v>
      </c>
      <c r="CX196" s="680"/>
      <c r="CY196" s="70">
        <f>IF($CP$220=$DV$36,IF(AND(CW196&gt;0,CM196&lt;1),((CW196-1)*$BM$47*0.5)+$BM$47,CW196*0.5*$BM$47),CW196*0.5*$BM$47)</f>
        <v>0</v>
      </c>
      <c r="CZ196" s="70">
        <f>IF(CW196&gt;0,1,0)*$A$41</f>
        <v>0</v>
      </c>
      <c r="DA196" s="679">
        <f>CW196*$BK$47</f>
        <v>0</v>
      </c>
      <c r="DB196" s="680"/>
      <c r="DC196" s="689"/>
      <c r="DD196" s="690"/>
      <c r="DE196" s="83"/>
      <c r="DF196" s="691"/>
      <c r="DG196" s="692"/>
      <c r="DH196" s="83"/>
      <c r="DI196" s="691"/>
      <c r="DJ196" s="692"/>
      <c r="DP196"/>
      <c r="DQ196"/>
      <c r="DR196"/>
      <c r="DS196"/>
      <c r="DT196" s="51"/>
      <c r="DV196"/>
      <c r="DW196"/>
      <c r="DX196"/>
      <c r="DY196"/>
    </row>
    <row r="197" spans="1:129" ht="13.5" thickBot="1" x14ac:dyDescent="0.25">
      <c r="A197" s="51"/>
      <c r="B197"/>
      <c r="C197" s="22">
        <v>7</v>
      </c>
      <c r="D197" s="83">
        <f>$B$42</f>
        <v>0.76</v>
      </c>
      <c r="E197" s="679">
        <f>SUM(IF($C$1="Residência",$C$42,0),IF($F$1="Residência",$F$42,0),IF($I$1="Residência",$I$42,0),IF($L$1="Residência",$L$42,0),IF($O$1="Residência",$O$42,0),IF($R$1="Residência",$R$42,0))</f>
        <v>0</v>
      </c>
      <c r="F197" s="680"/>
      <c r="G197" s="70">
        <f>IF($H$220=$DV$37,IF(E197&gt;0,((E197-1)*$BM$48*0.5)+$BM$48,E197*0.5*$BM$48),E197*0.5*$BM$48)</f>
        <v>0</v>
      </c>
      <c r="H197" s="70">
        <f>IF(E197&gt;0,1,0)*$A$42</f>
        <v>0</v>
      </c>
      <c r="I197" s="679">
        <f>E197*$BK$48</f>
        <v>0</v>
      </c>
      <c r="J197" s="680"/>
      <c r="K197" s="83"/>
      <c r="N197" s="116"/>
      <c r="O197" s="679">
        <f>SUM(IF($C$1="Residência",0,$C$42),IF($F$1="Residência",0,$F$42),IF($I$1="Residência",0,$I$42),IF($L$1="Residência",0,$L$42),IF($O$1="Residência",0,$O$42),IF($R$1="Residência",0,$R$42))</f>
        <v>0</v>
      </c>
      <c r="P197" s="680"/>
      <c r="Q197" s="70">
        <f>IF($H$220=$DV$37,IF(AND(O197&gt;0,$E$197&lt;1),((O197-1)*$BM$48*0.5)+$BM$48,O197*0.5*$BM$48),O197*0.5*$BM$48)</f>
        <v>0</v>
      </c>
      <c r="R197" s="70">
        <f>IF(O197&gt;0,1,0)*$A$42</f>
        <v>0</v>
      </c>
      <c r="S197" s="679">
        <f>O197*$BK$48</f>
        <v>0</v>
      </c>
      <c r="T197" s="680"/>
      <c r="U197" s="689"/>
      <c r="V197" s="690"/>
      <c r="W197" s="679">
        <f>SUM(IF($C$1="Residência",$C$42,0),IF($F$1="Residência",$F$42,0),IF($I$1="Residência",$I$42,0),IF($L$1="Residência",$L$42,0),IF($O$1="Residência",$O$42,0),IF($R$1="Residência",$R$42,0))</f>
        <v>0</v>
      </c>
      <c r="X197" s="680"/>
      <c r="Y197" s="70">
        <f>IF($H$220=$DV$37,IF(W197&gt;0,((W197-1)*$BM$48*0.5)+$BM$48,W197*0.5*$BM$48),W197*0.5*$BM$48)</f>
        <v>0</v>
      </c>
      <c r="Z197" s="70">
        <f>IF(W197&gt;0,1,0)*$A$42</f>
        <v>0</v>
      </c>
      <c r="AA197" s="679">
        <f>W197*$BK$48</f>
        <v>0</v>
      </c>
      <c r="AB197" s="680"/>
      <c r="AC197" s="83"/>
      <c r="AF197" s="116"/>
      <c r="AG197" s="679">
        <f>SUM(IF($C$1="Residência",0,$C$42),IF($F$1="Residência",0,$F$42),IF($I$1="Residência",0,$I$42),IF($L$1="Residência",0,$L$42),IF($O$1="Residência",0,$O$42),IF($R$1="Residência",0,$R$42))</f>
        <v>0</v>
      </c>
      <c r="AH197" s="680"/>
      <c r="AI197" s="70">
        <f>IF($H$220=$DV$37,IF(AND(AG197&gt;0,$E$197&lt;1),((AG197-1)*$BM$48*0.5)+$BM$48,AG197*0.5*$BM$48),AG197*0.5*$BM$48)</f>
        <v>0</v>
      </c>
      <c r="AJ197" s="70">
        <f>IF(AG197&gt;0,1,0)*$A$42</f>
        <v>0</v>
      </c>
      <c r="AK197" s="679">
        <f>AG197*$BK$48</f>
        <v>0</v>
      </c>
      <c r="AL197" s="680"/>
      <c r="AR197" s="51"/>
      <c r="AT197" s="22">
        <v>7</v>
      </c>
      <c r="AU197" s="83">
        <f>$B$42</f>
        <v>0.76</v>
      </c>
      <c r="AV197" s="679">
        <f t="shared" si="174"/>
        <v>0</v>
      </c>
      <c r="AW197" s="680"/>
      <c r="AX197" s="70">
        <f>IF($AY$220=$DV$37,IF(AV197&gt;0,((AV197-1)*$BM$48*0.5)+$BM$48,AV197*0.5*$BM$48),AV197*0.5*$BM$48)</f>
        <v>0</v>
      </c>
      <c r="AY197" s="70">
        <f>IF(AV197&gt;0,1,0)*$A$42</f>
        <v>0</v>
      </c>
      <c r="AZ197" s="679">
        <f>AV197*$BK$48</f>
        <v>0</v>
      </c>
      <c r="BA197" s="680"/>
      <c r="BB197" s="83"/>
      <c r="BE197" s="116"/>
      <c r="BF197" s="679">
        <f t="shared" si="175"/>
        <v>0</v>
      </c>
      <c r="BG197" s="680"/>
      <c r="BH197" s="70">
        <f>IF($AY$220=$DV$37,IF(AND(BF197&gt;0,AV197&lt;1),((BF197-1)*$BM$48*0.5)+$BM$48,BF197*0.5*$BM$48),BF197*0.5*$BM$48)</f>
        <v>0</v>
      </c>
      <c r="BI197" s="70">
        <f>IF(BF197&gt;0,1,0)*$A$42</f>
        <v>0</v>
      </c>
      <c r="BJ197" s="679">
        <f>BF197*$BK$48</f>
        <v>0</v>
      </c>
      <c r="BK197" s="680"/>
      <c r="BL197" s="689"/>
      <c r="BM197" s="690"/>
      <c r="BN197" s="83"/>
      <c r="BO197" s="395"/>
      <c r="BP197" s="396"/>
      <c r="BQ197" s="83"/>
      <c r="BR197" s="691"/>
      <c r="BS197" s="692"/>
      <c r="BU197" s="20"/>
      <c r="BV197" s="20"/>
      <c r="BW197" s="72"/>
      <c r="BX197" s="72"/>
      <c r="CB197"/>
      <c r="CC197"/>
      <c r="CD197"/>
      <c r="CG197"/>
      <c r="CI197" s="51"/>
      <c r="CK197" s="22">
        <v>7</v>
      </c>
      <c r="CL197" s="83">
        <f>$B$42</f>
        <v>0.76</v>
      </c>
      <c r="CM197" s="679">
        <f t="shared" si="176"/>
        <v>0</v>
      </c>
      <c r="CN197" s="680"/>
      <c r="CO197" s="70">
        <f>IF($CP$220=$DV$37,IF(CM197&gt;0,((CM197-1)*$BM$48*0.5)+$BM$48,CM197*0.5*$BM$48),CM197*0.5*$BM$48)</f>
        <v>0</v>
      </c>
      <c r="CP197" s="70">
        <f>IF(CM197&gt;0,1,0)*$A$42</f>
        <v>0</v>
      </c>
      <c r="CQ197" s="679">
        <f>CM197*$BK$48</f>
        <v>0</v>
      </c>
      <c r="CR197" s="680"/>
      <c r="CS197" s="83"/>
      <c r="CV197" s="116"/>
      <c r="CW197" s="679">
        <f t="shared" si="177"/>
        <v>0</v>
      </c>
      <c r="CX197" s="680"/>
      <c r="CY197" s="70">
        <f>IF($CP$220=$DV$37,IF(AND(CW197&gt;0,CM197&lt;1),((CW197-1)*$BM$48*0.5)+$BM$48,CW197*0.5*$BM$48),CW197*0.5*$BM$48)</f>
        <v>0</v>
      </c>
      <c r="CZ197" s="70">
        <f>IF(CW197&gt;0,1,0)*$A$42</f>
        <v>0</v>
      </c>
      <c r="DA197" s="679">
        <f>CW197*$BK$48</f>
        <v>0</v>
      </c>
      <c r="DB197" s="680"/>
      <c r="DC197" s="689"/>
      <c r="DD197" s="690"/>
      <c r="DE197" s="83"/>
      <c r="DF197" s="691"/>
      <c r="DG197" s="692"/>
      <c r="DH197" s="83"/>
      <c r="DI197" s="691"/>
      <c r="DJ197" s="692"/>
      <c r="DL197" s="20"/>
      <c r="DM197" s="20"/>
      <c r="DN197" s="72"/>
      <c r="DO197" s="72"/>
      <c r="DP197"/>
      <c r="DQ197"/>
      <c r="DR197"/>
      <c r="DS197"/>
      <c r="DT197"/>
      <c r="DV197"/>
      <c r="DW197"/>
      <c r="DX197"/>
      <c r="DY197"/>
    </row>
    <row r="198" spans="1:129" ht="13.5" thickBot="1" x14ac:dyDescent="0.25">
      <c r="B198"/>
      <c r="C198" s="22">
        <v>7.5</v>
      </c>
      <c r="D198" s="83">
        <f>$B$43</f>
        <v>0.76</v>
      </c>
      <c r="E198" s="679">
        <f>SUM(IF($C$1="Residência",$C$43,0),IF($F$1="Residência",$F$43,0),IF($I$1="Residência",$I$43,0),IF($L$1="Residência",$L$43,0),IF($O$1="Residência",$O$43,0),IF($R$1="Residência",$R$43,0))</f>
        <v>0</v>
      </c>
      <c r="F198" s="680"/>
      <c r="G198" s="70">
        <f>IF($H$220=$DV$38,IF(E198&gt;0,((E198-1)*$BM$49*0.5)+$BM$49,E198*0.5*$BM$49),E198*0.5*$BM$49)</f>
        <v>0</v>
      </c>
      <c r="H198" s="70">
        <f>IF(E198&gt;0,1,0)*$A$43</f>
        <v>0</v>
      </c>
      <c r="I198" s="679">
        <f>E198*$BK$49</f>
        <v>0</v>
      </c>
      <c r="J198" s="680"/>
      <c r="K198" s="83"/>
      <c r="N198" s="116"/>
      <c r="O198" s="679">
        <f>SUM(IF($C$1="Residência",0,$C$43),IF($F$1="Residência",0,$F$43),IF($I$1="Residência",0,$I$43),IF($L$1="Residência",0,$L$43),IF($O$1="Residência",0,$O$43),IF($R$1="Residência",0,$R$43))</f>
        <v>0</v>
      </c>
      <c r="P198" s="680"/>
      <c r="Q198" s="70">
        <f>IF($H$220=$DV$38,IF(AND(O198&gt;0,$E$198&lt;1),((O198-1)*$BM$49*0.5)+$BM$49,O198*0.5*$BM$49),O198*0.5*$BM$49)</f>
        <v>0</v>
      </c>
      <c r="R198" s="70">
        <f>IF(O198&gt;0,1,0)*$A$43</f>
        <v>0</v>
      </c>
      <c r="S198" s="679">
        <f>O198*$BK$49</f>
        <v>0</v>
      </c>
      <c r="T198" s="680"/>
      <c r="U198" s="689"/>
      <c r="V198" s="690"/>
      <c r="W198" s="679">
        <f>SUM(IF($C$1="Residência",$C$43,0),IF($F$1="Residência",$F$43,0),IF($I$1="Residência",$I$43,0),IF($L$1="Residência",$L$43,0),IF($O$1="Residência",$O$43,0),IF($R$1="Residência",$R$43,0))</f>
        <v>0</v>
      </c>
      <c r="X198" s="680"/>
      <c r="Y198" s="70">
        <f>IF($H$220=$DV$38,IF(W198&gt;0,((W198-1)*$BM$49*0.5)+$BM$49,W198*0.5*$BM$49),W198*0.5*$BM$49)</f>
        <v>0</v>
      </c>
      <c r="Z198" s="70">
        <f>IF(W198&gt;0,1,0)*$A$43</f>
        <v>0</v>
      </c>
      <c r="AA198" s="679">
        <f>W198*$BK$49</f>
        <v>0</v>
      </c>
      <c r="AB198" s="680"/>
      <c r="AC198" s="83"/>
      <c r="AF198" s="116"/>
      <c r="AG198" s="679">
        <f>SUM(IF($C$1="Residência",0,$C$43),IF($F$1="Residência",0,$F$43),IF($I$1="Residência",0,$I$43),IF($L$1="Residência",0,$L$43),IF($O$1="Residência",0,$O$43),IF($R$1="Residência",0,$R$43))</f>
        <v>0</v>
      </c>
      <c r="AH198" s="680"/>
      <c r="AI198" s="70">
        <f>IF($H$220=$DV$38,IF(AND(AG198&gt;0,$E$198&lt;1),((AG198-1)*$BM$49*0.5)+$BM$49,AG198*0.5*$BM$49),AG198*0.5*$BM$49)</f>
        <v>0</v>
      </c>
      <c r="AJ198" s="70">
        <f>IF(AG198&gt;0,1,0)*$A$43</f>
        <v>0</v>
      </c>
      <c r="AK198" s="679">
        <f>AG198*$BK$49</f>
        <v>0</v>
      </c>
      <c r="AL198" s="680"/>
      <c r="AT198" s="22">
        <v>7.5</v>
      </c>
      <c r="AU198" s="83">
        <f>$B$43</f>
        <v>0.76</v>
      </c>
      <c r="AV198" s="679">
        <f t="shared" si="174"/>
        <v>0</v>
      </c>
      <c r="AW198" s="680"/>
      <c r="AX198" s="70">
        <f>IF($AY$220=$DV$38,IF(AV198&gt;0,((AV198-1)*$BM$49*0.5)+$BM$49,AV198*0.5*$BM$49),AV198*0.5*$BM$49)</f>
        <v>0</v>
      </c>
      <c r="AY198" s="70">
        <f>IF(AV198&gt;0,1,0)*$A$43</f>
        <v>0</v>
      </c>
      <c r="AZ198" s="679">
        <f>AV198*$BK$49</f>
        <v>0</v>
      </c>
      <c r="BA198" s="680"/>
      <c r="BB198" s="83"/>
      <c r="BE198" s="116"/>
      <c r="BF198" s="679">
        <f t="shared" si="175"/>
        <v>0</v>
      </c>
      <c r="BG198" s="680"/>
      <c r="BH198" s="70">
        <f>IF($AY$220=$DV$38,IF(AND(BF198&gt;0,AV198&lt;1),((BF198-1)*$BM$49*0.5)+$BM$49,BF198*0.5*$BM$49),BF198*0.5*$BM$49)</f>
        <v>0</v>
      </c>
      <c r="BI198" s="70">
        <f>IF(BF198&gt;0,1,0)*$A$43</f>
        <v>0</v>
      </c>
      <c r="BJ198" s="679">
        <f>BF198*$BK$49</f>
        <v>0</v>
      </c>
      <c r="BK198" s="680"/>
      <c r="BL198" s="689"/>
      <c r="BM198" s="690"/>
      <c r="BN198" s="83"/>
      <c r="BO198" s="395"/>
      <c r="BP198" s="396"/>
      <c r="BQ198" s="83"/>
      <c r="BR198" s="691"/>
      <c r="BS198" s="692"/>
      <c r="BU198" s="696"/>
      <c r="BV198" s="696"/>
      <c r="BW198" s="696"/>
      <c r="BX198" s="696"/>
      <c r="BY198" s="51"/>
      <c r="BZ198" s="20"/>
      <c r="CB198"/>
      <c r="CC198"/>
      <c r="CD198"/>
      <c r="CG198"/>
      <c r="CK198" s="22">
        <v>7.5</v>
      </c>
      <c r="CL198" s="83">
        <f>$B$43</f>
        <v>0.76</v>
      </c>
      <c r="CM198" s="679">
        <f t="shared" si="176"/>
        <v>0</v>
      </c>
      <c r="CN198" s="680"/>
      <c r="CO198" s="70">
        <f>IF($CP$220=$DV$38,IF(CM198&gt;0,((CM198-1)*$BM$49*0.5)+$BM$49,CM198*0.5*$BM$49),CM198*0.5*$BM$49)</f>
        <v>0</v>
      </c>
      <c r="CP198" s="70">
        <f>IF(CM198&gt;0,1,0)*$A$43</f>
        <v>0</v>
      </c>
      <c r="CQ198" s="679">
        <f>CM198*$BK$49</f>
        <v>0</v>
      </c>
      <c r="CR198" s="680"/>
      <c r="CS198" s="83"/>
      <c r="CV198" s="116"/>
      <c r="CW198" s="679">
        <f t="shared" si="177"/>
        <v>0</v>
      </c>
      <c r="CX198" s="680"/>
      <c r="CY198" s="70">
        <f>IF($CP$220=$DV$38,IF(AND(CW198&gt;0,CM198&lt;1),((CW198-1)*$BM$49*0.5)+$BM$49,CW198*0.5*$BM$49),CW198*0.5*$BM$49)</f>
        <v>0</v>
      </c>
      <c r="CZ198" s="70">
        <f>IF(CW198&gt;0,1,0)*$A$43</f>
        <v>0</v>
      </c>
      <c r="DA198" s="679">
        <f>CW198*$BK$49</f>
        <v>0</v>
      </c>
      <c r="DB198" s="680"/>
      <c r="DC198" s="689"/>
      <c r="DD198" s="690"/>
      <c r="DE198" s="83"/>
      <c r="DF198" s="691"/>
      <c r="DG198" s="692"/>
      <c r="DH198" s="83"/>
      <c r="DI198" s="691"/>
      <c r="DJ198" s="692"/>
      <c r="DL198" s="696"/>
      <c r="DM198" s="696"/>
      <c r="DN198" s="696"/>
      <c r="DO198" s="696"/>
      <c r="DP198" s="51"/>
      <c r="DQ198" s="20"/>
      <c r="DR198"/>
      <c r="DS198"/>
      <c r="DT198"/>
      <c r="DV198"/>
      <c r="DW198"/>
      <c r="DX198"/>
      <c r="DY198"/>
    </row>
    <row r="199" spans="1:129" ht="13.5" thickBot="1" x14ac:dyDescent="0.25">
      <c r="B199"/>
      <c r="C199" s="22">
        <v>10</v>
      </c>
      <c r="D199" s="83">
        <f>$B$44</f>
        <v>0.77</v>
      </c>
      <c r="E199" s="679">
        <f>SUM(IF($C$1="Residência",$C$44,0),IF($F$1="Residência",$F$44,0),IF($I$1="Residência",$I$44,0),IF($L$1="Residência",$L$44,0),IF($O$1="Residência",$O$44,0),IF($R$1="Residência",$R$44,0))</f>
        <v>0</v>
      </c>
      <c r="F199" s="680"/>
      <c r="G199" s="70">
        <f>IF($H$220=$DV$39,IF(E199&gt;0,((E199-1)*$BM$50*0.5)+$BM$50,E199*0.5*$BM$50),E199*0.5*$BM$50)</f>
        <v>0</v>
      </c>
      <c r="H199" s="70">
        <f>IF(E199&gt;0,1,0)*$A$44</f>
        <v>0</v>
      </c>
      <c r="I199" s="679">
        <f>E199*$BK$50</f>
        <v>0</v>
      </c>
      <c r="J199" s="680"/>
      <c r="K199" s="83"/>
      <c r="N199" s="116"/>
      <c r="O199" s="679">
        <f>SUM(IF($C$1="Residência",0,$C$44),IF($F$1="Residência",0,$F$44),IF($I$1="Residência",0,$I$44),IF($L$1="Residência",0,$L$44),IF($O$1="Residência",0,$O$44),IF($R$1="Residência",0,$R$44))</f>
        <v>0</v>
      </c>
      <c r="P199" s="680"/>
      <c r="Q199" s="70">
        <f>IF($H$220=$DV$39,IF(AND(O199&gt;0,$E$199&lt;1),((O199-1)*$BM$50*0.5)+$BM$50,O199*0.5*$BM$50),O199*0.5*$BM$50)</f>
        <v>0</v>
      </c>
      <c r="R199" s="70">
        <f>IF(O199&gt;0,1,0)*$A$44</f>
        <v>0</v>
      </c>
      <c r="S199" s="679">
        <f>O199*$BK$50</f>
        <v>0</v>
      </c>
      <c r="T199" s="680"/>
      <c r="U199" s="689"/>
      <c r="V199" s="690"/>
      <c r="W199" s="679">
        <f>SUM(IF($C$1="Residência",$C$44,0),IF($F$1="Residência",$F$44,0),IF($I$1="Residência",$I$44,0),IF($L$1="Residência",$L$44,0),IF($O$1="Residência",$O$44,0),IF($R$1="Residência",$R$44,0))</f>
        <v>0</v>
      </c>
      <c r="X199" s="680"/>
      <c r="Y199" s="70">
        <f>IF($H$220=$DV$39,IF(W199&gt;0,((W199-1)*$BM$50*0.5)+$BM$50,W199*0.5*$BM$50),W199*0.5*$BM$50)</f>
        <v>0</v>
      </c>
      <c r="Z199" s="70">
        <f>IF(W199&gt;0,1,0)*$A$44</f>
        <v>0</v>
      </c>
      <c r="AA199" s="679">
        <f>W199*$BK$50</f>
        <v>0</v>
      </c>
      <c r="AB199" s="680"/>
      <c r="AC199" s="83"/>
      <c r="AF199" s="116"/>
      <c r="AG199" s="679">
        <f>SUM(IF($C$1="Residência",0,$C$44),IF($F$1="Residência",0,$F$44),IF($I$1="Residência",0,$I$44),IF($L$1="Residência",0,$L$44),IF($O$1="Residência",0,$O$44),IF($R$1="Residência",0,$R$44))</f>
        <v>0</v>
      </c>
      <c r="AH199" s="680"/>
      <c r="AI199" s="70">
        <f>IF($H$220=$DV$39,IF(AND(AG199&gt;0,$E$199&lt;1),((AG199-1)*$BM$50*0.5)+$BM$50,AG199*0.5*$BM$50),AG199*0.5*$BM$50)</f>
        <v>0</v>
      </c>
      <c r="AJ199" s="70">
        <f>IF(AG199&gt;0,1,0)*$A$44</f>
        <v>0</v>
      </c>
      <c r="AK199" s="679">
        <f>AG199*$BK$50</f>
        <v>0</v>
      </c>
      <c r="AL199" s="680"/>
      <c r="AT199" s="22">
        <v>10</v>
      </c>
      <c r="AU199" s="83">
        <f>$B$44</f>
        <v>0.77</v>
      </c>
      <c r="AV199" s="679">
        <f t="shared" si="174"/>
        <v>0</v>
      </c>
      <c r="AW199" s="680"/>
      <c r="AX199" s="70">
        <f>IF($AY$220=$DV$39,IF(AV199&gt;0,((AV199-1)*$BM$50*0.5)+$BM$50,AV199*0.5*$BM$50),AV199*0.5*$BM$50)</f>
        <v>0</v>
      </c>
      <c r="AY199" s="70">
        <f>IF(AV199&gt;0,1,0)*$A$44</f>
        <v>0</v>
      </c>
      <c r="AZ199" s="679">
        <f>AV199*$BK$50</f>
        <v>0</v>
      </c>
      <c r="BA199" s="680"/>
      <c r="BB199" s="83"/>
      <c r="BE199" s="116"/>
      <c r="BF199" s="679">
        <f t="shared" si="175"/>
        <v>0</v>
      </c>
      <c r="BG199" s="680"/>
      <c r="BH199" s="70">
        <f>IF($AY$220=$DV$39,IF(AND(BF199&gt;0,AV199&lt;1),((BF199-1)*$BM$50*0.5)+$BM$50,BF199*0.5*$BM$50),BF199*0.5*$BM$50)</f>
        <v>0</v>
      </c>
      <c r="BI199" s="70">
        <f>IF(BF199&gt;0,1,0)*$A$44</f>
        <v>0</v>
      </c>
      <c r="BJ199" s="679">
        <f>BF199*$BK$50</f>
        <v>0</v>
      </c>
      <c r="BK199" s="680"/>
      <c r="BL199" s="689"/>
      <c r="BM199" s="690"/>
      <c r="BN199" s="83"/>
      <c r="BO199" s="395"/>
      <c r="BP199" s="396"/>
      <c r="BQ199" s="83"/>
      <c r="BR199" s="691"/>
      <c r="BS199" s="692"/>
      <c r="BY199" s="116"/>
      <c r="BZ199" s="51"/>
      <c r="CB199"/>
      <c r="CC199"/>
      <c r="CD199"/>
      <c r="CG199"/>
      <c r="CK199" s="22">
        <v>10</v>
      </c>
      <c r="CL199" s="83">
        <f>$B$44</f>
        <v>0.77</v>
      </c>
      <c r="CM199" s="679">
        <f t="shared" si="176"/>
        <v>0</v>
      </c>
      <c r="CN199" s="680"/>
      <c r="CO199" s="70">
        <f>IF($CP$220=$DV$39,IF(CM199&gt;0,((CM199-1)*$BM$50*0.5)+$BM$50,CM199*0.5*$BM$50),CM199*0.5*$BM$50)</f>
        <v>0</v>
      </c>
      <c r="CP199" s="70">
        <f>IF(CM199&gt;0,1,0)*$A$44</f>
        <v>0</v>
      </c>
      <c r="CQ199" s="679">
        <f>CM199*$BK$50</f>
        <v>0</v>
      </c>
      <c r="CR199" s="680"/>
      <c r="CS199" s="83"/>
      <c r="CV199" s="116"/>
      <c r="CW199" s="679">
        <f t="shared" si="177"/>
        <v>0</v>
      </c>
      <c r="CX199" s="680"/>
      <c r="CY199" s="70">
        <f>IF($CP$220=$DV$39,IF(AND(CW199&gt;0,CM199&lt;1),((CW199-1)*$BM$50*0.5)+$BM$50,CW199*0.5*$BM$50),CW199*0.5*$BM$50)</f>
        <v>0</v>
      </c>
      <c r="CZ199" s="70">
        <f>IF(CW199&gt;0,1,0)*$A$44</f>
        <v>0</v>
      </c>
      <c r="DA199" s="679">
        <f>CW199*$BK$50</f>
        <v>0</v>
      </c>
      <c r="DB199" s="680"/>
      <c r="DC199" s="689"/>
      <c r="DD199" s="690"/>
      <c r="DE199" s="83"/>
      <c r="DF199" s="691"/>
      <c r="DG199" s="692"/>
      <c r="DH199" s="83"/>
      <c r="DI199" s="691"/>
      <c r="DJ199" s="692"/>
      <c r="DP199" s="116"/>
      <c r="DQ199" s="51"/>
      <c r="DR199"/>
      <c r="DS199"/>
      <c r="DT199"/>
      <c r="DV199"/>
      <c r="DW199"/>
      <c r="DX199"/>
      <c r="DY199"/>
    </row>
    <row r="200" spans="1:129" ht="13.5" thickBot="1" x14ac:dyDescent="0.25">
      <c r="B200"/>
      <c r="C200" s="22">
        <v>12.5</v>
      </c>
      <c r="D200" s="83">
        <f>$B$45</f>
        <v>0.77</v>
      </c>
      <c r="E200" s="679">
        <f>SUM(IF($C$1="Residência",$C$45,0),IF($F$1="Residência",$F$45,0),IF($I$1="Residência",$I$45,0),IF($L$1="Residência",$L$45,0),IF($O$1="Residência",$O$45,0),IF($R$1="Residência",$R$45,0))</f>
        <v>0</v>
      </c>
      <c r="F200" s="680"/>
      <c r="G200" s="70">
        <f>IF($H$220=$DV$40,IF(E200&gt;0,((E200-1)*$BM$51*0.5)+$BM$51,E200*0.5*$BM$51),E200*0.5*$BM$51)</f>
        <v>0</v>
      </c>
      <c r="H200" s="70">
        <f>IF(E200&gt;0,1,0)*$A$45</f>
        <v>0</v>
      </c>
      <c r="I200" s="679">
        <f>E200*$BK$51</f>
        <v>0</v>
      </c>
      <c r="J200" s="680"/>
      <c r="K200" s="83"/>
      <c r="N200" s="116"/>
      <c r="O200" s="679">
        <f>SUM(IF($C$1="Residência",0,$C$45),IF($F$1="Residência",0,$F$45),IF($I$1="Residência",0,$I$45),IF($L$1="Residência",0,$L$454),IF($O$1="Residência",0,$O$45),IF($R$1="Residência",0,$R$45))</f>
        <v>0</v>
      </c>
      <c r="P200" s="680"/>
      <c r="Q200" s="70">
        <f>IF($H$220=$DV$40,IF(AND(O200&gt;0,$E$200&lt;1),((O200-1)*$BM$51*0.5)+$BM$51,O200*0.5*$BM$51),O200*0.5*$BM$51)</f>
        <v>0</v>
      </c>
      <c r="R200" s="70">
        <f>IF(O200&gt;0,1,0)*$A$45</f>
        <v>0</v>
      </c>
      <c r="S200" s="679">
        <f>O200*$BK$51</f>
        <v>0</v>
      </c>
      <c r="T200" s="680"/>
      <c r="U200" s="689"/>
      <c r="V200" s="690"/>
      <c r="W200" s="679">
        <f>SUM(IF($C$1="Residência",$C$45,0),IF($F$1="Residência",$F$45,0),IF($I$1="Residência",$I$45,0),IF($L$1="Residência",$L$45,0),IF($O$1="Residência",$O$45,0),IF($R$1="Residência",$R$45,0))</f>
        <v>0</v>
      </c>
      <c r="X200" s="680"/>
      <c r="Y200" s="70">
        <f>IF($H$220=$DV$40,IF(W200&gt;0,((W200-1)*$BM$51*0.5)+$BM$51,W200*0.5*$BM$51),W200*0.5*$BM$51)</f>
        <v>0</v>
      </c>
      <c r="Z200" s="70">
        <f>IF(W200&gt;0,1,0)*$A$45</f>
        <v>0</v>
      </c>
      <c r="AA200" s="679">
        <f>W200*$BK$51</f>
        <v>0</v>
      </c>
      <c r="AB200" s="680"/>
      <c r="AC200" s="83"/>
      <c r="AF200" s="116"/>
      <c r="AG200" s="679">
        <f>SUM(IF($C$1="Residência",0,$C$45),IF($F$1="Residência",0,$F$45),IF($I$1="Residência",0,$I$45),IF($L$1="Residência",0,$L$454),IF($O$1="Residência",0,$O$45),IF($R$1="Residência",0,$R$45))</f>
        <v>0</v>
      </c>
      <c r="AH200" s="680"/>
      <c r="AI200" s="70">
        <f>IF($H$220=$DV$40,IF(AND(AG200&gt;0,$E$200&lt;1),((AG200-1)*$BM$51*0.5)+$BM$51,AG200*0.5*$BM$51),AG200*0.5*$BM$51)</f>
        <v>0</v>
      </c>
      <c r="AJ200" s="70">
        <f>IF(AG200&gt;0,1,0)*$A$45</f>
        <v>0</v>
      </c>
      <c r="AK200" s="679">
        <f>AG200*$BK$51</f>
        <v>0</v>
      </c>
      <c r="AL200" s="680"/>
      <c r="AT200" s="22">
        <v>12.5</v>
      </c>
      <c r="AU200" s="83">
        <f>$B$45</f>
        <v>0.77</v>
      </c>
      <c r="AV200" s="679">
        <f t="shared" si="174"/>
        <v>0</v>
      </c>
      <c r="AW200" s="680"/>
      <c r="AX200" s="70">
        <f>IF($AY$220=$DV$40,IF(AV200&gt;0,((AV200-1)*$BM$51*0.5)+$BM$51,AV200*0.5*$BM$51),AV200*0.5*$BM$51)</f>
        <v>0</v>
      </c>
      <c r="AY200" s="70">
        <f>IF(AV200&gt;0,1,0)*$A$45</f>
        <v>0</v>
      </c>
      <c r="AZ200" s="679">
        <f>AV200*$BK$51</f>
        <v>0</v>
      </c>
      <c r="BA200" s="680"/>
      <c r="BB200" s="83"/>
      <c r="BE200" s="116"/>
      <c r="BF200" s="679">
        <f t="shared" si="175"/>
        <v>0</v>
      </c>
      <c r="BG200" s="680"/>
      <c r="BH200" s="70">
        <f>IF($AY$220=$DV$40,IF(AND(BF200&gt;0,AV200&lt;1),((BF200-1)*$BM$51*0.5)+$BM$51,BF200*0.5*$BM$51),BF200*0.5*$BM$51)</f>
        <v>0</v>
      </c>
      <c r="BI200" s="70">
        <f>IF(BF200&gt;0,1,0)*$A$45</f>
        <v>0</v>
      </c>
      <c r="BJ200" s="679">
        <f>BF200*$BK$51</f>
        <v>0</v>
      </c>
      <c r="BK200" s="680"/>
      <c r="BL200" s="689"/>
      <c r="BM200" s="690"/>
      <c r="BN200" s="83"/>
      <c r="BO200" s="395"/>
      <c r="BP200" s="396"/>
      <c r="BQ200" s="83"/>
      <c r="BR200" s="691"/>
      <c r="BS200" s="692"/>
      <c r="BY200" s="116"/>
      <c r="BZ200" s="51"/>
      <c r="CB200"/>
      <c r="CC200"/>
      <c r="CD200"/>
      <c r="CG200"/>
      <c r="CK200" s="22">
        <v>12.5</v>
      </c>
      <c r="CL200" s="83">
        <f>$B$45</f>
        <v>0.77</v>
      </c>
      <c r="CM200" s="679">
        <f t="shared" si="176"/>
        <v>0</v>
      </c>
      <c r="CN200" s="680"/>
      <c r="CO200" s="70">
        <f>IF($CP$220=$DV$40,IF(CM200&gt;0,((CM200-1)*$BM$51*0.5)+$BM$51,CM200*0.5*$BM$51),CM200*0.5*$BM$51)</f>
        <v>0</v>
      </c>
      <c r="CP200" s="70">
        <f>IF(CM200&gt;0,1,0)*$A$45</f>
        <v>0</v>
      </c>
      <c r="CQ200" s="679">
        <f>CM200*$BK$51</f>
        <v>0</v>
      </c>
      <c r="CR200" s="680"/>
      <c r="CS200" s="83"/>
      <c r="CV200" s="116"/>
      <c r="CW200" s="679">
        <f t="shared" si="177"/>
        <v>0</v>
      </c>
      <c r="CX200" s="680"/>
      <c r="CY200" s="70">
        <f>IF($CP$220=$DV$40,IF(AND(CW200&gt;0,CM200&lt;1),((CW200-1)*$BM$51*0.5)+$BM$51,CW200*0.5*$BM$51),CW200*0.5*$BM$51)</f>
        <v>0</v>
      </c>
      <c r="CZ200" s="70">
        <f>IF(CW200&gt;0,1,0)*$A$45</f>
        <v>0</v>
      </c>
      <c r="DA200" s="679">
        <f>CW200*$BK$51</f>
        <v>0</v>
      </c>
      <c r="DB200" s="680"/>
      <c r="DC200" s="689"/>
      <c r="DD200" s="690"/>
      <c r="DE200" s="83"/>
      <c r="DF200" s="691"/>
      <c r="DG200" s="692"/>
      <c r="DH200" s="83"/>
      <c r="DI200" s="691"/>
      <c r="DJ200" s="692"/>
      <c r="DP200" s="116"/>
      <c r="DQ200" s="51"/>
      <c r="DR200"/>
      <c r="DS200"/>
      <c r="DT200"/>
      <c r="DV200"/>
      <c r="DW200"/>
      <c r="DX200"/>
      <c r="DY200"/>
    </row>
    <row r="201" spans="1:129" ht="13.5" thickBot="1" x14ac:dyDescent="0.25">
      <c r="B201"/>
      <c r="C201" s="22">
        <v>15</v>
      </c>
      <c r="D201" s="83">
        <f>$B$46</f>
        <v>0.77</v>
      </c>
      <c r="E201" s="679">
        <f>SUM(IF($C$1="Residência",$C$46,0),IF($F$1="Residência",$F$46,0),IF($I$1="Residência",$I$46,0),IF($L$1="Residência",$L$46,0),IF($O$1="Residência",$O$46,0),IF($R$1="Residência",$R$46,0))</f>
        <v>0</v>
      </c>
      <c r="F201" s="680"/>
      <c r="G201" s="70">
        <f>IF($H$220=$DV$41,IF(E201&gt;0,((E201-1)*$BM$52*0.5)+$BM$52,E201*0.5*$BM$52),E201*0.5*$BM$52)</f>
        <v>0</v>
      </c>
      <c r="H201" s="70">
        <f>IF(E201&gt;0,1,0)*$A$46</f>
        <v>0</v>
      </c>
      <c r="I201" s="679">
        <f>E201*$BK$52</f>
        <v>0</v>
      </c>
      <c r="J201" s="680"/>
      <c r="K201" s="83"/>
      <c r="N201" s="116"/>
      <c r="O201" s="679">
        <f>SUM(IF($C$1="Residência",0,$C$46),IF($F$1="Residência",0,$F$46),IF($I$1="Residência",0,$I$46),IF($L$1="Residência",0,$L$46),IF($O$1="Residência",0,$O$46),IF($R$1="Residência",0,$R$46))</f>
        <v>0</v>
      </c>
      <c r="P201" s="680"/>
      <c r="Q201" s="70">
        <f>IF($H$220=$DV$41,IF(AND(O201&gt;0,$E$201&lt;1),((O201-1)*$BM$52*0.5)+$BM$52,O201*0.5*$BM$52),O201*0.5*$BM$52)</f>
        <v>0</v>
      </c>
      <c r="R201" s="70">
        <f>IF(O201&gt;0,1,0)*$A$46</f>
        <v>0</v>
      </c>
      <c r="S201" s="679">
        <f>O201*$BK$52</f>
        <v>0</v>
      </c>
      <c r="T201" s="680"/>
      <c r="U201" s="689"/>
      <c r="V201" s="690"/>
      <c r="W201" s="679">
        <f>SUM(IF($C$1="Residência",$C$46,0),IF($F$1="Residência",$F$46,0),IF($I$1="Residência",$I$46,0),IF($L$1="Residência",$L$46,0),IF($O$1="Residência",$O$46,0),IF($R$1="Residência",$R$46,0))</f>
        <v>0</v>
      </c>
      <c r="X201" s="680"/>
      <c r="Y201" s="70">
        <f>IF($H$220=$DV$41,IF(W201&gt;0,((W201-1)*$BM$52*0.5)+$BM$52,W201*0.5*$BM$52),W201*0.5*$BM$52)</f>
        <v>0</v>
      </c>
      <c r="Z201" s="70">
        <f>IF(W201&gt;0,1,0)*$A$46</f>
        <v>0</v>
      </c>
      <c r="AA201" s="679">
        <f>W201*$BK$52</f>
        <v>0</v>
      </c>
      <c r="AB201" s="680"/>
      <c r="AC201" s="83"/>
      <c r="AF201" s="116"/>
      <c r="AG201" s="679">
        <f>SUM(IF($C$1="Residência",0,$C$46),IF($F$1="Residência",0,$F$46),IF($I$1="Residência",0,$I$46),IF($L$1="Residência",0,$L$46),IF($O$1="Residência",0,$O$46),IF($R$1="Residência",0,$R$46))</f>
        <v>0</v>
      </c>
      <c r="AH201" s="680"/>
      <c r="AI201" s="70">
        <f>IF($H$220=$DV$41,IF(AND(AG201&gt;0,$E$201&lt;1),((AG201-1)*$BM$52*0.5)+$BM$52,AG201*0.5*$BM$52),AG201*0.5*$BM$52)</f>
        <v>0</v>
      </c>
      <c r="AJ201" s="70">
        <f>IF(AG201&gt;0,1,0)*$A$46</f>
        <v>0</v>
      </c>
      <c r="AK201" s="679">
        <f>AG201*$BK$52</f>
        <v>0</v>
      </c>
      <c r="AL201" s="680"/>
      <c r="AT201" s="22">
        <v>15</v>
      </c>
      <c r="AU201" s="83">
        <f>$B$46</f>
        <v>0.77</v>
      </c>
      <c r="AV201" s="679">
        <f t="shared" si="174"/>
        <v>0</v>
      </c>
      <c r="AW201" s="680"/>
      <c r="AX201" s="70">
        <f>IF($AY$220=$DV$41,IF(AV201&gt;0,((AV201-1)*$BM$52*0.5)+$BM$52,AV201*0.5*$BM$52),AV201*0.5*$BM$52)</f>
        <v>0</v>
      </c>
      <c r="AY201" s="70">
        <f>IF(AV201&gt;0,1,0)*$A$46</f>
        <v>0</v>
      </c>
      <c r="AZ201" s="679">
        <f>AV201*$BK$52</f>
        <v>0</v>
      </c>
      <c r="BA201" s="680"/>
      <c r="BB201" s="83"/>
      <c r="BE201" s="116"/>
      <c r="BF201" s="679">
        <f t="shared" si="175"/>
        <v>0</v>
      </c>
      <c r="BG201" s="680"/>
      <c r="BH201" s="70">
        <f>IF($AY$220=$DV$41,IF(AND(BF201&gt;0,AV201&lt;1),((BF201-1)*$BM$52*0.5)+$BM$52,BF201*0.5*$BM$52),BF201*0.5*$BM$52)</f>
        <v>0</v>
      </c>
      <c r="BI201" s="70">
        <f>IF(BF201&gt;0,1,0)*$A$46</f>
        <v>0</v>
      </c>
      <c r="BJ201" s="679">
        <f>BF201*$BK$52</f>
        <v>0</v>
      </c>
      <c r="BK201" s="680"/>
      <c r="BL201" s="689"/>
      <c r="BM201" s="690"/>
      <c r="BN201" s="83"/>
      <c r="BO201" s="395"/>
      <c r="BP201" s="396"/>
      <c r="BQ201" s="83"/>
      <c r="BR201" s="691"/>
      <c r="BS201" s="692"/>
      <c r="BY201" s="117"/>
      <c r="BZ201" s="51"/>
      <c r="CB201"/>
      <c r="CC201"/>
      <c r="CD201"/>
      <c r="CG201"/>
      <c r="CK201" s="22">
        <v>15</v>
      </c>
      <c r="CL201" s="83">
        <f>$B$46</f>
        <v>0.77</v>
      </c>
      <c r="CM201" s="679">
        <f t="shared" si="176"/>
        <v>0</v>
      </c>
      <c r="CN201" s="680"/>
      <c r="CO201" s="70">
        <f>IF($CP$220=$DV$41,IF(CM201&gt;0,((CM201-1)*$BM$52*0.5)+$BM$52,CM201*0.5*$BM$52),CM201*0.5*$BM$52)</f>
        <v>0</v>
      </c>
      <c r="CP201" s="70">
        <f>IF(CM201&gt;0,1,0)*$A$46</f>
        <v>0</v>
      </c>
      <c r="CQ201" s="679">
        <f>CM201*$BK$52</f>
        <v>0</v>
      </c>
      <c r="CR201" s="680"/>
      <c r="CS201" s="83"/>
      <c r="CV201" s="116"/>
      <c r="CW201" s="679">
        <f t="shared" si="177"/>
        <v>0</v>
      </c>
      <c r="CX201" s="680"/>
      <c r="CY201" s="70">
        <f>IF($CP$220=$DV$41,IF(AND(CW201&gt;0,CM201&lt;1),((CW201-1)*$BM$52*0.5)+$BM$52,CW201*0.5*$BM$52),CW201*0.5*$BM$52)</f>
        <v>0</v>
      </c>
      <c r="CZ201" s="70">
        <f>IF(CW201&gt;0,1,0)*$A$46</f>
        <v>0</v>
      </c>
      <c r="DA201" s="679">
        <f>CW201*$BK$52</f>
        <v>0</v>
      </c>
      <c r="DB201" s="680"/>
      <c r="DC201" s="689"/>
      <c r="DD201" s="690"/>
      <c r="DE201" s="83"/>
      <c r="DF201" s="691"/>
      <c r="DG201" s="692"/>
      <c r="DH201" s="83"/>
      <c r="DI201" s="691"/>
      <c r="DJ201" s="692"/>
      <c r="DP201" s="117"/>
      <c r="DQ201" s="51"/>
      <c r="DR201"/>
      <c r="DS201"/>
      <c r="DT201"/>
      <c r="DV201"/>
      <c r="DW201"/>
      <c r="DX201"/>
      <c r="DY201"/>
    </row>
    <row r="202" spans="1:129" ht="13.5" thickBot="1" x14ac:dyDescent="0.25">
      <c r="B202"/>
      <c r="C202" s="22">
        <v>20</v>
      </c>
      <c r="D202" s="83">
        <f>$B$47</f>
        <v>0.77</v>
      </c>
      <c r="E202" s="679">
        <f>SUM(IF($C$1="Residência",$C$47,0),IF($F$1="Residência",$F$47,0),IF($I$1="Residência",$I$47,0),IF($L$1="Residência",$L$47,0),IF($O$1="Residência",$O$47,0),IF($R$1="Residência",$R$47,0))</f>
        <v>0</v>
      </c>
      <c r="F202" s="680"/>
      <c r="G202" s="70">
        <f>IF($H$220=$DV$42,IF(E202&gt;0,((E202-1)*$BM$53*0.5)+$BM$53,E202*0.5*$BM$53),E202*0.5*$BM$53)</f>
        <v>0</v>
      </c>
      <c r="H202" s="70">
        <f>IF(E202&gt;0,1,0)*$A$47</f>
        <v>0</v>
      </c>
      <c r="I202" s="679">
        <f>E202*$BK$53</f>
        <v>0</v>
      </c>
      <c r="J202" s="680"/>
      <c r="K202" s="83"/>
      <c r="N202" s="116"/>
      <c r="O202" s="679">
        <f>SUM(IF($C$1="Residência",0,$C$47),IF($F$1="Residência",0,$F$47),IF($I$1="Residência",0,$I$47),IF($L$1="Residência",0,$L$47),IF($O$1="Residência",0,$O$47),IF($R$1="Residência",0,$R$47))</f>
        <v>0</v>
      </c>
      <c r="P202" s="680"/>
      <c r="Q202" s="70">
        <f>IF($H$220=$DV$42,IF(AND(O202&gt;0,$E$202&lt;1),((O202-1)*$BM$53*0.5)+$BM$53,O202*0.5*$BM$53),O202*0.5*$BM$53)</f>
        <v>0</v>
      </c>
      <c r="R202" s="70">
        <f>IF(O202&gt;0,1,0)*$A$47</f>
        <v>0</v>
      </c>
      <c r="S202" s="679">
        <f>O202*$BK$53</f>
        <v>0</v>
      </c>
      <c r="T202" s="680"/>
      <c r="U202" s="689"/>
      <c r="V202" s="690"/>
      <c r="W202" s="679">
        <f>SUM(IF($C$1="Residência",$C$47,0),IF($F$1="Residência",$F$47,0),IF($I$1="Residência",$I$47,0),IF($L$1="Residência",$L$47,0),IF($O$1="Residência",$O$47,0),IF($R$1="Residência",$R$47,0))</f>
        <v>0</v>
      </c>
      <c r="X202" s="680"/>
      <c r="Y202" s="70">
        <f>IF($H$220=$DV$42,IF(W202&gt;0,((W202-1)*$BM$53*0.5)+$BM$53,W202*0.5*$BM$53),W202*0.5*$BM$53)</f>
        <v>0</v>
      </c>
      <c r="Z202" s="70">
        <f>IF(W202&gt;0,1,0)*$A$47</f>
        <v>0</v>
      </c>
      <c r="AA202" s="679">
        <f>W202*$BK$53</f>
        <v>0</v>
      </c>
      <c r="AB202" s="680"/>
      <c r="AC202" s="83"/>
      <c r="AF202" s="116"/>
      <c r="AG202" s="679">
        <f>SUM(IF($C$1="Residência",0,$C$47),IF($F$1="Residência",0,$F$47),IF($I$1="Residência",0,$I$47),IF($L$1="Residência",0,$L$47),IF($O$1="Residência",0,$O$47),IF($R$1="Residência",0,$R$47))</f>
        <v>0</v>
      </c>
      <c r="AH202" s="680"/>
      <c r="AI202" s="70">
        <f>IF($H$220=$DV$42,IF(AND(AG202&gt;0,$E$202&lt;1),((AG202-1)*$BM$53*0.5)+$BM$53,AG202*0.5*$BM$53),AG202*0.5*$BM$53)</f>
        <v>0</v>
      </c>
      <c r="AJ202" s="70">
        <f>IF(AG202&gt;0,1,0)*$A$47</f>
        <v>0</v>
      </c>
      <c r="AK202" s="679">
        <f>AG202*$BK$53</f>
        <v>0</v>
      </c>
      <c r="AL202" s="680"/>
      <c r="AT202" s="22">
        <v>20</v>
      </c>
      <c r="AU202" s="83">
        <f>$B$47</f>
        <v>0.77</v>
      </c>
      <c r="AV202" s="679">
        <f t="shared" si="174"/>
        <v>0</v>
      </c>
      <c r="AW202" s="680"/>
      <c r="AX202" s="70">
        <f>IF($AY$220=$DV$42,IF(AV202&gt;0,((AV202-1)*$BM$53*0.5)+$BM$53,AV202*0.5*$BM$53),AV202*0.5*$BM$53)</f>
        <v>0</v>
      </c>
      <c r="AY202" s="70">
        <f>IF(AV202&gt;0,1,0)*$A$47</f>
        <v>0</v>
      </c>
      <c r="AZ202" s="679">
        <f>AV202*$BK$53</f>
        <v>0</v>
      </c>
      <c r="BA202" s="680"/>
      <c r="BB202" s="83"/>
      <c r="BE202" s="116"/>
      <c r="BF202" s="679">
        <f t="shared" si="175"/>
        <v>0</v>
      </c>
      <c r="BG202" s="680"/>
      <c r="BH202" s="70">
        <f>IF($AY$220=$DV$42,IF(AND(BF202&gt;0,AV202&lt;1),((BF202-1)*$BM$53*0.5)+$BM$53,BF202*0.5*$BM$53),BF202*0.5*$BM$53)</f>
        <v>0</v>
      </c>
      <c r="BI202" s="70">
        <f>IF(BF202&gt;0,1,0)*$A$47</f>
        <v>0</v>
      </c>
      <c r="BJ202" s="679">
        <f>BF202*$BK$53</f>
        <v>0</v>
      </c>
      <c r="BK202" s="680"/>
      <c r="BL202" s="689"/>
      <c r="BM202" s="690"/>
      <c r="BN202" s="83"/>
      <c r="BO202" s="395"/>
      <c r="BP202" s="396"/>
      <c r="BQ202" s="83"/>
      <c r="BR202" s="691"/>
      <c r="BS202" s="692"/>
      <c r="BY202" s="116"/>
      <c r="BZ202" s="51"/>
      <c r="CB202"/>
      <c r="CC202"/>
      <c r="CD202"/>
      <c r="CG202"/>
      <c r="CK202" s="22">
        <v>20</v>
      </c>
      <c r="CL202" s="83">
        <f>$B$47</f>
        <v>0.77</v>
      </c>
      <c r="CM202" s="679">
        <f t="shared" si="176"/>
        <v>0</v>
      </c>
      <c r="CN202" s="680"/>
      <c r="CO202" s="70">
        <f>IF($CP$220=$DV$42,IF(CM202&gt;0,((CM202-1)*$BM$53*0.5)+$BM$53,CM202*0.5*$BM$53),CM202*0.5*$BM$53)</f>
        <v>0</v>
      </c>
      <c r="CP202" s="70">
        <f>IF(CM202&gt;0,1,0)*$A$47</f>
        <v>0</v>
      </c>
      <c r="CQ202" s="679">
        <f>CM202*$BK$53</f>
        <v>0</v>
      </c>
      <c r="CR202" s="680"/>
      <c r="CS202" s="83"/>
      <c r="CV202" s="116"/>
      <c r="CW202" s="679">
        <f t="shared" si="177"/>
        <v>0</v>
      </c>
      <c r="CX202" s="680"/>
      <c r="CY202" s="70">
        <f>IF($CP$220=$DV$42,IF(AND(CW202&gt;0,CM202&lt;1),((CW202-1)*$BM$53*0.5)+$BM$53,CW202*0.5*$BM$53),CW202*0.5*$BM$53)</f>
        <v>0</v>
      </c>
      <c r="CZ202" s="70">
        <f>IF(CW202&gt;0,1,0)*$A$47</f>
        <v>0</v>
      </c>
      <c r="DA202" s="679">
        <f>CW202*$BK$53</f>
        <v>0</v>
      </c>
      <c r="DB202" s="680"/>
      <c r="DC202" s="689"/>
      <c r="DD202" s="690"/>
      <c r="DE202" s="83"/>
      <c r="DF202" s="691"/>
      <c r="DG202" s="692"/>
      <c r="DH202" s="83"/>
      <c r="DI202" s="691"/>
      <c r="DJ202" s="692"/>
      <c r="DP202" s="116"/>
      <c r="DQ202" s="51"/>
      <c r="DR202"/>
      <c r="DS202"/>
      <c r="DT202"/>
      <c r="DV202"/>
      <c r="DW202"/>
      <c r="DX202"/>
      <c r="DY202"/>
    </row>
    <row r="203" spans="1:129" ht="13.5" thickBot="1" x14ac:dyDescent="0.25">
      <c r="B203"/>
      <c r="C203" s="22">
        <v>25</v>
      </c>
      <c r="D203" s="83">
        <f>$B$48</f>
        <v>0.81</v>
      </c>
      <c r="E203" s="679">
        <f>SUM(IF($C$1="Residência",$C$48,0),IF($F$1="Residência",$F$48,0),IF($I$1="Residência",$I$48,0),IF($L$1="Residência",$L$48,0),IF($O$1="Residência",$O$48,0),IF($R$1="Residência",$R$48,0))</f>
        <v>0</v>
      </c>
      <c r="F203" s="680"/>
      <c r="G203" s="70">
        <f>IF($H$220=$DV$43,IF(E203&gt;0,((E203-1)*$BM$54*0.5)+$BM$54,E203*0.5*$BM$54),E203*0.5*$BM$54)</f>
        <v>0</v>
      </c>
      <c r="H203" s="70">
        <f>IF(E203&gt;0,1,0)*$A$48</f>
        <v>0</v>
      </c>
      <c r="I203" s="679">
        <f>E203*$BK$54</f>
        <v>0</v>
      </c>
      <c r="J203" s="680"/>
      <c r="K203" s="83"/>
      <c r="N203" s="116"/>
      <c r="O203" s="679">
        <f>SUM(IF($C$1="Residência",0,$C$48),IF($F$1="Residência",0,$F$48),IF($I$1="Residência",0,$I$48),IF($L$1="Residência",0,$L$48),IF($O$1="Residência",0,$O$48),IF($R$1="Residência",0,$R$48))</f>
        <v>0</v>
      </c>
      <c r="P203" s="680"/>
      <c r="Q203" s="70">
        <f>IF($H$220=$DV$43,IF(AND(O203&gt;0,$E$203&lt;1),((O203-1)*$BM$54*0.5)+$BM$54,O203*0.5*$BM$54),O203*0.5*$BM$54)</f>
        <v>0</v>
      </c>
      <c r="R203" s="70">
        <f>IF(O203&gt;0,1,0)*$A$48</f>
        <v>0</v>
      </c>
      <c r="S203" s="679">
        <f>O203*$BK$54</f>
        <v>0</v>
      </c>
      <c r="T203" s="680"/>
      <c r="U203" s="689"/>
      <c r="V203" s="690"/>
      <c r="W203" s="679">
        <f>SUM(IF($C$1="Residência",$C$48,0),IF($F$1="Residência",$F$48,0),IF($I$1="Residência",$I$48,0),IF($L$1="Residência",$L$48,0),IF($O$1="Residência",$O$48,0),IF($R$1="Residência",$R$48,0))</f>
        <v>0</v>
      </c>
      <c r="X203" s="680"/>
      <c r="Y203" s="70">
        <f>IF($H$220=$DV$43,IF(W203&gt;0,((W203-1)*$BM$54*0.5)+$BM$54,W203*0.5*$BM$54),W203*0.5*$BM$54)</f>
        <v>0</v>
      </c>
      <c r="Z203" s="70">
        <f>IF(W203&gt;0,1,0)*$A$48</f>
        <v>0</v>
      </c>
      <c r="AA203" s="679">
        <f>W203*$BK$54</f>
        <v>0</v>
      </c>
      <c r="AB203" s="680"/>
      <c r="AC203" s="83"/>
      <c r="AF203" s="116"/>
      <c r="AG203" s="679">
        <f>SUM(IF($C$1="Residência",0,$C$48),IF($F$1="Residência",0,$F$48),IF($I$1="Residência",0,$I$48),IF($L$1="Residência",0,$L$48),IF($O$1="Residência",0,$O$48),IF($R$1="Residência",0,$R$48))</f>
        <v>0</v>
      </c>
      <c r="AH203" s="680"/>
      <c r="AI203" s="70">
        <f>IF($H$220=$DV$43,IF(AND(AG203&gt;0,$E$203&lt;1),((AG203-1)*$BM$54*0.5)+$BM$54,AG203*0.5*$BM$54),AG203*0.5*$BM$54)</f>
        <v>0</v>
      </c>
      <c r="AJ203" s="70">
        <f>IF(AG203&gt;0,1,0)*$A$48</f>
        <v>0</v>
      </c>
      <c r="AK203" s="679">
        <f>AG203*$BK$54</f>
        <v>0</v>
      </c>
      <c r="AL203" s="680"/>
      <c r="AT203" s="22">
        <v>25</v>
      </c>
      <c r="AU203" s="83">
        <f>$B$48</f>
        <v>0.81</v>
      </c>
      <c r="AV203" s="679">
        <f t="shared" si="174"/>
        <v>0</v>
      </c>
      <c r="AW203" s="680"/>
      <c r="AX203" s="70">
        <f>IF($AY$220=$DV$43,IF(AV203&gt;0,((AV203-1)*$BM$54*0.5)+$BM$54,AV203*0.5*$BM$54),AV203*0.5*$BM$54)</f>
        <v>0</v>
      </c>
      <c r="AY203" s="70">
        <f>IF(AV203&gt;0,1,0)*$A$48</f>
        <v>0</v>
      </c>
      <c r="AZ203" s="679">
        <f>AV203*$BK$54</f>
        <v>0</v>
      </c>
      <c r="BA203" s="680"/>
      <c r="BB203" s="83"/>
      <c r="BE203" s="116"/>
      <c r="BF203" s="679">
        <f t="shared" si="175"/>
        <v>0</v>
      </c>
      <c r="BG203" s="680"/>
      <c r="BH203" s="70">
        <f>IF($AY$220=$DV$43,IF(AND(BF203&gt;0,AV203&lt;1),((BF203-1)*$BM$54*0.5)+$BM$54,BF203*0.5*$BM$54),BF203*0.5*$BM$54)</f>
        <v>0</v>
      </c>
      <c r="BI203" s="70">
        <f>IF(BF203&gt;0,1,0)*$A$48</f>
        <v>0</v>
      </c>
      <c r="BJ203" s="679">
        <f>BF203*$BK$54</f>
        <v>0</v>
      </c>
      <c r="BK203" s="680"/>
      <c r="BL203" s="689"/>
      <c r="BM203" s="690"/>
      <c r="BN203" s="83"/>
      <c r="BO203" s="395"/>
      <c r="BP203" s="396"/>
      <c r="BQ203" s="83"/>
      <c r="BR203" s="691"/>
      <c r="BS203" s="692"/>
      <c r="BY203" s="116"/>
      <c r="BZ203" s="51"/>
      <c r="CB203"/>
      <c r="CC203"/>
      <c r="CD203"/>
      <c r="CG203"/>
      <c r="CK203" s="22">
        <v>25</v>
      </c>
      <c r="CL203" s="83">
        <f>$B$48</f>
        <v>0.81</v>
      </c>
      <c r="CM203" s="679">
        <f t="shared" si="176"/>
        <v>0</v>
      </c>
      <c r="CN203" s="680"/>
      <c r="CO203" s="70">
        <f>IF($CP$220=$DV$43,IF(CM203&gt;0,((CM203-1)*$BM$54*0.5)+$BM$54,CM203*0.5*$BM$54),CM203*0.5*$BM$54)</f>
        <v>0</v>
      </c>
      <c r="CP203" s="70">
        <f>IF(CM203&gt;0,1,0)*$A$48</f>
        <v>0</v>
      </c>
      <c r="CQ203" s="679">
        <f>CM203*$BK$54</f>
        <v>0</v>
      </c>
      <c r="CR203" s="680"/>
      <c r="CS203" s="83"/>
      <c r="CV203" s="116"/>
      <c r="CW203" s="679">
        <f t="shared" si="177"/>
        <v>0</v>
      </c>
      <c r="CX203" s="680"/>
      <c r="CY203" s="70">
        <f>IF($CP$220=$DV$43,IF(AND(CW203&gt;0,CM203&lt;1),((CW203-1)*$BM$54*0.5)+$BM$54,CW203*0.5*$BM$54),CW203*0.5*$BM$54)</f>
        <v>0</v>
      </c>
      <c r="CZ203" s="70">
        <f>IF(CW203&gt;0,1,0)*$A$48</f>
        <v>0</v>
      </c>
      <c r="DA203" s="679">
        <f>CW203*$BK$54</f>
        <v>0</v>
      </c>
      <c r="DB203" s="680"/>
      <c r="DC203" s="689"/>
      <c r="DD203" s="690"/>
      <c r="DE203" s="83"/>
      <c r="DF203" s="691"/>
      <c r="DG203" s="692"/>
      <c r="DH203" s="83"/>
      <c r="DI203" s="691"/>
      <c r="DJ203" s="692"/>
      <c r="DP203" s="116"/>
      <c r="DQ203" s="51"/>
      <c r="DR203"/>
      <c r="DS203"/>
      <c r="DT203"/>
      <c r="DV203"/>
      <c r="DW203"/>
      <c r="DX203"/>
      <c r="DY203"/>
    </row>
    <row r="204" spans="1:129" ht="13.5" thickBot="1" x14ac:dyDescent="0.25">
      <c r="B204"/>
      <c r="C204" s="23">
        <v>30</v>
      </c>
      <c r="D204" s="83">
        <f>$B$49</f>
        <v>0.82</v>
      </c>
      <c r="E204" s="679">
        <f>SUM(IF($C$1="Residência",$C$49,0),IF($F$1="Residência",$F$49,0),IF($I$1="Residência",$I$49,0),IF($L$1="Residência",$L$49,0),IF($O$1="Residência",$O$49,0),IF($R$1="Residência",$R$49,0))</f>
        <v>0</v>
      </c>
      <c r="F204" s="680"/>
      <c r="G204" s="70">
        <f>IF($H$220=$DV$44,IF(E204&gt;0,((E204-1)*$BM$55*0.5)+$BM$55,E204*0.5*$BM$55),E204*0.5*$BM$55)</f>
        <v>0</v>
      </c>
      <c r="H204" s="70">
        <f>IF(E204&gt;0,1,0)*$A$49</f>
        <v>0</v>
      </c>
      <c r="I204" s="679">
        <f>E204*$BK$55</f>
        <v>0</v>
      </c>
      <c r="J204" s="680"/>
      <c r="K204" s="83"/>
      <c r="N204" s="116"/>
      <c r="O204" s="679">
        <f>SUM(IF($C$1="Residência",0,$C$49),IF($F$1="Residência",0,$F$49),IF($I$1="Residência",0,$I$49),IF($L$1="Residência",0,$L$49),IF($O$1="Residência",0,$O$49),IF($R$1="Residência",0,$R$49))</f>
        <v>0</v>
      </c>
      <c r="P204" s="680"/>
      <c r="Q204" s="70">
        <f>IF($H$220=$DV$44,IF(AND(O204&gt;0,$E$204&lt;1),((O204-1)*$BM$55*0.5)+$BM$55,O204*0.5*$BM$55),O204*0.5*$BM$55)</f>
        <v>0</v>
      </c>
      <c r="R204" s="70">
        <f>IF(O204&gt;0,1,0)*$A$49</f>
        <v>0</v>
      </c>
      <c r="S204" s="679">
        <f>O204*$BK$55</f>
        <v>0</v>
      </c>
      <c r="T204" s="680"/>
      <c r="U204" s="689"/>
      <c r="V204" s="690"/>
      <c r="W204" s="679">
        <f>SUM(IF($C$1="Residência",$C$49,0),IF($F$1="Residência",$F$49,0),IF($I$1="Residência",$I$49,0),IF($L$1="Residência",$L$49,0),IF($O$1="Residência",$O$49,0),IF($R$1="Residência",$R$49,0))</f>
        <v>0</v>
      </c>
      <c r="X204" s="680"/>
      <c r="Y204" s="70">
        <f>IF($H$220=$DV$44,IF(W204&gt;0,((W204-1)*$BM$55*0.5)+$BM$55,W204*0.5*$BM$55),W204*0.5*$BM$55)</f>
        <v>0</v>
      </c>
      <c r="Z204" s="70">
        <f>IF(W204&gt;0,1,0)*$A$49</f>
        <v>0</v>
      </c>
      <c r="AA204" s="679">
        <f>W204*$BK$55</f>
        <v>0</v>
      </c>
      <c r="AB204" s="680"/>
      <c r="AC204" s="83"/>
      <c r="AF204" s="116"/>
      <c r="AG204" s="679">
        <f>SUM(IF($C$1="Residência",0,$C$49),IF($F$1="Residência",0,$F$49),IF($I$1="Residência",0,$I$49),IF($L$1="Residência",0,$L$49),IF($O$1="Residência",0,$O$49),IF($R$1="Residência",0,$R$49))</f>
        <v>0</v>
      </c>
      <c r="AH204" s="680"/>
      <c r="AI204" s="70">
        <f>IF($H$220=$DV$44,IF(AND(AG204&gt;0,$E$204&lt;1),((AG204-1)*$BM$55*0.5)+$BM$55,AG204*0.5*$BM$55),AG204*0.5*$BM$55)</f>
        <v>0</v>
      </c>
      <c r="AJ204" s="70">
        <f>IF(AG204&gt;0,1,0)*$A$49</f>
        <v>0</v>
      </c>
      <c r="AK204" s="679">
        <f>AG204*$BK$55</f>
        <v>0</v>
      </c>
      <c r="AL204" s="680"/>
      <c r="AT204" s="23">
        <v>30</v>
      </c>
      <c r="AU204" s="83">
        <f>$B$49</f>
        <v>0.82</v>
      </c>
      <c r="AV204" s="679">
        <f t="shared" si="174"/>
        <v>0</v>
      </c>
      <c r="AW204" s="680"/>
      <c r="AX204" s="70">
        <f>IF($AY$220=$DV$44,IF(AV204&gt;0,((AV204-1)*$BM$55*0.5)+$BM$55,AV204*0.5*$BM$55),AV204*0.5*$BM$55)</f>
        <v>0</v>
      </c>
      <c r="AY204" s="70">
        <f>IF(AV204&gt;0,1,0)*$A$49</f>
        <v>0</v>
      </c>
      <c r="AZ204" s="679">
        <f>AV204*$BK$55</f>
        <v>0</v>
      </c>
      <c r="BA204" s="680"/>
      <c r="BB204" s="83"/>
      <c r="BE204" s="116"/>
      <c r="BF204" s="679">
        <f t="shared" si="175"/>
        <v>0</v>
      </c>
      <c r="BG204" s="680"/>
      <c r="BH204" s="70">
        <f>IF($AY$220=$DV$44,IF(AND(BF204&gt;0,AV204&lt;1),((BF204-1)*$BM$55*0.5)+$BM$55,BF204*0.5*$BM$55),BF204*0.5*$BM$55)</f>
        <v>0</v>
      </c>
      <c r="BI204" s="70">
        <f>IF(BF204&gt;0,1,0)*$A$49</f>
        <v>0</v>
      </c>
      <c r="BJ204" s="679">
        <f>BF204*$BK$55</f>
        <v>0</v>
      </c>
      <c r="BK204" s="680"/>
      <c r="BL204" s="689"/>
      <c r="BM204" s="690"/>
      <c r="BN204" s="83"/>
      <c r="BO204" s="395"/>
      <c r="BP204" s="396"/>
      <c r="BQ204" s="83"/>
      <c r="BR204" s="691"/>
      <c r="BS204" s="692"/>
      <c r="BY204" s="116"/>
      <c r="BZ204" s="51"/>
      <c r="CB204"/>
      <c r="CC204"/>
      <c r="CD204"/>
      <c r="CG204"/>
      <c r="CK204" s="23">
        <v>30</v>
      </c>
      <c r="CL204" s="83">
        <f>$B$49</f>
        <v>0.82</v>
      </c>
      <c r="CM204" s="679">
        <f t="shared" si="176"/>
        <v>0</v>
      </c>
      <c r="CN204" s="680"/>
      <c r="CO204" s="70">
        <f>IF($CP$220=$DV$44,IF(CM204&gt;0,((CM204-1)*$BM$55*0.5)+$BM$55,CM204*0.5*$BM$55),CM204*0.5*$BM$55)</f>
        <v>0</v>
      </c>
      <c r="CP204" s="70">
        <f>IF(CM204&gt;0,1,0)*$A$49</f>
        <v>0</v>
      </c>
      <c r="CQ204" s="679">
        <f>CM204*$BK$55</f>
        <v>0</v>
      </c>
      <c r="CR204" s="680"/>
      <c r="CS204" s="83"/>
      <c r="CV204" s="116"/>
      <c r="CW204" s="679">
        <f t="shared" si="177"/>
        <v>0</v>
      </c>
      <c r="CX204" s="680"/>
      <c r="CY204" s="70">
        <f>IF($CP$220=$DV$44,IF(AND(CW204&gt;0,CM204&lt;1),((CW204-1)*$BM$55*0.5)+$BM$55,CW204*0.5*$BM$55),CW204*0.5*$BM$55)</f>
        <v>0</v>
      </c>
      <c r="CZ204" s="70">
        <f>IF(CW204&gt;0,1,0)*$A$49</f>
        <v>0</v>
      </c>
      <c r="DA204" s="679">
        <f>CW204*$BK$55</f>
        <v>0</v>
      </c>
      <c r="DB204" s="680"/>
      <c r="DC204" s="689"/>
      <c r="DD204" s="690"/>
      <c r="DE204" s="83"/>
      <c r="DF204" s="691"/>
      <c r="DG204" s="692"/>
      <c r="DH204" s="83"/>
      <c r="DI204" s="691"/>
      <c r="DJ204" s="692"/>
      <c r="DP204" s="116"/>
      <c r="DQ204" s="51"/>
      <c r="DR204"/>
      <c r="DS204"/>
      <c r="DT204"/>
      <c r="DV204"/>
      <c r="DW204"/>
      <c r="DX204"/>
      <c r="DY204"/>
    </row>
    <row r="205" spans="1:129" ht="13.5" thickBot="1" x14ac:dyDescent="0.25">
      <c r="B205"/>
      <c r="C205" s="32"/>
      <c r="D205" s="84"/>
      <c r="E205" s="205"/>
      <c r="F205" s="205"/>
      <c r="G205" s="89"/>
      <c r="H205" s="70"/>
      <c r="I205" s="205"/>
      <c r="J205" s="205"/>
      <c r="K205" s="84"/>
      <c r="L205" s="53"/>
      <c r="M205" s="53"/>
      <c r="N205" s="51"/>
      <c r="O205" s="53"/>
      <c r="P205" s="53"/>
      <c r="Q205" s="84"/>
      <c r="R205" s="205"/>
      <c r="S205" s="53"/>
      <c r="T205" s="84"/>
      <c r="U205" s="205"/>
      <c r="V205" s="205"/>
      <c r="W205" s="205"/>
      <c r="X205" s="205"/>
      <c r="Y205" s="89"/>
      <c r="Z205" s="70"/>
      <c r="AA205" s="205"/>
      <c r="AB205" s="205"/>
      <c r="AC205" s="84"/>
      <c r="AD205" s="53"/>
      <c r="AE205" s="53"/>
      <c r="AF205" s="51"/>
      <c r="AG205" s="53"/>
      <c r="AH205" s="53"/>
      <c r="AI205" s="84"/>
      <c r="AJ205" s="205"/>
      <c r="AK205" s="53"/>
      <c r="AL205" s="84"/>
      <c r="AT205" s="32"/>
      <c r="AU205" s="84"/>
      <c r="AV205" s="205"/>
      <c r="AW205" s="205"/>
      <c r="AX205" s="89"/>
      <c r="AY205" s="70"/>
      <c r="AZ205" s="205"/>
      <c r="BA205" s="205"/>
      <c r="BB205" s="84"/>
      <c r="BC205" s="53"/>
      <c r="BD205" s="53"/>
      <c r="BE205" s="51"/>
      <c r="BF205" s="53"/>
      <c r="BG205" s="53"/>
      <c r="BH205" s="84"/>
      <c r="BI205" s="205"/>
      <c r="BJ205" s="53"/>
      <c r="BK205" s="84"/>
      <c r="BL205" s="205"/>
      <c r="BM205" s="205"/>
      <c r="BN205" s="84"/>
      <c r="BO205" s="53"/>
      <c r="BP205" s="53"/>
      <c r="BQ205" s="89"/>
      <c r="BR205" s="54"/>
      <c r="BS205" s="54"/>
      <c r="BY205" s="116"/>
      <c r="BZ205" s="51"/>
      <c r="CB205"/>
      <c r="CC205"/>
      <c r="CD205"/>
      <c r="CG205"/>
      <c r="CK205" s="32"/>
      <c r="CL205" s="84"/>
      <c r="CM205" s="205"/>
      <c r="CN205" s="205"/>
      <c r="CO205" s="89"/>
      <c r="CP205" s="70"/>
      <c r="CQ205" s="205"/>
      <c r="CR205" s="205"/>
      <c r="CS205" s="84"/>
      <c r="CT205" s="53"/>
      <c r="CU205" s="53"/>
      <c r="CV205" s="51"/>
      <c r="CW205" s="53"/>
      <c r="CX205" s="53"/>
      <c r="CY205" s="84"/>
      <c r="CZ205" s="205"/>
      <c r="DA205" s="53"/>
      <c r="DB205" s="84"/>
      <c r="DC205" s="205"/>
      <c r="DD205" s="205"/>
      <c r="DE205" s="84"/>
      <c r="DF205" s="53"/>
      <c r="DG205" s="53"/>
      <c r="DH205" s="89"/>
      <c r="DI205" s="54"/>
      <c r="DJ205" s="54"/>
      <c r="DP205" s="116"/>
      <c r="DQ205" s="51"/>
      <c r="DR205"/>
      <c r="DS205"/>
      <c r="DT205"/>
      <c r="DV205"/>
      <c r="DW205"/>
      <c r="DX205"/>
      <c r="DY205"/>
    </row>
    <row r="206" spans="1:129" ht="13.5" thickBot="1" x14ac:dyDescent="0.25">
      <c r="B206"/>
      <c r="C206" s="24" t="s">
        <v>60</v>
      </c>
      <c r="D206" s="85"/>
      <c r="E206" s="206"/>
      <c r="F206" s="204"/>
      <c r="G206" s="204"/>
      <c r="H206" s="70"/>
      <c r="I206" s="204"/>
      <c r="J206" s="204"/>
      <c r="K206" s="194"/>
      <c r="L206" s="194"/>
      <c r="M206" s="194"/>
      <c r="N206" s="51"/>
      <c r="O206" s="194"/>
      <c r="P206" s="194"/>
      <c r="Q206" s="204"/>
      <c r="R206" s="204"/>
      <c r="S206" s="194"/>
      <c r="T206" s="194"/>
      <c r="U206" s="204"/>
      <c r="V206" s="204"/>
      <c r="W206" s="206"/>
      <c r="X206" s="204"/>
      <c r="Y206" s="204"/>
      <c r="Z206" s="70"/>
      <c r="AA206" s="204"/>
      <c r="AB206" s="204"/>
      <c r="AC206" s="194"/>
      <c r="AD206" s="194"/>
      <c r="AE206" s="194"/>
      <c r="AF206" s="51"/>
      <c r="AG206" s="194"/>
      <c r="AH206" s="194"/>
      <c r="AI206" s="204"/>
      <c r="AJ206" s="204"/>
      <c r="AK206" s="194"/>
      <c r="AL206" s="194"/>
      <c r="AT206" s="24" t="s">
        <v>60</v>
      </c>
      <c r="AU206" s="85"/>
      <c r="AV206" s="206"/>
      <c r="AW206" s="204"/>
      <c r="AX206" s="204"/>
      <c r="AY206" s="70"/>
      <c r="AZ206" s="204"/>
      <c r="BA206" s="204"/>
      <c r="BB206" s="194"/>
      <c r="BC206" s="194"/>
      <c r="BD206" s="194"/>
      <c r="BE206" s="51"/>
      <c r="BF206" s="194"/>
      <c r="BG206" s="194"/>
      <c r="BH206" s="204"/>
      <c r="BI206" s="204"/>
      <c r="BJ206" s="194"/>
      <c r="BK206" s="194"/>
      <c r="BL206" s="204"/>
      <c r="BM206" s="204"/>
      <c r="BN206" s="204"/>
      <c r="BO206" s="194"/>
      <c r="BP206" s="194"/>
      <c r="BQ206" s="194"/>
      <c r="BR206" s="194"/>
      <c r="BS206" s="194"/>
      <c r="BY206" s="118"/>
      <c r="BZ206" s="51"/>
      <c r="CB206"/>
      <c r="CC206"/>
      <c r="CD206"/>
      <c r="CG206"/>
      <c r="CK206" s="24" t="s">
        <v>60</v>
      </c>
      <c r="CL206" s="85"/>
      <c r="CM206" s="206"/>
      <c r="CN206" s="204"/>
      <c r="CO206" s="204"/>
      <c r="CP206" s="70"/>
      <c r="CQ206" s="204"/>
      <c r="CR206" s="204"/>
      <c r="CS206" s="194"/>
      <c r="CT206" s="194"/>
      <c r="CU206" s="194"/>
      <c r="CV206" s="51"/>
      <c r="CW206" s="194"/>
      <c r="CX206" s="194"/>
      <c r="CY206" s="204"/>
      <c r="CZ206" s="204"/>
      <c r="DA206" s="194"/>
      <c r="DB206" s="194"/>
      <c r="DC206" s="204"/>
      <c r="DD206" s="204"/>
      <c r="DE206" s="204"/>
      <c r="DF206" s="194"/>
      <c r="DG206" s="194"/>
      <c r="DH206" s="194"/>
      <c r="DI206" s="194"/>
      <c r="DJ206" s="194"/>
      <c r="DP206" s="118"/>
      <c r="DQ206" s="51"/>
      <c r="DR206"/>
      <c r="DS206"/>
      <c r="DT206"/>
      <c r="DV206"/>
      <c r="DW206"/>
      <c r="DX206"/>
      <c r="DY206"/>
    </row>
    <row r="207" spans="1:129" ht="13.5" thickBot="1" x14ac:dyDescent="0.25">
      <c r="B207"/>
      <c r="C207" s="22">
        <v>0.25</v>
      </c>
      <c r="D207" s="83">
        <f>$B$52</f>
        <v>0.63</v>
      </c>
      <c r="E207" s="679">
        <f>SUM(IF($C$1="Residência",$C$52,0),IF($F$1="Residência",$F$52,0),IF($I$1="Residência",$I$52,0),IF($L$1="Residência",$L$52,0),IF($O$1="Residência",$O$52,0),IF($R$1="Residência",$R$52,0))</f>
        <v>0</v>
      </c>
      <c r="F207" s="680"/>
      <c r="G207" s="70">
        <f>IF($H$220=$DV$47,IF(E207&gt;0,((E207-1)*$BM$58*0.5)+$BM$58,E207*0.5*$BM$58),E207*0.5*$BM$58)</f>
        <v>0</v>
      </c>
      <c r="H207" s="70">
        <f>IF(E207&gt;0,1,0)*$A$52</f>
        <v>0</v>
      </c>
      <c r="I207" s="679">
        <f>E207*$BK$58</f>
        <v>0</v>
      </c>
      <c r="J207" s="680"/>
      <c r="K207" s="83"/>
      <c r="L207" s="691"/>
      <c r="M207" s="692"/>
      <c r="N207" s="51"/>
      <c r="O207" s="679">
        <f>SUM(IF($C$1="Residência",0,$C$52),IF($F$1="Residência",0,$F$52),IF($I$1="Residência",0,$I$52),IF($L$1="Residência",0,$L$52),IF($O$1="Residência",0,$O$52),IF($R$1="Residência",0,$R$52))</f>
        <v>0</v>
      </c>
      <c r="P207" s="680"/>
      <c r="Q207" s="70">
        <f>IF($H$220=$DV$47,IF(AND(O207&gt;0,$E$207&lt;1),((O207-1)*$BM$58*0.5)+$BM$58,O207*0.5*$BM$58),O207*0.5*$BM$58)</f>
        <v>0</v>
      </c>
      <c r="R207" s="70">
        <f>IF(O207&gt;0,1,0)*$A$52</f>
        <v>0</v>
      </c>
      <c r="S207" s="679">
        <f>O207*$BK$58</f>
        <v>0</v>
      </c>
      <c r="T207" s="680"/>
      <c r="U207" s="689"/>
      <c r="V207" s="690"/>
      <c r="W207" s="679">
        <f>SUM(IF($C$1="Residência",$C$52,0),IF($F$1="Residência",$F$52,0),IF($I$1="Residência",$I$52,0),IF($L$1="Residência",$L$52,0),IF($O$1="Residência",$O$52,0),IF($R$1="Residência",$R$52,0))</f>
        <v>0</v>
      </c>
      <c r="X207" s="680"/>
      <c r="Y207" s="70">
        <f>IF($H$220=$DV$47,IF(W207&gt;0,((W207-1)*$BM$58*0.5)+$BM$58,W207*0.5*$BM$58),W207*0.5*$BM$58)</f>
        <v>0</v>
      </c>
      <c r="Z207" s="70">
        <f>IF(W207&gt;0,1,0)*$A$52</f>
        <v>0</v>
      </c>
      <c r="AA207" s="679">
        <f>W207*$BK$58</f>
        <v>0</v>
      </c>
      <c r="AB207" s="680"/>
      <c r="AC207" s="83"/>
      <c r="AD207" s="691"/>
      <c r="AE207" s="692"/>
      <c r="AF207" s="51"/>
      <c r="AG207" s="679">
        <f>SUM(IF($C$1="Residência",0,$C$52),IF($F$1="Residência",0,$F$52),IF($I$1="Residência",0,$I$52),IF($L$1="Residência",0,$L$52),IF($O$1="Residência",0,$O$52),IF($R$1="Residência",0,$R$52))</f>
        <v>0</v>
      </c>
      <c r="AH207" s="680"/>
      <c r="AI207" s="70">
        <f>IF($H$220=$DV$47,IF(AND(AG207&gt;0,$E$207&lt;1),((AG207-1)*$BM$58*0.5)+$BM$58,AG207*0.5*$BM$58),AG207*0.5*$BM$58)</f>
        <v>0</v>
      </c>
      <c r="AJ207" s="70">
        <f>IF(AG207&gt;0,1,0)*$A$52</f>
        <v>0</v>
      </c>
      <c r="AK207" s="679">
        <f>AG207*$BK$58</f>
        <v>0</v>
      </c>
      <c r="AL207" s="680"/>
      <c r="AT207" s="22">
        <v>0.25</v>
      </c>
      <c r="AU207" s="83">
        <f>$B$52</f>
        <v>0.63</v>
      </c>
      <c r="AV207" s="679">
        <f t="shared" ref="AV207:AV219" si="178">SUM(IF($C$1="Residência",C52,0),IF($I$1="Residência",I52,0),IF($F$1="Residência",F52,0))</f>
        <v>0</v>
      </c>
      <c r="AW207" s="680"/>
      <c r="AX207" s="70">
        <f>IF($AY$220=$DV$47,IF(AV207&gt;0,((AV207-1)*$BM$58*0.5)+$BM$58,AV207*0.5*$BM$58),AV207*0.5*$BM$58)</f>
        <v>0</v>
      </c>
      <c r="AY207" s="70">
        <f>IF(AV207&gt;0,1,0)*$A$52</f>
        <v>0</v>
      </c>
      <c r="AZ207" s="679">
        <f>AV207*$BK$58</f>
        <v>0</v>
      </c>
      <c r="BA207" s="680"/>
      <c r="BB207" s="83"/>
      <c r="BC207" s="691"/>
      <c r="BD207" s="692"/>
      <c r="BE207" s="51"/>
      <c r="BF207" s="679">
        <f t="shared" ref="BF207:BF219" si="179">SUM(IF($C$1="Residência",0,C52),IF($I$1="Residência",0,I52),IF($F$1="Residência",0,F52))</f>
        <v>0</v>
      </c>
      <c r="BG207" s="680"/>
      <c r="BH207" s="70">
        <f>IF($AY$220=$DV$47,IF(AND(BF207&gt;0,AV207&lt;1),((BF207-1)*$BM$58*0.5)+$BM$58,BF207*0.5*$BM$58),BF207*0.5*$BM$58)</f>
        <v>0</v>
      </c>
      <c r="BI207" s="70">
        <f>IF(BF207&gt;0,1,0)*$A$52</f>
        <v>0</v>
      </c>
      <c r="BJ207" s="679">
        <f>BF207*$BK$58</f>
        <v>0</v>
      </c>
      <c r="BK207" s="680"/>
      <c r="BL207" s="689"/>
      <c r="BM207" s="690"/>
      <c r="BN207" s="83"/>
      <c r="BO207" s="395"/>
      <c r="BP207" s="396"/>
      <c r="BQ207" s="83"/>
      <c r="BR207" s="691"/>
      <c r="BS207" s="692"/>
      <c r="BY207" s="119"/>
      <c r="BZ207" s="51"/>
      <c r="CB207"/>
      <c r="CC207"/>
      <c r="CD207"/>
      <c r="CG207"/>
      <c r="CK207" s="22">
        <v>0.25</v>
      </c>
      <c r="CL207" s="83">
        <f>$B$52</f>
        <v>0.63</v>
      </c>
      <c r="CM207" s="679">
        <f t="shared" ref="CM207:CM219" si="180">SUM(IF($O$1="Residência",O52,0),IF($L$1="Residência",L52,0),IF($R$1="Residência",R52,0))</f>
        <v>0</v>
      </c>
      <c r="CN207" s="680"/>
      <c r="CO207" s="70">
        <f>IF($CP$220=$DV$47,IF(CM207&gt;0,((CM207-1)*$BM$58*0.5)+$BM$58,CM207*0.5*$BM$58),CM207*0.5*$BM$58)</f>
        <v>0</v>
      </c>
      <c r="CP207" s="70">
        <f>IF(CM207&gt;0,1,0)*$A$52</f>
        <v>0</v>
      </c>
      <c r="CQ207" s="679">
        <f>CM207*$BK$58</f>
        <v>0</v>
      </c>
      <c r="CR207" s="680"/>
      <c r="CS207" s="83"/>
      <c r="CT207" s="691"/>
      <c r="CU207" s="692"/>
      <c r="CV207" s="51"/>
      <c r="CW207" s="679">
        <f t="shared" ref="CW207:CW219" si="181">SUM(IF($O$1="Residência",0,O52),IF($L$1="Residência",0,L52),IF($R$1="Residência",0,R52))</f>
        <v>0</v>
      </c>
      <c r="CX207" s="680"/>
      <c r="CY207" s="70">
        <f>IF($CP$220=$DV$47,IF(AND(CW207&gt;0,CM207&lt;1),((CW207-1)*$BM$58*0.5)+$BM$58,CW207*0.5*$BM$58),CW207*0.5*$BM$58)</f>
        <v>0</v>
      </c>
      <c r="CZ207" s="70">
        <f>IF(CW207&gt;0,1,0)*$A$52</f>
        <v>0</v>
      </c>
      <c r="DA207" s="679">
        <f>CW207*$BK$58</f>
        <v>0</v>
      </c>
      <c r="DB207" s="680"/>
      <c r="DC207" s="689"/>
      <c r="DD207" s="690"/>
      <c r="DE207" s="83"/>
      <c r="DF207" s="691"/>
      <c r="DG207" s="692"/>
      <c r="DH207" s="83"/>
      <c r="DI207" s="691"/>
      <c r="DJ207" s="692"/>
      <c r="DP207" s="119"/>
      <c r="DQ207" s="51"/>
      <c r="DR207"/>
      <c r="DS207"/>
      <c r="DT207"/>
      <c r="DV207"/>
      <c r="DW207"/>
      <c r="DX207"/>
      <c r="DY207"/>
    </row>
    <row r="208" spans="1:129" ht="13.5" thickBot="1" x14ac:dyDescent="0.25">
      <c r="B208"/>
      <c r="C208" s="22">
        <v>0.33333333333333298</v>
      </c>
      <c r="D208" s="83">
        <f>$B$53</f>
        <v>0.66</v>
      </c>
      <c r="E208" s="679">
        <f>SUM(IF($C$1="Residência",$C$53,0),IF($F$1="Residência",$F$53,0),IF($I$1="Residência",$I$53,0),IF($L$1="Residência",$L$53,0),IF($O$1="Residência",$O$53,0),IF($R$1="Residência",$R$53,0))</f>
        <v>0</v>
      </c>
      <c r="F208" s="680"/>
      <c r="G208" s="70">
        <f>IF($H$220=$DV$48,IF(AND(E188&lt;1,O188&lt;1,E208&gt;0),((E208-1)*$BM$59*0.5)+$BM$59,E208*0.5*$BM$59),E208*0.5*$BM$59)</f>
        <v>0</v>
      </c>
      <c r="H208" s="70">
        <f>IF(E208&gt;0,1,0)*$A$53</f>
        <v>0</v>
      </c>
      <c r="I208" s="679">
        <f>E208*$BK$59</f>
        <v>0</v>
      </c>
      <c r="J208" s="680"/>
      <c r="K208" s="83"/>
      <c r="L208" s="691"/>
      <c r="M208" s="692"/>
      <c r="N208" s="51"/>
      <c r="O208" s="679">
        <f>SUM(IF($C$1="Residência",0,$C$53),IF($F$1="Residência",0,$F$53),IF($I$1="Residência",0,$I$53),IF($L$1="Residência",0,$L$53),IF($O$1="Residência",0,$O$53),IF($R$1="Residência",0,$R$53),IF($E$67="BIFÁSICA",$C$67,0))</f>
        <v>0</v>
      </c>
      <c r="P208" s="680"/>
      <c r="Q208" s="70">
        <f>IF($H$220=$DV$48,IF(AND(O188&lt;1,$E$188&lt;1,O208&gt;0,E208&lt;1),((O208-1)*$BM$59*0.5)+$BM$59,O208*0.5*$BM$59),O208*0.5*$BM$59)</f>
        <v>0</v>
      </c>
      <c r="R208" s="70">
        <f>IF(O208&gt;0,1,0)*$A$53</f>
        <v>0</v>
      </c>
      <c r="S208" s="679">
        <f>O208*$BK$59</f>
        <v>0</v>
      </c>
      <c r="T208" s="680"/>
      <c r="U208" s="689"/>
      <c r="V208" s="690"/>
      <c r="W208" s="679">
        <f>SUM(IF($C$1="Residência",$C$53,0),IF($F$1="Residência",$F$53,0),IF($I$1="Residência",$I$53,0),IF($L$1="Residência",$L$53,0),IF($O$1="Residência",$O$53,0),IF($R$1="Residência",$R$53,0))</f>
        <v>0</v>
      </c>
      <c r="X208" s="680"/>
      <c r="Y208" s="70">
        <f>IF($H$220=$DV$48,IF(AND(W188&lt;1,AG188&lt;1,W208&gt;0),((W208-1)*$BM$59*0.5)+$BM$59,W208*0.5*$BM$59),W208*0.5*$BM$59)</f>
        <v>0</v>
      </c>
      <c r="Z208" s="70">
        <f>IF(W208&gt;0,1,0)*$A$53</f>
        <v>0</v>
      </c>
      <c r="AA208" s="679">
        <f>W208*$BK$59</f>
        <v>0</v>
      </c>
      <c r="AB208" s="680"/>
      <c r="AC208" s="83"/>
      <c r="AD208" s="691"/>
      <c r="AE208" s="692"/>
      <c r="AF208" s="51"/>
      <c r="AG208" s="679">
        <f>SUM(IF($C$1="Residência",0,$C$53),IF($F$1="Residência",0,$F$53),IF($I$1="Residência",0,$I$53),IF($L$1="Residência",0,$L$53),IF($O$1="Residência",0,$O$53),IF($R$1="Residência",0,$R$53))</f>
        <v>0</v>
      </c>
      <c r="AH208" s="680"/>
      <c r="AI208" s="70">
        <f>IF($H$220=$DV$48,IF(AND(AG188&lt;1,$E$188&lt;1,AG208&gt;0,W208&lt;1),((AG208-1)*$BM$59*0.5)+$BM$59,AG208*0.5*$BM$59),AG208*0.5*$BM$59)</f>
        <v>0</v>
      </c>
      <c r="AJ208" s="70">
        <f>IF(AG208&gt;0,1,0)*$A$53</f>
        <v>0</v>
      </c>
      <c r="AK208" s="679">
        <f>AG208*$BK$59</f>
        <v>0</v>
      </c>
      <c r="AL208" s="680"/>
      <c r="AT208" s="22">
        <v>0.33333333333333298</v>
      </c>
      <c r="AU208" s="83">
        <f>$B$53</f>
        <v>0.66</v>
      </c>
      <c r="AV208" s="679">
        <f t="shared" si="178"/>
        <v>0</v>
      </c>
      <c r="AW208" s="680"/>
      <c r="AX208" s="70">
        <f>IF($AY$220=$DV$48,IF(AND(AV188&lt;1,BF188&lt;1,AV208&gt;0),((AV208-1)*$BM$59*0.5)+$BM$59,AV208*0.5*$BM$59),AV208*0.5*$BM$59)</f>
        <v>0</v>
      </c>
      <c r="AY208" s="70">
        <f>IF(AV208&gt;0,1,0)*$A$53</f>
        <v>0</v>
      </c>
      <c r="AZ208" s="679">
        <f>AV208*$BK$59</f>
        <v>0</v>
      </c>
      <c r="BA208" s="680"/>
      <c r="BB208" s="83"/>
      <c r="BC208" s="691"/>
      <c r="BD208" s="692"/>
      <c r="BE208" s="51"/>
      <c r="BF208" s="679">
        <f t="shared" si="179"/>
        <v>0</v>
      </c>
      <c r="BG208" s="680"/>
      <c r="BH208" s="70">
        <f>IF($AY$220=$DV$48,IF(AND(BF188&lt;1,AV188&lt;1,BF208&gt;0,AV208&lt;1),((BF208-1)*$BM$59*0.5)+$BM$59,BF208*0.5*$BM$59),BF208*0.5*$BM$59)</f>
        <v>0</v>
      </c>
      <c r="BI208" s="70">
        <f>IF(BF208&gt;0,1,0)*$A$53</f>
        <v>0</v>
      </c>
      <c r="BJ208" s="679">
        <f>BF208*$BK$59</f>
        <v>0</v>
      </c>
      <c r="BK208" s="680"/>
      <c r="BL208" s="689"/>
      <c r="BM208" s="690"/>
      <c r="BN208" s="83"/>
      <c r="BO208" s="395"/>
      <c r="BP208" s="396"/>
      <c r="BQ208" s="83"/>
      <c r="BR208" s="691"/>
      <c r="BS208" s="692"/>
      <c r="BY208" s="120"/>
      <c r="BZ208" s="51"/>
      <c r="CB208"/>
      <c r="CC208"/>
      <c r="CD208"/>
      <c r="CG208"/>
      <c r="CK208" s="22">
        <v>0.33333333333333298</v>
      </c>
      <c r="CL208" s="83">
        <f>$B$53</f>
        <v>0.66</v>
      </c>
      <c r="CM208" s="679">
        <f t="shared" si="180"/>
        <v>0</v>
      </c>
      <c r="CN208" s="680"/>
      <c r="CO208" s="70">
        <f>IF($CP$220=$DV$48,IF(AND(CM188&lt;1,CW188&lt;1,CM208&gt;0),((CM208-1)*$BM$59*0.5)+$BM$59,CM208*0.5*$BM$59),CM208*0.5*$BM$59)</f>
        <v>0</v>
      </c>
      <c r="CP208" s="70">
        <f>IF(CM208&gt;0,1,0)*$A$53</f>
        <v>0</v>
      </c>
      <c r="CQ208" s="679">
        <f>CM208*$BK$59</f>
        <v>0</v>
      </c>
      <c r="CR208" s="680"/>
      <c r="CS208" s="83"/>
      <c r="CT208" s="691"/>
      <c r="CU208" s="692"/>
      <c r="CV208" s="51"/>
      <c r="CW208" s="679">
        <f t="shared" si="181"/>
        <v>0</v>
      </c>
      <c r="CX208" s="680"/>
      <c r="CY208" s="70">
        <f>IF($CP$220=$DV$48,IF(AND(CW188&lt;1,CM188&lt;1,CW208&gt;0,CM208&lt;1),((CW208-1)*$BM$59*0.5)+$BM$59,CW208*0.5*$BM$59),CW208*0.5*$BM$59)</f>
        <v>0</v>
      </c>
      <c r="CZ208" s="70">
        <f>IF(CW208&gt;0,1,0)*$A$53</f>
        <v>0</v>
      </c>
      <c r="DA208" s="679">
        <f>CW208*$BK$59</f>
        <v>0</v>
      </c>
      <c r="DB208" s="680"/>
      <c r="DC208" s="689"/>
      <c r="DD208" s="690"/>
      <c r="DE208" s="83"/>
      <c r="DF208" s="691"/>
      <c r="DG208" s="692"/>
      <c r="DH208" s="83"/>
      <c r="DI208" s="691"/>
      <c r="DJ208" s="692"/>
      <c r="DP208" s="120"/>
      <c r="DQ208" s="51"/>
      <c r="DR208"/>
      <c r="DS208"/>
      <c r="DT208"/>
      <c r="DV208"/>
      <c r="DW208"/>
      <c r="DX208"/>
      <c r="DY208"/>
    </row>
    <row r="209" spans="1:129" ht="13.5" thickBot="1" x14ac:dyDescent="0.25">
      <c r="B209"/>
      <c r="C209" s="22">
        <v>0.5</v>
      </c>
      <c r="D209" s="83">
        <f>$B$54</f>
        <v>0.67</v>
      </c>
      <c r="E209" s="679">
        <f>SUM(IF($C$1="Residência",$C$54,0),IF($F$1="Residência",$F$54,0),IF($I$1="Residência",$I$54,0),IF($L$1="Residência",$L$54,0),IF($O$1="Residência",$O$54,0),IF($R$1="Residência",$R$54,0))</f>
        <v>0</v>
      </c>
      <c r="F209" s="680"/>
      <c r="G209" s="70">
        <f>IF($H$220=$DV$49,IF(AND(E189&lt;1,O189&lt;1,E209&gt;0),((E209-1)*$BM$220*0.5)+$BM$220,E209*0.5*$BM$220),E209*0.5*$BM$220)</f>
        <v>0</v>
      </c>
      <c r="H209" s="70">
        <f>IF(E209&gt;0,1,0)*$A$54</f>
        <v>0</v>
      </c>
      <c r="I209" s="679">
        <f>E209*$BK$60</f>
        <v>0</v>
      </c>
      <c r="J209" s="680"/>
      <c r="K209" s="83"/>
      <c r="L209" s="691"/>
      <c r="M209" s="692"/>
      <c r="N209" s="51"/>
      <c r="O209" s="679">
        <f>SUM(IF($C$1="Residência",0,$C$54),IF($F$1="Residência",0,$F$54),IF($I$1="Residência",0,$I$54),IF($L$1="Residência",0,$L$54),IF($O$1="Residência",0,$O$54),IF($R$1="Residência",0,$R$54),IF($E$68="BIFÁSICA",$C$68,0))</f>
        <v>0</v>
      </c>
      <c r="P209" s="680"/>
      <c r="Q209" s="70">
        <f>IF($H$220=$DV$49,IF(AND(O189&lt;1,$E$189&lt;1,O209&gt;0,E209&lt;1),((O209-1)*$BM$220*0.5)+$BM$220,O209*0.5*$BM$220),O209*0.5*$BM$220)</f>
        <v>0</v>
      </c>
      <c r="R209" s="70">
        <f>IF(O209&gt;0,1,0)*$A$54</f>
        <v>0</v>
      </c>
      <c r="S209" s="679">
        <f>O209*$BK$60</f>
        <v>0</v>
      </c>
      <c r="T209" s="680"/>
      <c r="U209" s="689"/>
      <c r="V209" s="690"/>
      <c r="W209" s="679">
        <f>SUM(IF($C$1="Residência",$C$54,0),IF($F$1="Residência",$F$54,0),IF($I$1="Residência",$I$54,0),IF($L$1="Residência",$L$54,0),IF($O$1="Residência",$O$54,0),IF($R$1="Residência",$R$54,0))</f>
        <v>0</v>
      </c>
      <c r="X209" s="680"/>
      <c r="Y209" s="70">
        <f>IF($H$220=$DV$49,IF(AND(W189&lt;1,AG189&lt;1,W209&gt;0),((W209-1)*$BM$220*0.5)+$BM$220,W209*0.5*$BM$220),W209*0.5*$BM$220)</f>
        <v>0</v>
      </c>
      <c r="Z209" s="70">
        <f>IF(W209&gt;0,1,0)*$A$54</f>
        <v>0</v>
      </c>
      <c r="AA209" s="679">
        <f>W209*$BK$60</f>
        <v>0</v>
      </c>
      <c r="AB209" s="680"/>
      <c r="AC209" s="83"/>
      <c r="AD209" s="691"/>
      <c r="AE209" s="692"/>
      <c r="AF209" s="51"/>
      <c r="AG209" s="679">
        <f>SUM(IF($C$1="Residência",0,$C$54),IF($F$1="Residência",0,$F$54),IF($I$1="Residência",0,$I$54),IF($L$1="Residência",0,$L$54),IF($O$1="Residência",0,$O$54),IF($R$1="Residência",0,$R$54))</f>
        <v>0</v>
      </c>
      <c r="AH209" s="680"/>
      <c r="AI209" s="70">
        <f>IF($H$220=$DV$49,IF(AND(AG189&lt;1,$E$189&lt;1,AG209&gt;0,W209&lt;1),((AG209-1)*$BM$220*0.5)+$BM$220,AG209*0.5*$BM$220),AG209*0.5*$BM$220)</f>
        <v>0</v>
      </c>
      <c r="AJ209" s="70">
        <f>IF(AG209&gt;0,1,0)*$A$54</f>
        <v>0</v>
      </c>
      <c r="AK209" s="679">
        <f>AG209*$BK$60</f>
        <v>0</v>
      </c>
      <c r="AL209" s="680"/>
      <c r="AT209" s="22">
        <v>0.5</v>
      </c>
      <c r="AU209" s="83">
        <f>$B$54</f>
        <v>0.67</v>
      </c>
      <c r="AV209" s="679">
        <f t="shared" si="178"/>
        <v>0</v>
      </c>
      <c r="AW209" s="680"/>
      <c r="AX209" s="70">
        <f>IF($AY$220=$DV$49,IF(AND(AV189&lt;1,BF189&lt;1,AV209&gt;0),((AV209-1)*$BM$60*0.5)+$BM$60,AV209*0.5*$BM$60),AV209*0.5*$BM$60)</f>
        <v>0</v>
      </c>
      <c r="AY209" s="70">
        <f>IF(AV209&gt;0,1,0)*$A$54</f>
        <v>0</v>
      </c>
      <c r="AZ209" s="679">
        <f>AV209*$BK$60</f>
        <v>0</v>
      </c>
      <c r="BA209" s="680"/>
      <c r="BB209" s="83"/>
      <c r="BC209" s="691"/>
      <c r="BD209" s="692"/>
      <c r="BE209" s="51"/>
      <c r="BF209" s="679">
        <f t="shared" si="179"/>
        <v>0</v>
      </c>
      <c r="BG209" s="680"/>
      <c r="BH209" s="70">
        <f>IF($AY$220=$DV$49,IF(AND(BF189&lt;1,AV189&lt;1,BF209&gt;0,AV209&lt;1),((BF209-1)*$BM$60*0.5)+$BM$60,BF209*0.5*$BM$60),BF209*0.5*$BM$60)</f>
        <v>0</v>
      </c>
      <c r="BI209" s="70">
        <f>IF(BF209&gt;0,1,0)*$A$54</f>
        <v>0</v>
      </c>
      <c r="BJ209" s="679">
        <f>BF209*$BK$60</f>
        <v>0</v>
      </c>
      <c r="BK209" s="680"/>
      <c r="BL209" s="689"/>
      <c r="BM209" s="690"/>
      <c r="BN209" s="83"/>
      <c r="BO209" s="395"/>
      <c r="BP209" s="396"/>
      <c r="BQ209" s="83"/>
      <c r="BR209" s="691"/>
      <c r="BS209" s="692"/>
      <c r="BY209" s="116"/>
      <c r="BZ209" s="51"/>
      <c r="CB209"/>
      <c r="CC209"/>
      <c r="CD209"/>
      <c r="CG209"/>
      <c r="CK209" s="22">
        <v>0.5</v>
      </c>
      <c r="CL209" s="83">
        <f>$B$54</f>
        <v>0.67</v>
      </c>
      <c r="CM209" s="679">
        <f t="shared" si="180"/>
        <v>0</v>
      </c>
      <c r="CN209" s="680"/>
      <c r="CO209" s="70">
        <f>IF($CP$220=$DV$49,IF(AND(CM189&lt;1,CW189&lt;1,CM209&gt;0),((CM209-1)*$BM$60*0.5)+$BM$60,CM209*0.5*$BM$60),CM209*0.5*$BM$60)</f>
        <v>0</v>
      </c>
      <c r="CP209" s="70">
        <f>IF(CM209&gt;0,1,0)*$A$54</f>
        <v>0</v>
      </c>
      <c r="CQ209" s="679">
        <f>CM209*$BK$60</f>
        <v>0</v>
      </c>
      <c r="CR209" s="680"/>
      <c r="CS209" s="83"/>
      <c r="CT209" s="691"/>
      <c r="CU209" s="692"/>
      <c r="CV209" s="51"/>
      <c r="CW209" s="679">
        <f t="shared" si="181"/>
        <v>0</v>
      </c>
      <c r="CX209" s="680"/>
      <c r="CY209" s="70">
        <f>IF($CP$220=$DV$49,IF(AND(CW189&lt;1,CM189&lt;1,CW209&gt;0,CM209&lt;1),((CW209-1)*$BM$60*0.5)+$BM$60,CW209*0.5*$BM$60),CW209*0.5*$BM$60)</f>
        <v>0</v>
      </c>
      <c r="CZ209" s="70">
        <f>IF(CW209&gt;0,1,0)*$A$54</f>
        <v>0</v>
      </c>
      <c r="DA209" s="679">
        <f>CW209*$BK$60</f>
        <v>0</v>
      </c>
      <c r="DB209" s="680"/>
      <c r="DC209" s="689"/>
      <c r="DD209" s="690"/>
      <c r="DE209" s="83"/>
      <c r="DF209" s="691"/>
      <c r="DG209" s="692"/>
      <c r="DH209" s="83"/>
      <c r="DI209" s="691"/>
      <c r="DJ209" s="692"/>
      <c r="DP209" s="116"/>
      <c r="DQ209" s="51"/>
      <c r="DR209"/>
      <c r="DS209"/>
      <c r="DT209"/>
      <c r="DV209"/>
      <c r="DW209"/>
      <c r="DX209"/>
      <c r="DY209"/>
    </row>
    <row r="210" spans="1:129" ht="13.5" thickBot="1" x14ac:dyDescent="0.25">
      <c r="B210"/>
      <c r="C210" s="22">
        <v>0.75</v>
      </c>
      <c r="D210" s="83">
        <f>$B$55</f>
        <v>0.67</v>
      </c>
      <c r="E210" s="679">
        <f>SUM(IF($C$1="Residência",$C$55,0),IF($F$1="Residência",$F$55,0),IF($I$1="Residência",$I$55,0),IF($L$1="Residência",$L$55,0),IF($O$1="Residência",$O$55,0),IF($R$1="Residência",$R$55,0))</f>
        <v>0</v>
      </c>
      <c r="F210" s="680"/>
      <c r="G210" s="70">
        <f>IF($H$220=$DV$50,IF(AND(E190&lt;1,O190&lt;1,E210&gt;0),((E210-1)*$BM$61*0.5)+$BM$61,E210*0.5*$BM$61),E210*0.5*$BM$61)</f>
        <v>0</v>
      </c>
      <c r="H210" s="70">
        <f>IF(E210&gt;0,1,0)*$A$55</f>
        <v>0</v>
      </c>
      <c r="I210" s="679">
        <f>E210*$BK$61</f>
        <v>0</v>
      </c>
      <c r="J210" s="680"/>
      <c r="K210" s="83"/>
      <c r="L210" s="691"/>
      <c r="M210" s="692"/>
      <c r="N210" s="51"/>
      <c r="O210" s="679">
        <f>SUM(IF($C$1="Residência",0,$C$55),IF($F$1="Residência",0,$F$55),IF($I$1="Residência",0,$I$55),IF($L$1="Residência",0,$L$55),IF($O$1="Residência",0,$O$55),IF($R$1="Residência",0,$R$55),IF($E$69="BIFÁSICA",$C$69,0))</f>
        <v>0</v>
      </c>
      <c r="P210" s="680"/>
      <c r="Q210" s="70">
        <f>IF($H$220=$DV$50,IF(AND(O190&lt;1,$E$190&lt;1,O210&gt;0,E210&lt;1),((O210-1)*$BM$61*0.5)+$BM$61,O210*0.5*$BM$61),O210*0.5*$BM$61)</f>
        <v>0</v>
      </c>
      <c r="R210" s="70">
        <f>IF(O210&gt;0,1,0)*$A$55</f>
        <v>0</v>
      </c>
      <c r="S210" s="679">
        <f>O210*$BK$61</f>
        <v>0</v>
      </c>
      <c r="T210" s="680"/>
      <c r="U210" s="689"/>
      <c r="V210" s="690"/>
      <c r="W210" s="679">
        <f>SUM(IF($C$1="Residência",$C$55,0),IF($F$1="Residência",$F$55,0),IF($I$1="Residência",$I$55,0),IF($L$1="Residência",$L$55,0),IF($O$1="Residência",$O$55,0),IF($R$1="Residência",$R$55,0))</f>
        <v>0</v>
      </c>
      <c r="X210" s="680"/>
      <c r="Y210" s="70">
        <f>IF($H$220=$DV$50,IF(AND(W190&lt;1,AG190&lt;1,W210&gt;0),((W210-1)*$BM$61*0.5)+$BM$61,W210*0.5*$BM$61),W210*0.5*$BM$61)</f>
        <v>0</v>
      </c>
      <c r="Z210" s="70">
        <f>IF(W210&gt;0,1,0)*$A$55</f>
        <v>0</v>
      </c>
      <c r="AA210" s="679">
        <f>W210*$BK$61</f>
        <v>0</v>
      </c>
      <c r="AB210" s="680"/>
      <c r="AC210" s="83"/>
      <c r="AD210" s="691"/>
      <c r="AE210" s="692"/>
      <c r="AF210" s="51"/>
      <c r="AG210" s="679">
        <f>SUM(IF($C$1="Residência",0,$C$55),IF($F$1="Residência",0,$F$55),IF($I$1="Residência",0,$I$55),IF($L$1="Residência",0,$L$55),IF($O$1="Residência",0,$O$55),IF($R$1="Residência",0,$R$55))</f>
        <v>0</v>
      </c>
      <c r="AH210" s="680"/>
      <c r="AI210" s="70">
        <f>IF($H$220=$DV$50,IF(AND(AG190&lt;1,$E$190&lt;1,AG210&gt;0,W210&lt;1),((AG210-1)*$BM$61*0.5)+$BM$61,AG210*0.5*$BM$61),AG210*0.5*$BM$61)</f>
        <v>0</v>
      </c>
      <c r="AJ210" s="70">
        <f>IF(AG210&gt;0,1,0)*$A$55</f>
        <v>0</v>
      </c>
      <c r="AK210" s="679">
        <f>AG210*$BK$61</f>
        <v>0</v>
      </c>
      <c r="AL210" s="680"/>
      <c r="AT210" s="22">
        <v>0.75</v>
      </c>
      <c r="AU210" s="83">
        <f>$B$55</f>
        <v>0.67</v>
      </c>
      <c r="AV210" s="679">
        <f t="shared" si="178"/>
        <v>0</v>
      </c>
      <c r="AW210" s="680"/>
      <c r="AX210" s="70">
        <f>IF($AY$220=$DV$50,IF(AND(AV190&lt;1,BF190&lt;1,AV210&gt;0),((AV210-1)*$BM$61*0.5)+$BM$61,AV210*0.5*$BM$61),AV210*0.5*$BM$61)</f>
        <v>0</v>
      </c>
      <c r="AY210" s="70">
        <f>IF(AV210&gt;0,1,0)*$A$55</f>
        <v>0</v>
      </c>
      <c r="AZ210" s="679">
        <f>AV210*$BK$61</f>
        <v>0</v>
      </c>
      <c r="BA210" s="680"/>
      <c r="BB210" s="83"/>
      <c r="BC210" s="691"/>
      <c r="BD210" s="692"/>
      <c r="BE210" s="51"/>
      <c r="BF210" s="679">
        <f t="shared" si="179"/>
        <v>0</v>
      </c>
      <c r="BG210" s="680"/>
      <c r="BH210" s="70">
        <f>IF($AY$220=$DV$50,IF(AND(BF190&lt;1,AV190&lt;1,BF210&gt;0,AV210&lt;1),((BF210-1)*$BM$61*0.5)+$BM$61,BF210*0.5*$BM$61),BF210*0.5*$BM$61)</f>
        <v>0</v>
      </c>
      <c r="BI210" s="70">
        <f>IF(BF210&gt;0,1,0)*$A$55</f>
        <v>0</v>
      </c>
      <c r="BJ210" s="679">
        <f>BF210*$BK$61</f>
        <v>0</v>
      </c>
      <c r="BK210" s="680"/>
      <c r="BL210" s="689"/>
      <c r="BM210" s="690"/>
      <c r="BN210" s="83"/>
      <c r="BO210" s="395"/>
      <c r="BP210" s="396"/>
      <c r="BQ210" s="83"/>
      <c r="BR210" s="691"/>
      <c r="BS210" s="692"/>
      <c r="BY210" s="116"/>
      <c r="BZ210" s="51"/>
      <c r="CB210"/>
      <c r="CC210"/>
      <c r="CD210"/>
      <c r="CG210"/>
      <c r="CK210" s="22">
        <v>0.75</v>
      </c>
      <c r="CL210" s="83">
        <f>$B$55</f>
        <v>0.67</v>
      </c>
      <c r="CM210" s="679">
        <f t="shared" si="180"/>
        <v>0</v>
      </c>
      <c r="CN210" s="680"/>
      <c r="CO210" s="70">
        <f>IF($CP$220=$DV$50,IF(AND(CM190&lt;1,CW190&lt;1,CM210&gt;0),((CM210-1)*$BM$61*0.5)+$BM$61,CM210*0.5*$BM$61),CM210*0.5*$BM$61)</f>
        <v>0</v>
      </c>
      <c r="CP210" s="70">
        <f>IF(CM210&gt;0,1,0)*$A$55</f>
        <v>0</v>
      </c>
      <c r="CQ210" s="679">
        <f>CM210*$BK$61</f>
        <v>0</v>
      </c>
      <c r="CR210" s="680"/>
      <c r="CS210" s="83"/>
      <c r="CT210" s="691"/>
      <c r="CU210" s="692"/>
      <c r="CV210" s="51"/>
      <c r="CW210" s="679">
        <f t="shared" si="181"/>
        <v>0</v>
      </c>
      <c r="CX210" s="680"/>
      <c r="CY210" s="70">
        <f>IF($CP$220=$DV$50,IF(AND(CW190&lt;1,CM190&lt;1,CW210&gt;0,CM210&lt;1),((CW210-1)*$BM$61*0.5)+$BM$61,CW210*0.5*$BM$61),CW210*0.5*$BM$61)</f>
        <v>0</v>
      </c>
      <c r="CZ210" s="70">
        <f>IF(CW210&gt;0,1,0)*$A$55</f>
        <v>0</v>
      </c>
      <c r="DA210" s="679">
        <f>CW210*$BK$61</f>
        <v>0</v>
      </c>
      <c r="DB210" s="680"/>
      <c r="DC210" s="689"/>
      <c r="DD210" s="690"/>
      <c r="DE210" s="83"/>
      <c r="DF210" s="691"/>
      <c r="DG210" s="692"/>
      <c r="DH210" s="83"/>
      <c r="DI210" s="691"/>
      <c r="DJ210" s="692"/>
      <c r="DP210" s="116"/>
      <c r="DQ210" s="51"/>
      <c r="DR210"/>
      <c r="DS210"/>
      <c r="DT210"/>
      <c r="DV210"/>
      <c r="DW210"/>
      <c r="DX210"/>
      <c r="DY210"/>
    </row>
    <row r="211" spans="1:129" ht="13.5" thickBot="1" x14ac:dyDescent="0.25">
      <c r="B211"/>
      <c r="C211" s="22">
        <v>1</v>
      </c>
      <c r="D211" s="83">
        <f>$B$56</f>
        <v>0.73</v>
      </c>
      <c r="E211" s="679">
        <f>SUM(IF($C$1="Residência",$C$56,0),IF($F$1="Residência",$F$56,0),IF($I$1="Residência",$I$56,0),IF($L$1="Residência",$L$56,0),IF($O$1="Residência",$O$56,0),IF($R$1="Residência",$R$56,0))</f>
        <v>0</v>
      </c>
      <c r="F211" s="680"/>
      <c r="G211" s="70">
        <f>IF($H$220=$DV$51,IF(AND(E191&lt;1,O191&lt;1,E211&gt;0),((E211-1)*$BM$62*0.5)+$BM$62,E211*0.5*$BM$62),E211*0.5*$BM$62)</f>
        <v>0</v>
      </c>
      <c r="H211" s="70">
        <f>IF(E211&gt;0,1,0)*$A$56</f>
        <v>0</v>
      </c>
      <c r="I211" s="679">
        <f>E211*$BK$62</f>
        <v>0</v>
      </c>
      <c r="J211" s="680"/>
      <c r="K211" s="83"/>
      <c r="L211" s="691"/>
      <c r="M211" s="692"/>
      <c r="N211" s="51"/>
      <c r="O211" s="679">
        <f>SUM(IF($C$1="Residência",0,$C$56),IF($F$1="Residência",0,$F$56),IF($I$1="Residência",0,$I$56),IF($L$1="Residência",0,$L$56),IF($O$1="Residência",0,$O$56),IF($R$1="Residência",0,$R$56),IF($E$70="BIFÁSICA",$C$70,0))</f>
        <v>0</v>
      </c>
      <c r="P211" s="680"/>
      <c r="Q211" s="70">
        <f>IF($H$220=$DV$51,IF(AND(O191&lt;1,$E$191&lt;1,O211&gt;0,E211&lt;1),((O211-1)*$BM$62*0.5)+$BM$62,O211*0.5*$BM$62),O211*0.5*$BM$62)</f>
        <v>0</v>
      </c>
      <c r="R211" s="70">
        <f>IF(O211&gt;0,1,0)*$A$56</f>
        <v>0</v>
      </c>
      <c r="S211" s="679">
        <f>O211*$BK$62</f>
        <v>0</v>
      </c>
      <c r="T211" s="680"/>
      <c r="U211" s="689"/>
      <c r="V211" s="690"/>
      <c r="W211" s="679">
        <f>SUM(IF($C$1="Residência",$C$56,0),IF($F$1="Residência",$F$56,0),IF($I$1="Residência",$I$56,0),IF($L$1="Residência",$L$56,0),IF($O$1="Residência",$O$56,0),IF($R$1="Residência",$R$56,0))</f>
        <v>0</v>
      </c>
      <c r="X211" s="680"/>
      <c r="Y211" s="70">
        <f>IF($H$220=$DV$51,IF(AND(W191&lt;1,AG191&lt;1,W211&gt;0),((W211-1)*$BM$62*0.5)+$BM$62,W211*0.5*$BM$62),W211*0.5*$BM$62)</f>
        <v>0</v>
      </c>
      <c r="Z211" s="70">
        <f>IF(W211&gt;0,1,0)*$A$56</f>
        <v>0</v>
      </c>
      <c r="AA211" s="679">
        <f>W211*$BK$62</f>
        <v>0</v>
      </c>
      <c r="AB211" s="680"/>
      <c r="AC211" s="83"/>
      <c r="AD211" s="691"/>
      <c r="AE211" s="692"/>
      <c r="AF211" s="51"/>
      <c r="AG211" s="679">
        <f>SUM(IF($C$1="Residência",0,$C$56),IF($F$1="Residência",0,$F$56),IF($I$1="Residência",0,$I$56),IF($L$1="Residência",0,$L$56),IF($O$1="Residência",0,$O$56),IF($R$1="Residência",0,$R$56))</f>
        <v>0</v>
      </c>
      <c r="AH211" s="680"/>
      <c r="AI211" s="70">
        <f>IF($H$220=$DV$51,IF(AND(AG191&lt;1,$E$191&lt;1,AG211&gt;0,W211&lt;1),((AG211-1)*$BM$62*0.5)+$BM$62,AG211*0.5*$BM$62),AG211*0.5*$BM$62)</f>
        <v>0</v>
      </c>
      <c r="AJ211" s="70">
        <f>IF(AG211&gt;0,1,0)*$A$56</f>
        <v>0</v>
      </c>
      <c r="AK211" s="679">
        <f>AG211*$BK$62</f>
        <v>0</v>
      </c>
      <c r="AL211" s="680"/>
      <c r="AT211" s="22">
        <v>1</v>
      </c>
      <c r="AU211" s="83">
        <f>$B$56</f>
        <v>0.73</v>
      </c>
      <c r="AV211" s="679">
        <f t="shared" si="178"/>
        <v>0</v>
      </c>
      <c r="AW211" s="680"/>
      <c r="AX211" s="70">
        <f>IF($AY$220=$DV$51,IF(AND(AV191&lt;1,BF191&lt;1,AV211&gt;0),((AV211-1)*$BM$62*0.5)+$BM$62,AV211*0.5*$BM$62),AV211*0.5*$BM$62)</f>
        <v>0</v>
      </c>
      <c r="AY211" s="70">
        <f>IF(AV211&gt;0,1,0)*$A$56</f>
        <v>0</v>
      </c>
      <c r="AZ211" s="679">
        <f>AV211*$BK$62</f>
        <v>0</v>
      </c>
      <c r="BA211" s="680"/>
      <c r="BB211" s="83"/>
      <c r="BC211" s="691"/>
      <c r="BD211" s="692"/>
      <c r="BE211" s="51"/>
      <c r="BF211" s="679">
        <f t="shared" si="179"/>
        <v>0</v>
      </c>
      <c r="BG211" s="680"/>
      <c r="BH211" s="70">
        <f>IF($AY$220=$DV$51,IF(AND(BF191&lt;1,AV191&lt;1,BF211&gt;0,AV211&lt;1),((BF211-1)*$BM$62*0.5)+$BM$62,BF211*0.5*$BM$62),BF211*0.5*$BM$62)</f>
        <v>0</v>
      </c>
      <c r="BI211" s="70">
        <f>IF(BF211&gt;0,1,0)*$A$56</f>
        <v>0</v>
      </c>
      <c r="BJ211" s="679">
        <f>BF211*$BK$62</f>
        <v>0</v>
      </c>
      <c r="BK211" s="680"/>
      <c r="BL211" s="689"/>
      <c r="BM211" s="690"/>
      <c r="BN211" s="83"/>
      <c r="BO211" s="395"/>
      <c r="BP211" s="396"/>
      <c r="BQ211" s="83"/>
      <c r="BR211" s="691"/>
      <c r="BS211" s="692"/>
      <c r="BY211" s="116"/>
      <c r="BZ211" s="51"/>
      <c r="CB211"/>
      <c r="CC211"/>
      <c r="CD211"/>
      <c r="CG211"/>
      <c r="CK211" s="22">
        <v>1</v>
      </c>
      <c r="CL211" s="83">
        <f>$B$56</f>
        <v>0.73</v>
      </c>
      <c r="CM211" s="679">
        <f t="shared" si="180"/>
        <v>0</v>
      </c>
      <c r="CN211" s="680"/>
      <c r="CO211" s="70">
        <f>IF($CP$220=$DV$51,IF(AND(CM191&lt;1,CW191&lt;1,CM211&gt;0),((CM211-1)*$BM$62*0.5)+$BM$62,CM211*0.5*$BM$62),CM211*0.5*$BM$62)</f>
        <v>0</v>
      </c>
      <c r="CP211" s="70">
        <f>IF(CM211&gt;0,1,0)*$A$56</f>
        <v>0</v>
      </c>
      <c r="CQ211" s="679">
        <f>CM211*$BK$62</f>
        <v>0</v>
      </c>
      <c r="CR211" s="680"/>
      <c r="CS211" s="83"/>
      <c r="CT211" s="691"/>
      <c r="CU211" s="692"/>
      <c r="CV211" s="51"/>
      <c r="CW211" s="679">
        <f t="shared" si="181"/>
        <v>0</v>
      </c>
      <c r="CX211" s="680"/>
      <c r="CY211" s="70">
        <f>IF($CP$220=$DV$51,IF(AND(CW191&lt;1,CM191&lt;1,CW211&gt;0,CM211&lt;1),((CW211-1)*$BM$62*0.5)+$BM$62,CW211*0.5*$BM$62),CW211*0.5*$BM$62)</f>
        <v>0</v>
      </c>
      <c r="CZ211" s="70">
        <f>IF(CW211&gt;0,1,0)*$A$56</f>
        <v>0</v>
      </c>
      <c r="DA211" s="679">
        <f>CW211*$BK$62</f>
        <v>0</v>
      </c>
      <c r="DB211" s="680"/>
      <c r="DC211" s="689"/>
      <c r="DD211" s="690"/>
      <c r="DE211" s="83"/>
      <c r="DF211" s="691"/>
      <c r="DG211" s="692"/>
      <c r="DH211" s="83"/>
      <c r="DI211" s="691"/>
      <c r="DJ211" s="692"/>
      <c r="DP211" s="116"/>
      <c r="DQ211" s="51"/>
      <c r="DR211"/>
      <c r="DS211"/>
      <c r="DT211"/>
      <c r="DV211"/>
      <c r="DW211"/>
      <c r="DX211"/>
      <c r="DY211"/>
    </row>
    <row r="212" spans="1:129" ht="13.5" thickBot="1" x14ac:dyDescent="0.25">
      <c r="B212"/>
      <c r="C212" s="22">
        <v>1.5</v>
      </c>
      <c r="D212" s="83">
        <f>$B$57</f>
        <v>0.71</v>
      </c>
      <c r="E212" s="679">
        <f>SUM(IF($C$1="Residência",C57,0),IF($F$1="Residência",$F$57,0),IF($I$1="Residência",$I$57,0),IF($L$1="Residência",$L$57,0),IF($O$1="Residência",$O$57,0),IF($R$1="Residência",$R$57,0))</f>
        <v>0</v>
      </c>
      <c r="F212" s="680"/>
      <c r="G212" s="70">
        <f>IF($H$220=$DV$52,IF(AND(E192&lt;1,O192&lt;1,E212&gt;0),((E212-1)*$BM$63*0.5)+$BM$63,E212*0.5*$BM$63),E212*0.5*$BM$63)</f>
        <v>0</v>
      </c>
      <c r="H212" s="70">
        <f>IF(E212&gt;0,1,0)*$A$57</f>
        <v>0</v>
      </c>
      <c r="I212" s="679">
        <f>E212*$BK$63</f>
        <v>0</v>
      </c>
      <c r="J212" s="680"/>
      <c r="K212" s="83"/>
      <c r="L212" s="691"/>
      <c r="M212" s="692"/>
      <c r="N212" s="51"/>
      <c r="O212" s="679">
        <f>SUM(IF($C$1="Residência",0,$C$57),IF($F$1="Residência",0,$F$57),IF($I$1="Residência",0,$I$57),IF($L$1="Residência",0,$L$57),IF($O$1="Residência",0,$O$57),IF($R$1="Residência",0,$R$57),IF($E$71="BIFÁSICA",$C$71,0))</f>
        <v>0</v>
      </c>
      <c r="P212" s="680"/>
      <c r="Q212" s="70">
        <f>IF($H$220=$DV$52,IF(AND(O192&lt;1,$E$192&lt;1,O212&gt;0,E212&lt;1),((O212-1)*$BM$63*0.5)+$BM$63,O212*0.5*$BM$63),O212*0.5*$BM$63)</f>
        <v>0</v>
      </c>
      <c r="R212" s="70">
        <f>IF(O212&gt;0,1,0)*$A$57</f>
        <v>0</v>
      </c>
      <c r="S212" s="679">
        <f>O212*$BK$63</f>
        <v>0</v>
      </c>
      <c r="T212" s="680"/>
      <c r="U212" s="689"/>
      <c r="V212" s="690"/>
      <c r="W212" s="679">
        <f>SUM(IF($C$1="Residência",U57,0),IF($F$1="Residência",$F$57,0),IF($I$1="Residência",$I$57,0),IF($L$1="Residência",$L$57,0),IF($O$1="Residência",$O$57,0),IF($R$1="Residência",$R$57,0))</f>
        <v>0</v>
      </c>
      <c r="X212" s="680"/>
      <c r="Y212" s="70">
        <f>IF($H$220=$DV$52,IF(AND(W192&lt;1,AG192&lt;1,W212&gt;0),((W212-1)*$BM$63*0.5)+$BM$63,W212*0.5*$BM$63),W212*0.5*$BM$63)</f>
        <v>0</v>
      </c>
      <c r="Z212" s="70">
        <f>IF(W212&gt;0,1,0)*$A$57</f>
        <v>0</v>
      </c>
      <c r="AA212" s="679">
        <f>W212*$BK$63</f>
        <v>0</v>
      </c>
      <c r="AB212" s="680"/>
      <c r="AC212" s="83"/>
      <c r="AD212" s="691"/>
      <c r="AE212" s="692"/>
      <c r="AF212" s="51"/>
      <c r="AG212" s="679">
        <f>SUM(IF($C$1="Residência",0,$C$57),IF($F$1="Residência",0,$F$57),IF($I$1="Residência",0,$I$57),IF($L$1="Residência",0,$L$57),IF($O$1="Residência",0,$O$57),IF($R$1="Residência",0,$R$57))</f>
        <v>0</v>
      </c>
      <c r="AH212" s="680"/>
      <c r="AI212" s="70">
        <f>IF($H$220=$DV$52,IF(AND(AG192&lt;1,$E$192&lt;1,AG212&gt;0,W212&lt;1),((AG212-1)*$BM$63*0.5)+$BM$63,AG212*0.5*$BM$63),AG212*0.5*$BM$63)</f>
        <v>0</v>
      </c>
      <c r="AJ212" s="70">
        <f>IF(AG212&gt;0,1,0)*$A$57</f>
        <v>0</v>
      </c>
      <c r="AK212" s="679">
        <f>AG212*$BK$63</f>
        <v>0</v>
      </c>
      <c r="AL212" s="680"/>
      <c r="AT212" s="22">
        <v>1.5</v>
      </c>
      <c r="AU212" s="83">
        <f>$B$57</f>
        <v>0.71</v>
      </c>
      <c r="AV212" s="679">
        <f t="shared" si="178"/>
        <v>0</v>
      </c>
      <c r="AW212" s="680"/>
      <c r="AX212" s="70">
        <f>IF($AY$220=$DV$52,IF(AND(AV192&lt;1,BF192&lt;1,AV212&gt;0),((AV212-1)*$BM$63*0.5)+$BM$63,AV212*0.5*$BM$63),AV212*0.5*$BM$63)</f>
        <v>0</v>
      </c>
      <c r="AY212" s="70">
        <f>IF(AV212&gt;0,1,0)*$A$57</f>
        <v>0</v>
      </c>
      <c r="AZ212" s="679">
        <f>AV212*$BK$63</f>
        <v>0</v>
      </c>
      <c r="BA212" s="680"/>
      <c r="BB212" s="83"/>
      <c r="BC212" s="691"/>
      <c r="BD212" s="692"/>
      <c r="BE212" s="51"/>
      <c r="BF212" s="679">
        <f t="shared" si="179"/>
        <v>0</v>
      </c>
      <c r="BG212" s="680"/>
      <c r="BH212" s="70">
        <f>IF($AY$220=$DV$52,IF(AND(BF192&lt;1,AV192&lt;1,BF212&gt;0,AV212&lt;1),((BF212-1)*$BM$63*0.5)+$BM$63,BF212*0.5*$BM$63),BF212*0.5*$BM$63)</f>
        <v>0</v>
      </c>
      <c r="BI212" s="70">
        <f>IF(BF212&gt;0,1,0)*$A$57</f>
        <v>0</v>
      </c>
      <c r="BJ212" s="679">
        <f>BF212*$BK$63</f>
        <v>0</v>
      </c>
      <c r="BK212" s="680"/>
      <c r="BL212" s="689"/>
      <c r="BM212" s="690"/>
      <c r="BN212" s="83"/>
      <c r="BO212" s="395"/>
      <c r="BP212" s="396"/>
      <c r="BQ212" s="83"/>
      <c r="BR212" s="691"/>
      <c r="BS212" s="692"/>
      <c r="BY212" s="116"/>
      <c r="BZ212" s="51"/>
      <c r="CB212"/>
      <c r="CC212"/>
      <c r="CD212"/>
      <c r="CG212"/>
      <c r="CK212" s="22">
        <v>1.5</v>
      </c>
      <c r="CL212" s="83">
        <f>$B$57</f>
        <v>0.71</v>
      </c>
      <c r="CM212" s="679">
        <f t="shared" si="180"/>
        <v>0</v>
      </c>
      <c r="CN212" s="680"/>
      <c r="CO212" s="70">
        <f>IF($CP$220=$DV$52,IF(AND(CM192&lt;1,CW192&lt;1,CM212&gt;0),((CM212-1)*$BM$63*0.5)+$BM$63,CM212*0.5*$BM$63),CM212*0.5*$BM$63)</f>
        <v>0</v>
      </c>
      <c r="CP212" s="70">
        <f>IF(CM212&gt;0,1,0)*$A$57</f>
        <v>0</v>
      </c>
      <c r="CQ212" s="679">
        <f>CM212*$BK$63</f>
        <v>0</v>
      </c>
      <c r="CR212" s="680"/>
      <c r="CS212" s="83"/>
      <c r="CT212" s="691"/>
      <c r="CU212" s="692"/>
      <c r="CV212" s="51"/>
      <c r="CW212" s="679">
        <f t="shared" si="181"/>
        <v>0</v>
      </c>
      <c r="CX212" s="680"/>
      <c r="CY212" s="70">
        <f>IF($CP$220=$DV$52,IF(AND(CW192&lt;1,CM192&lt;1,CW212&gt;0,CM212&lt;1),((CW212-1)*$BM$63*0.5)+$BM$63,CW212*0.5*$BM$63),CW212*0.5*$BM$63)</f>
        <v>0</v>
      </c>
      <c r="CZ212" s="70">
        <f>IF(CW212&gt;0,1,0)*$A$57</f>
        <v>0</v>
      </c>
      <c r="DA212" s="679">
        <f>CW212*$BK$63</f>
        <v>0</v>
      </c>
      <c r="DB212" s="680"/>
      <c r="DC212" s="689"/>
      <c r="DD212" s="690"/>
      <c r="DE212" s="83"/>
      <c r="DF212" s="691"/>
      <c r="DG212" s="692"/>
      <c r="DH212" s="83"/>
      <c r="DI212" s="691"/>
      <c r="DJ212" s="692"/>
      <c r="DP212" s="116"/>
      <c r="DQ212" s="51"/>
      <c r="DR212"/>
      <c r="DS212"/>
      <c r="DT212"/>
      <c r="DV212"/>
      <c r="DW212"/>
      <c r="DX212"/>
      <c r="DY212"/>
    </row>
    <row r="213" spans="1:129" ht="13.5" thickBot="1" x14ac:dyDescent="0.25">
      <c r="B213"/>
      <c r="C213" s="22">
        <v>2</v>
      </c>
      <c r="D213" s="83">
        <f>$B$58</f>
        <v>0.73</v>
      </c>
      <c r="E213" s="679">
        <f>SUM(IF($C$1="Residência",$C$58,0),IF($F$1="Residência",$F$58,0),IF($I$1="Residência",$I$58,0),IF($L$1="Residência",$L$58,0),IF($O$1="Residência",$O$58,0),IF($R$1="Residência",$R$58,0))</f>
        <v>0</v>
      </c>
      <c r="F213" s="680"/>
      <c r="G213" s="70">
        <f>IF($H$220=$DV$53,IF(AND(E193&lt;1,O193&lt;1,E213&gt;0),((E213-1)*$BM$64*0.5)+$BM$64,E213*0.5*$BM$64),E213*0.5*$BM$64)</f>
        <v>0</v>
      </c>
      <c r="H213" s="70">
        <f>IF(E213&gt;0,1,0)*$A$58</f>
        <v>0</v>
      </c>
      <c r="I213" s="679">
        <f>E213*$BK$64</f>
        <v>0</v>
      </c>
      <c r="J213" s="680"/>
      <c r="K213" s="83"/>
      <c r="L213" s="691"/>
      <c r="M213" s="692"/>
      <c r="N213" s="51"/>
      <c r="O213" s="679">
        <f>SUM(IF($C$1="Residência",0,$C$58),IF($F$1="Residência",0,$F$58),IF($I$1="Residência",0,$I$58),IF($L$1="Residência",0,$L$58),IF($O$1="Residência",0,$O$58),IF($R$1="Residência",0,$R$58),IF($E$72="BIFÁSICA",$C$72,0))</f>
        <v>0</v>
      </c>
      <c r="P213" s="680"/>
      <c r="Q213" s="70">
        <f>IF($H$220=$DV$53,IF(AND(O193&lt;1,$E$193&lt;1,O213&gt;0,E213&lt;1),((O213-1)*$BM$64*0.5)+$BM$64,O213*0.5*$BM$64),O213*0.5*$BM$64)</f>
        <v>0</v>
      </c>
      <c r="R213" s="70">
        <f>IF(O213&gt;0,1,0)*$A$58</f>
        <v>0</v>
      </c>
      <c r="S213" s="679">
        <f>O213*$BK$64</f>
        <v>0</v>
      </c>
      <c r="T213" s="680"/>
      <c r="U213" s="689"/>
      <c r="V213" s="690"/>
      <c r="W213" s="679">
        <f>SUM(IF($C$1="Residência",$C$58,0),IF($F$1="Residência",$F$58,0),IF($I$1="Residência",$I$58,0),IF($L$1="Residência",$L$58,0),IF($O$1="Residência",$O$58,0),IF($R$1="Residência",$R$58,0))</f>
        <v>0</v>
      </c>
      <c r="X213" s="680"/>
      <c r="Y213" s="70">
        <f>IF($H$220=$DV$53,IF(AND(W193&lt;1,AG193&lt;1,W213&gt;0),((W213-1)*$BM$64*0.5)+$BM$64,W213*0.5*$BM$64),W213*0.5*$BM$64)</f>
        <v>0</v>
      </c>
      <c r="Z213" s="70">
        <f>IF(W213&gt;0,1,0)*$A$58</f>
        <v>0</v>
      </c>
      <c r="AA213" s="679">
        <f>W213*$BK$64</f>
        <v>0</v>
      </c>
      <c r="AB213" s="680"/>
      <c r="AC213" s="83"/>
      <c r="AD213" s="691"/>
      <c r="AE213" s="692"/>
      <c r="AF213" s="51"/>
      <c r="AG213" s="679">
        <f>SUM(IF($C$1="Residência",0,$C$58),IF($F$1="Residência",0,$F$58),IF($I$1="Residência",0,$I$58),IF($L$1="Residência",0,$L$58),IF($O$1="Residência",0,$O$58),IF($R$1="Residência",0,$R$58))</f>
        <v>0</v>
      </c>
      <c r="AH213" s="680"/>
      <c r="AI213" s="70">
        <f>IF($H$220=$DV$53,IF(AND(AG193&lt;1,$E$193&lt;1,AG213&gt;0,W213&lt;1),((AG213-1)*$BM$64*0.5)+$BM$64,AG213*0.5*$BM$64),AG213*0.5*$BM$64)</f>
        <v>0</v>
      </c>
      <c r="AJ213" s="70">
        <f>IF(AG213&gt;0,1,0)*$A$58</f>
        <v>0</v>
      </c>
      <c r="AK213" s="679">
        <f>AG213*$BK$64</f>
        <v>0</v>
      </c>
      <c r="AL213" s="680"/>
      <c r="AT213" s="22">
        <v>2</v>
      </c>
      <c r="AU213" s="83">
        <f>$B$58</f>
        <v>0.73</v>
      </c>
      <c r="AV213" s="679">
        <f t="shared" si="178"/>
        <v>0</v>
      </c>
      <c r="AW213" s="680"/>
      <c r="AX213" s="70">
        <f>IF($AY$220=$DV$53,IF(AND(AV193&lt;1,BF193&lt;1,AV213&gt;0),((AV213-1)*$BM$64*0.5)+$BM$64,AV213*0.5*$BM$64),AV213*0.5*$BM$64)</f>
        <v>0</v>
      </c>
      <c r="AY213" s="70">
        <f>IF(AV213&gt;0,1,0)*$A$58</f>
        <v>0</v>
      </c>
      <c r="AZ213" s="679">
        <f>AV213*$BK$64</f>
        <v>0</v>
      </c>
      <c r="BA213" s="680"/>
      <c r="BB213" s="83"/>
      <c r="BC213" s="691"/>
      <c r="BD213" s="692"/>
      <c r="BE213" s="51"/>
      <c r="BF213" s="679">
        <f t="shared" si="179"/>
        <v>0</v>
      </c>
      <c r="BG213" s="680"/>
      <c r="BH213" s="70">
        <f>IF($AY$220=$DV$53,IF(AND(BF193&lt;1,AV193&lt;1,BF213&gt;0,AV213&lt;1),((BF213-1)*$BM$64*0.5)+$BM$64,BF213*0.5*$BM$64),BF213*0.5*$BM$64)</f>
        <v>0</v>
      </c>
      <c r="BI213" s="70">
        <f>IF(BF213&gt;0,1,0)*$A$58</f>
        <v>0</v>
      </c>
      <c r="BJ213" s="679">
        <f>BF213*$BK$64</f>
        <v>0</v>
      </c>
      <c r="BK213" s="680"/>
      <c r="BL213" s="689"/>
      <c r="BM213" s="690"/>
      <c r="BN213" s="83"/>
      <c r="BO213" s="395"/>
      <c r="BP213" s="396"/>
      <c r="BQ213" s="83"/>
      <c r="BR213" s="691"/>
      <c r="BS213" s="692"/>
      <c r="BY213" s="116"/>
      <c r="BZ213" s="51"/>
      <c r="CB213"/>
      <c r="CC213"/>
      <c r="CD213"/>
      <c r="CG213"/>
      <c r="CK213" s="22">
        <v>2</v>
      </c>
      <c r="CL213" s="83">
        <f>$B$58</f>
        <v>0.73</v>
      </c>
      <c r="CM213" s="679">
        <f t="shared" si="180"/>
        <v>0</v>
      </c>
      <c r="CN213" s="680"/>
      <c r="CO213" s="70">
        <f>IF($CP$220=$DV$53,IF(AND(CM193&lt;1,CW193&lt;1,CM213&gt;0),((CM213-1)*$BM$64*0.5)+$BM$64,CM213*0.5*$BM$64),CM213*0.5*$BM$64)</f>
        <v>0</v>
      </c>
      <c r="CP213" s="70">
        <f>IF(CM213&gt;0,1,0)*$A$58</f>
        <v>0</v>
      </c>
      <c r="CQ213" s="679">
        <f>CM213*$BK$64</f>
        <v>0</v>
      </c>
      <c r="CR213" s="680"/>
      <c r="CS213" s="83"/>
      <c r="CT213" s="691"/>
      <c r="CU213" s="692"/>
      <c r="CV213" s="51"/>
      <c r="CW213" s="679">
        <f t="shared" si="181"/>
        <v>0</v>
      </c>
      <c r="CX213" s="680"/>
      <c r="CY213" s="70">
        <f>IF($CP$220=$DV$53,IF(AND(CW193&lt;1,CM193&lt;1,CW213&gt;0,CM213&lt;1),((CW213-1)*$BM$64*0.5)+$BM$64,CW213*0.5*$BM$64),CW213*0.5*$BM$64)</f>
        <v>0</v>
      </c>
      <c r="CZ213" s="70">
        <f>IF(CW213&gt;0,1,0)*$A$58</f>
        <v>0</v>
      </c>
      <c r="DA213" s="679">
        <f>CW213*$BK$64</f>
        <v>0</v>
      </c>
      <c r="DB213" s="680"/>
      <c r="DC213" s="689"/>
      <c r="DD213" s="690"/>
      <c r="DE213" s="83"/>
      <c r="DF213" s="691"/>
      <c r="DG213" s="692"/>
      <c r="DH213" s="83"/>
      <c r="DI213" s="691"/>
      <c r="DJ213" s="692"/>
      <c r="DP213" s="116"/>
      <c r="DQ213" s="51"/>
      <c r="DR213"/>
      <c r="DS213"/>
      <c r="DT213"/>
      <c r="DV213"/>
      <c r="DW213"/>
      <c r="DX213"/>
      <c r="DY213"/>
    </row>
    <row r="214" spans="1:129" ht="13.5" thickBot="1" x14ac:dyDescent="0.25">
      <c r="B214"/>
      <c r="C214" s="22">
        <v>3</v>
      </c>
      <c r="D214" s="83">
        <f>$B$59</f>
        <v>0.79</v>
      </c>
      <c r="E214" s="679">
        <f>SUM(IF($C$1="Residência",$C$59,0),IF($F$1="Residência",$F$59,0),IF($I$1="Residência",$I$59,0),IF($L$1="Residência",$L$59,0),IF($O$1="Residência",$O$59,0),IF($R$1="Residência",$R$59,0))</f>
        <v>0</v>
      </c>
      <c r="F214" s="680"/>
      <c r="G214" s="70">
        <f>IF($H$220=$DV$54,IF(AND(E194&lt;1,O194&lt;1,E214&gt;0),((E214-1)*$BM$65*0.5)+$BM$65,E214*0.5*$BM$65),E214*0.5*$BM$65)</f>
        <v>0</v>
      </c>
      <c r="H214" s="70">
        <f>IF(E214&gt;0,1,0)*$A$59</f>
        <v>0</v>
      </c>
      <c r="I214" s="679">
        <f>E214*$BK$65</f>
        <v>0</v>
      </c>
      <c r="J214" s="680"/>
      <c r="K214" s="83"/>
      <c r="L214" s="691"/>
      <c r="M214" s="692"/>
      <c r="N214" s="51"/>
      <c r="O214" s="679">
        <f>SUM(IF($C$1="Residência",0,$C$59),IF($F$1="Residência",0,$F$59),IF($I$1="Residência",0,$I$59),IF($L$1="Residência",0,$L$59),IF($O$1="Residência",0,$O$59),IF($R$1="Residência",0,$R$59),IF($E$73="BIFÁSICA",$C$73,0))</f>
        <v>0</v>
      </c>
      <c r="P214" s="680"/>
      <c r="Q214" s="70">
        <f>IF($H$220=$DV$54,IF(AND(O194&lt;1,$E$194&lt;1,O214&gt;0,E214&lt;1),((O214-1)*$BM$65*0.5)+$BM$65,O214*0.5*$BM$65),O214*0.5*$BM$65)</f>
        <v>0</v>
      </c>
      <c r="R214" s="70">
        <f>IF(O214&gt;0,1,0)*$A$59</f>
        <v>0</v>
      </c>
      <c r="S214" s="679">
        <f>O214*$BK$65</f>
        <v>0</v>
      </c>
      <c r="T214" s="680"/>
      <c r="U214" s="689"/>
      <c r="V214" s="690"/>
      <c r="W214" s="679">
        <f>SUM(IF($C$1="Residência",$C$59,0),IF($F$1="Residência",$F$59,0),IF($I$1="Residência",$I$59,0),IF($L$1="Residência",$L$59,0),IF($O$1="Residência",$O$59,0),IF($R$1="Residência",$R$59,0))</f>
        <v>0</v>
      </c>
      <c r="X214" s="680"/>
      <c r="Y214" s="70">
        <f>IF($H$220=$DV$54,IF(AND(W194&lt;1,AG194&lt;1,W214&gt;0),((W214-1)*$BM$65*0.5)+$BM$65,W214*0.5*$BM$65),W214*0.5*$BM$65)</f>
        <v>0</v>
      </c>
      <c r="Z214" s="70">
        <f>IF(W214&gt;0,1,0)*$A$59</f>
        <v>0</v>
      </c>
      <c r="AA214" s="679">
        <f>W214*$BK$65</f>
        <v>0</v>
      </c>
      <c r="AB214" s="680"/>
      <c r="AC214" s="83"/>
      <c r="AD214" s="691"/>
      <c r="AE214" s="692"/>
      <c r="AF214" s="51"/>
      <c r="AG214" s="679">
        <f>SUM(IF($C$1="Residência",0,$C$59),IF($F$1="Residência",0,$F$59),IF($I$1="Residência",0,$I$59),IF($L$1="Residência",0,$L$59),IF($O$1="Residência",0,$O$59),IF($R$1="Residência",0,$R$59))</f>
        <v>0</v>
      </c>
      <c r="AH214" s="680"/>
      <c r="AI214" s="70">
        <f>IF($H$220=$DV$54,IF(AND(AG194&lt;1,$E$194&lt;1,AG214&gt;0,W214&lt;1),((AG214-1)*$BM$65*0.5)+$BM$65,AG214*0.5*$BM$65),AG214*0.5*$BM$65)</f>
        <v>0</v>
      </c>
      <c r="AJ214" s="70">
        <f>IF(AG214&gt;0,1,0)*$A$59</f>
        <v>0</v>
      </c>
      <c r="AK214" s="679">
        <f>AG214*$BK$65</f>
        <v>0</v>
      </c>
      <c r="AL214" s="680"/>
      <c r="AT214" s="22">
        <v>3</v>
      </c>
      <c r="AU214" s="83">
        <f>$B$59</f>
        <v>0.79</v>
      </c>
      <c r="AV214" s="679">
        <f t="shared" si="178"/>
        <v>0</v>
      </c>
      <c r="AW214" s="680"/>
      <c r="AX214" s="70">
        <f>IF($AY$220=$DV$54,IF(AND(AV194&lt;1,BF194&lt;1,AV214&gt;0),((AV214-1)*$BM$65*0.5)+$BM$65,AV214*0.5*$BM$65),AV214*0.5*$BM$65)</f>
        <v>0</v>
      </c>
      <c r="AY214" s="70">
        <f>IF(AV214&gt;0,1,0)*$A$59</f>
        <v>0</v>
      </c>
      <c r="AZ214" s="679">
        <f>AV214*$BK$65</f>
        <v>0</v>
      </c>
      <c r="BA214" s="680"/>
      <c r="BB214" s="83"/>
      <c r="BC214" s="691"/>
      <c r="BD214" s="692"/>
      <c r="BE214" s="51"/>
      <c r="BF214" s="679">
        <f t="shared" si="179"/>
        <v>0</v>
      </c>
      <c r="BG214" s="680"/>
      <c r="BH214" s="70">
        <f>IF($AY$220=$DV$54,IF(AND(BF194&lt;1,AV194&lt;1,BF214&gt;0,AV214&lt;1),((BF214-1)*$BM$65*0.5)+$BM$65,BF214*0.5*$BM$65),BF214*0.5*$BM$65)</f>
        <v>0</v>
      </c>
      <c r="BI214" s="70">
        <f>IF(BF214&gt;0,1,0)*$A$59</f>
        <v>0</v>
      </c>
      <c r="BJ214" s="679">
        <f>BF214*$BK$65</f>
        <v>0</v>
      </c>
      <c r="BK214" s="680"/>
      <c r="BL214" s="689"/>
      <c r="BM214" s="690"/>
      <c r="BN214" s="83"/>
      <c r="BO214" s="395"/>
      <c r="BP214" s="396"/>
      <c r="BQ214" s="83"/>
      <c r="BR214" s="691"/>
      <c r="BS214" s="692"/>
      <c r="BY214" s="116"/>
      <c r="BZ214" s="51"/>
      <c r="CB214"/>
      <c r="CC214"/>
      <c r="CD214"/>
      <c r="CG214"/>
      <c r="CK214" s="22">
        <v>3</v>
      </c>
      <c r="CL214" s="83">
        <f>$B$59</f>
        <v>0.79</v>
      </c>
      <c r="CM214" s="679">
        <f t="shared" si="180"/>
        <v>0</v>
      </c>
      <c r="CN214" s="680"/>
      <c r="CO214" s="70">
        <f>IF($CP$220=$DV$54,IF(AND(CM194&lt;1,CW194&lt;1,CM214&gt;0),((CM214-1)*$BM$65*0.5)+$BM$65,CM214*0.5*$BM$65),CM214*0.5*$BM$65)</f>
        <v>0</v>
      </c>
      <c r="CP214" s="70">
        <f>IF(CM214&gt;0,1,0)*$A$59</f>
        <v>0</v>
      </c>
      <c r="CQ214" s="679">
        <f>CM214*$BK$65</f>
        <v>0</v>
      </c>
      <c r="CR214" s="680"/>
      <c r="CS214" s="83"/>
      <c r="CT214" s="691"/>
      <c r="CU214" s="692"/>
      <c r="CV214" s="51"/>
      <c r="CW214" s="679">
        <f t="shared" si="181"/>
        <v>0</v>
      </c>
      <c r="CX214" s="680"/>
      <c r="CY214" s="70">
        <f>IF($CP$220=$DV$54,IF(AND(CW194&lt;1,CM194&lt;1,CW214&gt;0,CM214&lt;1),((CW214-1)*$BM$65*0.5)+$BM$65,CW214*0.5*$BM$65),CW214*0.5*$BM$65)</f>
        <v>0</v>
      </c>
      <c r="CZ214" s="70">
        <f>IF(CW214&gt;0,1,0)*$A$59</f>
        <v>0</v>
      </c>
      <c r="DA214" s="679">
        <f>CW214*$BK$65</f>
        <v>0</v>
      </c>
      <c r="DB214" s="680"/>
      <c r="DC214" s="689"/>
      <c r="DD214" s="690"/>
      <c r="DE214" s="83"/>
      <c r="DF214" s="691"/>
      <c r="DG214" s="692"/>
      <c r="DH214" s="83"/>
      <c r="DI214" s="691"/>
      <c r="DJ214" s="692"/>
      <c r="DP214" s="116"/>
      <c r="DQ214" s="51"/>
      <c r="DR214"/>
      <c r="DS214"/>
      <c r="DT214"/>
      <c r="DV214"/>
      <c r="DW214"/>
      <c r="DX214"/>
      <c r="DY214"/>
    </row>
    <row r="215" spans="1:129" ht="13.5" thickBot="1" x14ac:dyDescent="0.25">
      <c r="B215"/>
      <c r="C215" s="22">
        <v>5</v>
      </c>
      <c r="D215" s="83">
        <f>$B$60</f>
        <v>0.83</v>
      </c>
      <c r="E215" s="679">
        <f>SUM(IF($C$1="Residência",$C$60,0),IF($F$1="Residência",$F$60,0),IF($I$1="Residência",$I$60,0),IF($L$1="Residência",$L$60,0),IF($O$1="Residência",$O$60,0),IF($R$1="Residência",$R$60,0))</f>
        <v>0</v>
      </c>
      <c r="F215" s="680"/>
      <c r="G215" s="70">
        <f>IF($H$220=$DV$55,IF(AND(E196&lt;1,O196&lt;1,E215&gt;0),((E215-1)*$BM$66*0.5)+$BM$66,E215*0.5*$BM$66),E215*0.5*$BM$66)</f>
        <v>0</v>
      </c>
      <c r="H215" s="70">
        <f>IF(E215&gt;0,1,0)*$A$60</f>
        <v>0</v>
      </c>
      <c r="I215" s="679">
        <f>E215*$BK$66</f>
        <v>0</v>
      </c>
      <c r="J215" s="680"/>
      <c r="K215" s="83"/>
      <c r="L215" s="691"/>
      <c r="M215" s="692"/>
      <c r="N215" s="51"/>
      <c r="O215" s="679">
        <f>SUM(IF($C$1="Residência",0,$C$60),IF($F$1="Residência",0,$F$60),IF($I$1="Residência",0,$I$60),IF($L$1="Residência",0,$L$60),IF($O$1="Residência",0,$O$60),IF($R$1="Residência",0,$R$60),IF($E$74="BIFÁSICA",$C$74,0))</f>
        <v>0</v>
      </c>
      <c r="P215" s="680"/>
      <c r="Q215" s="70">
        <f>IF($H$220=$DV$55,IF(AND(O196&lt;1,$E$196&lt;1,O215&gt;0,E215&lt;1),((O215-1)*$BM$66*0.5)+$BM$66,O215*0.5*$BM$66),O215*0.5*$BM$66)</f>
        <v>0</v>
      </c>
      <c r="R215" s="70">
        <f>IF(O215&gt;0,1,0)*$A$60</f>
        <v>0</v>
      </c>
      <c r="S215" s="679">
        <f>O215*$BK$66</f>
        <v>0</v>
      </c>
      <c r="T215" s="680"/>
      <c r="U215" s="689"/>
      <c r="V215" s="690"/>
      <c r="W215" s="679">
        <f>SUM(IF($C$1="Residência",$C$60,0),IF($F$1="Residência",$F$60,0),IF($I$1="Residência",$I$60,0),IF($L$1="Residência",$L$60,0),IF($O$1="Residência",$O$60,0),IF($R$1="Residência",$R$60,0))</f>
        <v>0</v>
      </c>
      <c r="X215" s="680"/>
      <c r="Y215" s="70">
        <f>IF($H$220=$DV$55,IF(AND(W196&lt;1,AG196&lt;1,W215&gt;0),((W215-1)*$BM$66*0.5)+$BM$66,W215*0.5*$BM$66),W215*0.5*$BM$66)</f>
        <v>0</v>
      </c>
      <c r="Z215" s="70">
        <f>IF(W215&gt;0,1,0)*$A$60</f>
        <v>0</v>
      </c>
      <c r="AA215" s="679">
        <f>W215*$BK$66</f>
        <v>0</v>
      </c>
      <c r="AB215" s="680"/>
      <c r="AC215" s="83"/>
      <c r="AD215" s="691"/>
      <c r="AE215" s="692"/>
      <c r="AF215" s="51"/>
      <c r="AG215" s="679">
        <f>SUM(IF($C$1="Residência",0,$C$60),IF($F$1="Residência",0,$F$60),IF($I$1="Residência",0,$I$60),IF($L$1="Residência",0,$L$60),IF($O$1="Residência",0,$O$60),IF($R$1="Residência",0,$R$60))</f>
        <v>0</v>
      </c>
      <c r="AH215" s="680"/>
      <c r="AI215" s="70">
        <f>IF($H$220=$DV$55,IF(AND(AG196&lt;1,$E$196&lt;1,AG215&gt;0,W215&lt;1),((AG215-1)*$BM$66*0.5)+$BM$66,AG215*0.5*$BM$66),AG215*0.5*$BM$66)</f>
        <v>0</v>
      </c>
      <c r="AJ215" s="70">
        <f>IF(AG215&gt;0,1,0)*$A$60</f>
        <v>0</v>
      </c>
      <c r="AK215" s="679">
        <f>AG215*$BK$66</f>
        <v>0</v>
      </c>
      <c r="AL215" s="680"/>
      <c r="AT215" s="22">
        <v>5</v>
      </c>
      <c r="AU215" s="83">
        <f>$B$60</f>
        <v>0.83</v>
      </c>
      <c r="AV215" s="679">
        <f t="shared" si="178"/>
        <v>0</v>
      </c>
      <c r="AW215" s="680"/>
      <c r="AX215" s="70">
        <f>IF($AY$220=$DV$55,IF(AND(AV196&lt;1,BF196&lt;1,AV215&gt;0),((AV215-1)*$BM$66*0.5)+$BM$66,AV215*0.5*$BM$66),AV215*0.5*$BM$66)</f>
        <v>0</v>
      </c>
      <c r="AY215" s="70">
        <f>IF(AV215&gt;0,1,0)*$A$60</f>
        <v>0</v>
      </c>
      <c r="AZ215" s="679">
        <f>AV215*$BK$66</f>
        <v>0</v>
      </c>
      <c r="BA215" s="680"/>
      <c r="BB215" s="83"/>
      <c r="BC215" s="691"/>
      <c r="BD215" s="692"/>
      <c r="BE215" s="51"/>
      <c r="BF215" s="679">
        <f t="shared" si="179"/>
        <v>0</v>
      </c>
      <c r="BG215" s="680"/>
      <c r="BH215" s="70">
        <f>IF($AY$220=$DV$55,IF(AND(BF196&lt;1,AV196&lt;1,BF215&gt;0,AV215&lt;1),((BF215-1)*$BM$66*0.5)+$BM$66,BF215*0.5*$BM$66),BF215*0.5*$BM$66)</f>
        <v>0</v>
      </c>
      <c r="BI215" s="70">
        <f>IF(BF215&gt;0,1,0)*$A$60</f>
        <v>0</v>
      </c>
      <c r="BJ215" s="679">
        <f>BF215*$BK$66</f>
        <v>0</v>
      </c>
      <c r="BK215" s="680"/>
      <c r="BL215" s="689"/>
      <c r="BM215" s="690"/>
      <c r="BN215" s="83"/>
      <c r="BO215" s="395"/>
      <c r="BP215" s="396"/>
      <c r="BQ215" s="83"/>
      <c r="BR215" s="691"/>
      <c r="BS215" s="692"/>
      <c r="BY215" s="116"/>
      <c r="BZ215" s="51"/>
      <c r="CB215"/>
      <c r="CC215"/>
      <c r="CD215"/>
      <c r="CG215"/>
      <c r="CK215" s="22">
        <v>5</v>
      </c>
      <c r="CL215" s="83">
        <f>$B$60</f>
        <v>0.83</v>
      </c>
      <c r="CM215" s="679">
        <f t="shared" si="180"/>
        <v>0</v>
      </c>
      <c r="CN215" s="680"/>
      <c r="CO215" s="70">
        <f>IF($CP$220=$DV$55,IF(AND(CM196&lt;1,CW196&lt;1,CM215&gt;0),((CM215-1)*$BM$66*0.5)+$BM$66,CM215*0.5*$BM$66),CM215*0.5*$BM$66)</f>
        <v>0</v>
      </c>
      <c r="CP215" s="70">
        <f>IF(CM215&gt;0,1,0)*$A$60</f>
        <v>0</v>
      </c>
      <c r="CQ215" s="679">
        <f>CM215*$BK$66</f>
        <v>0</v>
      </c>
      <c r="CR215" s="680"/>
      <c r="CS215" s="83"/>
      <c r="CT215" s="691"/>
      <c r="CU215" s="692"/>
      <c r="CV215" s="51"/>
      <c r="CW215" s="679">
        <f t="shared" si="181"/>
        <v>0</v>
      </c>
      <c r="CX215" s="680"/>
      <c r="CY215" s="70">
        <f>IF($CP$220=$DV$55,IF(AND(CW196&lt;1,CM196&lt;1,CW215&gt;0,CM215&lt;1),((CW215-1)*$BM$66*0.5)+$BM$66,CW215*0.5*$BM$66),CW215*0.5*$BM$66)</f>
        <v>0</v>
      </c>
      <c r="CZ215" s="70">
        <f>IF(CW215&gt;0,1,0)*$A$60</f>
        <v>0</v>
      </c>
      <c r="DA215" s="679">
        <f>CW215*$BK$66</f>
        <v>0</v>
      </c>
      <c r="DB215" s="680"/>
      <c r="DC215" s="689"/>
      <c r="DD215" s="690"/>
      <c r="DE215" s="83"/>
      <c r="DF215" s="691"/>
      <c r="DG215" s="692"/>
      <c r="DH215" s="83"/>
      <c r="DI215" s="691"/>
      <c r="DJ215" s="692"/>
      <c r="DP215" s="116"/>
      <c r="DQ215" s="51"/>
      <c r="DR215"/>
      <c r="DS215"/>
      <c r="DT215"/>
      <c r="DV215"/>
      <c r="DW215"/>
      <c r="DX215"/>
      <c r="DY215"/>
    </row>
    <row r="216" spans="1:129" ht="13.5" thickBot="1" x14ac:dyDescent="0.25">
      <c r="A216" s="51"/>
      <c r="B216"/>
      <c r="C216" s="22">
        <v>7.5</v>
      </c>
      <c r="D216" s="83">
        <f>$B$61</f>
        <v>0.8</v>
      </c>
      <c r="E216" s="679">
        <f>SUM(IF($C$1="Residência",$C$61,0),IF($F$1="Residência",$F$61,0),IF($I$1="Residência",$I$61,0),IF($L$1="Residência",$L$61,0),IF($O$1="Residência",$O$61,0),IF($R$1="Residência",$R$61,0))</f>
        <v>0</v>
      </c>
      <c r="F216" s="680"/>
      <c r="G216" s="70">
        <f>IF($H$220=$DV$56,IF(AND(E197&lt;1,O197&lt;1,E216&gt;0),((E216-1)*$BM$67*0.5)+$BM$67,E216*0.5*$BM$67),E216*0.5*$BM$67)</f>
        <v>0</v>
      </c>
      <c r="H216" s="70">
        <f>IF(E216&gt;0,1,0)*$A$61</f>
        <v>0</v>
      </c>
      <c r="I216" s="679">
        <f>E216*$BK$67</f>
        <v>0</v>
      </c>
      <c r="J216" s="680"/>
      <c r="K216" s="83"/>
      <c r="L216" s="691"/>
      <c r="M216" s="692"/>
      <c r="N216" s="51"/>
      <c r="O216" s="679">
        <f>SUM(IF($C$1="Residência",0,$C$61),IF($F$1="Residência",0,$F$61),IF($I$1="Residência",0,$I$61),IF($L$1="Residência",0,$L$61),IF($O$1="Residência",0,$O$61),IF($R$1="Residência",0,R61))</f>
        <v>0</v>
      </c>
      <c r="P216" s="680"/>
      <c r="Q216" s="70">
        <f>IF($H$220=$DV$56,IF(AND(O197&lt;1,$E$197&lt;1,O216&gt;0,E216&lt;1),((O216-1)*$BM$67*0.5)+$BM$67,O216*0.5*$BM$67),O216*0.5*$BM$67)</f>
        <v>0</v>
      </c>
      <c r="R216" s="70">
        <f>IF(O216&gt;0,1,0)*$A$61</f>
        <v>0</v>
      </c>
      <c r="S216" s="679">
        <f>O216*$BK$67</f>
        <v>0</v>
      </c>
      <c r="T216" s="680"/>
      <c r="U216" s="689"/>
      <c r="V216" s="690"/>
      <c r="W216" s="679">
        <f>SUM(IF($C$1="Residência",$C$61,0),IF($F$1="Residência",$F$61,0),IF($I$1="Residência",$I$61,0),IF($L$1="Residência",$L$61,0),IF($O$1="Residência",$O$61,0),IF($R$1="Residência",$R$61,0))</f>
        <v>0</v>
      </c>
      <c r="X216" s="680"/>
      <c r="Y216" s="70">
        <f>IF($H$220=$DV$56,IF(AND(W197&lt;1,AG197&lt;1,W216&gt;0),((W216-1)*$BM$67*0.5)+$BM$67,W216*0.5*$BM$67),W216*0.5*$BM$67)</f>
        <v>0</v>
      </c>
      <c r="Z216" s="70">
        <f>IF(W216&gt;0,1,0)*$A$61</f>
        <v>0</v>
      </c>
      <c r="AA216" s="679">
        <f>W216*$BK$67</f>
        <v>0</v>
      </c>
      <c r="AB216" s="680"/>
      <c r="AC216" s="83"/>
      <c r="AD216" s="691"/>
      <c r="AE216" s="692"/>
      <c r="AF216" s="51"/>
      <c r="AG216" s="679">
        <f>SUM(IF($C$1="Residência",0,$C$61),IF($F$1="Residência",0,$F$61),IF($I$1="Residência",0,$I$61),IF($L$1="Residência",0,$L$61),IF($O$1="Residência",0,$O$61),IF($R$1="Residência",0,$R$61))</f>
        <v>0</v>
      </c>
      <c r="AH216" s="680"/>
      <c r="AI216" s="70">
        <f>IF($H$220=$DV$56,IF(AND(AG197&lt;1,$E$197&lt;1,AG216&gt;0,W216&lt;1),((AG216-1)*$BM$67*0.5)+$BM$67,AG216*0.5*$BM$67),AG216*0.5*$BM$67)</f>
        <v>0</v>
      </c>
      <c r="AJ216" s="70">
        <f>IF(AG216&gt;0,1,0)*$A$61</f>
        <v>0</v>
      </c>
      <c r="AK216" s="679">
        <f>AG216*$BK$67</f>
        <v>0</v>
      </c>
      <c r="AL216" s="680"/>
      <c r="AR216" s="51"/>
      <c r="AT216" s="22">
        <v>7.5</v>
      </c>
      <c r="AU216" s="83">
        <f>$B$61</f>
        <v>0.8</v>
      </c>
      <c r="AV216" s="679">
        <f t="shared" si="178"/>
        <v>0</v>
      </c>
      <c r="AW216" s="680"/>
      <c r="AX216" s="70">
        <f>IF($AY$220=$DV$56,IF(AND(AV197&lt;1,BF197&lt;1,AV216&gt;0),((AV216-1)*$BM$67*0.5)+$BM$67,AV216*0.5*$BM$67),AV216*0.5*$BM$67)</f>
        <v>0</v>
      </c>
      <c r="AY216" s="70">
        <f>IF(AV216&gt;0,1,0)*$A$61</f>
        <v>0</v>
      </c>
      <c r="AZ216" s="679">
        <f>AV216*$BK$67</f>
        <v>0</v>
      </c>
      <c r="BA216" s="680"/>
      <c r="BB216" s="83"/>
      <c r="BC216" s="691"/>
      <c r="BD216" s="692"/>
      <c r="BE216" s="51"/>
      <c r="BF216" s="679">
        <f t="shared" si="179"/>
        <v>0</v>
      </c>
      <c r="BG216" s="680"/>
      <c r="BH216" s="70">
        <f>IF($AY$220=$DV$56,IF(AND(BF197&lt;1,AV197&lt;1,BF216&gt;0,AV216&lt;1),((BF216-1)*$BM$67*0.5)+$BM$67,BF216*0.5*$BM$67),BF216*0.5*$BM$67)</f>
        <v>0</v>
      </c>
      <c r="BI216" s="70">
        <f>IF(BF216&gt;0,1,0)*$A$61</f>
        <v>0</v>
      </c>
      <c r="BJ216" s="679">
        <f>BF216*$BK$67</f>
        <v>0</v>
      </c>
      <c r="BK216" s="680"/>
      <c r="BL216" s="689"/>
      <c r="BM216" s="690"/>
      <c r="BN216" s="83"/>
      <c r="BO216" s="395"/>
      <c r="BP216" s="396"/>
      <c r="BQ216" s="83"/>
      <c r="BR216" s="691"/>
      <c r="BS216" s="692"/>
      <c r="BU216" s="20"/>
      <c r="BV216" s="20"/>
      <c r="BW216" s="72"/>
      <c r="BX216" s="72"/>
      <c r="CB216"/>
      <c r="CC216"/>
      <c r="CD216"/>
      <c r="CG216"/>
      <c r="CI216" s="51"/>
      <c r="CK216" s="22">
        <v>7.5</v>
      </c>
      <c r="CL216" s="83">
        <f>$B$61</f>
        <v>0.8</v>
      </c>
      <c r="CM216" s="679">
        <f t="shared" si="180"/>
        <v>0</v>
      </c>
      <c r="CN216" s="680"/>
      <c r="CO216" s="70">
        <f>IF($CP$220=$DV$56,IF(AND(CM197&lt;1,CW197&lt;1,CM216&gt;0),((CM216-1)*$BM$67*0.5)+$BM$67,CM216*0.5*$BM$67),CM216*0.5*$BM$67)</f>
        <v>0</v>
      </c>
      <c r="CP216" s="70">
        <f>IF(CM216&gt;0,1,0)*$A$61</f>
        <v>0</v>
      </c>
      <c r="CQ216" s="679">
        <f>CM216*$BK$67</f>
        <v>0</v>
      </c>
      <c r="CR216" s="680"/>
      <c r="CS216" s="83"/>
      <c r="CT216" s="691"/>
      <c r="CU216" s="692"/>
      <c r="CV216" s="51"/>
      <c r="CW216" s="679">
        <f t="shared" si="181"/>
        <v>0</v>
      </c>
      <c r="CX216" s="680"/>
      <c r="CY216" s="70">
        <f>IF($CP$220=$DV$56,IF(AND(CW197&lt;1,CM197&lt;1,CW216&gt;0,CM216&lt;1),((CW216-1)*$BM$67*0.5)+$BM$67,CW216*0.5*$BM$67),CW216*0.5*$BM$67)</f>
        <v>0</v>
      </c>
      <c r="CZ216" s="70">
        <f>IF(CW216&gt;0,1,0)*$A$61</f>
        <v>0</v>
      </c>
      <c r="DA216" s="679">
        <f>CW216*$BK$67</f>
        <v>0</v>
      </c>
      <c r="DB216" s="680"/>
      <c r="DC216" s="689"/>
      <c r="DD216" s="690"/>
      <c r="DE216" s="83"/>
      <c r="DF216" s="691"/>
      <c r="DG216" s="692"/>
      <c r="DH216" s="83"/>
      <c r="DI216" s="691"/>
      <c r="DJ216" s="692"/>
      <c r="DL216" s="20"/>
      <c r="DM216" s="20"/>
      <c r="DN216" s="72"/>
      <c r="DO216" s="72"/>
      <c r="DP216"/>
      <c r="DQ216"/>
      <c r="DR216"/>
      <c r="DS216"/>
      <c r="DT216"/>
      <c r="DV216"/>
      <c r="DW216"/>
      <c r="DX216"/>
      <c r="DY216"/>
    </row>
    <row r="217" spans="1:129" ht="13.5" thickBot="1" x14ac:dyDescent="0.25">
      <c r="B217"/>
      <c r="C217" s="22">
        <v>10</v>
      </c>
      <c r="D217" s="83">
        <f>$B$62</f>
        <v>0.8</v>
      </c>
      <c r="E217" s="679">
        <f>SUM(IF($C$1="Residência",$C$62,0),IF($F$1="Residência",$F$62,0),IF($I$1="Residência",$I$62,0),IF($L$1="Residência",$L$62,0),IF($O$1="Residência",$O$62,0),IF($R$1="Residência",$R$62,0))</f>
        <v>0</v>
      </c>
      <c r="F217" s="680"/>
      <c r="G217" s="70">
        <f>IF($H$220=$DV$57,IF(AND(E199&lt;1,O199&lt;1,E217&gt;0),((E217-1)*$BM$68*0.5)+$BM$68,E217*0.5*$BM$68),E217*0.5*$BM$68)</f>
        <v>0</v>
      </c>
      <c r="H217" s="70">
        <f>IF(E217&gt;0,1,0)*$A$62</f>
        <v>0</v>
      </c>
      <c r="I217" s="679">
        <f>E217*$BK$68</f>
        <v>0</v>
      </c>
      <c r="J217" s="680"/>
      <c r="K217" s="83"/>
      <c r="L217" s="691"/>
      <c r="M217" s="692"/>
      <c r="N217" s="51"/>
      <c r="O217" s="679">
        <f>SUM(IF($C$1="Residência",0,$C$62),IF($F$1="Residência",0,$F$62),IF($I$1="Residência",0,$I$62),IF($L$1="Residência",0,$L$62),IF($O$1="Residência",0,$O$62),IF($R$1="Residência",0,$R$62))</f>
        <v>0</v>
      </c>
      <c r="P217" s="680"/>
      <c r="Q217" s="70">
        <f>IF($H$220=$DV$57,IF(AND(O199&lt;1,$E$199&lt;1,O217&gt;0,E217&lt;1),((O217-1)*$BM$68*0.5)+$BM$68,O217*0.5*$BM$68),O217*0.5*$BM$68)</f>
        <v>0</v>
      </c>
      <c r="R217" s="70">
        <f>IF(O217&gt;0,1,0)*$A$62</f>
        <v>0</v>
      </c>
      <c r="S217" s="679">
        <f>O217*$BK$68</f>
        <v>0</v>
      </c>
      <c r="T217" s="680"/>
      <c r="U217" s="689"/>
      <c r="V217" s="690"/>
      <c r="W217" s="679">
        <f>SUM(IF($C$1="Residência",$C$62,0),IF($F$1="Residência",$F$62,0),IF($I$1="Residência",$I$62,0),IF($L$1="Residência",$L$62,0),IF($O$1="Residência",$O$62,0),IF($R$1="Residência",$R$62,0))</f>
        <v>0</v>
      </c>
      <c r="X217" s="680"/>
      <c r="Y217" s="70">
        <f>IF($H$220=$DV$57,IF(AND(W199&lt;1,AG199&lt;1,W217&gt;0),((W217-1)*$BM$68*0.5)+$BM$68,W217*0.5*$BM$68),W217*0.5*$BM$68)</f>
        <v>0</v>
      </c>
      <c r="Z217" s="70">
        <f>IF(W217&gt;0,1,0)*$A$62</f>
        <v>0</v>
      </c>
      <c r="AA217" s="679">
        <f>W217*$BK$68</f>
        <v>0</v>
      </c>
      <c r="AB217" s="680"/>
      <c r="AC217" s="83"/>
      <c r="AD217" s="691"/>
      <c r="AE217" s="692"/>
      <c r="AF217" s="51"/>
      <c r="AG217" s="679">
        <f>SUM(IF($C$1="Residência",0,$C$62),IF($F$1="Residência",0,$F$62),IF($I$1="Residência",0,$I$62),IF($L$1="Residência",0,$L$62),IF($O$1="Residência",0,$O$62),IF($R$1="Residência",0,$R$62))</f>
        <v>0</v>
      </c>
      <c r="AH217" s="680"/>
      <c r="AI217" s="70">
        <f>IF($H$220=$DV$57,IF(AND(AG199&lt;1,$E$199&lt;1,AG217&gt;0,W217&lt;1),((AG217-1)*$BM$68*0.5)+$BM$68,AG217*0.5*$BM$68),AG217*0.5*$BM$68)</f>
        <v>0</v>
      </c>
      <c r="AJ217" s="70">
        <f>IF(AG217&gt;0,1,0)*$A$62</f>
        <v>0</v>
      </c>
      <c r="AK217" s="679">
        <f>AG217*$BK$68</f>
        <v>0</v>
      </c>
      <c r="AL217" s="680"/>
      <c r="AT217" s="22">
        <v>10</v>
      </c>
      <c r="AU217" s="83">
        <f>$B$62</f>
        <v>0.8</v>
      </c>
      <c r="AV217" s="679">
        <f t="shared" si="178"/>
        <v>0</v>
      </c>
      <c r="AW217" s="680"/>
      <c r="AX217" s="70">
        <f>IF($AY$220=$DV$57,IF(AND(AV199&lt;1,BF199&lt;1,AV217&gt;0),((AV217-1)*$BM$68*0.5)+$BM$68,AV217*0.5*$BM$68),AV217*0.5*$BM$68)</f>
        <v>0</v>
      </c>
      <c r="AY217" s="70">
        <f>IF(AV217&gt;0,1,0)*$A$62</f>
        <v>0</v>
      </c>
      <c r="AZ217" s="679">
        <f>AV217*$BK$68</f>
        <v>0</v>
      </c>
      <c r="BA217" s="680"/>
      <c r="BB217" s="83"/>
      <c r="BC217" s="691"/>
      <c r="BD217" s="692"/>
      <c r="BE217" s="51"/>
      <c r="BF217" s="679">
        <f t="shared" si="179"/>
        <v>0</v>
      </c>
      <c r="BG217" s="680"/>
      <c r="BH217" s="70">
        <f>IF($AY$220=$DV$57,IF(AND(BF199&lt;1,AV199&lt;1,BF217&gt;0,AV217&lt;1),((BF217-1)*$BM$68*0.5)+$BM$68,BF217*0.5*$BM$68),BF217*0.5*$BM$68)</f>
        <v>0</v>
      </c>
      <c r="BI217" s="70">
        <f>IF(BF217&gt;0,1,0)*$A$62</f>
        <v>0</v>
      </c>
      <c r="BJ217" s="679">
        <f>BF217*$BK$68</f>
        <v>0</v>
      </c>
      <c r="BK217" s="680"/>
      <c r="BL217" s="689"/>
      <c r="BM217" s="690"/>
      <c r="BN217" s="83"/>
      <c r="BO217" s="395"/>
      <c r="BP217" s="396"/>
      <c r="BQ217" s="83"/>
      <c r="BR217" s="691"/>
      <c r="BS217" s="692"/>
      <c r="BU217" s="696"/>
      <c r="BV217" s="696"/>
      <c r="BW217" s="696"/>
      <c r="BX217" s="696"/>
      <c r="BY217" s="51"/>
      <c r="BZ217" s="20"/>
      <c r="CB217"/>
      <c r="CC217"/>
      <c r="CD217"/>
      <c r="CG217"/>
      <c r="CK217" s="22">
        <v>10</v>
      </c>
      <c r="CL217" s="83">
        <f>$B$62</f>
        <v>0.8</v>
      </c>
      <c r="CM217" s="679">
        <f t="shared" si="180"/>
        <v>0</v>
      </c>
      <c r="CN217" s="680"/>
      <c r="CO217" s="70">
        <f>IF($CP$220=$DV$57,IF(AND(CM199&lt;1,CW199&lt;1,CM217&gt;0),((CM217-1)*$BM$68*0.5)+$BM$68,CM217*0.5*$BM$68),CM217*0.5*$BM$68)</f>
        <v>0</v>
      </c>
      <c r="CP217" s="70">
        <f>IF(CM217&gt;0,1,0)*$A$62</f>
        <v>0</v>
      </c>
      <c r="CQ217" s="679">
        <f>CM217*$BK$68</f>
        <v>0</v>
      </c>
      <c r="CR217" s="680"/>
      <c r="CS217" s="83"/>
      <c r="CT217" s="691"/>
      <c r="CU217" s="692"/>
      <c r="CV217" s="51"/>
      <c r="CW217" s="679">
        <f t="shared" si="181"/>
        <v>0</v>
      </c>
      <c r="CX217" s="680"/>
      <c r="CY217" s="70">
        <f>IF($CP$220=$DV$57,IF(AND(CW199&lt;1,CM199&lt;1,CW217&gt;0,CM217&lt;1),((CW217-1)*$BM$68*0.5)+$BM$68,CW217*0.5*$BM$68),CW217*0.5*$BM$68)</f>
        <v>0</v>
      </c>
      <c r="CZ217" s="70">
        <f>IF(CW217&gt;0,1,0)*$A$62</f>
        <v>0</v>
      </c>
      <c r="DA217" s="679">
        <f>CW217*$BK$68</f>
        <v>0</v>
      </c>
      <c r="DB217" s="680"/>
      <c r="DC217" s="689"/>
      <c r="DD217" s="690"/>
      <c r="DE217" s="83"/>
      <c r="DF217" s="691"/>
      <c r="DG217" s="692"/>
      <c r="DH217" s="83"/>
      <c r="DI217" s="691"/>
      <c r="DJ217" s="692"/>
      <c r="DL217" s="696"/>
      <c r="DM217" s="696"/>
      <c r="DN217" s="696"/>
      <c r="DO217" s="696"/>
      <c r="DP217" s="51"/>
      <c r="DQ217" s="20"/>
      <c r="DR217"/>
      <c r="DS217"/>
      <c r="DT217"/>
      <c r="DV217"/>
      <c r="DW217"/>
      <c r="DX217"/>
      <c r="DY217"/>
    </row>
    <row r="218" spans="1:129" ht="13.5" thickBot="1" x14ac:dyDescent="0.25">
      <c r="B218"/>
      <c r="C218" s="22">
        <v>12.5</v>
      </c>
      <c r="D218" s="83">
        <f>$B$63</f>
        <v>0.78</v>
      </c>
      <c r="E218" s="679">
        <f>SUM(IF($C$1="Residência",$C$63,0),IF($F$1="Residência",$F$63,0),IF($I$1="Residência",$I$63,0),IF($L$1="Residência",$L$63,0),IF($O$1="Residência",$O$63,0),IF($R$1="Residência",$R$63,0))</f>
        <v>0</v>
      </c>
      <c r="F218" s="680"/>
      <c r="G218" s="70">
        <f>IF($H$220=$DV$58,IF(AND(E200&lt;1,O200&lt;1,E218&gt;0),((E218-1)*$BM$69*0.5)+$BM$69,E218*0.5*$BM$69),E218*0.5*$BM$69)</f>
        <v>0</v>
      </c>
      <c r="H218" s="70">
        <f>IF(E218&gt;0,1,0)*$A$63</f>
        <v>0</v>
      </c>
      <c r="I218" s="679">
        <f>E218*$BK$69</f>
        <v>0</v>
      </c>
      <c r="J218" s="680"/>
      <c r="K218" s="83"/>
      <c r="L218" s="691"/>
      <c r="M218" s="692"/>
      <c r="N218" s="51"/>
      <c r="O218" s="679">
        <f>SUM(IF($C$1="Residência",0,$C$63),IF($F$1="Residência",0,$F$63),IF($I$1="Residência",0,$I$63),IF($L$1="Residência",0,$L$63),IF($O$1="Residência",0,$O$63),IF($R$1="Residência",0,$R$63))</f>
        <v>0</v>
      </c>
      <c r="P218" s="680"/>
      <c r="Q218" s="70">
        <f>IF($H$220=$DV$58,IF(AND(O200&lt;1,$E$200&lt;1,O218&gt;0,E218&lt;1),((O218-1)*$BM$69*0.5)+$BM$69,O218*0.5*$BM$69),O218*0.5*$BM$69)</f>
        <v>0</v>
      </c>
      <c r="R218" s="70">
        <f>IF(O218&gt;0,1,0)*$A$63</f>
        <v>0</v>
      </c>
      <c r="S218" s="679">
        <f>O218*$BK$69</f>
        <v>0</v>
      </c>
      <c r="T218" s="680"/>
      <c r="U218" s="689"/>
      <c r="V218" s="690"/>
      <c r="W218" s="679">
        <f>SUM(IF($C$1="Residência",$C$63,0),IF($F$1="Residência",$F$63,0),IF($I$1="Residência",$I$63,0),IF($L$1="Residência",$L$63,0),IF($O$1="Residência",$O$63,0),IF($R$1="Residência",$R$63,0))</f>
        <v>0</v>
      </c>
      <c r="X218" s="680"/>
      <c r="Y218" s="70">
        <f>IF($H$220=$DV$58,IF(AND(W200&lt;1,AG200&lt;1,W218&gt;0),((W218-1)*$BM$69*0.5)+$BM$69,W218*0.5*$BM$69),W218*0.5*$BM$69)</f>
        <v>0</v>
      </c>
      <c r="Z218" s="70">
        <f>IF(W218&gt;0,1,0)*$A$63</f>
        <v>0</v>
      </c>
      <c r="AA218" s="679">
        <f>W218*$BK$69</f>
        <v>0</v>
      </c>
      <c r="AB218" s="680"/>
      <c r="AC218" s="83"/>
      <c r="AD218" s="691"/>
      <c r="AE218" s="692"/>
      <c r="AF218" s="51"/>
      <c r="AG218" s="679">
        <f>SUM(IF($C$1="Residência",0,$C$63),IF($F$1="Residência",0,$F$63),IF($I$1="Residência",0,$I$63),IF($L$1="Residência",0,$L$63),IF($O$1="Residência",0,$O$63),IF($R$1="Residência",0,$R$63))</f>
        <v>0</v>
      </c>
      <c r="AH218" s="680"/>
      <c r="AI218" s="70">
        <f>IF($H$220=$DV$58,IF(AND(AG200&lt;1,$E$200&lt;1,AG218&gt;0,W218&lt;1),((AG218-1)*$BM$69*0.5)+$BM$69,AG218*0.5*$BM$69),AG218*0.5*$BM$69)</f>
        <v>0</v>
      </c>
      <c r="AJ218" s="70">
        <f>IF(AG218&gt;0,1,0)*$A$63</f>
        <v>0</v>
      </c>
      <c r="AK218" s="679">
        <f>AG218*$BK$69</f>
        <v>0</v>
      </c>
      <c r="AL218" s="680"/>
      <c r="AT218" s="22">
        <v>12.5</v>
      </c>
      <c r="AU218" s="83">
        <f>$B$63</f>
        <v>0.78</v>
      </c>
      <c r="AV218" s="679">
        <f t="shared" si="178"/>
        <v>0</v>
      </c>
      <c r="AW218" s="680"/>
      <c r="AX218" s="70">
        <f>IF($AY$220=$DV$58,IF(AND(AV200&lt;1,BF200&lt;1,AV218&gt;0),((AV218-1)*$BM$69*0.5)+$BM$69,AV218*0.5*$BM$69),AV218*0.5*$BM$69)</f>
        <v>0</v>
      </c>
      <c r="AY218" s="70">
        <f>IF(AV218&gt;0,1,0)*$A$63</f>
        <v>0</v>
      </c>
      <c r="AZ218" s="679">
        <f>AV218*$BK$69</f>
        <v>0</v>
      </c>
      <c r="BA218" s="680"/>
      <c r="BB218" s="83"/>
      <c r="BC218" s="691"/>
      <c r="BD218" s="692"/>
      <c r="BE218" s="51"/>
      <c r="BF218" s="679">
        <f t="shared" si="179"/>
        <v>0</v>
      </c>
      <c r="BG218" s="680"/>
      <c r="BH218" s="70">
        <f>IF($AY$220=$DV$58,IF(AND(BF200&lt;1,AV200&lt;1,BF218&gt;0,AV218&lt;1),((BF218-1)*$BM$69*0.5)+$BM$69,BF218*0.5*$BM$69),BF218*0.5*$BM$69)</f>
        <v>0</v>
      </c>
      <c r="BI218" s="70">
        <f>IF(BF218&gt;0,1,0)*$A$63</f>
        <v>0</v>
      </c>
      <c r="BJ218" s="679">
        <f>BF218*$BK$69</f>
        <v>0</v>
      </c>
      <c r="BK218" s="680"/>
      <c r="BL218" s="689"/>
      <c r="BM218" s="690"/>
      <c r="BN218" s="83"/>
      <c r="BO218" s="395"/>
      <c r="BP218" s="396"/>
      <c r="BQ218" s="83"/>
      <c r="BR218" s="691"/>
      <c r="BS218" s="692"/>
      <c r="BY218" s="116"/>
      <c r="BZ218" s="51"/>
      <c r="CB218"/>
      <c r="CC218"/>
      <c r="CD218"/>
      <c r="CG218"/>
      <c r="CK218" s="22">
        <v>12.5</v>
      </c>
      <c r="CL218" s="83">
        <f>$B$63</f>
        <v>0.78</v>
      </c>
      <c r="CM218" s="679">
        <f t="shared" si="180"/>
        <v>0</v>
      </c>
      <c r="CN218" s="680"/>
      <c r="CO218" s="70">
        <f>IF($CP$220=$DV$58,IF(AND(CM200&lt;1,CW200&lt;1,CM218&gt;0),((CM218-1)*$BM$69*0.5)+$BM$69,CM218*0.5*$BM$69),CM218*0.5*$BM$69)</f>
        <v>0</v>
      </c>
      <c r="CP218" s="70">
        <f>IF(CM218&gt;0,1,0)*$A$63</f>
        <v>0</v>
      </c>
      <c r="CQ218" s="679">
        <f>CM218*$BK$69</f>
        <v>0</v>
      </c>
      <c r="CR218" s="680"/>
      <c r="CS218" s="83"/>
      <c r="CT218" s="691"/>
      <c r="CU218" s="692"/>
      <c r="CV218" s="51"/>
      <c r="CW218" s="679">
        <f t="shared" si="181"/>
        <v>0</v>
      </c>
      <c r="CX218" s="680"/>
      <c r="CY218" s="70">
        <f>IF($CP$220=$DV$58,IF(AND(CW200&lt;1,CM200&lt;1,CW218&gt;0,CM218&lt;1),((CW218-1)*$BM$69*0.5)+$BM$69,CW218*0.5*$BM$69),CW218*0.5*$BM$69)</f>
        <v>0</v>
      </c>
      <c r="CZ218" s="70">
        <f>IF(CW218&gt;0,1,0)*$A$63</f>
        <v>0</v>
      </c>
      <c r="DA218" s="679">
        <f>CW218*$BK$69</f>
        <v>0</v>
      </c>
      <c r="DB218" s="680"/>
      <c r="DC218" s="689"/>
      <c r="DD218" s="690"/>
      <c r="DE218" s="83"/>
      <c r="DF218" s="691"/>
      <c r="DG218" s="692"/>
      <c r="DH218" s="83"/>
      <c r="DI218" s="691"/>
      <c r="DJ218" s="692"/>
      <c r="DP218" s="116"/>
      <c r="DQ218" s="51"/>
      <c r="DR218"/>
      <c r="DS218"/>
      <c r="DT218"/>
      <c r="DV218"/>
      <c r="DW218"/>
      <c r="DX218"/>
      <c r="DY218"/>
    </row>
    <row r="219" spans="1:129" ht="13.5" thickBot="1" x14ac:dyDescent="0.25">
      <c r="B219"/>
      <c r="C219" s="23">
        <v>15</v>
      </c>
      <c r="D219" s="83">
        <f>$B$64</f>
        <v>0.81</v>
      </c>
      <c r="E219" s="679">
        <f>SUM(IF($C$1="Residência",$C$64,0),IF($F$1="Residência",$F$64,0),IF($I$1="Residência",$I$64,0),IF($L$1="Residência",$L$64,0),IF($O$1="Residência",$O$64,0),IF($R$1="Residência",$R$64,0))</f>
        <v>0</v>
      </c>
      <c r="F219" s="680"/>
      <c r="G219" s="70">
        <f>IF($H$220=$DV$59,IF(AND(E201&lt;1,O201&lt;1,E219&gt;0),((E219-1)*$BM$70*0.5)+$BM$70,E219*0.5*$BM$70),E219*0.5*$BM$70)</f>
        <v>0</v>
      </c>
      <c r="H219" s="70">
        <f>IF(E219&gt;0,1,0)*$A$64</f>
        <v>0</v>
      </c>
      <c r="I219" s="679">
        <f>E219*$BK$70</f>
        <v>0</v>
      </c>
      <c r="J219" s="680"/>
      <c r="K219" s="83"/>
      <c r="L219" s="691"/>
      <c r="M219" s="692"/>
      <c r="N219" s="51"/>
      <c r="O219" s="679">
        <f>SUM(IF($C$1="Residência",0,$C$64),IF($F$1="Residência",0,$F$64),IF($I$1="Residência",0,$I$64),IF($L$1="Residência",0,$L$64),IF($O$1="Residência",0,$O$64),IF($R$1="Residência",0,$R$64))</f>
        <v>0</v>
      </c>
      <c r="P219" s="680"/>
      <c r="Q219" s="70">
        <f>IF($H$220=$DV$59,IF(AND(O201&lt;1,$E$201&lt;1,O219&gt;0,E219&lt;1),((O219-1)*$BM$70*0.5)+$BM$70,O219*0.5*$BM$70),O219*0.5*$BM$70)</f>
        <v>0</v>
      </c>
      <c r="R219" s="70">
        <f>IF(O219&gt;0,1,0)*$A$64</f>
        <v>0</v>
      </c>
      <c r="S219" s="679">
        <f>O219*$BK$70</f>
        <v>0</v>
      </c>
      <c r="T219" s="680"/>
      <c r="U219" s="689"/>
      <c r="V219" s="690"/>
      <c r="W219" s="679">
        <f>SUM(IF($C$1="Residência",$C$64,0),IF($F$1="Residência",$F$64,0),IF($I$1="Residência",$I$64,0),IF($L$1="Residência",$L$64,0),IF($O$1="Residência",$O$64,0),IF($R$1="Residência",$R$64,0))</f>
        <v>0</v>
      </c>
      <c r="X219" s="680"/>
      <c r="Y219" s="70">
        <f>IF($H$220=$DV$59,IF(AND(W201&lt;1,AG201&lt;1,W219&gt;0),((W219-1)*$BM$70*0.5)+$BM$70,W219*0.5*$BM$70),W219*0.5*$BM$70)</f>
        <v>0</v>
      </c>
      <c r="Z219" s="70">
        <f>IF(W219&gt;0,1,0)*$A$64</f>
        <v>0</v>
      </c>
      <c r="AA219" s="679">
        <f>W219*$BK$70</f>
        <v>0</v>
      </c>
      <c r="AB219" s="680"/>
      <c r="AC219" s="83"/>
      <c r="AD219" s="691"/>
      <c r="AE219" s="692"/>
      <c r="AF219" s="51"/>
      <c r="AG219" s="679">
        <f>SUM(IF($C$1="Residência",0,$C$64),IF($F$1="Residência",0,$F$64),IF($I$1="Residência",0,$I$64),IF($L$1="Residência",0,$L$64),IF($O$1="Residência",0,$O$64),IF($R$1="Residência",0,$R$64))</f>
        <v>0</v>
      </c>
      <c r="AH219" s="680"/>
      <c r="AI219" s="70">
        <f>IF($H$220=$DV$59,IF(AND(AG201&lt;1,$E$201&lt;1,AG219&gt;0,W219&lt;1),((AG219-1)*$BM$70*0.5)+$BM$70,AG219*0.5*$BM$70),AG219*0.5*$BM$70)</f>
        <v>0</v>
      </c>
      <c r="AJ219" s="70">
        <f>IF(AG219&gt;0,1,0)*$A$64</f>
        <v>0</v>
      </c>
      <c r="AK219" s="679">
        <f>AG219*$BK$70</f>
        <v>0</v>
      </c>
      <c r="AL219" s="680"/>
      <c r="AT219" s="23">
        <v>15</v>
      </c>
      <c r="AU219" s="83">
        <f>$B$64</f>
        <v>0.81</v>
      </c>
      <c r="AV219" s="679">
        <f t="shared" si="178"/>
        <v>0</v>
      </c>
      <c r="AW219" s="680"/>
      <c r="AX219" s="70">
        <f>IF($AY$220=$DV$59,IF(AND(AV201&lt;1,BF201&lt;1,AV219&gt;0),((AV219-1)*$BM$70*0.5)+$BM$70,AV219*0.5*$BM$70),AV219*0.5*$BM$70)</f>
        <v>0</v>
      </c>
      <c r="AY219" s="70">
        <f>IF(AV219&gt;0,1,0)*$A$64</f>
        <v>0</v>
      </c>
      <c r="AZ219" s="679">
        <f>AV219*$BK$70</f>
        <v>0</v>
      </c>
      <c r="BA219" s="680"/>
      <c r="BB219" s="83"/>
      <c r="BC219" s="691"/>
      <c r="BD219" s="692"/>
      <c r="BE219" s="51"/>
      <c r="BF219" s="679">
        <f t="shared" si="179"/>
        <v>0</v>
      </c>
      <c r="BG219" s="680"/>
      <c r="BH219" s="70">
        <f>IF($AY$220=$DV$59,IF(AND(BF201&lt;1,AV201&lt;1,BF219&gt;0,AV219&lt;1),((BF219-1)*$BM$70*0.5)+$BM$70,BF219*0.5*$BM$70),BF219*0.5*$BM$70)</f>
        <v>0</v>
      </c>
      <c r="BI219" s="70">
        <f>IF(BF219&gt;0,1,0)*$A$64</f>
        <v>0</v>
      </c>
      <c r="BJ219" s="679">
        <f>BF219*$BK$70</f>
        <v>0</v>
      </c>
      <c r="BK219" s="680"/>
      <c r="BL219" s="689"/>
      <c r="BM219" s="690"/>
      <c r="BN219" s="83"/>
      <c r="BO219" s="395"/>
      <c r="BP219" s="396"/>
      <c r="BQ219" s="83"/>
      <c r="BR219" s="691"/>
      <c r="BS219" s="692"/>
      <c r="BY219" s="116"/>
      <c r="BZ219" s="51"/>
      <c r="CB219"/>
      <c r="CC219"/>
      <c r="CD219"/>
      <c r="CG219"/>
      <c r="CK219" s="23">
        <v>15</v>
      </c>
      <c r="CL219" s="83">
        <f>$B$64</f>
        <v>0.81</v>
      </c>
      <c r="CM219" s="679">
        <f t="shared" si="180"/>
        <v>0</v>
      </c>
      <c r="CN219" s="680"/>
      <c r="CO219" s="70">
        <f>IF($CP$220=$DV$59,IF(AND(CM201&lt;1,CW201&lt;1,CM219&gt;0),((CM219-1)*$BM$70*0.5)+$BM$70,CM219*0.5*$BM$70),CM219*0.5*$BM$70)</f>
        <v>0</v>
      </c>
      <c r="CP219" s="70">
        <f>IF(CM219&gt;0,1,0)*$A$64</f>
        <v>0</v>
      </c>
      <c r="CQ219" s="679">
        <f>CM219*$BK$70</f>
        <v>0</v>
      </c>
      <c r="CR219" s="680"/>
      <c r="CS219" s="83"/>
      <c r="CT219" s="691"/>
      <c r="CU219" s="692"/>
      <c r="CV219" s="51"/>
      <c r="CW219" s="679">
        <f t="shared" si="181"/>
        <v>0</v>
      </c>
      <c r="CX219" s="680"/>
      <c r="CY219" s="70">
        <f>IF($CP$220=$DV$59,IF(AND(CW201&lt;1,CM201&lt;1,CW219&gt;0,CM219&lt;1),((CW219-1)*$BM$70*0.5)+$BM$70,CW219*0.5*$BM$70),CW219*0.5*$BM$70)</f>
        <v>0</v>
      </c>
      <c r="CZ219" s="70">
        <f>IF(CW219&gt;0,1,0)*$A$64</f>
        <v>0</v>
      </c>
      <c r="DA219" s="679">
        <f>CW219*$BK$70</f>
        <v>0</v>
      </c>
      <c r="DB219" s="680"/>
      <c r="DC219" s="689"/>
      <c r="DD219" s="690"/>
      <c r="DE219" s="83"/>
      <c r="DF219" s="691"/>
      <c r="DG219" s="692"/>
      <c r="DH219" s="83"/>
      <c r="DI219" s="691"/>
      <c r="DJ219" s="692"/>
      <c r="DP219" s="116"/>
      <c r="DQ219" s="51"/>
      <c r="DR219"/>
      <c r="DS219"/>
      <c r="DT219"/>
      <c r="DV219"/>
      <c r="DW219"/>
      <c r="DX219"/>
      <c r="DY219"/>
    </row>
    <row r="220" spans="1:129" ht="13.5" thickBot="1" x14ac:dyDescent="0.25">
      <c r="B220"/>
      <c r="C220" s="25"/>
      <c r="D220" s="87"/>
      <c r="E220" s="170"/>
      <c r="F220" s="170"/>
      <c r="G220" s="92"/>
      <c r="H220" s="87">
        <f>LARGE(I220:R220,1)</f>
        <v>0</v>
      </c>
      <c r="I220" s="298">
        <f>LARGE(H188:H219,1)</f>
        <v>0</v>
      </c>
      <c r="J220" s="35"/>
      <c r="K220" s="87"/>
      <c r="L220" s="35"/>
      <c r="M220" s="35"/>
      <c r="N220" s="87"/>
      <c r="O220" s="35"/>
      <c r="P220" s="35"/>
      <c r="Q220" s="87"/>
      <c r="R220" s="170">
        <f>LARGE(R188:R219,1)</f>
        <v>0</v>
      </c>
      <c r="S220" s="35"/>
      <c r="T220" s="87"/>
      <c r="U220" s="170"/>
      <c r="V220" s="170"/>
      <c r="W220" s="170"/>
      <c r="X220" s="170"/>
      <c r="Y220" s="92"/>
      <c r="Z220" s="87">
        <f>LARGE(AA220:AJ220,1)</f>
        <v>0</v>
      </c>
      <c r="AA220" s="298">
        <f>LARGE(Z188:Z219,1)</f>
        <v>0</v>
      </c>
      <c r="AB220" s="35"/>
      <c r="AC220" s="87"/>
      <c r="AD220" s="35"/>
      <c r="AE220" s="35"/>
      <c r="AF220" s="87"/>
      <c r="AG220" s="35"/>
      <c r="AH220" s="35"/>
      <c r="AI220" s="87"/>
      <c r="AJ220" s="170">
        <f>LARGE(AJ188:AJ219,1)</f>
        <v>0</v>
      </c>
      <c r="AK220" s="35"/>
      <c r="AL220" s="87"/>
      <c r="AT220" s="25"/>
      <c r="AU220" s="87"/>
      <c r="AV220" s="170"/>
      <c r="AW220" s="170"/>
      <c r="AX220" s="92"/>
      <c r="AY220" s="87">
        <f>LARGE(AZ220:BI220,1)</f>
        <v>0</v>
      </c>
      <c r="AZ220" s="298">
        <f>LARGE(AY188:AY219,1)</f>
        <v>0</v>
      </c>
      <c r="BA220" s="35"/>
      <c r="BB220" s="87"/>
      <c r="BC220" s="35"/>
      <c r="BD220" s="35"/>
      <c r="BE220" s="87"/>
      <c r="BF220" s="35"/>
      <c r="BG220" s="35"/>
      <c r="BH220" s="87"/>
      <c r="BI220" s="170">
        <f>LARGE(BI188:BI219,1)</f>
        <v>0</v>
      </c>
      <c r="BJ220" s="35"/>
      <c r="BK220" s="87"/>
      <c r="BL220" s="170"/>
      <c r="BM220" s="170"/>
      <c r="BN220" s="87"/>
      <c r="BO220" s="35"/>
      <c r="BP220" s="35"/>
      <c r="BQ220" s="92"/>
      <c r="BR220" s="33"/>
      <c r="BS220" s="33"/>
      <c r="BY220" s="116"/>
      <c r="BZ220" s="51"/>
      <c r="CB220"/>
      <c r="CC220"/>
      <c r="CD220"/>
      <c r="CG220"/>
      <c r="CK220" s="25"/>
      <c r="CL220" s="87"/>
      <c r="CM220" s="170"/>
      <c r="CN220" s="170"/>
      <c r="CO220" s="92"/>
      <c r="CP220" s="87">
        <f>LARGE(CQ220:CZ220,1)</f>
        <v>0</v>
      </c>
      <c r="CQ220" s="298">
        <f>LARGE(CP188:CP219,1)</f>
        <v>0</v>
      </c>
      <c r="CR220" s="35"/>
      <c r="CS220" s="87"/>
      <c r="CT220" s="35"/>
      <c r="CU220" s="35"/>
      <c r="CV220" s="87"/>
      <c r="CW220" s="35"/>
      <c r="CX220" s="35"/>
      <c r="CY220" s="87"/>
      <c r="CZ220" s="170">
        <f>LARGE(CZ188:CZ219,1)</f>
        <v>0</v>
      </c>
      <c r="DA220" s="35"/>
      <c r="DB220" s="87"/>
      <c r="DC220" s="170"/>
      <c r="DD220" s="170"/>
      <c r="DE220" s="87"/>
      <c r="DF220" s="35"/>
      <c r="DG220" s="35"/>
      <c r="DH220" s="92"/>
      <c r="DI220" s="33"/>
      <c r="DJ220" s="33"/>
      <c r="DP220" s="116"/>
      <c r="DQ220" s="51"/>
      <c r="DR220"/>
      <c r="DS220"/>
      <c r="DT220"/>
      <c r="DV220"/>
      <c r="DW220"/>
      <c r="DX220"/>
      <c r="DY220"/>
    </row>
    <row r="221" spans="1:129" ht="13.5" thickBot="1" x14ac:dyDescent="0.25">
      <c r="G221" s="204">
        <f>SUM(G207:G219,G188:G204,$G$186,$F$166)*$B$162</f>
        <v>0</v>
      </c>
      <c r="H221" s="194"/>
      <c r="I221" s="194"/>
      <c r="J221" s="194"/>
      <c r="K221" s="194"/>
      <c r="L221" s="194"/>
      <c r="M221" s="194"/>
      <c r="N221" s="194"/>
      <c r="O221" s="194"/>
      <c r="P221" s="194"/>
      <c r="Q221" s="299">
        <f>SUM(Q207:Q219,Q188:Q204,$AE$168,$AJ$166,$AG$166,$AD$166,$AA$166,$X$166,$U$166,$R$166,$O$166,$L$166,$I$166,S186)</f>
        <v>0</v>
      </c>
      <c r="W221" s="88"/>
      <c r="Y221" s="204">
        <f>SUM(Y207:Y219,Y188:Y204,$G$186,$F$166)*$B$162</f>
        <v>0</v>
      </c>
      <c r="Z221" s="194"/>
      <c r="AA221" s="194"/>
      <c r="AB221" s="194"/>
      <c r="AC221" s="194"/>
      <c r="AD221" s="194"/>
      <c r="AE221" s="194"/>
      <c r="AF221" s="194"/>
      <c r="AG221" s="194"/>
      <c r="AH221" s="194"/>
      <c r="AI221" s="204">
        <f>SUM(AI207:AI219,AI188:AI204,$AE$168,$AJ$166,$AG$166,$AD$166,$AA$166,$X$166,$U$166,$R$166,$O$166,$L$166,$I$166,S186)</f>
        <v>0</v>
      </c>
      <c r="AS221" s="88"/>
      <c r="AV221" s="88"/>
      <c r="AX221" s="204">
        <f>SUM(AX207:AX219,AX188:AX204,AX186,AW166)*AS162</f>
        <v>0</v>
      </c>
      <c r="AY221" s="194"/>
      <c r="AZ221" s="194"/>
      <c r="BA221" s="194"/>
      <c r="BB221" s="194"/>
      <c r="BC221" s="194"/>
      <c r="BD221" s="194"/>
      <c r="BE221" s="194"/>
      <c r="BF221" s="194"/>
      <c r="BG221" s="194"/>
      <c r="BH221" s="299">
        <f>SUM(BH207:BH219,BH188:BH204,BV168,CA166,BX166,BU166,BR166,BO166,BL166,BI166,BF166,BC166,AZ166,BJ168:BJ185)</f>
        <v>0</v>
      </c>
      <c r="BJ221"/>
      <c r="CB221"/>
      <c r="CC221"/>
      <c r="CD221"/>
      <c r="CG221"/>
      <c r="CJ221" s="88"/>
      <c r="CM221" s="88"/>
      <c r="CO221" s="204">
        <f>SUM(CO207:CO219,CO188:CO204,CO186,CN166)*CJ162</f>
        <v>0</v>
      </c>
      <c r="CP221" s="194"/>
      <c r="CQ221" s="194"/>
      <c r="CR221" s="194"/>
      <c r="CS221" s="194"/>
      <c r="CT221" s="194"/>
      <c r="CU221" s="194"/>
      <c r="CV221" s="194"/>
      <c r="CW221" s="194"/>
      <c r="CX221" s="194"/>
      <c r="CY221" s="299">
        <f>SUM(CY207:CY219,CY188:CY204,DM168,DR166,DO166,DL166,DI166,DF166,DC166,CZ166,CW166,CT166,CQ166,DA168:DA185)</f>
        <v>0</v>
      </c>
      <c r="DP221"/>
      <c r="DQ221"/>
      <c r="DR221"/>
      <c r="DS221"/>
      <c r="DT221"/>
      <c r="DV221"/>
      <c r="DW221"/>
      <c r="DX221"/>
      <c r="DY221"/>
    </row>
    <row r="222" spans="1:129" ht="13.5" thickBot="1" x14ac:dyDescent="0.25">
      <c r="AS222" s="88"/>
      <c r="AV222" s="88"/>
      <c r="AY222" s="88"/>
      <c r="AZ222"/>
      <c r="BB222" s="88"/>
      <c r="BJ222"/>
      <c r="CB222"/>
      <c r="CC222"/>
      <c r="CD222"/>
      <c r="CG222"/>
      <c r="CJ222" s="88"/>
      <c r="CM222" s="88"/>
      <c r="CP222" s="88"/>
      <c r="CS222" s="88"/>
      <c r="DP222"/>
      <c r="DQ222"/>
      <c r="DR222"/>
      <c r="DS222"/>
      <c r="DT222"/>
      <c r="DV222"/>
      <c r="DW222"/>
      <c r="DX222"/>
      <c r="DY222"/>
    </row>
    <row r="223" spans="1:129" ht="12.75" customHeight="1" x14ac:dyDescent="0.2">
      <c r="A223" s="51"/>
      <c r="B223"/>
      <c r="C223" s="676" t="s">
        <v>1575</v>
      </c>
      <c r="D223" s="673" t="s">
        <v>102</v>
      </c>
      <c r="E223" s="698" t="s">
        <v>68</v>
      </c>
      <c r="F223" s="699"/>
      <c r="G223" s="708" t="s">
        <v>102</v>
      </c>
      <c r="H223" s="685" t="s">
        <v>115</v>
      </c>
      <c r="I223" s="686"/>
      <c r="J223" s="708" t="s">
        <v>102</v>
      </c>
      <c r="K223" s="685" t="s">
        <v>116</v>
      </c>
      <c r="L223" s="686"/>
      <c r="M223" s="673" t="s">
        <v>102</v>
      </c>
      <c r="N223" s="685" t="s">
        <v>117</v>
      </c>
      <c r="O223" s="686"/>
      <c r="P223" s="673" t="s">
        <v>102</v>
      </c>
      <c r="Q223" s="685" t="s">
        <v>1837</v>
      </c>
      <c r="R223" s="686"/>
      <c r="S223" s="673" t="s">
        <v>102</v>
      </c>
      <c r="T223" s="685" t="s">
        <v>119</v>
      </c>
      <c r="U223" s="686"/>
      <c r="V223" s="673" t="s">
        <v>102</v>
      </c>
      <c r="W223" s="685" t="s">
        <v>120</v>
      </c>
      <c r="X223" s="686"/>
      <c r="Y223" s="673" t="s">
        <v>102</v>
      </c>
      <c r="Z223" s="685" t="s">
        <v>121</v>
      </c>
      <c r="AA223" s="686"/>
      <c r="AB223" s="673" t="s">
        <v>102</v>
      </c>
      <c r="AC223" s="698" t="s">
        <v>122</v>
      </c>
      <c r="AD223" s="699"/>
      <c r="AE223" s="673" t="s">
        <v>102</v>
      </c>
      <c r="AF223" s="685" t="s">
        <v>123</v>
      </c>
      <c r="AG223" s="686"/>
      <c r="AH223" s="673" t="s">
        <v>102</v>
      </c>
      <c r="AI223" s="685" t="s">
        <v>69</v>
      </c>
      <c r="AJ223" s="686"/>
      <c r="AL223" s="51"/>
      <c r="AM223" s="697"/>
      <c r="AN223" s="697"/>
      <c r="AO223" s="697"/>
      <c r="AP223" s="697"/>
      <c r="AQ223" s="697"/>
      <c r="AR223" s="51"/>
      <c r="AT223" s="676" t="s">
        <v>1576</v>
      </c>
      <c r="AU223" s="673" t="s">
        <v>102</v>
      </c>
      <c r="AV223" s="698" t="s">
        <v>68</v>
      </c>
      <c r="AW223" s="699"/>
      <c r="AX223" s="708" t="s">
        <v>102</v>
      </c>
      <c r="AY223" s="685" t="s">
        <v>115</v>
      </c>
      <c r="AZ223" s="686"/>
      <c r="BA223" s="708" t="s">
        <v>102</v>
      </c>
      <c r="BB223" s="685" t="s">
        <v>116</v>
      </c>
      <c r="BC223" s="686"/>
      <c r="BD223" s="673" t="s">
        <v>102</v>
      </c>
      <c r="BE223" s="685" t="s">
        <v>117</v>
      </c>
      <c r="BF223" s="686"/>
      <c r="BG223" s="673" t="s">
        <v>102</v>
      </c>
      <c r="BH223" s="685" t="s">
        <v>1837</v>
      </c>
      <c r="BI223" s="686"/>
      <c r="BJ223" s="673" t="s">
        <v>102</v>
      </c>
      <c r="BK223" s="685" t="s">
        <v>119</v>
      </c>
      <c r="BL223" s="686"/>
      <c r="BM223" s="673" t="s">
        <v>102</v>
      </c>
      <c r="BN223" s="685" t="s">
        <v>120</v>
      </c>
      <c r="BO223" s="686"/>
      <c r="BP223" s="673" t="s">
        <v>102</v>
      </c>
      <c r="BQ223" s="685" t="s">
        <v>121</v>
      </c>
      <c r="BR223" s="686"/>
      <c r="BS223" s="673" t="s">
        <v>102</v>
      </c>
      <c r="BT223" s="698" t="s">
        <v>122</v>
      </c>
      <c r="BU223" s="699"/>
      <c r="BV223" s="673" t="s">
        <v>102</v>
      </c>
      <c r="BW223" s="685" t="s">
        <v>123</v>
      </c>
      <c r="BX223" s="686"/>
      <c r="BY223" s="673" t="s">
        <v>102</v>
      </c>
      <c r="BZ223" s="685" t="s">
        <v>69</v>
      </c>
      <c r="CA223" s="686"/>
      <c r="CB223"/>
      <c r="CC223" s="51"/>
      <c r="CD223" s="697"/>
      <c r="CE223" s="697"/>
      <c r="CF223" s="697"/>
      <c r="CG223" s="697"/>
      <c r="CH223" s="697"/>
      <c r="CI223" s="51"/>
      <c r="CK223" s="676" t="s">
        <v>1577</v>
      </c>
      <c r="CL223" s="673" t="s">
        <v>102</v>
      </c>
      <c r="CM223" s="698" t="s">
        <v>68</v>
      </c>
      <c r="CN223" s="699"/>
      <c r="CO223" s="708" t="s">
        <v>102</v>
      </c>
      <c r="CP223" s="685" t="s">
        <v>115</v>
      </c>
      <c r="CQ223" s="686"/>
      <c r="CR223" s="708" t="s">
        <v>102</v>
      </c>
      <c r="CS223" s="685" t="s">
        <v>116</v>
      </c>
      <c r="CT223" s="686"/>
      <c r="CU223" s="673" t="s">
        <v>102</v>
      </c>
      <c r="CV223" s="685" t="s">
        <v>117</v>
      </c>
      <c r="CW223" s="686"/>
      <c r="CX223" s="673" t="s">
        <v>102</v>
      </c>
      <c r="CY223" s="685" t="s">
        <v>1837</v>
      </c>
      <c r="CZ223" s="686"/>
      <c r="DA223" s="673" t="s">
        <v>102</v>
      </c>
      <c r="DB223" s="685" t="s">
        <v>119</v>
      </c>
      <c r="DC223" s="686"/>
      <c r="DD223" s="673" t="s">
        <v>102</v>
      </c>
      <c r="DE223" s="685" t="s">
        <v>120</v>
      </c>
      <c r="DF223" s="686"/>
      <c r="DG223" s="673" t="s">
        <v>102</v>
      </c>
      <c r="DH223" s="685" t="s">
        <v>121</v>
      </c>
      <c r="DI223" s="686"/>
      <c r="DJ223" s="673" t="s">
        <v>102</v>
      </c>
      <c r="DK223" s="698" t="s">
        <v>122</v>
      </c>
      <c r="DL223" s="699"/>
      <c r="DM223" s="673" t="s">
        <v>102</v>
      </c>
      <c r="DN223" s="685" t="s">
        <v>123</v>
      </c>
      <c r="DO223" s="686"/>
      <c r="DP223" s="673" t="s">
        <v>102</v>
      </c>
      <c r="DQ223" s="685" t="s">
        <v>69</v>
      </c>
      <c r="DR223" s="686"/>
      <c r="DS223"/>
      <c r="DT223" s="51"/>
      <c r="DU223" s="697"/>
      <c r="DV223" s="697"/>
      <c r="DW223" s="697"/>
      <c r="DX223" s="697"/>
      <c r="DY223" s="697"/>
    </row>
    <row r="224" spans="1:129" ht="13.5" thickBot="1" x14ac:dyDescent="0.25">
      <c r="A224" s="51"/>
      <c r="B224" s="98">
        <f>VLOOKUP(SUM($B$1,$E$1,$H$1,$K$1,$N$1,$Q$1,$T$1,$W$1),SIMULTANEIDADE!$B$3:$D$41,3,TRUE)</f>
        <v>1</v>
      </c>
      <c r="C224" s="677"/>
      <c r="D224" s="674"/>
      <c r="E224" s="700"/>
      <c r="F224" s="701"/>
      <c r="G224" s="709"/>
      <c r="H224" s="687"/>
      <c r="I224" s="688"/>
      <c r="J224" s="709"/>
      <c r="K224" s="687"/>
      <c r="L224" s="688"/>
      <c r="M224" s="674"/>
      <c r="N224" s="687"/>
      <c r="O224" s="688"/>
      <c r="P224" s="674"/>
      <c r="Q224" s="687"/>
      <c r="R224" s="688"/>
      <c r="S224" s="674"/>
      <c r="T224" s="687"/>
      <c r="U224" s="688"/>
      <c r="V224" s="674"/>
      <c r="W224" s="687"/>
      <c r="X224" s="688"/>
      <c r="Y224" s="674"/>
      <c r="Z224" s="687"/>
      <c r="AA224" s="688"/>
      <c r="AB224" s="674"/>
      <c r="AC224" s="700"/>
      <c r="AD224" s="701"/>
      <c r="AE224" s="674"/>
      <c r="AF224" s="687"/>
      <c r="AG224" s="688"/>
      <c r="AH224" s="674"/>
      <c r="AI224" s="687"/>
      <c r="AJ224" s="688"/>
      <c r="AK224" s="190"/>
      <c r="AM224" s="696"/>
      <c r="AN224" s="696"/>
      <c r="AO224" s="696"/>
      <c r="AP224" s="696"/>
      <c r="AQ224" s="696"/>
      <c r="AR224" s="51"/>
      <c r="AS224">
        <v>1</v>
      </c>
      <c r="AT224" s="677"/>
      <c r="AU224" s="674"/>
      <c r="AV224" s="700"/>
      <c r="AW224" s="701"/>
      <c r="AX224" s="709"/>
      <c r="AY224" s="687"/>
      <c r="AZ224" s="688"/>
      <c r="BA224" s="709"/>
      <c r="BB224" s="687"/>
      <c r="BC224" s="688"/>
      <c r="BD224" s="674"/>
      <c r="BE224" s="687"/>
      <c r="BF224" s="688"/>
      <c r="BG224" s="674"/>
      <c r="BH224" s="687"/>
      <c r="BI224" s="688"/>
      <c r="BJ224" s="674"/>
      <c r="BK224" s="687"/>
      <c r="BL224" s="688"/>
      <c r="BM224" s="674"/>
      <c r="BN224" s="687"/>
      <c r="BO224" s="688"/>
      <c r="BP224" s="674"/>
      <c r="BQ224" s="687"/>
      <c r="BR224" s="688"/>
      <c r="BS224" s="674"/>
      <c r="BT224" s="700"/>
      <c r="BU224" s="701"/>
      <c r="BV224" s="674"/>
      <c r="BW224" s="687"/>
      <c r="BX224" s="688"/>
      <c r="BY224" s="674"/>
      <c r="BZ224" s="687"/>
      <c r="CA224" s="688"/>
      <c r="CB224" s="190"/>
      <c r="CC224"/>
      <c r="CD224" s="696"/>
      <c r="CE224" s="696"/>
      <c r="CF224" s="696"/>
      <c r="CG224" s="696"/>
      <c r="CH224" s="696"/>
      <c r="CI224" s="51"/>
      <c r="CJ224">
        <v>1</v>
      </c>
      <c r="CK224" s="677"/>
      <c r="CL224" s="674"/>
      <c r="CM224" s="700"/>
      <c r="CN224" s="701"/>
      <c r="CO224" s="709"/>
      <c r="CP224" s="687"/>
      <c r="CQ224" s="688"/>
      <c r="CR224" s="709"/>
      <c r="CS224" s="687"/>
      <c r="CT224" s="688"/>
      <c r="CU224" s="674"/>
      <c r="CV224" s="687"/>
      <c r="CW224" s="688"/>
      <c r="CX224" s="674"/>
      <c r="CY224" s="687"/>
      <c r="CZ224" s="688"/>
      <c r="DA224" s="674"/>
      <c r="DB224" s="687"/>
      <c r="DC224" s="688"/>
      <c r="DD224" s="674"/>
      <c r="DE224" s="687"/>
      <c r="DF224" s="688"/>
      <c r="DG224" s="674"/>
      <c r="DH224" s="687"/>
      <c r="DI224" s="688"/>
      <c r="DJ224" s="674"/>
      <c r="DK224" s="700"/>
      <c r="DL224" s="701"/>
      <c r="DM224" s="674"/>
      <c r="DN224" s="687"/>
      <c r="DO224" s="688"/>
      <c r="DP224" s="674"/>
      <c r="DQ224" s="687"/>
      <c r="DR224" s="688"/>
      <c r="DS224" s="190"/>
      <c r="DT224"/>
      <c r="DU224" s="696"/>
      <c r="DV224" s="696"/>
      <c r="DW224" s="696"/>
      <c r="DX224" s="696"/>
      <c r="DY224" s="696"/>
    </row>
    <row r="225" spans="1:129" ht="13.5" thickBot="1" x14ac:dyDescent="0.25">
      <c r="B225"/>
      <c r="C225" s="678"/>
      <c r="D225" s="675"/>
      <c r="E225" s="704"/>
      <c r="F225" s="705"/>
      <c r="G225" s="710"/>
      <c r="H225" s="706"/>
      <c r="I225" s="707"/>
      <c r="J225" s="710"/>
      <c r="K225" s="683"/>
      <c r="L225" s="684"/>
      <c r="M225" s="675"/>
      <c r="N225" s="683"/>
      <c r="O225" s="684"/>
      <c r="P225" s="675"/>
      <c r="Q225" s="683"/>
      <c r="R225" s="684"/>
      <c r="S225" s="675"/>
      <c r="T225" s="683"/>
      <c r="U225" s="684"/>
      <c r="V225" s="675"/>
      <c r="W225" s="683"/>
      <c r="X225" s="684"/>
      <c r="Y225" s="675"/>
      <c r="Z225" s="683"/>
      <c r="AA225" s="684"/>
      <c r="AB225" s="675"/>
      <c r="AC225" s="702"/>
      <c r="AD225" s="703"/>
      <c r="AE225" s="675"/>
      <c r="AF225" s="683"/>
      <c r="AG225" s="684"/>
      <c r="AH225" s="675"/>
      <c r="AI225" s="683"/>
      <c r="AJ225" s="684"/>
      <c r="AK225" s="191"/>
      <c r="AM225" s="20"/>
      <c r="AN225" s="20"/>
      <c r="AO225" s="20"/>
      <c r="AP225" s="72"/>
      <c r="AQ225" s="72"/>
      <c r="AT225" s="678"/>
      <c r="AU225" s="675"/>
      <c r="AV225" s="704"/>
      <c r="AW225" s="705"/>
      <c r="AX225" s="710"/>
      <c r="AY225" s="706"/>
      <c r="AZ225" s="707"/>
      <c r="BA225" s="710"/>
      <c r="BB225" s="683"/>
      <c r="BC225" s="684"/>
      <c r="BD225" s="675"/>
      <c r="BE225" s="683"/>
      <c r="BF225" s="684"/>
      <c r="BG225" s="675"/>
      <c r="BH225" s="683"/>
      <c r="BI225" s="684"/>
      <c r="BJ225" s="675"/>
      <c r="BK225" s="683"/>
      <c r="BL225" s="684"/>
      <c r="BM225" s="675"/>
      <c r="BN225" s="683"/>
      <c r="BO225" s="684"/>
      <c r="BP225" s="675"/>
      <c r="BQ225" s="683"/>
      <c r="BR225" s="684"/>
      <c r="BS225" s="675"/>
      <c r="BT225" s="702"/>
      <c r="BU225" s="703"/>
      <c r="BV225" s="675"/>
      <c r="BW225" s="683"/>
      <c r="BX225" s="684"/>
      <c r="BY225" s="675"/>
      <c r="BZ225" s="683"/>
      <c r="CA225" s="684"/>
      <c r="CB225" s="191"/>
      <c r="CC225"/>
      <c r="CD225" s="20"/>
      <c r="CE225" s="20"/>
      <c r="CF225" s="20"/>
      <c r="CG225" s="72"/>
      <c r="CH225" s="72"/>
      <c r="CK225" s="678"/>
      <c r="CL225" s="675"/>
      <c r="CM225" s="704"/>
      <c r="CN225" s="705"/>
      <c r="CO225" s="710"/>
      <c r="CP225" s="706"/>
      <c r="CQ225" s="707"/>
      <c r="CR225" s="710"/>
      <c r="CS225" s="683"/>
      <c r="CT225" s="684"/>
      <c r="CU225" s="675"/>
      <c r="CV225" s="683"/>
      <c r="CW225" s="684"/>
      <c r="CX225" s="675"/>
      <c r="CY225" s="683"/>
      <c r="CZ225" s="684"/>
      <c r="DA225" s="675"/>
      <c r="DB225" s="683"/>
      <c r="DC225" s="684"/>
      <c r="DD225" s="675"/>
      <c r="DE225" s="683"/>
      <c r="DF225" s="684"/>
      <c r="DG225" s="675"/>
      <c r="DH225" s="683"/>
      <c r="DI225" s="684"/>
      <c r="DJ225" s="675"/>
      <c r="DK225" s="702"/>
      <c r="DL225" s="703"/>
      <c r="DM225" s="675"/>
      <c r="DN225" s="683"/>
      <c r="DO225" s="684"/>
      <c r="DP225" s="675"/>
      <c r="DQ225" s="683"/>
      <c r="DR225" s="684"/>
      <c r="DS225" s="191"/>
      <c r="DT225"/>
      <c r="DU225" s="20"/>
      <c r="DV225" s="20"/>
      <c r="DW225" s="20"/>
      <c r="DX225" s="72"/>
      <c r="DY225" s="72"/>
    </row>
    <row r="226" spans="1:129" x14ac:dyDescent="0.2">
      <c r="A226" s="51"/>
      <c r="B226"/>
      <c r="C226" s="27" t="s">
        <v>39</v>
      </c>
      <c r="D226" s="93"/>
      <c r="E226" s="681">
        <f>SUM(IF(OR($C$1=DX1,C1="Flat"),$C$4,0),IF(OR($F$1=DX1,F1="Flat"),$F$4,0),IF(OR($I$1=DX1,I1="Flat"),$I$4,0),IF(OR($L$1=DX1,L1="Flat"),$L$4,0),IF(OR($O$1=DX1,O1="Flat"),$O$4,0),IF(OR($R$1=DX1,R1="Flat"),$R$4,0),IF(OR($U$1=DX1,U1="Flat"),$U$4,0),IF(OR($X$1=DX1,X1="Flat"),$X$4,0))</f>
        <v>0</v>
      </c>
      <c r="F226" s="682"/>
      <c r="G226" s="93"/>
      <c r="H226" s="689"/>
      <c r="I226" s="690"/>
      <c r="J226" s="93"/>
      <c r="K226" s="681"/>
      <c r="L226" s="682"/>
      <c r="M226" s="93"/>
      <c r="N226" s="681"/>
      <c r="O226" s="682"/>
      <c r="P226" s="93"/>
      <c r="Q226" s="681"/>
      <c r="R226" s="682"/>
      <c r="S226" s="93"/>
      <c r="T226" s="681"/>
      <c r="U226" s="682"/>
      <c r="V226" s="93"/>
      <c r="W226" s="681"/>
      <c r="X226" s="682"/>
      <c r="Y226" s="93"/>
      <c r="Z226" s="681"/>
      <c r="AA226" s="682"/>
      <c r="AB226" s="93"/>
      <c r="AC226" s="681"/>
      <c r="AD226" s="682"/>
      <c r="AE226" s="93"/>
      <c r="AF226" s="681"/>
      <c r="AG226" s="682"/>
      <c r="AH226" s="93"/>
      <c r="AI226" s="681">
        <f>SUM(IF($C$1=FB1,$C$4,0),IF($F$1=FB1,$F$4,0),IF($I$1=FB1,$I$4,0),IF($L$1=FB1,$L$4,0),IF($O$1=FB1,$O$4,0),IF($R$1=FB1,$R$4,0),IF($U$1=FB1,$U$4,0),IF($X$1=FB1,$X$4,0))</f>
        <v>0</v>
      </c>
      <c r="AJ226" s="682"/>
      <c r="AK226" s="170"/>
      <c r="AM226" s="51"/>
      <c r="AN226" s="70"/>
      <c r="AO226" s="51"/>
      <c r="AP226" s="51"/>
      <c r="AQ226" s="51"/>
      <c r="AR226" s="51"/>
      <c r="AT226" s="27" t="s">
        <v>39</v>
      </c>
      <c r="AU226" s="93"/>
      <c r="AV226" s="681">
        <f>SUM(IF(OR($O$1=$DX$1,O1="Flat"),$O$4,0),IF(OR($R$1=$DX$1,R1="Flat"),$R$4,0))</f>
        <v>0</v>
      </c>
      <c r="AW226" s="682"/>
      <c r="AX226" s="93"/>
      <c r="AY226" s="689"/>
      <c r="AZ226" s="690"/>
      <c r="BA226" s="93"/>
      <c r="BB226" s="681"/>
      <c r="BC226" s="682"/>
      <c r="BD226" s="93"/>
      <c r="BE226" s="681"/>
      <c r="BF226" s="682"/>
      <c r="BG226" s="93"/>
      <c r="BH226" s="681"/>
      <c r="BI226" s="682"/>
      <c r="BJ226" s="93"/>
      <c r="BK226" s="681"/>
      <c r="BL226" s="682"/>
      <c r="BM226" s="93"/>
      <c r="BN226" s="681"/>
      <c r="BO226" s="682"/>
      <c r="BP226" s="93"/>
      <c r="BQ226" s="681"/>
      <c r="BR226" s="682"/>
      <c r="BS226" s="93"/>
      <c r="BT226" s="681"/>
      <c r="BU226" s="682"/>
      <c r="BV226" s="93"/>
      <c r="BW226" s="681"/>
      <c r="BX226" s="682"/>
      <c r="BY226" s="93"/>
      <c r="BZ226" s="681">
        <f>SUM(IF($O$1=$FB$1,$O$4,0),IF($R$1=$FB$1,$R$4,0))</f>
        <v>0</v>
      </c>
      <c r="CA226" s="682"/>
      <c r="CB226" s="170"/>
      <c r="CC226"/>
      <c r="CD226" s="51"/>
      <c r="CE226" s="70"/>
      <c r="CF226" s="51"/>
      <c r="CG226" s="51"/>
      <c r="CH226" s="51"/>
      <c r="CI226" s="51"/>
      <c r="CK226" s="27" t="s">
        <v>39</v>
      </c>
      <c r="CL226" s="93"/>
      <c r="CM226" s="681">
        <f>SUM(IF(OR($U$1=$DX$1,U1="Flat"),$U$4,0),IF(OR($X$1=$DX$1,X1="Flat"),$X$4,0))</f>
        <v>0</v>
      </c>
      <c r="CN226" s="682"/>
      <c r="CO226" s="93"/>
      <c r="CP226" s="689"/>
      <c r="CQ226" s="690"/>
      <c r="CR226" s="93"/>
      <c r="CS226" s="681"/>
      <c r="CT226" s="682"/>
      <c r="CU226" s="93"/>
      <c r="CV226" s="681"/>
      <c r="CW226" s="682"/>
      <c r="CX226" s="93"/>
      <c r="CY226" s="681"/>
      <c r="CZ226" s="682"/>
      <c r="DA226" s="93"/>
      <c r="DB226" s="681"/>
      <c r="DC226" s="682"/>
      <c r="DD226" s="93"/>
      <c r="DE226" s="681"/>
      <c r="DF226" s="682"/>
      <c r="DG226" s="93"/>
      <c r="DH226" s="681"/>
      <c r="DI226" s="682"/>
      <c r="DJ226" s="93"/>
      <c r="DK226" s="681"/>
      <c r="DL226" s="682"/>
      <c r="DM226" s="93"/>
      <c r="DN226" s="681"/>
      <c r="DO226" s="682"/>
      <c r="DP226" s="93"/>
      <c r="DQ226" s="681">
        <f>SUM(IF($U$1=$FB$1,$U$4,0),IF($X$1=$FB$1,$X$4,0))</f>
        <v>0</v>
      </c>
      <c r="DR226" s="682"/>
      <c r="DS226" s="170"/>
      <c r="DT226"/>
      <c r="DU226" s="51"/>
      <c r="DV226" s="70"/>
      <c r="DW226" s="51"/>
      <c r="DX226" s="51"/>
      <c r="DY226" s="51"/>
    </row>
    <row r="227" spans="1:129" x14ac:dyDescent="0.2">
      <c r="A227" s="681"/>
      <c r="B227" s="682"/>
      <c r="C227" s="27" t="s">
        <v>168</v>
      </c>
      <c r="D227" s="83"/>
      <c r="E227" s="681"/>
      <c r="F227" s="682"/>
      <c r="G227" s="83"/>
      <c r="H227" s="681">
        <f>SUM(IF($C$1=H223,$AR$5:$AR$10,0),IF($F$1=H223,$AT$5:$AT$10,0),IF($I$1=H223,$AV$5:$AV$10,0),IF($L$1=H223,$AX$5:$AX$10,0),IF($O$1=H223,$AZ$5:$AZ$10,0),IF($R$1=H223,$BB$5:$BB$10,0),IF($U$1=H223,$BD$5:$BD$10,0),IF($X$1=H223,$BF$5:$BF$10,0))</f>
        <v>0</v>
      </c>
      <c r="I227" s="682"/>
      <c r="J227" s="83"/>
      <c r="K227" s="681">
        <f>SUM(IF($C$1=K223,$AR$5:$AR$10,0),IF($F$1=K223,$AT$5:$AT$10,0),IF($I$1=K223,$AV$5:$AV$10,0),IF($L$1=K223,$AX$5:$AX$10,0),IF($O$1=K223,$AZ$5:$AZ$10,0),IF($R$1=K223,$BB$5:$BB$10,0),IF($U$1=K223,$BD$5:$BD$10,0),IF($X$1=K223,$BF$5:$BF$10,0))</f>
        <v>0</v>
      </c>
      <c r="L227" s="682"/>
      <c r="M227" s="83"/>
      <c r="N227" s="681">
        <f>SUM(IF($C$1=N223,$AR$5:$AR$10,0),IF($F$1=N223,$AT$5:$AT$10,0),IF($I$1=N223,$AV$5:$AV$10,0),IF($L$1=N223,$AX$5:$AX$10,0),IF($O$1=N223,$AZ$5:$AZ$10,0),IF($R$1=N223,$BB$5:$BB$10,0),IF($U$1=N223,$BD$5:$BD$10,0),IF($X$1=N223,$BF$5:$BF$10,0))</f>
        <v>0</v>
      </c>
      <c r="O227" s="682"/>
      <c r="P227" s="83"/>
      <c r="Q227" s="681">
        <f>SUM(IF($C$1=Q223,$AR$5:$AR$10,0),IF($F$1=Q223,$AT$5:$AT$10,0),IF($I$1=Q223,$AV$5:$AV$10,0),IF($L$1=Q223,$AX$5:$AX$10,0),IF($O$1=Q223,$AZ$5:$AZ$10,0),IF($R$1=Q223,$BB$5:$BB$10,0),IF($U$1=Q223,$BD$5:$BD$10,0),IF($X$1=Q223,$BF$5:$BF$10,0))</f>
        <v>0</v>
      </c>
      <c r="R227" s="682"/>
      <c r="S227" s="83"/>
      <c r="T227" s="681">
        <f>SUM(IF($C$1=T223,$AR$5:$AR$10,0),IF($F$1=T223,$AT$5:$AT$10,0),IF($I$1=T223,$AV$5:$AV$10,0),IF($L$1=T223,$AX$5:$AX$10,0),IF($O$1=T223,$AZ$5:$AZ$10,0),IF($R$1=T223,$BB$5:$BB$10,0),IF($U$1=T223,$BD$5:$BD$10,0),IF($X$1=T223,$BF$5:$BF$10,0))</f>
        <v>0</v>
      </c>
      <c r="U227" s="682"/>
      <c r="V227" s="83"/>
      <c r="W227" s="681">
        <f>SUM(IF($C$1=W223,$AR$5:$AR$10,0),IF($F$1=W223,$AT$5:$AT$10,0),IF($I$1=W223,$AV$5:$AV$10,0),IF($L$1=W223,$AX$5:$AX$10,0),IF($O$1=W223,$AZ$5:$AZ$10,0),IF($R$1=W223,$BB$5:$BB$10,0),IF($U$1=W223,$BD$5:$BD$10,0),IF($X$1=W223,$BF$5:$BF$10,0))</f>
        <v>0</v>
      </c>
      <c r="X227" s="682"/>
      <c r="Y227" s="83"/>
      <c r="Z227" s="681">
        <f>SUM(IF($C$1=Z223,$AR$5:$AR$10,0),IF($F$1=Z223,$AT$5:$AT$10,0),IF($I$1=Z223,$AV$5:$AV$10,0),IF($L$1=Z223,$AX$5:$AX$10,0),IF($O$1=Z223,$AZ$5:$AZ$10,0),IF($R$1=Z223,$BB$5:$BB$10,0),IF($U$1=Z223,$BD$5:$BD$10,0),IF($X$1=Z223,$BF$5:$BF$10,0))</f>
        <v>0</v>
      </c>
      <c r="AA227" s="682"/>
      <c r="AB227" s="83"/>
      <c r="AC227" s="681">
        <f>SUM(IF($C$1=AC223,$AR$5:$AR$10,0),IF($F$1=AC223,$AT$5:$AT$10,0),IF($I$1=AC223,$AV$5:$AV$10,0),IF($L$1=AC223,$AX$5:$AX$10,0),IF($O$1=AC223,$AZ$5:$AZ$10,0),IF($R$1=AC223,$BB$5:$BB$10,0),IF($U$1=AC223,$BD$5:$BD$10,0),IF($X$1=AC223,$BF$5:$BF$10,0))</f>
        <v>0</v>
      </c>
      <c r="AD227" s="682"/>
      <c r="AE227" s="83"/>
      <c r="AF227" s="681">
        <f>SUM(IF($C$1=AF223,$AR$5:$AR$10,0),IF($F$1=AF223,$AT$5:$AT$10,0),IF($I$1=AF223,$AV$5:$AV$10,0),IF($L$1=AF223,$AX$5:$AX$10,0),IF($O$1=AF223,$AZ$5:$AZ$10,0),IF($R$1=AF223,$BB$5:$BB$10,0),IF($U$1=AF223,$BD$5:$BD$10,0),IF($X$1=AF223,$BF$5:$BF$10,0))</f>
        <v>0</v>
      </c>
      <c r="AG227" s="682"/>
      <c r="AH227" s="83"/>
      <c r="AI227" s="681"/>
      <c r="AJ227" s="682"/>
      <c r="AK227" s="681"/>
      <c r="AL227" s="682"/>
      <c r="AM227" s="697" t="s">
        <v>124</v>
      </c>
      <c r="AN227" s="697"/>
      <c r="AO227" s="697"/>
      <c r="AP227" s="697"/>
      <c r="AQ227" s="697"/>
      <c r="AR227" s="681"/>
      <c r="AS227" s="682"/>
      <c r="AT227" s="27" t="s">
        <v>168</v>
      </c>
      <c r="AU227" s="83"/>
      <c r="AV227" s="681"/>
      <c r="AW227" s="682"/>
      <c r="AX227" s="83"/>
      <c r="AY227" s="681">
        <f>SUM(IF($O$1=AY223,$AZ$5:$AZ$10,0),IF($R$1=AY223,$BB$5:$BB$10,0))</f>
        <v>0</v>
      </c>
      <c r="AZ227" s="682"/>
      <c r="BA227" s="83"/>
      <c r="BB227" s="681">
        <f>SUM(IF($O$1=BB223,$AZ$5:$AZ$10,0),IF($R$1=BB223,$BB$5:$BB$10,0))</f>
        <v>0</v>
      </c>
      <c r="BC227" s="682"/>
      <c r="BD227" s="83"/>
      <c r="BE227" s="681">
        <f>SUM(IF($O$1=BE223,$AZ$5:$AZ$10,0),IF($R$1=BE223,$BB$5:$BB$10,0))</f>
        <v>0</v>
      </c>
      <c r="BF227" s="682"/>
      <c r="BG227" s="83"/>
      <c r="BH227" s="681">
        <f>SUM(IF($O$1=BH223,$AZ$5:$AZ$10,0),IF($R$1=BH223,$BB$5:$BB$10,0))</f>
        <v>0</v>
      </c>
      <c r="BI227" s="682"/>
      <c r="BJ227" s="83"/>
      <c r="BK227" s="681">
        <f>SUM(IF($O$1=BK223,$AZ$5:$AZ$10,0),IF($R$1=BK223,$BB$5:$BB$10,0))</f>
        <v>0</v>
      </c>
      <c r="BL227" s="682"/>
      <c r="BM227" s="83"/>
      <c r="BN227" s="681">
        <f>SUM(IF($O$1=BN223,$AZ$5:$AZ$10,0),IF($R$1=BN223,$BB$5:$BB$10,0))</f>
        <v>0</v>
      </c>
      <c r="BO227" s="682"/>
      <c r="BP227" s="83"/>
      <c r="BQ227" s="681">
        <f>SUM(IF($O$1=BQ223,$AZ$5:$AZ$10,0),IF($R$1=BQ223,$BB$5:$BB$10,0))</f>
        <v>0</v>
      </c>
      <c r="BR227" s="682"/>
      <c r="BS227" s="83"/>
      <c r="BT227" s="681">
        <f>SUM(IF($O$1=BT223,$AZ$5:$AZ$10,0),IF($R$1=BT223,$BB$5:$BB$10,0))</f>
        <v>0</v>
      </c>
      <c r="BU227" s="682"/>
      <c r="BV227" s="83"/>
      <c r="BW227" s="681">
        <f>SUM(IF($O$1=BW223,$AZ$5:$AZ$10,0),IF($R$1=BW223,$BB$5:$BB$10,0))</f>
        <v>0</v>
      </c>
      <c r="BX227" s="682"/>
      <c r="BY227" s="83"/>
      <c r="BZ227" s="681"/>
      <c r="CA227" s="682"/>
      <c r="CB227" s="681"/>
      <c r="CC227" s="682"/>
      <c r="CD227" s="697" t="s">
        <v>124</v>
      </c>
      <c r="CE227" s="697"/>
      <c r="CF227" s="697"/>
      <c r="CG227" s="697"/>
      <c r="CH227" s="697"/>
      <c r="CI227" s="681"/>
      <c r="CJ227" s="682"/>
      <c r="CK227" s="27" t="s">
        <v>168</v>
      </c>
      <c r="CL227" s="83"/>
      <c r="CM227" s="681"/>
      <c r="CN227" s="682"/>
      <c r="CO227" s="83"/>
      <c r="CP227" s="681">
        <f>SUM(IF($U$1=CP223,$BD$5:$BD$10,0),IF($X$1=CP223,$BF$5:$BF$10,0))</f>
        <v>0</v>
      </c>
      <c r="CQ227" s="682"/>
      <c r="CR227" s="83"/>
      <c r="CS227" s="681">
        <f>SUM(IF($U$1=CS223,$BD$5:$BD$10,0),IF($X$1=CS223,$BF$5:$BF$10,0))</f>
        <v>0</v>
      </c>
      <c r="CT227" s="682"/>
      <c r="CU227" s="83"/>
      <c r="CV227" s="681">
        <f>SUM(IF($U$1=CV223,$BD$5:$BD$10,0),IF($X$1=CV223,$BF$5:$BF$10,0))</f>
        <v>0</v>
      </c>
      <c r="CW227" s="682"/>
      <c r="CX227" s="83"/>
      <c r="CY227" s="681">
        <f>SUM(IF($U$1=CY223,$BD$5:$BD$10,0),IF($X$1=CY223,$BF$5:$BF$10,0))</f>
        <v>0</v>
      </c>
      <c r="CZ227" s="682"/>
      <c r="DA227" s="83"/>
      <c r="DB227" s="681">
        <f>SUM(IF($U$1=DB223,$BD$5:$BD$10,0),IF($X$1=DB223,$BF$5:$BF$10,0))</f>
        <v>0</v>
      </c>
      <c r="DC227" s="682"/>
      <c r="DD227" s="83"/>
      <c r="DE227" s="681">
        <f>SUM(IF($U$1=DE223,$BD$5:$BD$10,0),IF($X$1=DE223,$BF$5:$BF$10,0))</f>
        <v>0</v>
      </c>
      <c r="DF227" s="682"/>
      <c r="DG227" s="83"/>
      <c r="DH227" s="681">
        <f>SUM(IF($U$1=DH223,$BD$5:$BD$10,0),IF($X$1=DH223,$BF$5:$BF$10,0))</f>
        <v>0</v>
      </c>
      <c r="DI227" s="682"/>
      <c r="DJ227" s="83"/>
      <c r="DK227" s="681">
        <f>SUM(IF($U$1=DK223,$BD$5:$BD$10,0),IF($X$1=DK223,$BF$5:$BF$10,0))</f>
        <v>0</v>
      </c>
      <c r="DL227" s="682"/>
      <c r="DM227" s="83"/>
      <c r="DN227" s="681">
        <f>SUM(IF($U$1=DN223,$BD$5:$BD$10,0),IF($X$1=DN223,$BF$5:$BF$10,0))</f>
        <v>0</v>
      </c>
      <c r="DO227" s="682"/>
      <c r="DP227" s="83"/>
      <c r="DQ227" s="681"/>
      <c r="DR227" s="682"/>
      <c r="DS227" s="681"/>
      <c r="DT227" s="682"/>
      <c r="DU227" s="697" t="s">
        <v>124</v>
      </c>
      <c r="DV227" s="697"/>
      <c r="DW227" s="697"/>
      <c r="DX227" s="697"/>
      <c r="DY227" s="697"/>
    </row>
    <row r="228" spans="1:129" ht="13.5" thickBot="1" x14ac:dyDescent="0.25">
      <c r="A228" s="51"/>
      <c r="B228"/>
      <c r="C228" s="195" t="s">
        <v>169</v>
      </c>
      <c r="D228" s="196"/>
      <c r="E228" s="197"/>
      <c r="F228" s="198">
        <f>E226*0.005</f>
        <v>0</v>
      </c>
      <c r="G228" s="196"/>
      <c r="H228" s="197"/>
      <c r="I228" s="198">
        <f>IF(H227&gt;12,((H227-12)*0.5)+12,H227)</f>
        <v>0</v>
      </c>
      <c r="J228" s="196"/>
      <c r="K228" s="197"/>
      <c r="L228" s="198">
        <f>IF(K227&gt;20,((K227-20)*0.7)+20,K227)</f>
        <v>0</v>
      </c>
      <c r="M228" s="196"/>
      <c r="N228" s="197"/>
      <c r="O228" s="198">
        <f>IF(N227&gt;50,((N227-50)*0.2)+(50*0.4),N227*0.4)</f>
        <v>0</v>
      </c>
      <c r="P228" s="196"/>
      <c r="Q228" s="197">
        <v>1</v>
      </c>
      <c r="R228" s="198">
        <f>Q228*Q227</f>
        <v>0</v>
      </c>
      <c r="S228" s="196"/>
      <c r="T228" s="197">
        <v>1</v>
      </c>
      <c r="U228" s="198">
        <f>T228*T227</f>
        <v>0</v>
      </c>
      <c r="V228" s="196"/>
      <c r="W228" s="197">
        <v>1</v>
      </c>
      <c r="X228" s="198">
        <f>W228*W227</f>
        <v>0</v>
      </c>
      <c r="Y228" s="196"/>
      <c r="Z228" s="197">
        <v>1</v>
      </c>
      <c r="AA228" s="198">
        <f>Z228*Z227</f>
        <v>0</v>
      </c>
      <c r="AB228" s="196"/>
      <c r="AC228" s="197">
        <v>1</v>
      </c>
      <c r="AD228" s="198">
        <f>AC228*AC227</f>
        <v>0</v>
      </c>
      <c r="AE228" s="196"/>
      <c r="AF228" s="197">
        <v>1</v>
      </c>
      <c r="AG228" s="198">
        <f>AF228*AF227</f>
        <v>0</v>
      </c>
      <c r="AH228" s="196"/>
      <c r="AI228" s="197"/>
      <c r="AJ228" s="198">
        <f>AI226*0.005</f>
        <v>0</v>
      </c>
      <c r="AK228" s="192"/>
      <c r="AM228" s="696" t="s">
        <v>104</v>
      </c>
      <c r="AN228" s="696"/>
      <c r="AO228" s="696"/>
      <c r="AP228" s="696"/>
      <c r="AQ228" s="696"/>
      <c r="AR228" s="51"/>
      <c r="AT228" s="195" t="s">
        <v>169</v>
      </c>
      <c r="AU228" s="196"/>
      <c r="AV228" s="197"/>
      <c r="AW228" s="198">
        <f>AV226*0.005</f>
        <v>0</v>
      </c>
      <c r="AX228" s="196"/>
      <c r="AY228" s="197"/>
      <c r="AZ228" s="198">
        <f>IF(AY227&gt;12,((AY227-12)*0.5)+12,AY227)</f>
        <v>0</v>
      </c>
      <c r="BA228" s="196"/>
      <c r="BB228" s="197"/>
      <c r="BC228" s="198">
        <f>IF(BB227&gt;20,((BB227-20)*0.7)+20,BB227)</f>
        <v>0</v>
      </c>
      <c r="BD228" s="196"/>
      <c r="BE228" s="197"/>
      <c r="BF228" s="198">
        <f>IF(BE227&gt;50,((BE227-50)*0.2)+(50*0.4),BE227*0.4)</f>
        <v>0</v>
      </c>
      <c r="BG228" s="196"/>
      <c r="BH228" s="197">
        <v>1</v>
      </c>
      <c r="BI228" s="198">
        <f>BH228*BH227</f>
        <v>0</v>
      </c>
      <c r="BJ228" s="196"/>
      <c r="BK228" s="197">
        <v>1</v>
      </c>
      <c r="BL228" s="198">
        <f>BK228*BK227</f>
        <v>0</v>
      </c>
      <c r="BM228" s="196"/>
      <c r="BN228" s="197">
        <v>1</v>
      </c>
      <c r="BO228" s="198">
        <f>BN228*BN227</f>
        <v>0</v>
      </c>
      <c r="BP228" s="196"/>
      <c r="BQ228" s="197">
        <v>1</v>
      </c>
      <c r="BR228" s="198">
        <f>BQ228*BQ227</f>
        <v>0</v>
      </c>
      <c r="BS228" s="196"/>
      <c r="BT228" s="197">
        <v>1</v>
      </c>
      <c r="BU228" s="198">
        <f>BT228*BT227</f>
        <v>0</v>
      </c>
      <c r="BV228" s="196"/>
      <c r="BW228" s="197">
        <v>1</v>
      </c>
      <c r="BX228" s="198">
        <f>BW228*BW227</f>
        <v>0</v>
      </c>
      <c r="BY228" s="196"/>
      <c r="BZ228" s="197"/>
      <c r="CA228" s="198">
        <f>BZ226*0.005</f>
        <v>0</v>
      </c>
      <c r="CB228" s="192"/>
      <c r="CC228"/>
      <c r="CD228" s="696" t="s">
        <v>104</v>
      </c>
      <c r="CE228" s="696"/>
      <c r="CF228" s="696"/>
      <c r="CG228" s="696"/>
      <c r="CH228" s="696"/>
      <c r="CI228" s="51"/>
      <c r="CK228" s="195" t="s">
        <v>169</v>
      </c>
      <c r="CL228" s="196"/>
      <c r="CM228" s="197"/>
      <c r="CN228" s="198">
        <f>CM226*0.005</f>
        <v>0</v>
      </c>
      <c r="CO228" s="196"/>
      <c r="CP228" s="197"/>
      <c r="CQ228" s="198">
        <f>IF(CP227&gt;12,((CP227-12)*0.5)+12,CP227)</f>
        <v>0</v>
      </c>
      <c r="CR228" s="196"/>
      <c r="CS228" s="197"/>
      <c r="CT228" s="198">
        <f>IF(CS227&gt;20,((CS227-20)*0.7)+20,CS227)</f>
        <v>0</v>
      </c>
      <c r="CU228" s="196"/>
      <c r="CV228" s="197"/>
      <c r="CW228" s="198">
        <f>IF(CV227&gt;50,((CV227-50)*0.2)+(50*0.4),CV227*0.4)</f>
        <v>0</v>
      </c>
      <c r="CX228" s="196"/>
      <c r="CY228" s="197">
        <v>1</v>
      </c>
      <c r="CZ228" s="198">
        <f>CY228*CY227</f>
        <v>0</v>
      </c>
      <c r="DA228" s="196"/>
      <c r="DB228" s="197">
        <v>1</v>
      </c>
      <c r="DC228" s="198">
        <f>DB228*DB227</f>
        <v>0</v>
      </c>
      <c r="DD228" s="196"/>
      <c r="DE228" s="197">
        <v>1</v>
      </c>
      <c r="DF228" s="198">
        <f>DE228*DE227</f>
        <v>0</v>
      </c>
      <c r="DG228" s="196"/>
      <c r="DH228" s="197">
        <v>1</v>
      </c>
      <c r="DI228" s="198">
        <f>DH228*DH227</f>
        <v>0</v>
      </c>
      <c r="DJ228" s="196"/>
      <c r="DK228" s="197">
        <v>1</v>
      </c>
      <c r="DL228" s="198">
        <f>DK228*DK227</f>
        <v>0</v>
      </c>
      <c r="DM228" s="196"/>
      <c r="DN228" s="197">
        <v>1</v>
      </c>
      <c r="DO228" s="198">
        <f>DN228*DN227</f>
        <v>0</v>
      </c>
      <c r="DP228" s="196"/>
      <c r="DQ228" s="197"/>
      <c r="DR228" s="198">
        <f>DQ226*0.005</f>
        <v>0</v>
      </c>
      <c r="DS228" s="192"/>
      <c r="DT228"/>
      <c r="DU228" s="696" t="s">
        <v>104</v>
      </c>
      <c r="DV228" s="696"/>
      <c r="DW228" s="696"/>
      <c r="DX228" s="696"/>
      <c r="DY228" s="696"/>
    </row>
    <row r="229" spans="1:129" ht="13.5" thickBot="1" x14ac:dyDescent="0.25">
      <c r="A229" s="51"/>
      <c r="B229"/>
      <c r="C229" s="21"/>
      <c r="D229" s="85"/>
      <c r="E229" s="200"/>
      <c r="F229" s="201" t="s">
        <v>41</v>
      </c>
      <c r="G229" s="90" t="s">
        <v>171</v>
      </c>
      <c r="H229" s="57" t="s">
        <v>38</v>
      </c>
      <c r="I229" s="58" t="s">
        <v>41</v>
      </c>
      <c r="J229" s="85"/>
      <c r="K229" s="55" t="s">
        <v>38</v>
      </c>
      <c r="L229" s="59" t="s">
        <v>41</v>
      </c>
      <c r="M229" s="85"/>
      <c r="N229" s="55" t="s">
        <v>38</v>
      </c>
      <c r="O229" s="59" t="s">
        <v>41</v>
      </c>
      <c r="P229" s="85"/>
      <c r="Q229" s="55" t="s">
        <v>38</v>
      </c>
      <c r="R229" s="59" t="s">
        <v>41</v>
      </c>
      <c r="S229" s="85"/>
      <c r="T229" s="55" t="s">
        <v>38</v>
      </c>
      <c r="U229" s="59" t="s">
        <v>41</v>
      </c>
      <c r="V229" s="85"/>
      <c r="W229" s="55" t="s">
        <v>38</v>
      </c>
      <c r="X229" s="59" t="s">
        <v>41</v>
      </c>
      <c r="Y229" s="85"/>
      <c r="Z229" s="55" t="s">
        <v>38</v>
      </c>
      <c r="AA229" s="59" t="s">
        <v>41</v>
      </c>
      <c r="AB229" s="85"/>
      <c r="AC229" s="200" t="s">
        <v>38</v>
      </c>
      <c r="AD229" s="201" t="s">
        <v>41</v>
      </c>
      <c r="AE229" s="85" t="s">
        <v>171</v>
      </c>
      <c r="AF229" s="55" t="s">
        <v>38</v>
      </c>
      <c r="AG229" s="59" t="s">
        <v>41</v>
      </c>
      <c r="AH229" s="90"/>
      <c r="AI229" s="60" t="s">
        <v>38</v>
      </c>
      <c r="AJ229" s="58" t="s">
        <v>41</v>
      </c>
      <c r="AK229" s="35"/>
      <c r="AM229" s="20" t="s">
        <v>105</v>
      </c>
      <c r="AN229" s="20" t="s">
        <v>171</v>
      </c>
      <c r="AO229" s="20"/>
      <c r="AP229" s="72"/>
      <c r="AQ229" s="72"/>
      <c r="AR229" s="51"/>
      <c r="AT229" s="21"/>
      <c r="AU229" s="85"/>
      <c r="AV229" s="200"/>
      <c r="AW229" s="201" t="s">
        <v>41</v>
      </c>
      <c r="AX229" s="90" t="s">
        <v>171</v>
      </c>
      <c r="AY229" s="57" t="s">
        <v>38</v>
      </c>
      <c r="AZ229" s="58" t="s">
        <v>41</v>
      </c>
      <c r="BA229" s="85"/>
      <c r="BB229" s="55" t="s">
        <v>38</v>
      </c>
      <c r="BC229" s="59" t="s">
        <v>41</v>
      </c>
      <c r="BD229" s="85"/>
      <c r="BE229" s="55" t="s">
        <v>38</v>
      </c>
      <c r="BF229" s="59" t="s">
        <v>41</v>
      </c>
      <c r="BG229" s="85"/>
      <c r="BH229" s="55" t="s">
        <v>38</v>
      </c>
      <c r="BI229" s="59" t="s">
        <v>41</v>
      </c>
      <c r="BJ229" s="85"/>
      <c r="BK229" s="55" t="s">
        <v>38</v>
      </c>
      <c r="BL229" s="59" t="s">
        <v>41</v>
      </c>
      <c r="BM229" s="85"/>
      <c r="BN229" s="55" t="s">
        <v>38</v>
      </c>
      <c r="BO229" s="59" t="s">
        <v>41</v>
      </c>
      <c r="BP229" s="85"/>
      <c r="BQ229" s="55" t="s">
        <v>38</v>
      </c>
      <c r="BR229" s="59" t="s">
        <v>41</v>
      </c>
      <c r="BS229" s="85"/>
      <c r="BT229" s="200" t="s">
        <v>38</v>
      </c>
      <c r="BU229" s="201" t="s">
        <v>41</v>
      </c>
      <c r="BV229" s="85" t="s">
        <v>171</v>
      </c>
      <c r="BW229" s="55" t="s">
        <v>38</v>
      </c>
      <c r="BX229" s="59" t="s">
        <v>41</v>
      </c>
      <c r="BY229" s="90"/>
      <c r="BZ229" s="60" t="s">
        <v>38</v>
      </c>
      <c r="CA229" s="58" t="s">
        <v>41</v>
      </c>
      <c r="CB229" s="35"/>
      <c r="CC229"/>
      <c r="CD229" s="20" t="s">
        <v>105</v>
      </c>
      <c r="CE229" s="20" t="s">
        <v>171</v>
      </c>
      <c r="CF229" s="20"/>
      <c r="CG229" s="72"/>
      <c r="CH229" s="72"/>
      <c r="CI229" s="51"/>
      <c r="CK229" s="21"/>
      <c r="CL229" s="85"/>
      <c r="CM229" s="200"/>
      <c r="CN229" s="201" t="s">
        <v>41</v>
      </c>
      <c r="CO229" s="90" t="s">
        <v>171</v>
      </c>
      <c r="CP229" s="57" t="s">
        <v>38</v>
      </c>
      <c r="CQ229" s="58" t="s">
        <v>41</v>
      </c>
      <c r="CR229" s="85"/>
      <c r="CS229" s="55" t="s">
        <v>38</v>
      </c>
      <c r="CT229" s="59" t="s">
        <v>41</v>
      </c>
      <c r="CU229" s="85"/>
      <c r="CV229" s="55" t="s">
        <v>38</v>
      </c>
      <c r="CW229" s="59" t="s">
        <v>41</v>
      </c>
      <c r="CX229" s="85"/>
      <c r="CY229" s="55" t="s">
        <v>38</v>
      </c>
      <c r="CZ229" s="59" t="s">
        <v>41</v>
      </c>
      <c r="DA229" s="85"/>
      <c r="DB229" s="55" t="s">
        <v>38</v>
      </c>
      <c r="DC229" s="59" t="s">
        <v>41</v>
      </c>
      <c r="DD229" s="85"/>
      <c r="DE229" s="55" t="s">
        <v>38</v>
      </c>
      <c r="DF229" s="59" t="s">
        <v>41</v>
      </c>
      <c r="DG229" s="85"/>
      <c r="DH229" s="55" t="s">
        <v>38</v>
      </c>
      <c r="DI229" s="59" t="s">
        <v>41</v>
      </c>
      <c r="DJ229" s="85"/>
      <c r="DK229" s="200" t="s">
        <v>38</v>
      </c>
      <c r="DL229" s="201" t="s">
        <v>41</v>
      </c>
      <c r="DM229" s="85" t="s">
        <v>171</v>
      </c>
      <c r="DN229" s="55" t="s">
        <v>38</v>
      </c>
      <c r="DO229" s="59" t="s">
        <v>41</v>
      </c>
      <c r="DP229" s="90"/>
      <c r="DQ229" s="60" t="s">
        <v>38</v>
      </c>
      <c r="DR229" s="58" t="s">
        <v>41</v>
      </c>
      <c r="DS229" s="35"/>
      <c r="DT229"/>
      <c r="DU229" s="20" t="s">
        <v>105</v>
      </c>
      <c r="DV229" s="20" t="s">
        <v>171</v>
      </c>
      <c r="DW229" s="20"/>
      <c r="DX229" s="72"/>
      <c r="DY229" s="72"/>
    </row>
    <row r="230" spans="1:129" x14ac:dyDescent="0.2">
      <c r="A230" s="51"/>
      <c r="B230"/>
      <c r="C230" s="26" t="s">
        <v>42</v>
      </c>
      <c r="D230" s="83"/>
      <c r="E230" s="202">
        <f t="shared" ref="E230:E247" si="182">SUM(IF($C$1=$DX$1,C13,0),IF($F$1=$DX$1,F13,0),IF($I$1=$DX$1,I13,0),IF($L$1=$DX$1,L13,0),IF($O$1=$DX$1,O13,0),IF($R$1=$DX$1,R13,0),IF($U$1=$DX$1,U13,0),IF($X$1=$DX$1,X13,0))</f>
        <v>0</v>
      </c>
      <c r="F230" s="202">
        <f t="shared" ref="F230:F247" si="183">SUM(IF($C$1=$DX$1,D13,0),IF($F$1=$DX$1,G13,0),IF($I$1=$DX$1,J13,0),IF($L$1=$DX$1,M13,0),IF($O$1=$DX$1,P13,0),IF($R$1=$DX$1,S13,0),IF($U$1=$DX$1,V13,0),IF($X$1=$DX$1,Y13,0))</f>
        <v>0</v>
      </c>
      <c r="G230" s="199">
        <f>F230*AN230</f>
        <v>0</v>
      </c>
      <c r="H230" s="193"/>
      <c r="I230" s="199">
        <f>SUM(F230,R230)</f>
        <v>0</v>
      </c>
      <c r="J230" s="193"/>
      <c r="K230" s="193"/>
      <c r="L230" s="193"/>
      <c r="M230" s="193"/>
      <c r="N230" s="193"/>
      <c r="O230" s="193"/>
      <c r="P230" s="193"/>
      <c r="Q230" s="199">
        <f t="shared" ref="Q230:Q247" si="184">SUM(IF(OR($C$1=$DX$1,$C$1=$EV$1),0,C13),IF(OR($F$1=$DX$1,$F$1=$EV$1),0,F13),IF(OR($I$1=$DX$1,$I$1=$EV$1),0,I13),IF(OR($L$1=$DX$1,$L$1=$EV$1),0,L13),IF(OR($O$1=$DX$1,$O$1=$EV$1),0,O13),IF(OR($R$1=$DX$1,$R$1=$EV$1),0,R13),IF(OR($U$1=$DX$1,$U$1=$EV$1),0,U13),IF(OR($X$1=$DX$1,$X$1=$EV$1),0,X13))</f>
        <v>0</v>
      </c>
      <c r="R230" s="199">
        <f t="shared" ref="R230:R247" si="185">SUM(IF(OR($C$1=$DX$1,$C$1=$EV$1),0,D13),IF(OR($F$1=$DX$1,$F$1=$EV$1),0,G13),IF(OR($I$1=$DX$1,$I$1=$EV$1),0,J13),IF(OR($L$1=$DX$1,$L$1=$EV$1),0,M13),IF(OR($O$1=$DX$1,$O$1=$EV$1),0,P13),IF(OR($R$1=$DX$1,$R$1=$EV$1),0,S13),IF(OR($U$1=$DX$1,$U$1=$EV$1),0,V13),IF(OR($X$1=$DX$1,$X$1=$EV$1),0,Y13))</f>
        <v>0</v>
      </c>
      <c r="S230" s="199">
        <f>R230*AN230</f>
        <v>0</v>
      </c>
      <c r="T230" s="193"/>
      <c r="U230" s="193"/>
      <c r="V230" s="193"/>
      <c r="W230" s="193"/>
      <c r="X230" s="193"/>
      <c r="Y230" s="193"/>
      <c r="Z230" s="193"/>
      <c r="AA230" s="193"/>
      <c r="AB230" s="193"/>
      <c r="AC230" s="202">
        <f>SUM(IF($C$1=$EV$1,C$13,0),IF($F$1=$EV$1,F$13,0),IF($I$1=$EV$1,I$13,0),IF($L$1=$EV$1,L$13,0),IF($O$1=$EV$1,O$13,0),IF($R$1=$EV$1,R$13,0),IF($U$1=$EV$1,U$13,0),IF($X$1=$EV$1,X$13,0))</f>
        <v>0</v>
      </c>
      <c r="AD230" s="202">
        <f>SUM(IF($C$1=$EV$1,D$13,0),IF($F$1=$EV$1,G$13,0),IF($I$1=$EV$1,J$13,0),IF($L$1=$EV$1,M$13,0),IF($O$1=$EV$1,P$13,0),IF($R$1=$EV$1,S$13,0),IF($U$1=$EV$1,V$13,0),IF($X$1=$EV$1,Y$13,0))</f>
        <v>0</v>
      </c>
      <c r="AE230" s="199">
        <f>AD230</f>
        <v>0</v>
      </c>
      <c r="AF230" s="193"/>
      <c r="AG230" s="193"/>
      <c r="AH230" s="193"/>
      <c r="AI230" s="193"/>
      <c r="AJ230" s="193"/>
      <c r="AK230" s="35"/>
      <c r="AM230" s="51" t="s">
        <v>42</v>
      </c>
      <c r="AN230" s="51">
        <f>VLOOKUP(SUM(E230:E232,Q230:Q232),'tab aparelhos'!$B$4:$C$35,2)</f>
        <v>0</v>
      </c>
      <c r="AO230" s="51"/>
      <c r="AP230" s="51"/>
      <c r="AQ230" s="51"/>
      <c r="AR230" s="51"/>
      <c r="AT230" s="26" t="s">
        <v>42</v>
      </c>
      <c r="AU230" s="83"/>
      <c r="AV230" s="202">
        <f>SUM(IF($O$1=BT223,0,$O$13),IF($R$1=BT223,0,$R$13))</f>
        <v>0</v>
      </c>
      <c r="AW230" s="202">
        <f>SUM(IF($O$1=BT223,0,$P$13),IF($R$1=BT223,0,$S$13))</f>
        <v>0</v>
      </c>
      <c r="AX230" s="199">
        <f>AW230*CE230</f>
        <v>0</v>
      </c>
      <c r="AY230" s="193"/>
      <c r="AZ230" s="199">
        <f>AW230</f>
        <v>0</v>
      </c>
      <c r="BA230" s="193"/>
      <c r="BB230" s="193"/>
      <c r="BC230" s="193"/>
      <c r="BD230" s="193"/>
      <c r="BE230" s="193"/>
      <c r="BF230" s="193"/>
      <c r="BG230" s="193"/>
      <c r="BH230" s="193"/>
      <c r="BI230" s="193"/>
      <c r="BJ230" s="193"/>
      <c r="BK230" s="193"/>
      <c r="BL230" s="193"/>
      <c r="BM230" s="193"/>
      <c r="BN230" s="193"/>
      <c r="BO230" s="193"/>
      <c r="BP230" s="193"/>
      <c r="BQ230" s="193"/>
      <c r="BR230" s="193"/>
      <c r="BS230" s="193"/>
      <c r="BT230" s="202">
        <f>SUM(IF($O$1=$EV$1,$O13,0),IF($R$1=$EV$1,$R13,0))</f>
        <v>0</v>
      </c>
      <c r="BU230" s="202">
        <f>SUM(IF($O$1=$EV$1,$P13,0),IF($R$1=$EV$1,$S13,0))</f>
        <v>0</v>
      </c>
      <c r="BV230" s="199">
        <f>BU230</f>
        <v>0</v>
      </c>
      <c r="BW230" s="193"/>
      <c r="BX230" s="193"/>
      <c r="BY230" s="193"/>
      <c r="BZ230" s="193"/>
      <c r="CA230" s="193"/>
      <c r="CB230" s="35"/>
      <c r="CC230"/>
      <c r="CD230" s="51" t="s">
        <v>42</v>
      </c>
      <c r="CE230" s="51">
        <f>VLOOKUP(SUM(AV230:AV232),'tab aparelhos'!$B$4:$C$35,2)</f>
        <v>0</v>
      </c>
      <c r="CF230" s="51"/>
      <c r="CG230" s="51"/>
      <c r="CH230" s="51"/>
      <c r="CI230" s="51"/>
      <c r="CK230" s="26" t="s">
        <v>42</v>
      </c>
      <c r="CL230" s="83"/>
      <c r="CM230" s="202">
        <f>SUM(IF($U$1=DK223,0,$U$13),IF($X$1=DK223,0,$X$13))</f>
        <v>0</v>
      </c>
      <c r="CN230" s="202">
        <f>SUM(IF($U$1=DK223,0,$V$13),IF($X$1=DK223,0,$Y$13))</f>
        <v>0</v>
      </c>
      <c r="CO230" s="199">
        <f>CN230*DV230</f>
        <v>0</v>
      </c>
      <c r="CP230" s="193"/>
      <c r="CQ230" s="199">
        <f>CN230</f>
        <v>0</v>
      </c>
      <c r="CR230" s="193"/>
      <c r="CS230" s="193"/>
      <c r="CT230" s="193"/>
      <c r="CU230" s="193"/>
      <c r="CV230" s="193"/>
      <c r="CW230" s="193"/>
      <c r="CX230" s="193"/>
      <c r="CY230" s="193"/>
      <c r="CZ230" s="193"/>
      <c r="DA230" s="193"/>
      <c r="DB230" s="193"/>
      <c r="DC230" s="193"/>
      <c r="DD230" s="193"/>
      <c r="DE230" s="193"/>
      <c r="DF230" s="193"/>
      <c r="DG230" s="193"/>
      <c r="DH230" s="193"/>
      <c r="DI230" s="193"/>
      <c r="DJ230" s="193"/>
      <c r="DK230" s="202">
        <f>SUM(IF($U$1=$EV$1,$U13,0),IF($X$1=$EV$1,$X13,0))</f>
        <v>0</v>
      </c>
      <c r="DL230" s="202">
        <f>SUM(IF($U$1=$EV$1,$V13,0),IF($X$1=$EV$1,$Y13,0))</f>
        <v>0</v>
      </c>
      <c r="DM230" s="199">
        <f>DL230</f>
        <v>0</v>
      </c>
      <c r="DN230" s="193"/>
      <c r="DO230" s="193"/>
      <c r="DP230" s="193"/>
      <c r="DQ230" s="193"/>
      <c r="DR230" s="193"/>
      <c r="DS230" s="35"/>
      <c r="DT230"/>
      <c r="DU230" s="51" t="s">
        <v>42</v>
      </c>
      <c r="DV230" s="51">
        <f>VLOOKUP(SUM(CM230:CM232),'tab aparelhos'!$B$4:$C$35,2)</f>
        <v>0</v>
      </c>
      <c r="DW230" s="51"/>
      <c r="DX230" s="51"/>
      <c r="DY230" s="51"/>
    </row>
    <row r="231" spans="1:129" x14ac:dyDescent="0.2">
      <c r="A231" s="51"/>
      <c r="B231"/>
      <c r="C231" s="27" t="s">
        <v>43</v>
      </c>
      <c r="D231" s="83"/>
      <c r="E231" s="202">
        <f t="shared" si="182"/>
        <v>0</v>
      </c>
      <c r="F231" s="202">
        <f t="shared" si="183"/>
        <v>0</v>
      </c>
      <c r="G231" s="199">
        <f t="shared" ref="G231:G247" si="186">F231*AN231</f>
        <v>0</v>
      </c>
      <c r="H231" s="193"/>
      <c r="I231" s="199">
        <f t="shared" ref="I231:I247" si="187">SUM(F231,R231)</f>
        <v>0</v>
      </c>
      <c r="J231" s="193"/>
      <c r="K231" s="193"/>
      <c r="L231" s="193"/>
      <c r="M231" s="193"/>
      <c r="N231" s="193"/>
      <c r="O231" s="193"/>
      <c r="P231" s="193"/>
      <c r="Q231" s="199">
        <f t="shared" si="184"/>
        <v>0</v>
      </c>
      <c r="R231" s="199">
        <f t="shared" si="185"/>
        <v>0</v>
      </c>
      <c r="S231" s="199">
        <f t="shared" ref="S231:S247" si="188">R231*AN231</f>
        <v>0</v>
      </c>
      <c r="T231" s="193"/>
      <c r="U231" s="193"/>
      <c r="V231" s="193"/>
      <c r="W231" s="193"/>
      <c r="X231" s="193"/>
      <c r="Y231" s="193"/>
      <c r="Z231" s="193"/>
      <c r="AA231" s="193"/>
      <c r="AB231" s="193"/>
      <c r="AC231" s="199"/>
      <c r="AD231" s="199"/>
      <c r="AE231" s="199"/>
      <c r="AF231" s="193"/>
      <c r="AG231" s="193"/>
      <c r="AH231" s="193"/>
      <c r="AI231" s="193"/>
      <c r="AJ231" s="193"/>
      <c r="AK231" s="35"/>
      <c r="AM231" s="51" t="s">
        <v>43</v>
      </c>
      <c r="AN231" s="51">
        <f>VLOOKUP(SUM(E230:E232,Q230:Q232),'tab aparelhos'!$B$4:$C$35,2)</f>
        <v>0</v>
      </c>
      <c r="AO231" s="51"/>
      <c r="AP231" s="51"/>
      <c r="AQ231" s="51"/>
      <c r="AR231" s="51"/>
      <c r="AT231" s="27" t="s">
        <v>43</v>
      </c>
      <c r="AU231" s="83"/>
      <c r="AV231" s="202">
        <f>SUM($O$14,$R$14)</f>
        <v>0</v>
      </c>
      <c r="AW231" s="202">
        <f>SUM($P$14,$S$14)</f>
        <v>0</v>
      </c>
      <c r="AX231" s="199">
        <f t="shared" ref="AX231:AX247" si="189">AW231*CE231</f>
        <v>0</v>
      </c>
      <c r="AY231" s="193"/>
      <c r="AZ231" s="199">
        <f t="shared" ref="AZ231:AZ247" si="190">AW231</f>
        <v>0</v>
      </c>
      <c r="BA231" s="193"/>
      <c r="BB231" s="193"/>
      <c r="BC231" s="193"/>
      <c r="BD231" s="193"/>
      <c r="BE231" s="193"/>
      <c r="BF231" s="193"/>
      <c r="BG231" s="193"/>
      <c r="BH231" s="193"/>
      <c r="BI231" s="193"/>
      <c r="BJ231" s="193"/>
      <c r="BK231" s="193"/>
      <c r="BL231" s="193"/>
      <c r="BM231" s="193"/>
      <c r="BN231" s="193"/>
      <c r="BO231" s="193"/>
      <c r="BP231" s="193"/>
      <c r="BQ231" s="193"/>
      <c r="BR231" s="193"/>
      <c r="BS231" s="193"/>
      <c r="BT231" s="199"/>
      <c r="BU231" s="199"/>
      <c r="BV231" s="199"/>
      <c r="BW231" s="193"/>
      <c r="BX231" s="193"/>
      <c r="BY231" s="193"/>
      <c r="BZ231" s="193"/>
      <c r="CA231" s="193"/>
      <c r="CB231" s="35"/>
      <c r="CC231"/>
      <c r="CD231" s="51" t="s">
        <v>43</v>
      </c>
      <c r="CE231" s="51">
        <f>VLOOKUP(SUM(AV230:AV232),'tab aparelhos'!$B$4:$C$35,2)</f>
        <v>0</v>
      </c>
      <c r="CF231" s="51"/>
      <c r="CG231" s="51"/>
      <c r="CH231" s="51"/>
      <c r="CI231" s="51"/>
      <c r="CK231" s="27" t="s">
        <v>43</v>
      </c>
      <c r="CL231" s="83"/>
      <c r="CM231" s="202">
        <f>SUM($U$14,$X$14)</f>
        <v>0</v>
      </c>
      <c r="CN231" s="202">
        <f>SUM($V$14,$Y$14)</f>
        <v>0</v>
      </c>
      <c r="CO231" s="199">
        <f t="shared" ref="CO231:CO247" si="191">CN231*DV231</f>
        <v>0</v>
      </c>
      <c r="CP231" s="193"/>
      <c r="CQ231" s="199">
        <f t="shared" ref="CQ231:CQ247" si="192">CN231</f>
        <v>0</v>
      </c>
      <c r="CR231" s="193"/>
      <c r="CS231" s="193"/>
      <c r="CT231" s="193"/>
      <c r="CU231" s="193"/>
      <c r="CV231" s="193"/>
      <c r="CW231" s="193"/>
      <c r="CX231" s="193"/>
      <c r="CY231" s="193"/>
      <c r="CZ231" s="193"/>
      <c r="DA231" s="193"/>
      <c r="DB231" s="193"/>
      <c r="DC231" s="193"/>
      <c r="DD231" s="193"/>
      <c r="DE231" s="193"/>
      <c r="DF231" s="193"/>
      <c r="DG231" s="193"/>
      <c r="DH231" s="193"/>
      <c r="DI231" s="193"/>
      <c r="DJ231" s="193"/>
      <c r="DK231" s="199"/>
      <c r="DL231" s="199"/>
      <c r="DM231" s="199"/>
      <c r="DN231" s="193"/>
      <c r="DO231" s="193"/>
      <c r="DP231" s="193"/>
      <c r="DQ231" s="193"/>
      <c r="DR231" s="193"/>
      <c r="DS231" s="35"/>
      <c r="DT231"/>
      <c r="DU231" s="51" t="s">
        <v>43</v>
      </c>
      <c r="DV231" s="51">
        <f>VLOOKUP(SUM(CM230:CM232),'tab aparelhos'!$B$4:$C$35,2)</f>
        <v>0</v>
      </c>
      <c r="DW231" s="51"/>
      <c r="DX231" s="51"/>
      <c r="DY231" s="51"/>
    </row>
    <row r="232" spans="1:129" x14ac:dyDescent="0.2">
      <c r="A232" s="51"/>
      <c r="B232"/>
      <c r="C232" s="27" t="s">
        <v>44</v>
      </c>
      <c r="D232" s="83"/>
      <c r="E232" s="202">
        <f t="shared" si="182"/>
        <v>0</v>
      </c>
      <c r="F232" s="202">
        <f t="shared" si="183"/>
        <v>0</v>
      </c>
      <c r="G232" s="199">
        <f t="shared" si="186"/>
        <v>0</v>
      </c>
      <c r="H232" s="193"/>
      <c r="I232" s="199">
        <f t="shared" si="187"/>
        <v>0</v>
      </c>
      <c r="J232" s="193"/>
      <c r="K232" s="193"/>
      <c r="L232" s="193"/>
      <c r="M232" s="193"/>
      <c r="N232" s="193"/>
      <c r="O232" s="193"/>
      <c r="P232" s="193"/>
      <c r="Q232" s="199">
        <f t="shared" si="184"/>
        <v>0</v>
      </c>
      <c r="R232" s="199">
        <f t="shared" si="185"/>
        <v>0</v>
      </c>
      <c r="S232" s="199">
        <f t="shared" si="188"/>
        <v>0</v>
      </c>
      <c r="T232" s="193"/>
      <c r="U232" s="193"/>
      <c r="V232" s="193"/>
      <c r="W232" s="193"/>
      <c r="X232" s="193"/>
      <c r="Y232" s="193"/>
      <c r="Z232" s="193"/>
      <c r="AA232" s="193"/>
      <c r="AB232" s="193"/>
      <c r="AC232" s="199"/>
      <c r="AD232" s="199"/>
      <c r="AE232" s="199"/>
      <c r="AF232" s="193"/>
      <c r="AG232" s="193"/>
      <c r="AH232" s="193"/>
      <c r="AI232" s="193"/>
      <c r="AJ232" s="193"/>
      <c r="AK232" s="35"/>
      <c r="AM232" s="51" t="s">
        <v>44</v>
      </c>
      <c r="AN232" s="51">
        <f>VLOOKUP(SUM(E230:E232,Q230:Q232),'tab aparelhos'!$B$4:$C$35,2)</f>
        <v>0</v>
      </c>
      <c r="AO232" s="51"/>
      <c r="AP232" s="51"/>
      <c r="AQ232" s="51"/>
      <c r="AR232" s="51"/>
      <c r="AT232" s="27" t="s">
        <v>44</v>
      </c>
      <c r="AU232" s="83"/>
      <c r="AV232" s="202">
        <f>SUM($O$15,$R$15)</f>
        <v>0</v>
      </c>
      <c r="AW232" s="202">
        <f>SUM($P$15,$S$15)</f>
        <v>0</v>
      </c>
      <c r="AX232" s="199">
        <f t="shared" si="189"/>
        <v>0</v>
      </c>
      <c r="AY232" s="193"/>
      <c r="AZ232" s="199">
        <f t="shared" si="190"/>
        <v>0</v>
      </c>
      <c r="BA232" s="193"/>
      <c r="BB232" s="193"/>
      <c r="BC232" s="193"/>
      <c r="BD232" s="193"/>
      <c r="BE232" s="193"/>
      <c r="BF232" s="193"/>
      <c r="BG232" s="193"/>
      <c r="BH232" s="193"/>
      <c r="BI232" s="193"/>
      <c r="BJ232" s="193"/>
      <c r="BK232" s="193"/>
      <c r="BL232" s="193"/>
      <c r="BM232" s="193"/>
      <c r="BN232" s="193"/>
      <c r="BO232" s="193"/>
      <c r="BP232" s="193"/>
      <c r="BQ232" s="193"/>
      <c r="BR232" s="193"/>
      <c r="BS232" s="193"/>
      <c r="BT232" s="199"/>
      <c r="BU232" s="199"/>
      <c r="BV232" s="199"/>
      <c r="BW232" s="193"/>
      <c r="BX232" s="193"/>
      <c r="BY232" s="193"/>
      <c r="BZ232" s="193"/>
      <c r="CA232" s="193"/>
      <c r="CB232" s="35"/>
      <c r="CC232"/>
      <c r="CD232" s="51" t="s">
        <v>44</v>
      </c>
      <c r="CE232" s="51">
        <f>VLOOKUP(SUM(AV230:AV232),'tab aparelhos'!$B$4:$C$35,2)</f>
        <v>0</v>
      </c>
      <c r="CF232" s="51"/>
      <c r="CG232" s="51"/>
      <c r="CH232" s="51"/>
      <c r="CI232" s="51"/>
      <c r="CK232" s="27" t="s">
        <v>44</v>
      </c>
      <c r="CL232" s="83"/>
      <c r="CM232" s="202">
        <f>SUM($U$15,$X$15)</f>
        <v>0</v>
      </c>
      <c r="CN232" s="202">
        <f>SUM($V$15,$Y$15)</f>
        <v>0</v>
      </c>
      <c r="CO232" s="199">
        <f t="shared" si="191"/>
        <v>0</v>
      </c>
      <c r="CP232" s="193"/>
      <c r="CQ232" s="199">
        <f t="shared" si="192"/>
        <v>0</v>
      </c>
      <c r="CR232" s="193"/>
      <c r="CS232" s="193"/>
      <c r="CT232" s="193"/>
      <c r="CU232" s="193"/>
      <c r="CV232" s="193"/>
      <c r="CW232" s="193"/>
      <c r="CX232" s="193"/>
      <c r="CY232" s="193"/>
      <c r="CZ232" s="193"/>
      <c r="DA232" s="193"/>
      <c r="DB232" s="193"/>
      <c r="DC232" s="193"/>
      <c r="DD232" s="193"/>
      <c r="DE232" s="193"/>
      <c r="DF232" s="193"/>
      <c r="DG232" s="193"/>
      <c r="DH232" s="193"/>
      <c r="DI232" s="193"/>
      <c r="DJ232" s="193"/>
      <c r="DK232" s="199"/>
      <c r="DL232" s="199"/>
      <c r="DM232" s="199"/>
      <c r="DN232" s="193"/>
      <c r="DO232" s="193"/>
      <c r="DP232" s="193"/>
      <c r="DQ232" s="193"/>
      <c r="DR232" s="193"/>
      <c r="DS232" s="35"/>
      <c r="DT232"/>
      <c r="DU232" s="51" t="s">
        <v>44</v>
      </c>
      <c r="DV232" s="51">
        <f>VLOOKUP(SUM(CM230:CM232),'tab aparelhos'!$B$4:$C$35,2)</f>
        <v>0</v>
      </c>
      <c r="DW232" s="51"/>
      <c r="DX232" s="51"/>
      <c r="DY232" s="51"/>
    </row>
    <row r="233" spans="1:129" x14ac:dyDescent="0.2">
      <c r="A233" s="51"/>
      <c r="B233"/>
      <c r="C233" s="27" t="s">
        <v>45</v>
      </c>
      <c r="D233" s="83"/>
      <c r="E233" s="202">
        <f t="shared" si="182"/>
        <v>0</v>
      </c>
      <c r="F233" s="202">
        <f t="shared" si="183"/>
        <v>0</v>
      </c>
      <c r="G233" s="199">
        <f t="shared" si="186"/>
        <v>0</v>
      </c>
      <c r="H233" s="193"/>
      <c r="I233" s="199">
        <f t="shared" si="187"/>
        <v>0</v>
      </c>
      <c r="J233" s="193"/>
      <c r="K233" s="193"/>
      <c r="L233" s="193"/>
      <c r="M233" s="193"/>
      <c r="N233" s="193"/>
      <c r="O233" s="193"/>
      <c r="P233" s="193"/>
      <c r="Q233" s="199">
        <f t="shared" si="184"/>
        <v>0</v>
      </c>
      <c r="R233" s="199">
        <f t="shared" si="185"/>
        <v>0</v>
      </c>
      <c r="S233" s="199">
        <f t="shared" si="188"/>
        <v>0</v>
      </c>
      <c r="T233" s="193"/>
      <c r="U233" s="193"/>
      <c r="V233" s="193"/>
      <c r="W233" s="193"/>
      <c r="X233" s="193"/>
      <c r="Y233" s="193"/>
      <c r="Z233" s="193"/>
      <c r="AA233" s="193"/>
      <c r="AB233" s="193"/>
      <c r="AC233" s="199"/>
      <c r="AD233" s="199"/>
      <c r="AE233" s="199"/>
      <c r="AF233" s="193"/>
      <c r="AG233" s="193"/>
      <c r="AH233" s="193"/>
      <c r="AI233" s="193"/>
      <c r="AJ233" s="193"/>
      <c r="AK233" s="35"/>
      <c r="AM233" s="51" t="s">
        <v>45</v>
      </c>
      <c r="AN233" s="51">
        <f>VLOOKUP(E233+E234+Q233+Q234,'tab aparelhos'!$E$4:$F$35,2)</f>
        <v>0</v>
      </c>
      <c r="AO233" s="51"/>
      <c r="AP233" s="51"/>
      <c r="AQ233" s="51"/>
      <c r="AR233" s="51"/>
      <c r="AT233" s="27" t="s">
        <v>45</v>
      </c>
      <c r="AU233" s="83"/>
      <c r="AV233" s="202">
        <f>SUM($O$16,$R$16)</f>
        <v>0</v>
      </c>
      <c r="AW233" s="202">
        <f>SUM($P$16,$S$16)</f>
        <v>0</v>
      </c>
      <c r="AX233" s="199">
        <f t="shared" si="189"/>
        <v>0</v>
      </c>
      <c r="AY233" s="193"/>
      <c r="AZ233" s="199">
        <f t="shared" si="190"/>
        <v>0</v>
      </c>
      <c r="BA233" s="193"/>
      <c r="BB233" s="193"/>
      <c r="BC233" s="193"/>
      <c r="BD233" s="193"/>
      <c r="BE233" s="193"/>
      <c r="BF233" s="193"/>
      <c r="BG233" s="193"/>
      <c r="BH233" s="193"/>
      <c r="BI233" s="193"/>
      <c r="BJ233" s="193"/>
      <c r="BK233" s="193"/>
      <c r="BL233" s="193"/>
      <c r="BM233" s="193"/>
      <c r="BN233" s="193"/>
      <c r="BO233" s="193"/>
      <c r="BP233" s="193"/>
      <c r="BQ233" s="193"/>
      <c r="BR233" s="193"/>
      <c r="BS233" s="193"/>
      <c r="BT233" s="199"/>
      <c r="BU233" s="199"/>
      <c r="BV233" s="199"/>
      <c r="BW233" s="193"/>
      <c r="BX233" s="193"/>
      <c r="BY233" s="193"/>
      <c r="BZ233" s="193"/>
      <c r="CA233" s="193"/>
      <c r="CB233" s="35"/>
      <c r="CC233"/>
      <c r="CD233" s="51" t="s">
        <v>45</v>
      </c>
      <c r="CE233" s="51">
        <f>VLOOKUP(AV233+AV234,'tab aparelhos'!$E$4:$F$35,2)</f>
        <v>0</v>
      </c>
      <c r="CF233" s="51"/>
      <c r="CG233" s="51"/>
      <c r="CH233" s="51"/>
      <c r="CI233" s="51"/>
      <c r="CK233" s="27" t="s">
        <v>45</v>
      </c>
      <c r="CL233" s="83"/>
      <c r="CM233" s="202">
        <f>SUM($U$16,$X$16)</f>
        <v>0</v>
      </c>
      <c r="CN233" s="202">
        <f>SUM($V$16,$Y$16)</f>
        <v>0</v>
      </c>
      <c r="CO233" s="199">
        <f t="shared" si="191"/>
        <v>0</v>
      </c>
      <c r="CP233" s="193"/>
      <c r="CQ233" s="199">
        <f t="shared" si="192"/>
        <v>0</v>
      </c>
      <c r="CR233" s="193"/>
      <c r="CS233" s="193"/>
      <c r="CT233" s="193"/>
      <c r="CU233" s="193"/>
      <c r="CV233" s="193"/>
      <c r="CW233" s="193"/>
      <c r="CX233" s="193"/>
      <c r="CY233" s="193"/>
      <c r="CZ233" s="193"/>
      <c r="DA233" s="193"/>
      <c r="DB233" s="193"/>
      <c r="DC233" s="193"/>
      <c r="DD233" s="193"/>
      <c r="DE233" s="193"/>
      <c r="DF233" s="193"/>
      <c r="DG233" s="193"/>
      <c r="DH233" s="193"/>
      <c r="DI233" s="193"/>
      <c r="DJ233" s="193"/>
      <c r="DK233" s="199"/>
      <c r="DL233" s="199"/>
      <c r="DM233" s="199"/>
      <c r="DN233" s="193"/>
      <c r="DO233" s="193"/>
      <c r="DP233" s="193"/>
      <c r="DQ233" s="193"/>
      <c r="DR233" s="193"/>
      <c r="DS233" s="35"/>
      <c r="DT233"/>
      <c r="DU233" s="51" t="s">
        <v>45</v>
      </c>
      <c r="DV233" s="51">
        <f>VLOOKUP(CM233+CM234,'tab aparelhos'!$E$4:$F$35,2)</f>
        <v>0</v>
      </c>
      <c r="DW233" s="51"/>
      <c r="DX233" s="51"/>
      <c r="DY233" s="51"/>
    </row>
    <row r="234" spans="1:129" x14ac:dyDescent="0.2">
      <c r="A234" s="51"/>
      <c r="B234"/>
      <c r="C234" s="27" t="s">
        <v>46</v>
      </c>
      <c r="D234" s="83"/>
      <c r="E234" s="202">
        <f t="shared" si="182"/>
        <v>0</v>
      </c>
      <c r="F234" s="202">
        <f t="shared" si="183"/>
        <v>0</v>
      </c>
      <c r="G234" s="199">
        <f t="shared" si="186"/>
        <v>0</v>
      </c>
      <c r="H234" s="193"/>
      <c r="I234" s="199">
        <f t="shared" si="187"/>
        <v>0</v>
      </c>
      <c r="J234" s="193"/>
      <c r="K234" s="193"/>
      <c r="L234" s="193"/>
      <c r="M234" s="193"/>
      <c r="N234" s="193"/>
      <c r="O234" s="193"/>
      <c r="P234" s="193"/>
      <c r="Q234" s="199">
        <f t="shared" si="184"/>
        <v>0</v>
      </c>
      <c r="R234" s="199">
        <f t="shared" si="185"/>
        <v>0</v>
      </c>
      <c r="S234" s="199">
        <f t="shared" si="188"/>
        <v>0</v>
      </c>
      <c r="T234" s="193"/>
      <c r="U234" s="193"/>
      <c r="V234" s="193"/>
      <c r="W234" s="193"/>
      <c r="X234" s="193"/>
      <c r="Y234" s="193"/>
      <c r="Z234" s="193"/>
      <c r="AA234" s="193"/>
      <c r="AB234" s="193"/>
      <c r="AC234" s="199"/>
      <c r="AD234" s="199"/>
      <c r="AE234" s="199"/>
      <c r="AF234" s="193"/>
      <c r="AG234" s="193"/>
      <c r="AH234" s="193"/>
      <c r="AI234" s="193"/>
      <c r="AJ234" s="193"/>
      <c r="AK234" s="35"/>
      <c r="AM234" s="51" t="s">
        <v>46</v>
      </c>
      <c r="AN234" s="51">
        <f>VLOOKUP(E234+E233+Q233+Q234,'tab aparelhos'!$E$4:$F$35,2)</f>
        <v>0</v>
      </c>
      <c r="AO234" s="51"/>
      <c r="AP234" s="51"/>
      <c r="AQ234" s="51"/>
      <c r="AR234" s="51"/>
      <c r="AT234" s="27" t="s">
        <v>46</v>
      </c>
      <c r="AU234" s="83"/>
      <c r="AV234" s="202">
        <f>SUM($O$17,$R$17)</f>
        <v>0</v>
      </c>
      <c r="AW234" s="202">
        <f>SUM($P$17,$S$17)</f>
        <v>0</v>
      </c>
      <c r="AX234" s="199">
        <f t="shared" si="189"/>
        <v>0</v>
      </c>
      <c r="AY234" s="193"/>
      <c r="AZ234" s="199">
        <f t="shared" si="190"/>
        <v>0</v>
      </c>
      <c r="BA234" s="193"/>
      <c r="BB234" s="193"/>
      <c r="BC234" s="193"/>
      <c r="BD234" s="193"/>
      <c r="BE234" s="193"/>
      <c r="BF234" s="193"/>
      <c r="BG234" s="193"/>
      <c r="BH234" s="193"/>
      <c r="BI234" s="193"/>
      <c r="BJ234" s="193"/>
      <c r="BK234" s="193"/>
      <c r="BL234" s="193"/>
      <c r="BM234" s="193"/>
      <c r="BN234" s="193"/>
      <c r="BO234" s="193"/>
      <c r="BP234" s="193"/>
      <c r="BQ234" s="193"/>
      <c r="BR234" s="193"/>
      <c r="BS234" s="193"/>
      <c r="BT234" s="199"/>
      <c r="BU234" s="199"/>
      <c r="BV234" s="199"/>
      <c r="BW234" s="193"/>
      <c r="BX234" s="193"/>
      <c r="BY234" s="193"/>
      <c r="BZ234" s="193"/>
      <c r="CA234" s="193"/>
      <c r="CB234" s="35"/>
      <c r="CC234"/>
      <c r="CD234" s="51" t="s">
        <v>46</v>
      </c>
      <c r="CE234" s="51">
        <f>VLOOKUP(AV234+AV233,'tab aparelhos'!$E$4:$F$35,2)</f>
        <v>0</v>
      </c>
      <c r="CF234" s="51"/>
      <c r="CG234" s="51"/>
      <c r="CH234" s="51"/>
      <c r="CI234" s="51"/>
      <c r="CK234" s="27" t="s">
        <v>46</v>
      </c>
      <c r="CL234" s="83"/>
      <c r="CM234" s="202">
        <f>SUM($U$17,$X$17)</f>
        <v>0</v>
      </c>
      <c r="CN234" s="202">
        <f>SUM($V$17,$Y$17)</f>
        <v>0</v>
      </c>
      <c r="CO234" s="199">
        <f t="shared" si="191"/>
        <v>0</v>
      </c>
      <c r="CP234" s="193"/>
      <c r="CQ234" s="199">
        <f t="shared" si="192"/>
        <v>0</v>
      </c>
      <c r="CR234" s="193"/>
      <c r="CS234" s="193"/>
      <c r="CT234" s="193"/>
      <c r="CU234" s="193"/>
      <c r="CV234" s="193"/>
      <c r="CW234" s="193"/>
      <c r="CX234" s="193"/>
      <c r="CY234" s="193"/>
      <c r="CZ234" s="193"/>
      <c r="DA234" s="193"/>
      <c r="DB234" s="193"/>
      <c r="DC234" s="193"/>
      <c r="DD234" s="193"/>
      <c r="DE234" s="193"/>
      <c r="DF234" s="193"/>
      <c r="DG234" s="193"/>
      <c r="DH234" s="193"/>
      <c r="DI234" s="193"/>
      <c r="DJ234" s="193"/>
      <c r="DK234" s="199"/>
      <c r="DL234" s="199"/>
      <c r="DM234" s="199"/>
      <c r="DN234" s="193"/>
      <c r="DO234" s="193"/>
      <c r="DP234" s="193"/>
      <c r="DQ234" s="193"/>
      <c r="DR234" s="193"/>
      <c r="DS234" s="35"/>
      <c r="DT234"/>
      <c r="DU234" s="51" t="s">
        <v>46</v>
      </c>
      <c r="DV234" s="51">
        <f>VLOOKUP(CM234+CM233,'tab aparelhos'!$E$4:$F$35,2)</f>
        <v>0</v>
      </c>
      <c r="DW234" s="51"/>
      <c r="DX234" s="51"/>
      <c r="DY234" s="51"/>
    </row>
    <row r="235" spans="1:129" x14ac:dyDescent="0.2">
      <c r="A235" s="51"/>
      <c r="B235"/>
      <c r="C235" s="27" t="s">
        <v>47</v>
      </c>
      <c r="D235" s="83"/>
      <c r="E235" s="202">
        <f t="shared" si="182"/>
        <v>0</v>
      </c>
      <c r="F235" s="202">
        <f t="shared" si="183"/>
        <v>0</v>
      </c>
      <c r="G235" s="199">
        <f t="shared" si="186"/>
        <v>0</v>
      </c>
      <c r="H235" s="193"/>
      <c r="I235" s="199">
        <f t="shared" si="187"/>
        <v>0</v>
      </c>
      <c r="J235" s="193"/>
      <c r="K235" s="193"/>
      <c r="L235" s="193"/>
      <c r="M235" s="193"/>
      <c r="N235" s="193"/>
      <c r="O235" s="193"/>
      <c r="P235" s="193"/>
      <c r="Q235" s="199">
        <f t="shared" si="184"/>
        <v>0</v>
      </c>
      <c r="R235" s="199">
        <f t="shared" si="185"/>
        <v>0</v>
      </c>
      <c r="S235" s="199">
        <f t="shared" si="188"/>
        <v>0</v>
      </c>
      <c r="T235" s="193"/>
      <c r="U235" s="193"/>
      <c r="V235" s="193"/>
      <c r="W235" s="193"/>
      <c r="X235" s="193"/>
      <c r="Y235" s="193"/>
      <c r="Z235" s="193"/>
      <c r="AA235" s="193"/>
      <c r="AB235" s="193"/>
      <c r="AC235" s="199"/>
      <c r="AD235" s="199"/>
      <c r="AE235" s="199"/>
      <c r="AF235" s="193"/>
      <c r="AG235" s="193"/>
      <c r="AH235" s="193"/>
      <c r="AI235" s="193"/>
      <c r="AJ235" s="193"/>
      <c r="AK235" s="35"/>
      <c r="AM235" s="51" t="s">
        <v>47</v>
      </c>
      <c r="AN235" s="51">
        <f>VLOOKUP(E235+Q235,'tab aparelhos'!$K$4:$L$35,2)</f>
        <v>0</v>
      </c>
      <c r="AO235" s="51"/>
      <c r="AP235" s="51"/>
      <c r="AQ235" s="51"/>
      <c r="AR235" s="51"/>
      <c r="AT235" s="27" t="s">
        <v>47</v>
      </c>
      <c r="AU235" s="83"/>
      <c r="AV235" s="202">
        <f>SUM($O$18,$R$18)</f>
        <v>0</v>
      </c>
      <c r="AW235" s="202">
        <f>SUM($P$18,$S$18)</f>
        <v>0</v>
      </c>
      <c r="AX235" s="199">
        <f t="shared" si="189"/>
        <v>0</v>
      </c>
      <c r="AY235" s="193"/>
      <c r="AZ235" s="199">
        <f t="shared" si="190"/>
        <v>0</v>
      </c>
      <c r="BA235" s="193"/>
      <c r="BB235" s="193"/>
      <c r="BC235" s="193"/>
      <c r="BD235" s="193"/>
      <c r="BE235" s="193"/>
      <c r="BF235" s="193"/>
      <c r="BG235" s="193"/>
      <c r="BH235" s="193"/>
      <c r="BI235" s="193"/>
      <c r="BJ235" s="193"/>
      <c r="BK235" s="193"/>
      <c r="BL235" s="193"/>
      <c r="BM235" s="193"/>
      <c r="BN235" s="193"/>
      <c r="BO235" s="193"/>
      <c r="BP235" s="193"/>
      <c r="BQ235" s="193"/>
      <c r="BR235" s="193"/>
      <c r="BS235" s="193"/>
      <c r="BT235" s="199"/>
      <c r="BU235" s="199"/>
      <c r="BV235" s="199"/>
      <c r="BW235" s="193"/>
      <c r="BX235" s="193"/>
      <c r="BY235" s="193"/>
      <c r="BZ235" s="193"/>
      <c r="CA235" s="193"/>
      <c r="CB235" s="35"/>
      <c r="CC235"/>
      <c r="CD235" s="51" t="s">
        <v>47</v>
      </c>
      <c r="CE235" s="51">
        <f>VLOOKUP(AV235,'tab aparelhos'!$K$4:$L$35,2)</f>
        <v>0</v>
      </c>
      <c r="CF235" s="51"/>
      <c r="CG235" s="51"/>
      <c r="CH235" s="51"/>
      <c r="CI235" s="51"/>
      <c r="CK235" s="27" t="s">
        <v>47</v>
      </c>
      <c r="CL235" s="83"/>
      <c r="CM235" s="202">
        <f>SUM($U$18,$X$18)</f>
        <v>0</v>
      </c>
      <c r="CN235" s="202">
        <f>SUM($V$18,$Y$18)</f>
        <v>0</v>
      </c>
      <c r="CO235" s="199">
        <f t="shared" si="191"/>
        <v>0</v>
      </c>
      <c r="CP235" s="193"/>
      <c r="CQ235" s="199">
        <f t="shared" si="192"/>
        <v>0</v>
      </c>
      <c r="CR235" s="193"/>
      <c r="CS235" s="193"/>
      <c r="CT235" s="193"/>
      <c r="CU235" s="193"/>
      <c r="CV235" s="193"/>
      <c r="CW235" s="193"/>
      <c r="CX235" s="193"/>
      <c r="CY235" s="193"/>
      <c r="CZ235" s="193"/>
      <c r="DA235" s="193"/>
      <c r="DB235" s="193"/>
      <c r="DC235" s="193"/>
      <c r="DD235" s="193"/>
      <c r="DE235" s="193"/>
      <c r="DF235" s="193"/>
      <c r="DG235" s="193"/>
      <c r="DH235" s="193"/>
      <c r="DI235" s="193"/>
      <c r="DJ235" s="193"/>
      <c r="DK235" s="199"/>
      <c r="DL235" s="199"/>
      <c r="DM235" s="199"/>
      <c r="DN235" s="193"/>
      <c r="DO235" s="193"/>
      <c r="DP235" s="193"/>
      <c r="DQ235" s="193"/>
      <c r="DR235" s="193"/>
      <c r="DS235" s="35"/>
      <c r="DT235"/>
      <c r="DU235" s="51" t="s">
        <v>47</v>
      </c>
      <c r="DV235" s="51">
        <f>VLOOKUP(CM235,'tab aparelhos'!$K$4:$L$35,2)</f>
        <v>0</v>
      </c>
      <c r="DW235" s="51"/>
      <c r="DX235" s="51"/>
      <c r="DY235" s="51"/>
    </row>
    <row r="236" spans="1:129" x14ac:dyDescent="0.2">
      <c r="A236" s="51"/>
      <c r="B236"/>
      <c r="C236" s="27" t="s">
        <v>48</v>
      </c>
      <c r="D236" s="83"/>
      <c r="E236" s="202">
        <f t="shared" si="182"/>
        <v>0</v>
      </c>
      <c r="F236" s="202">
        <f t="shared" si="183"/>
        <v>0</v>
      </c>
      <c r="G236" s="199">
        <f t="shared" si="186"/>
        <v>0</v>
      </c>
      <c r="H236" s="193"/>
      <c r="I236" s="199">
        <f t="shared" si="187"/>
        <v>0</v>
      </c>
      <c r="J236" s="193"/>
      <c r="K236" s="193"/>
      <c r="L236" s="193"/>
      <c r="M236" s="193"/>
      <c r="N236" s="193"/>
      <c r="O236" s="193"/>
      <c r="P236" s="193"/>
      <c r="Q236" s="199">
        <f t="shared" si="184"/>
        <v>0</v>
      </c>
      <c r="R236" s="199">
        <f t="shared" si="185"/>
        <v>0</v>
      </c>
      <c r="S236" s="199">
        <f t="shared" si="188"/>
        <v>0</v>
      </c>
      <c r="T236" s="193"/>
      <c r="U236" s="193"/>
      <c r="V236" s="193"/>
      <c r="W236" s="193"/>
      <c r="X236" s="193"/>
      <c r="Y236" s="193"/>
      <c r="Z236" s="193"/>
      <c r="AA236" s="193"/>
      <c r="AB236" s="193"/>
      <c r="AC236" s="199"/>
      <c r="AD236" s="199"/>
      <c r="AE236" s="199"/>
      <c r="AF236" s="193"/>
      <c r="AG236" s="193"/>
      <c r="AH236" s="193"/>
      <c r="AI236" s="193"/>
      <c r="AJ236" s="193"/>
      <c r="AK236" s="35"/>
      <c r="AM236" s="51" t="s">
        <v>48</v>
      </c>
      <c r="AN236" s="51">
        <f>VLOOKUP(E236+E237+Q236+Q237,'tab aparelhos'!$N$4:$O$35,2)</f>
        <v>0</v>
      </c>
      <c r="AO236" s="51"/>
      <c r="AP236" s="51"/>
      <c r="AQ236" s="51"/>
      <c r="AR236" s="51"/>
      <c r="AT236" s="27" t="s">
        <v>48</v>
      </c>
      <c r="AU236" s="83"/>
      <c r="AV236" s="202">
        <f>SUM($O$19,$R$19)</f>
        <v>0</v>
      </c>
      <c r="AW236" s="202">
        <f>SUM($P$19,$S$19)</f>
        <v>0</v>
      </c>
      <c r="AX236" s="199">
        <f t="shared" si="189"/>
        <v>0</v>
      </c>
      <c r="AY236" s="193"/>
      <c r="AZ236" s="199">
        <f t="shared" si="190"/>
        <v>0</v>
      </c>
      <c r="BA236" s="193"/>
      <c r="BB236" s="193"/>
      <c r="BC236" s="193"/>
      <c r="BD236" s="193"/>
      <c r="BE236" s="193"/>
      <c r="BF236" s="193"/>
      <c r="BG236" s="193"/>
      <c r="BH236" s="193"/>
      <c r="BI236" s="193"/>
      <c r="BJ236" s="193"/>
      <c r="BK236" s="193"/>
      <c r="BL236" s="193"/>
      <c r="BM236" s="193"/>
      <c r="BN236" s="193"/>
      <c r="BO236" s="193"/>
      <c r="BP236" s="193"/>
      <c r="BQ236" s="193"/>
      <c r="BR236" s="193"/>
      <c r="BS236" s="193"/>
      <c r="BT236" s="199"/>
      <c r="BU236" s="199"/>
      <c r="BV236" s="199"/>
      <c r="BW236" s="193"/>
      <c r="BX236" s="193"/>
      <c r="BY236" s="193"/>
      <c r="BZ236" s="193"/>
      <c r="CA236" s="193"/>
      <c r="CB236" s="35"/>
      <c r="CC236"/>
      <c r="CD236" s="51" t="s">
        <v>48</v>
      </c>
      <c r="CE236" s="51">
        <f>VLOOKUP(AV236+AV237,'tab aparelhos'!$N$4:$O$35,2)</f>
        <v>0</v>
      </c>
      <c r="CF236" s="51"/>
      <c r="CG236" s="51"/>
      <c r="CH236" s="51"/>
      <c r="CI236" s="51"/>
      <c r="CK236" s="27" t="s">
        <v>48</v>
      </c>
      <c r="CL236" s="83"/>
      <c r="CM236" s="202">
        <f>SUM($U$19,$X$19)</f>
        <v>0</v>
      </c>
      <c r="CN236" s="202">
        <f>SUM($V$19,$Y$19)</f>
        <v>0</v>
      </c>
      <c r="CO236" s="199">
        <f t="shared" si="191"/>
        <v>0</v>
      </c>
      <c r="CP236" s="193"/>
      <c r="CQ236" s="199">
        <f t="shared" si="192"/>
        <v>0</v>
      </c>
      <c r="CR236" s="193"/>
      <c r="CS236" s="193"/>
      <c r="CT236" s="193"/>
      <c r="CU236" s="193"/>
      <c r="CV236" s="193"/>
      <c r="CW236" s="193"/>
      <c r="CX236" s="193"/>
      <c r="CY236" s="193"/>
      <c r="CZ236" s="193"/>
      <c r="DA236" s="193"/>
      <c r="DB236" s="193"/>
      <c r="DC236" s="193"/>
      <c r="DD236" s="193"/>
      <c r="DE236" s="193"/>
      <c r="DF236" s="193"/>
      <c r="DG236" s="193"/>
      <c r="DH236" s="193"/>
      <c r="DI236" s="193"/>
      <c r="DJ236" s="193"/>
      <c r="DK236" s="199"/>
      <c r="DL236" s="199"/>
      <c r="DM236" s="199"/>
      <c r="DN236" s="193"/>
      <c r="DO236" s="193"/>
      <c r="DP236" s="193"/>
      <c r="DQ236" s="193"/>
      <c r="DR236" s="193"/>
      <c r="DS236" s="35"/>
      <c r="DT236"/>
      <c r="DU236" s="51" t="s">
        <v>48</v>
      </c>
      <c r="DV236" s="51">
        <f>VLOOKUP(CM236+CM237,'tab aparelhos'!$N$4:$O$35,2)</f>
        <v>0</v>
      </c>
      <c r="DW236" s="51"/>
      <c r="DX236" s="51"/>
      <c r="DY236" s="51"/>
    </row>
    <row r="237" spans="1:129" x14ac:dyDescent="0.2">
      <c r="A237" s="51"/>
      <c r="B237"/>
      <c r="C237" s="27" t="s">
        <v>49</v>
      </c>
      <c r="D237" s="83"/>
      <c r="E237" s="202">
        <f t="shared" si="182"/>
        <v>0</v>
      </c>
      <c r="F237" s="202">
        <f t="shared" si="183"/>
        <v>0</v>
      </c>
      <c r="G237" s="199">
        <f t="shared" si="186"/>
        <v>0</v>
      </c>
      <c r="H237" s="193"/>
      <c r="I237" s="199">
        <f t="shared" si="187"/>
        <v>0</v>
      </c>
      <c r="J237" s="193"/>
      <c r="K237" s="193"/>
      <c r="L237" s="193"/>
      <c r="M237" s="193"/>
      <c r="N237" s="193"/>
      <c r="O237" s="193"/>
      <c r="P237" s="193"/>
      <c r="Q237" s="199">
        <f t="shared" si="184"/>
        <v>0</v>
      </c>
      <c r="R237" s="199">
        <f t="shared" si="185"/>
        <v>0</v>
      </c>
      <c r="S237" s="199">
        <f t="shared" si="188"/>
        <v>0</v>
      </c>
      <c r="T237" s="193"/>
      <c r="U237" s="193"/>
      <c r="V237" s="193"/>
      <c r="W237" s="193"/>
      <c r="X237" s="193"/>
      <c r="Y237" s="193"/>
      <c r="Z237" s="193"/>
      <c r="AA237" s="193"/>
      <c r="AB237" s="193"/>
      <c r="AC237" s="199"/>
      <c r="AD237" s="199"/>
      <c r="AE237" s="199"/>
      <c r="AF237" s="193"/>
      <c r="AG237" s="193"/>
      <c r="AH237" s="193"/>
      <c r="AI237" s="193"/>
      <c r="AJ237" s="193"/>
      <c r="AK237" s="35"/>
      <c r="AM237" s="51" t="s">
        <v>49</v>
      </c>
      <c r="AN237" s="51">
        <f>VLOOKUP(E237+E236+Q236+Q237,'tab aparelhos'!$N$4:$O$35,2)</f>
        <v>0</v>
      </c>
      <c r="AO237" s="51"/>
      <c r="AP237" s="51"/>
      <c r="AQ237" s="51"/>
      <c r="AR237" s="51"/>
      <c r="AT237" s="27" t="s">
        <v>49</v>
      </c>
      <c r="AU237" s="83"/>
      <c r="AV237" s="202">
        <f>SUM($O$20,$R$20)</f>
        <v>0</v>
      </c>
      <c r="AW237" s="202">
        <f>SUM($P$20,$S$20)</f>
        <v>0</v>
      </c>
      <c r="AX237" s="199">
        <f t="shared" si="189"/>
        <v>0</v>
      </c>
      <c r="AY237" s="193"/>
      <c r="AZ237" s="199">
        <f t="shared" si="190"/>
        <v>0</v>
      </c>
      <c r="BA237" s="193"/>
      <c r="BB237" s="193"/>
      <c r="BC237" s="193"/>
      <c r="BD237" s="193"/>
      <c r="BE237" s="193"/>
      <c r="BF237" s="193"/>
      <c r="BG237" s="193"/>
      <c r="BH237" s="193"/>
      <c r="BI237" s="193"/>
      <c r="BJ237" s="193"/>
      <c r="BK237" s="193"/>
      <c r="BL237" s="193"/>
      <c r="BM237" s="193"/>
      <c r="BN237" s="193"/>
      <c r="BO237" s="193"/>
      <c r="BP237" s="193"/>
      <c r="BQ237" s="193"/>
      <c r="BR237" s="193"/>
      <c r="BS237" s="193"/>
      <c r="BT237" s="199"/>
      <c r="BU237" s="199"/>
      <c r="BV237" s="199"/>
      <c r="BW237" s="193"/>
      <c r="BX237" s="193"/>
      <c r="BY237" s="193"/>
      <c r="BZ237" s="193"/>
      <c r="CA237" s="193"/>
      <c r="CB237" s="35"/>
      <c r="CC237"/>
      <c r="CD237" s="51" t="s">
        <v>49</v>
      </c>
      <c r="CE237" s="51">
        <f>VLOOKUP(AV237+AV236,'tab aparelhos'!$N$4:$O$35,2)</f>
        <v>0</v>
      </c>
      <c r="CF237" s="51"/>
      <c r="CG237" s="51"/>
      <c r="CH237" s="51"/>
      <c r="CI237" s="51"/>
      <c r="CK237" s="27" t="s">
        <v>49</v>
      </c>
      <c r="CL237" s="83"/>
      <c r="CM237" s="202">
        <f>SUM($U$20,$X$20)</f>
        <v>0</v>
      </c>
      <c r="CN237" s="202">
        <f>SUM($V$20,$Y$20)</f>
        <v>0</v>
      </c>
      <c r="CO237" s="199">
        <f t="shared" si="191"/>
        <v>0</v>
      </c>
      <c r="CP237" s="193"/>
      <c r="CQ237" s="199">
        <f t="shared" si="192"/>
        <v>0</v>
      </c>
      <c r="CR237" s="193"/>
      <c r="CS237" s="193"/>
      <c r="CT237" s="193"/>
      <c r="CU237" s="193"/>
      <c r="CV237" s="193"/>
      <c r="CW237" s="193"/>
      <c r="CX237" s="193"/>
      <c r="CY237" s="193"/>
      <c r="CZ237" s="193"/>
      <c r="DA237" s="193"/>
      <c r="DB237" s="193"/>
      <c r="DC237" s="193"/>
      <c r="DD237" s="193"/>
      <c r="DE237" s="193"/>
      <c r="DF237" s="193"/>
      <c r="DG237" s="193"/>
      <c r="DH237" s="193"/>
      <c r="DI237" s="193"/>
      <c r="DJ237" s="193"/>
      <c r="DK237" s="199"/>
      <c r="DL237" s="199"/>
      <c r="DM237" s="199"/>
      <c r="DN237" s="193"/>
      <c r="DO237" s="193"/>
      <c r="DP237" s="193"/>
      <c r="DQ237" s="193"/>
      <c r="DR237" s="193"/>
      <c r="DS237" s="35"/>
      <c r="DT237"/>
      <c r="DU237" s="51" t="s">
        <v>49</v>
      </c>
      <c r="DV237" s="51">
        <f>VLOOKUP(CM237+CM236,'tab aparelhos'!$N$4:$O$35,2)</f>
        <v>0</v>
      </c>
      <c r="DW237" s="51"/>
      <c r="DX237" s="51"/>
      <c r="DY237" s="51"/>
    </row>
    <row r="238" spans="1:129" x14ac:dyDescent="0.2">
      <c r="A238" s="51"/>
      <c r="B238"/>
      <c r="C238" s="27" t="s">
        <v>50</v>
      </c>
      <c r="D238" s="83"/>
      <c r="E238" s="202">
        <f t="shared" si="182"/>
        <v>0</v>
      </c>
      <c r="F238" s="202">
        <f t="shared" si="183"/>
        <v>0</v>
      </c>
      <c r="G238" s="199">
        <f t="shared" si="186"/>
        <v>0</v>
      </c>
      <c r="H238" s="193"/>
      <c r="I238" s="199">
        <f t="shared" si="187"/>
        <v>0</v>
      </c>
      <c r="J238" s="193"/>
      <c r="K238" s="193"/>
      <c r="L238" s="193"/>
      <c r="M238" s="193"/>
      <c r="N238" s="193"/>
      <c r="O238" s="193"/>
      <c r="P238" s="193"/>
      <c r="Q238" s="199">
        <f t="shared" si="184"/>
        <v>0</v>
      </c>
      <c r="R238" s="199">
        <f t="shared" si="185"/>
        <v>0</v>
      </c>
      <c r="S238" s="199">
        <f t="shared" si="188"/>
        <v>0</v>
      </c>
      <c r="T238" s="193"/>
      <c r="U238" s="193"/>
      <c r="V238" s="193"/>
      <c r="W238" s="193"/>
      <c r="X238" s="193"/>
      <c r="Y238" s="193"/>
      <c r="Z238" s="193"/>
      <c r="AA238" s="193"/>
      <c r="AB238" s="193"/>
      <c r="AC238" s="199"/>
      <c r="AD238" s="199"/>
      <c r="AE238" s="199"/>
      <c r="AF238" s="193"/>
      <c r="AG238" s="193"/>
      <c r="AH238" s="193"/>
      <c r="AI238" s="193"/>
      <c r="AJ238" s="193"/>
      <c r="AK238" s="35"/>
      <c r="AM238" s="51" t="s">
        <v>50</v>
      </c>
      <c r="AN238" s="51">
        <f>VLOOKUP(SUM(E238:E241,Q238:Q241),'tab aparelhos'!$T$4:$U$35,2)</f>
        <v>0</v>
      </c>
      <c r="AO238" s="51"/>
      <c r="AP238" s="51"/>
      <c r="AQ238" s="51"/>
      <c r="AR238" s="51"/>
      <c r="AT238" s="27" t="s">
        <v>50</v>
      </c>
      <c r="AU238" s="83"/>
      <c r="AV238" s="202">
        <f>SUM($O$21,$R$21)</f>
        <v>0</v>
      </c>
      <c r="AW238" s="202">
        <f>SUM($P$21,$S$21)</f>
        <v>0</v>
      </c>
      <c r="AX238" s="199">
        <f t="shared" si="189"/>
        <v>0</v>
      </c>
      <c r="AY238" s="193"/>
      <c r="AZ238" s="199">
        <f t="shared" si="190"/>
        <v>0</v>
      </c>
      <c r="BA238" s="193"/>
      <c r="BB238" s="193"/>
      <c r="BC238" s="193"/>
      <c r="BD238" s="193"/>
      <c r="BE238" s="193"/>
      <c r="BF238" s="193"/>
      <c r="BG238" s="193"/>
      <c r="BH238" s="193"/>
      <c r="BI238" s="193"/>
      <c r="BJ238" s="193"/>
      <c r="BK238" s="193"/>
      <c r="BL238" s="193"/>
      <c r="BM238" s="193"/>
      <c r="BN238" s="193"/>
      <c r="BO238" s="193"/>
      <c r="BP238" s="193"/>
      <c r="BQ238" s="193"/>
      <c r="BR238" s="193"/>
      <c r="BS238" s="193"/>
      <c r="BT238" s="199"/>
      <c r="BU238" s="199"/>
      <c r="BV238" s="199"/>
      <c r="BW238" s="193"/>
      <c r="BX238" s="193"/>
      <c r="BY238" s="193"/>
      <c r="BZ238" s="193"/>
      <c r="CA238" s="193"/>
      <c r="CB238" s="35"/>
      <c r="CC238"/>
      <c r="CD238" s="51" t="s">
        <v>50</v>
      </c>
      <c r="CE238" s="51">
        <f>VLOOKUP(SUM(AV238:AV241),'tab aparelhos'!$T$4:$U$35,2)</f>
        <v>0</v>
      </c>
      <c r="CF238" s="51"/>
      <c r="CG238" s="51"/>
      <c r="CH238" s="51"/>
      <c r="CI238" s="51"/>
      <c r="CK238" s="27" t="s">
        <v>50</v>
      </c>
      <c r="CL238" s="83"/>
      <c r="CM238" s="202">
        <f>SUM($U$21,$X$21)</f>
        <v>0</v>
      </c>
      <c r="CN238" s="202">
        <f>SUM($V$21,$Y$21)</f>
        <v>0</v>
      </c>
      <c r="CO238" s="199">
        <f t="shared" si="191"/>
        <v>0</v>
      </c>
      <c r="CP238" s="193"/>
      <c r="CQ238" s="199">
        <f t="shared" si="192"/>
        <v>0</v>
      </c>
      <c r="CR238" s="193"/>
      <c r="CS238" s="193"/>
      <c r="CT238" s="193"/>
      <c r="CU238" s="193"/>
      <c r="CV238" s="193"/>
      <c r="CW238" s="193"/>
      <c r="CX238" s="193"/>
      <c r="CY238" s="193"/>
      <c r="CZ238" s="193"/>
      <c r="DA238" s="193"/>
      <c r="DB238" s="193"/>
      <c r="DC238" s="193"/>
      <c r="DD238" s="193"/>
      <c r="DE238" s="193"/>
      <c r="DF238" s="193"/>
      <c r="DG238" s="193"/>
      <c r="DH238" s="193"/>
      <c r="DI238" s="193"/>
      <c r="DJ238" s="193"/>
      <c r="DK238" s="199"/>
      <c r="DL238" s="199"/>
      <c r="DM238" s="199"/>
      <c r="DN238" s="193"/>
      <c r="DO238" s="193"/>
      <c r="DP238" s="193"/>
      <c r="DQ238" s="193"/>
      <c r="DR238" s="193"/>
      <c r="DS238" s="35"/>
      <c r="DT238"/>
      <c r="DU238" s="51" t="s">
        <v>50</v>
      </c>
      <c r="DV238" s="51">
        <f>VLOOKUP(SUM(CM238:CM241),'tab aparelhos'!$T$4:$U$35,2)</f>
        <v>0</v>
      </c>
      <c r="DW238" s="51"/>
      <c r="DX238" s="51"/>
      <c r="DY238" s="51"/>
    </row>
    <row r="239" spans="1:129" x14ac:dyDescent="0.2">
      <c r="A239" s="51"/>
      <c r="B239"/>
      <c r="C239" s="27" t="s">
        <v>51</v>
      </c>
      <c r="D239" s="83"/>
      <c r="E239" s="202">
        <f t="shared" si="182"/>
        <v>0</v>
      </c>
      <c r="F239" s="202">
        <f t="shared" si="183"/>
        <v>0</v>
      </c>
      <c r="G239" s="199">
        <f t="shared" si="186"/>
        <v>0</v>
      </c>
      <c r="H239" s="193"/>
      <c r="I239" s="199">
        <f t="shared" si="187"/>
        <v>0</v>
      </c>
      <c r="J239" s="193"/>
      <c r="K239" s="193"/>
      <c r="L239" s="193"/>
      <c r="M239" s="193"/>
      <c r="N239" s="193"/>
      <c r="O239" s="193"/>
      <c r="P239" s="193"/>
      <c r="Q239" s="199">
        <f t="shared" si="184"/>
        <v>0</v>
      </c>
      <c r="R239" s="199">
        <f t="shared" si="185"/>
        <v>0</v>
      </c>
      <c r="S239" s="199">
        <f t="shared" si="188"/>
        <v>0</v>
      </c>
      <c r="T239" s="193"/>
      <c r="U239" s="193"/>
      <c r="V239" s="193"/>
      <c r="W239" s="193"/>
      <c r="X239" s="193"/>
      <c r="Y239" s="193"/>
      <c r="Z239" s="193"/>
      <c r="AA239" s="193"/>
      <c r="AB239" s="193"/>
      <c r="AC239" s="199"/>
      <c r="AD239" s="199"/>
      <c r="AE239" s="199"/>
      <c r="AF239" s="193"/>
      <c r="AG239" s="193"/>
      <c r="AH239" s="193"/>
      <c r="AI239" s="193"/>
      <c r="AJ239" s="193"/>
      <c r="AK239" s="35"/>
      <c r="AM239" s="51" t="s">
        <v>51</v>
      </c>
      <c r="AN239" s="51">
        <f>VLOOKUP(SUM(E238:E241,Q238:Q241),'tab aparelhos'!$T$4:$U$35,2)</f>
        <v>0</v>
      </c>
      <c r="AO239" s="51"/>
      <c r="AP239" s="51"/>
      <c r="AQ239" s="51"/>
      <c r="AR239" s="51"/>
      <c r="AT239" s="27" t="s">
        <v>51</v>
      </c>
      <c r="AU239" s="83"/>
      <c r="AV239" s="202">
        <f>SUM($O$22,$R$22)</f>
        <v>0</v>
      </c>
      <c r="AW239" s="202">
        <f>SUM($P$22,$S$22)</f>
        <v>0</v>
      </c>
      <c r="AX239" s="199">
        <f t="shared" si="189"/>
        <v>0</v>
      </c>
      <c r="AY239" s="193"/>
      <c r="AZ239" s="199">
        <f t="shared" si="190"/>
        <v>0</v>
      </c>
      <c r="BA239" s="193"/>
      <c r="BB239" s="193"/>
      <c r="BC239" s="193"/>
      <c r="BD239" s="193"/>
      <c r="BE239" s="193"/>
      <c r="BF239" s="193"/>
      <c r="BG239" s="193"/>
      <c r="BH239" s="193"/>
      <c r="BI239" s="193"/>
      <c r="BJ239" s="193"/>
      <c r="BK239" s="193"/>
      <c r="BL239" s="193"/>
      <c r="BM239" s="193"/>
      <c r="BN239" s="193"/>
      <c r="BO239" s="193"/>
      <c r="BP239" s="193"/>
      <c r="BQ239" s="193"/>
      <c r="BR239" s="193"/>
      <c r="BS239" s="193"/>
      <c r="BT239" s="199"/>
      <c r="BU239" s="199"/>
      <c r="BV239" s="199"/>
      <c r="BW239" s="193"/>
      <c r="BX239" s="193"/>
      <c r="BY239" s="193"/>
      <c r="BZ239" s="193"/>
      <c r="CA239" s="193"/>
      <c r="CB239" s="35"/>
      <c r="CC239"/>
      <c r="CD239" s="51" t="s">
        <v>51</v>
      </c>
      <c r="CE239" s="51">
        <f>VLOOKUP(SUM(AV238:AV241),'tab aparelhos'!$T$4:$U$35,2)</f>
        <v>0</v>
      </c>
      <c r="CF239" s="51"/>
      <c r="CG239" s="51"/>
      <c r="CH239" s="51"/>
      <c r="CI239" s="51"/>
      <c r="CK239" s="27" t="s">
        <v>51</v>
      </c>
      <c r="CL239" s="83"/>
      <c r="CM239" s="202">
        <f>SUM($U$22,$X$22)</f>
        <v>0</v>
      </c>
      <c r="CN239" s="202">
        <f>SUM($V$22,$Y$22)</f>
        <v>0</v>
      </c>
      <c r="CO239" s="199">
        <f t="shared" si="191"/>
        <v>0</v>
      </c>
      <c r="CP239" s="193"/>
      <c r="CQ239" s="199">
        <f t="shared" si="192"/>
        <v>0</v>
      </c>
      <c r="CR239" s="193"/>
      <c r="CS239" s="193"/>
      <c r="CT239" s="193"/>
      <c r="CU239" s="193"/>
      <c r="CV239" s="193"/>
      <c r="CW239" s="193"/>
      <c r="CX239" s="193"/>
      <c r="CY239" s="193"/>
      <c r="CZ239" s="193"/>
      <c r="DA239" s="193"/>
      <c r="DB239" s="193"/>
      <c r="DC239" s="193"/>
      <c r="DD239" s="193"/>
      <c r="DE239" s="193"/>
      <c r="DF239" s="193"/>
      <c r="DG239" s="193"/>
      <c r="DH239" s="193"/>
      <c r="DI239" s="193"/>
      <c r="DJ239" s="193"/>
      <c r="DK239" s="199"/>
      <c r="DL239" s="199"/>
      <c r="DM239" s="199"/>
      <c r="DN239" s="193"/>
      <c r="DO239" s="193"/>
      <c r="DP239" s="193"/>
      <c r="DQ239" s="193"/>
      <c r="DR239" s="193"/>
      <c r="DS239" s="35"/>
      <c r="DT239"/>
      <c r="DU239" s="51" t="s">
        <v>51</v>
      </c>
      <c r="DV239" s="51">
        <f>VLOOKUP(SUM(CM238:CM241),'tab aparelhos'!$T$4:$U$35,2)</f>
        <v>0</v>
      </c>
      <c r="DW239" s="51"/>
      <c r="DX239" s="51"/>
      <c r="DY239" s="51"/>
    </row>
    <row r="240" spans="1:129" x14ac:dyDescent="0.2">
      <c r="A240" s="51"/>
      <c r="B240"/>
      <c r="C240" s="27" t="s">
        <v>52</v>
      </c>
      <c r="D240" s="83"/>
      <c r="E240" s="202">
        <f t="shared" si="182"/>
        <v>0</v>
      </c>
      <c r="F240" s="202">
        <f t="shared" si="183"/>
        <v>0</v>
      </c>
      <c r="G240" s="199">
        <f t="shared" si="186"/>
        <v>0</v>
      </c>
      <c r="H240" s="193"/>
      <c r="I240" s="199">
        <f t="shared" si="187"/>
        <v>0</v>
      </c>
      <c r="J240" s="193"/>
      <c r="K240" s="193"/>
      <c r="L240" s="193"/>
      <c r="M240" s="193"/>
      <c r="N240" s="193"/>
      <c r="O240" s="193"/>
      <c r="P240" s="193"/>
      <c r="Q240" s="199">
        <f t="shared" si="184"/>
        <v>0</v>
      </c>
      <c r="R240" s="199">
        <f t="shared" si="185"/>
        <v>0</v>
      </c>
      <c r="S240" s="199">
        <f t="shared" si="188"/>
        <v>0</v>
      </c>
      <c r="T240" s="193"/>
      <c r="U240" s="193"/>
      <c r="V240" s="193"/>
      <c r="W240" s="193"/>
      <c r="X240" s="193"/>
      <c r="Y240" s="193"/>
      <c r="Z240" s="193"/>
      <c r="AA240" s="193"/>
      <c r="AB240" s="193"/>
      <c r="AC240" s="199"/>
      <c r="AD240" s="199"/>
      <c r="AE240" s="199"/>
      <c r="AF240" s="193"/>
      <c r="AG240" s="193"/>
      <c r="AH240" s="193"/>
      <c r="AI240" s="193"/>
      <c r="AJ240" s="193"/>
      <c r="AK240" s="35"/>
      <c r="AM240" s="51" t="s">
        <v>52</v>
      </c>
      <c r="AN240" s="51">
        <f>VLOOKUP(SUM(E238:E241,Q238:Q241),'tab aparelhos'!$T$4:$U$35,2)</f>
        <v>0</v>
      </c>
      <c r="AO240" s="51"/>
      <c r="AP240" s="51"/>
      <c r="AQ240" s="51"/>
      <c r="AR240" s="51"/>
      <c r="AT240" s="27" t="s">
        <v>52</v>
      </c>
      <c r="AU240" s="83"/>
      <c r="AV240" s="202">
        <f>SUM($O$23,$R$23)</f>
        <v>0</v>
      </c>
      <c r="AW240" s="202">
        <f>SUM($P$23,$S$23)</f>
        <v>0</v>
      </c>
      <c r="AX240" s="199">
        <f t="shared" si="189"/>
        <v>0</v>
      </c>
      <c r="AY240" s="193"/>
      <c r="AZ240" s="199">
        <f t="shared" si="190"/>
        <v>0</v>
      </c>
      <c r="BA240" s="193"/>
      <c r="BB240" s="193"/>
      <c r="BC240" s="193"/>
      <c r="BD240" s="193"/>
      <c r="BE240" s="193"/>
      <c r="BF240" s="193"/>
      <c r="BG240" s="193"/>
      <c r="BH240" s="193"/>
      <c r="BI240" s="193"/>
      <c r="BJ240" s="193"/>
      <c r="BK240" s="193"/>
      <c r="BL240" s="193"/>
      <c r="BM240" s="193"/>
      <c r="BN240" s="193"/>
      <c r="BO240" s="193"/>
      <c r="BP240" s="193"/>
      <c r="BQ240" s="193"/>
      <c r="BR240" s="193"/>
      <c r="BS240" s="193"/>
      <c r="BT240" s="199"/>
      <c r="BU240" s="199"/>
      <c r="BV240" s="199"/>
      <c r="BW240" s="193"/>
      <c r="BX240" s="193"/>
      <c r="BY240" s="193"/>
      <c r="BZ240" s="193"/>
      <c r="CA240" s="193"/>
      <c r="CB240" s="35"/>
      <c r="CC240"/>
      <c r="CD240" s="51" t="s">
        <v>52</v>
      </c>
      <c r="CE240" s="51">
        <f>VLOOKUP(SUM(AV238:AV241),'tab aparelhos'!$T$4:$U$35,2)</f>
        <v>0</v>
      </c>
      <c r="CF240" s="51"/>
      <c r="CG240" s="51"/>
      <c r="CH240" s="51"/>
      <c r="CI240" s="51"/>
      <c r="CK240" s="27" t="s">
        <v>52</v>
      </c>
      <c r="CL240" s="83"/>
      <c r="CM240" s="202">
        <f>SUM($U$23,$X$23)</f>
        <v>0</v>
      </c>
      <c r="CN240" s="202">
        <f>SUM($V$23,$Y$23)</f>
        <v>0</v>
      </c>
      <c r="CO240" s="199">
        <f t="shared" si="191"/>
        <v>0</v>
      </c>
      <c r="CP240" s="193"/>
      <c r="CQ240" s="199">
        <f t="shared" si="192"/>
        <v>0</v>
      </c>
      <c r="CR240" s="193"/>
      <c r="CS240" s="193"/>
      <c r="CT240" s="193"/>
      <c r="CU240" s="193"/>
      <c r="CV240" s="193"/>
      <c r="CW240" s="193"/>
      <c r="CX240" s="193"/>
      <c r="CY240" s="193"/>
      <c r="CZ240" s="193"/>
      <c r="DA240" s="193"/>
      <c r="DB240" s="193"/>
      <c r="DC240" s="193"/>
      <c r="DD240" s="193"/>
      <c r="DE240" s="193"/>
      <c r="DF240" s="193"/>
      <c r="DG240" s="193"/>
      <c r="DH240" s="193"/>
      <c r="DI240" s="193"/>
      <c r="DJ240" s="193"/>
      <c r="DK240" s="199"/>
      <c r="DL240" s="199"/>
      <c r="DM240" s="199"/>
      <c r="DN240" s="193"/>
      <c r="DO240" s="193"/>
      <c r="DP240" s="193"/>
      <c r="DQ240" s="193"/>
      <c r="DR240" s="193"/>
      <c r="DS240" s="35"/>
      <c r="DT240"/>
      <c r="DU240" s="51" t="s">
        <v>52</v>
      </c>
      <c r="DV240" s="51">
        <f>VLOOKUP(SUM(CM238:CM241),'tab aparelhos'!$T$4:$U$35,2)</f>
        <v>0</v>
      </c>
      <c r="DW240" s="51"/>
      <c r="DX240" s="51"/>
      <c r="DY240" s="51"/>
    </row>
    <row r="241" spans="1:129" x14ac:dyDescent="0.2">
      <c r="A241" s="51"/>
      <c r="B241"/>
      <c r="C241" s="27" t="s">
        <v>125</v>
      </c>
      <c r="D241" s="83"/>
      <c r="E241" s="202">
        <f t="shared" si="182"/>
        <v>0</v>
      </c>
      <c r="F241" s="202">
        <f t="shared" si="183"/>
        <v>0</v>
      </c>
      <c r="G241" s="199">
        <f t="shared" si="186"/>
        <v>0</v>
      </c>
      <c r="H241" s="193"/>
      <c r="I241" s="199">
        <f t="shared" si="187"/>
        <v>0</v>
      </c>
      <c r="J241" s="193"/>
      <c r="K241" s="193"/>
      <c r="L241" s="193"/>
      <c r="M241" s="193"/>
      <c r="N241" s="193"/>
      <c r="O241" s="193"/>
      <c r="P241" s="193"/>
      <c r="Q241" s="199">
        <f t="shared" si="184"/>
        <v>0</v>
      </c>
      <c r="R241" s="199">
        <f t="shared" si="185"/>
        <v>0</v>
      </c>
      <c r="S241" s="199">
        <f t="shared" si="188"/>
        <v>0</v>
      </c>
      <c r="T241" s="193"/>
      <c r="U241" s="193"/>
      <c r="V241" s="193"/>
      <c r="W241" s="193"/>
      <c r="X241" s="193"/>
      <c r="Y241" s="193"/>
      <c r="Z241" s="193"/>
      <c r="AA241" s="193"/>
      <c r="AB241" s="193"/>
      <c r="AC241" s="199"/>
      <c r="AD241" s="199"/>
      <c r="AE241" s="199"/>
      <c r="AF241" s="193"/>
      <c r="AG241" s="193"/>
      <c r="AH241" s="193"/>
      <c r="AI241" s="193"/>
      <c r="AJ241" s="193"/>
      <c r="AK241" s="35"/>
      <c r="AM241" s="51" t="s">
        <v>53</v>
      </c>
      <c r="AN241" s="51">
        <f>VLOOKUP(SUM(E238:E241,Q238:Q241),'tab aparelhos'!$T$4:$U$35,2)</f>
        <v>0</v>
      </c>
      <c r="AO241" s="51"/>
      <c r="AP241" s="51"/>
      <c r="AQ241" s="51"/>
      <c r="AR241" s="51"/>
      <c r="AT241" s="27" t="s">
        <v>125</v>
      </c>
      <c r="AU241" s="83"/>
      <c r="AV241" s="202">
        <f>SUM($O$24,$R$24)</f>
        <v>0</v>
      </c>
      <c r="AW241" s="202">
        <f>SUM($P$24,$S$24)</f>
        <v>0</v>
      </c>
      <c r="AX241" s="199">
        <f t="shared" si="189"/>
        <v>0</v>
      </c>
      <c r="AY241" s="193"/>
      <c r="AZ241" s="199">
        <f t="shared" si="190"/>
        <v>0</v>
      </c>
      <c r="BA241" s="193"/>
      <c r="BB241" s="193"/>
      <c r="BC241" s="193"/>
      <c r="BD241" s="193"/>
      <c r="BE241" s="193"/>
      <c r="BF241" s="193"/>
      <c r="BG241" s="193"/>
      <c r="BH241" s="193"/>
      <c r="BI241" s="193"/>
      <c r="BJ241" s="193"/>
      <c r="BK241" s="193"/>
      <c r="BL241" s="193"/>
      <c r="BM241" s="193"/>
      <c r="BN241" s="193"/>
      <c r="BO241" s="193"/>
      <c r="BP241" s="193"/>
      <c r="BQ241" s="193"/>
      <c r="BR241" s="193"/>
      <c r="BS241" s="193"/>
      <c r="BT241" s="199"/>
      <c r="BU241" s="199"/>
      <c r="BV241" s="199"/>
      <c r="BW241" s="193"/>
      <c r="BX241" s="193"/>
      <c r="BY241" s="193"/>
      <c r="BZ241" s="193"/>
      <c r="CA241" s="193"/>
      <c r="CB241" s="35"/>
      <c r="CC241"/>
      <c r="CD241" s="51" t="s">
        <v>53</v>
      </c>
      <c r="CE241" s="51">
        <f>VLOOKUP(SUM(AV238:AV241),'tab aparelhos'!$T$4:$U$35,2)</f>
        <v>0</v>
      </c>
      <c r="CF241" s="51"/>
      <c r="CG241" s="51"/>
      <c r="CH241" s="51"/>
      <c r="CI241" s="51"/>
      <c r="CK241" s="27" t="s">
        <v>125</v>
      </c>
      <c r="CL241" s="83"/>
      <c r="CM241" s="202">
        <f>SUM($U$24,$X$24)</f>
        <v>0</v>
      </c>
      <c r="CN241" s="202">
        <f>SUM($V$24,$Y$24)</f>
        <v>0</v>
      </c>
      <c r="CO241" s="199">
        <f t="shared" si="191"/>
        <v>0</v>
      </c>
      <c r="CP241" s="193"/>
      <c r="CQ241" s="199">
        <f t="shared" si="192"/>
        <v>0</v>
      </c>
      <c r="CR241" s="193"/>
      <c r="CS241" s="193"/>
      <c r="CT241" s="193"/>
      <c r="CU241" s="193"/>
      <c r="CV241" s="193"/>
      <c r="CW241" s="193"/>
      <c r="CX241" s="193"/>
      <c r="CY241" s="193"/>
      <c r="CZ241" s="193"/>
      <c r="DA241" s="193"/>
      <c r="DB241" s="193"/>
      <c r="DC241" s="193"/>
      <c r="DD241" s="193"/>
      <c r="DE241" s="193"/>
      <c r="DF241" s="193"/>
      <c r="DG241" s="193"/>
      <c r="DH241" s="193"/>
      <c r="DI241" s="193"/>
      <c r="DJ241" s="193"/>
      <c r="DK241" s="199"/>
      <c r="DL241" s="199"/>
      <c r="DM241" s="199"/>
      <c r="DN241" s="193"/>
      <c r="DO241" s="193"/>
      <c r="DP241" s="193"/>
      <c r="DQ241" s="193"/>
      <c r="DR241" s="193"/>
      <c r="DS241" s="35"/>
      <c r="DT241"/>
      <c r="DU241" s="51" t="s">
        <v>53</v>
      </c>
      <c r="DV241" s="51">
        <f>VLOOKUP(SUM(CM238:CM241),'tab aparelhos'!$T$4:$U$35,2)</f>
        <v>0</v>
      </c>
      <c r="DW241" s="51"/>
      <c r="DX241" s="51"/>
      <c r="DY241" s="51"/>
    </row>
    <row r="242" spans="1:129" x14ac:dyDescent="0.2">
      <c r="A242" s="51"/>
      <c r="B242"/>
      <c r="C242" s="27" t="s">
        <v>54</v>
      </c>
      <c r="D242" s="83"/>
      <c r="E242" s="202">
        <f t="shared" si="182"/>
        <v>0</v>
      </c>
      <c r="F242" s="202">
        <f t="shared" si="183"/>
        <v>0</v>
      </c>
      <c r="G242" s="199">
        <f t="shared" si="186"/>
        <v>0</v>
      </c>
      <c r="H242" s="193"/>
      <c r="I242" s="199">
        <f t="shared" si="187"/>
        <v>0</v>
      </c>
      <c r="J242" s="193"/>
      <c r="K242" s="193"/>
      <c r="L242" s="193"/>
      <c r="M242" s="193"/>
      <c r="N242" s="193"/>
      <c r="O242" s="193"/>
      <c r="P242" s="193"/>
      <c r="Q242" s="199">
        <f t="shared" si="184"/>
        <v>0</v>
      </c>
      <c r="R242" s="199">
        <f t="shared" si="185"/>
        <v>0</v>
      </c>
      <c r="S242" s="199">
        <f t="shared" si="188"/>
        <v>0</v>
      </c>
      <c r="T242" s="193"/>
      <c r="U242" s="193"/>
      <c r="V242" s="193"/>
      <c r="W242" s="193"/>
      <c r="X242" s="193"/>
      <c r="Y242" s="193"/>
      <c r="Z242" s="193"/>
      <c r="AA242" s="193"/>
      <c r="AB242" s="193"/>
      <c r="AC242" s="199"/>
      <c r="AD242" s="199"/>
      <c r="AE242" s="199"/>
      <c r="AF242" s="193"/>
      <c r="AG242" s="193"/>
      <c r="AH242" s="193"/>
      <c r="AI242" s="193"/>
      <c r="AJ242" s="193"/>
      <c r="AK242" s="35"/>
      <c r="AM242" s="51" t="s">
        <v>54</v>
      </c>
      <c r="AN242" s="51">
        <f>VLOOKUP(E242+Q242,'tab aparelhos'!$AF$4:$AG$35,2)</f>
        <v>0</v>
      </c>
      <c r="AO242" s="51"/>
      <c r="AP242" s="51"/>
      <c r="AQ242" s="51"/>
      <c r="AR242" s="51"/>
      <c r="AT242" s="27" t="s">
        <v>54</v>
      </c>
      <c r="AU242" s="83"/>
      <c r="AV242" s="202">
        <f>SUM($O$25,$R$25)</f>
        <v>0</v>
      </c>
      <c r="AW242" s="202">
        <f>SUM($P$25,$S$25)</f>
        <v>0</v>
      </c>
      <c r="AX242" s="199">
        <f t="shared" si="189"/>
        <v>0</v>
      </c>
      <c r="AY242" s="193"/>
      <c r="AZ242" s="199">
        <f t="shared" si="190"/>
        <v>0</v>
      </c>
      <c r="BA242" s="193"/>
      <c r="BB242" s="193"/>
      <c r="BC242" s="193"/>
      <c r="BD242" s="193"/>
      <c r="BE242" s="193"/>
      <c r="BF242" s="193"/>
      <c r="BG242" s="193"/>
      <c r="BH242" s="193"/>
      <c r="BI242" s="193"/>
      <c r="BJ242" s="193"/>
      <c r="BK242" s="193"/>
      <c r="BL242" s="193"/>
      <c r="BM242" s="193"/>
      <c r="BN242" s="193"/>
      <c r="BO242" s="193"/>
      <c r="BP242" s="193"/>
      <c r="BQ242" s="193"/>
      <c r="BR242" s="193"/>
      <c r="BS242" s="193"/>
      <c r="BT242" s="199"/>
      <c r="BU242" s="199"/>
      <c r="BV242" s="199"/>
      <c r="BW242" s="193"/>
      <c r="BX242" s="193"/>
      <c r="BY242" s="193"/>
      <c r="BZ242" s="193"/>
      <c r="CA242" s="193"/>
      <c r="CB242" s="35"/>
      <c r="CC242"/>
      <c r="CD242" s="51" t="s">
        <v>54</v>
      </c>
      <c r="CE242" s="51">
        <f>VLOOKUP(AV242,'tab aparelhos'!$AF$4:$AG$35,2)</f>
        <v>0</v>
      </c>
      <c r="CF242" s="51"/>
      <c r="CG242" s="51"/>
      <c r="CH242" s="51"/>
      <c r="CI242" s="51"/>
      <c r="CK242" s="27" t="s">
        <v>54</v>
      </c>
      <c r="CL242" s="83"/>
      <c r="CM242" s="202">
        <f>SUM($U$25,$X$25)</f>
        <v>0</v>
      </c>
      <c r="CN242" s="202">
        <f>SUM($V$25,$Y$25)</f>
        <v>0</v>
      </c>
      <c r="CO242" s="199">
        <f t="shared" si="191"/>
        <v>0</v>
      </c>
      <c r="CP242" s="193"/>
      <c r="CQ242" s="199">
        <f t="shared" si="192"/>
        <v>0</v>
      </c>
      <c r="CR242" s="193"/>
      <c r="CS242" s="193"/>
      <c r="CT242" s="193"/>
      <c r="CU242" s="193"/>
      <c r="CV242" s="193"/>
      <c r="CW242" s="193"/>
      <c r="CX242" s="193"/>
      <c r="CY242" s="193"/>
      <c r="CZ242" s="193"/>
      <c r="DA242" s="193"/>
      <c r="DB242" s="193"/>
      <c r="DC242" s="193"/>
      <c r="DD242" s="193"/>
      <c r="DE242" s="193"/>
      <c r="DF242" s="193"/>
      <c r="DG242" s="193"/>
      <c r="DH242" s="193"/>
      <c r="DI242" s="193"/>
      <c r="DJ242" s="193"/>
      <c r="DK242" s="199"/>
      <c r="DL242" s="199"/>
      <c r="DM242" s="199"/>
      <c r="DN242" s="193"/>
      <c r="DO242" s="193"/>
      <c r="DP242" s="193"/>
      <c r="DQ242" s="193"/>
      <c r="DR242" s="193"/>
      <c r="DS242" s="35"/>
      <c r="DT242"/>
      <c r="DU242" s="51" t="s">
        <v>54</v>
      </c>
      <c r="DV242" s="51">
        <f>VLOOKUP(CM242,'tab aparelhos'!$AF$4:$AG$35,2)</f>
        <v>0</v>
      </c>
      <c r="DW242" s="51"/>
      <c r="DX242" s="51"/>
      <c r="DY242" s="51"/>
    </row>
    <row r="243" spans="1:129" x14ac:dyDescent="0.2">
      <c r="A243" s="51"/>
      <c r="B243"/>
      <c r="C243" s="27" t="s">
        <v>55</v>
      </c>
      <c r="D243" s="83"/>
      <c r="E243" s="202">
        <f t="shared" si="182"/>
        <v>0</v>
      </c>
      <c r="F243" s="202">
        <f t="shared" si="183"/>
        <v>0</v>
      </c>
      <c r="G243" s="199">
        <f t="shared" si="186"/>
        <v>0</v>
      </c>
      <c r="H243" s="193"/>
      <c r="I243" s="199">
        <f t="shared" si="187"/>
        <v>0</v>
      </c>
      <c r="J243" s="193"/>
      <c r="K243" s="193"/>
      <c r="L243" s="193"/>
      <c r="M243" s="193"/>
      <c r="N243" s="193"/>
      <c r="O243" s="193"/>
      <c r="P243" s="193"/>
      <c r="Q243" s="199">
        <f t="shared" si="184"/>
        <v>0</v>
      </c>
      <c r="R243" s="199">
        <f t="shared" si="185"/>
        <v>0</v>
      </c>
      <c r="S243" s="199">
        <f t="shared" si="188"/>
        <v>0</v>
      </c>
      <c r="T243" s="193"/>
      <c r="U243" s="193"/>
      <c r="V243" s="193"/>
      <c r="W243" s="193"/>
      <c r="X243" s="193"/>
      <c r="Y243" s="193"/>
      <c r="Z243" s="193"/>
      <c r="AA243" s="193"/>
      <c r="AB243" s="193"/>
      <c r="AC243" s="199"/>
      <c r="AD243" s="199"/>
      <c r="AE243" s="199"/>
      <c r="AF243" s="193"/>
      <c r="AG243" s="193"/>
      <c r="AH243" s="193"/>
      <c r="AI243" s="193"/>
      <c r="AJ243" s="193"/>
      <c r="AK243" s="35"/>
      <c r="AM243" s="51" t="s">
        <v>55</v>
      </c>
      <c r="AN243" s="51">
        <v>1</v>
      </c>
      <c r="AO243" s="51"/>
      <c r="AP243" s="51"/>
      <c r="AQ243" s="51"/>
      <c r="AR243" s="51"/>
      <c r="AT243" s="27" t="s">
        <v>55</v>
      </c>
      <c r="AU243" s="83"/>
      <c r="AV243" s="202">
        <f>SUM($O$26,$R$26)</f>
        <v>0</v>
      </c>
      <c r="AW243" s="202">
        <f>SUM($P$26,$S$26)</f>
        <v>0</v>
      </c>
      <c r="AX243" s="199">
        <f t="shared" si="189"/>
        <v>0</v>
      </c>
      <c r="AY243" s="193"/>
      <c r="AZ243" s="199">
        <f t="shared" si="190"/>
        <v>0</v>
      </c>
      <c r="BA243" s="193"/>
      <c r="BB243" s="193"/>
      <c r="BC243" s="193"/>
      <c r="BD243" s="193"/>
      <c r="BE243" s="193"/>
      <c r="BF243" s="193"/>
      <c r="BG243" s="193"/>
      <c r="BH243" s="193"/>
      <c r="BI243" s="193"/>
      <c r="BJ243" s="193"/>
      <c r="BK243" s="193"/>
      <c r="BL243" s="193"/>
      <c r="BM243" s="193"/>
      <c r="BN243" s="193"/>
      <c r="BO243" s="193"/>
      <c r="BP243" s="193"/>
      <c r="BQ243" s="193"/>
      <c r="BR243" s="193"/>
      <c r="BS243" s="193"/>
      <c r="BT243" s="199"/>
      <c r="BU243" s="199"/>
      <c r="BV243" s="199"/>
      <c r="BW243" s="193"/>
      <c r="BX243" s="193"/>
      <c r="BY243" s="193"/>
      <c r="BZ243" s="193"/>
      <c r="CA243" s="193"/>
      <c r="CB243" s="35"/>
      <c r="CC243"/>
      <c r="CD243" s="51" t="s">
        <v>55</v>
      </c>
      <c r="CE243" s="51">
        <v>1</v>
      </c>
      <c r="CF243" s="51"/>
      <c r="CG243" s="51"/>
      <c r="CH243" s="51"/>
      <c r="CI243" s="51"/>
      <c r="CK243" s="27" t="s">
        <v>55</v>
      </c>
      <c r="CL243" s="83"/>
      <c r="CM243" s="202">
        <f>SUM($U$26,$X$26)</f>
        <v>0</v>
      </c>
      <c r="CN243" s="202">
        <f>SUM($V$26,$Y$26)</f>
        <v>0</v>
      </c>
      <c r="CO243" s="199">
        <f t="shared" si="191"/>
        <v>0</v>
      </c>
      <c r="CP243" s="193"/>
      <c r="CQ243" s="199">
        <f t="shared" si="192"/>
        <v>0</v>
      </c>
      <c r="CR243" s="193"/>
      <c r="CS243" s="193"/>
      <c r="CT243" s="193"/>
      <c r="CU243" s="193"/>
      <c r="CV243" s="193"/>
      <c r="CW243" s="193"/>
      <c r="CX243" s="193"/>
      <c r="CY243" s="193"/>
      <c r="CZ243" s="193"/>
      <c r="DA243" s="193"/>
      <c r="DB243" s="193"/>
      <c r="DC243" s="193"/>
      <c r="DD243" s="193"/>
      <c r="DE243" s="193"/>
      <c r="DF243" s="193"/>
      <c r="DG243" s="193"/>
      <c r="DH243" s="193"/>
      <c r="DI243" s="193"/>
      <c r="DJ243" s="193"/>
      <c r="DK243" s="199"/>
      <c r="DL243" s="199"/>
      <c r="DM243" s="199"/>
      <c r="DN243" s="193"/>
      <c r="DO243" s="193"/>
      <c r="DP243" s="193"/>
      <c r="DQ243" s="193"/>
      <c r="DR243" s="193"/>
      <c r="DS243" s="35"/>
      <c r="DT243"/>
      <c r="DU243" s="51" t="s">
        <v>55</v>
      </c>
      <c r="DV243" s="51">
        <v>1</v>
      </c>
      <c r="DW243" s="51"/>
      <c r="DX243" s="51"/>
      <c r="DY243" s="51"/>
    </row>
    <row r="244" spans="1:129" x14ac:dyDescent="0.2">
      <c r="A244" s="51"/>
      <c r="B244"/>
      <c r="C244" s="27" t="s">
        <v>56</v>
      </c>
      <c r="D244" s="83"/>
      <c r="E244" s="202">
        <f t="shared" si="182"/>
        <v>0</v>
      </c>
      <c r="F244" s="202">
        <f t="shared" si="183"/>
        <v>0</v>
      </c>
      <c r="G244" s="199">
        <f t="shared" si="186"/>
        <v>0</v>
      </c>
      <c r="H244" s="193"/>
      <c r="I244" s="199">
        <f t="shared" si="187"/>
        <v>0</v>
      </c>
      <c r="J244" s="193"/>
      <c r="K244" s="193"/>
      <c r="L244" s="193"/>
      <c r="M244" s="193"/>
      <c r="N244" s="193"/>
      <c r="O244" s="193"/>
      <c r="P244" s="193"/>
      <c r="Q244" s="199">
        <f t="shared" si="184"/>
        <v>0</v>
      </c>
      <c r="R244" s="199">
        <f t="shared" si="185"/>
        <v>0</v>
      </c>
      <c r="S244" s="199">
        <f t="shared" si="188"/>
        <v>0</v>
      </c>
      <c r="T244" s="193"/>
      <c r="U244" s="193"/>
      <c r="V244" s="193"/>
      <c r="W244" s="193"/>
      <c r="X244" s="193"/>
      <c r="Y244" s="193"/>
      <c r="Z244" s="193"/>
      <c r="AA244" s="193"/>
      <c r="AB244" s="193"/>
      <c r="AC244" s="199"/>
      <c r="AD244" s="199"/>
      <c r="AE244" s="199"/>
      <c r="AF244" s="193"/>
      <c r="AG244" s="193"/>
      <c r="AH244" s="193"/>
      <c r="AI244" s="193"/>
      <c r="AJ244" s="193"/>
      <c r="AL244" s="51"/>
      <c r="AM244" s="51" t="s">
        <v>56</v>
      </c>
      <c r="AN244" s="51">
        <f>VLOOKUP(E244+Q244,'tab ar'!$A$1:$D$9,3,TRUE)</f>
        <v>1</v>
      </c>
      <c r="AO244" s="51"/>
      <c r="AP244" s="51"/>
      <c r="AQ244" s="51"/>
      <c r="AR244" s="51"/>
      <c r="AT244" s="27" t="s">
        <v>56</v>
      </c>
      <c r="AU244" s="83"/>
      <c r="AV244" s="202">
        <f>SUM($O$27,$R$27)</f>
        <v>0</v>
      </c>
      <c r="AW244" s="202">
        <f>SUM($P$27,$S$27)</f>
        <v>0</v>
      </c>
      <c r="AX244" s="199">
        <f t="shared" si="189"/>
        <v>0</v>
      </c>
      <c r="AY244" s="193"/>
      <c r="AZ244" s="199">
        <f t="shared" si="190"/>
        <v>0</v>
      </c>
      <c r="BA244" s="193"/>
      <c r="BB244" s="193"/>
      <c r="BC244" s="193"/>
      <c r="BD244" s="193"/>
      <c r="BE244" s="193"/>
      <c r="BF244" s="193"/>
      <c r="BG244" s="193"/>
      <c r="BH244" s="193"/>
      <c r="BI244" s="193"/>
      <c r="BJ244" s="193"/>
      <c r="BK244" s="193"/>
      <c r="BL244" s="193"/>
      <c r="BM244" s="193"/>
      <c r="BN244" s="193"/>
      <c r="BO244" s="193"/>
      <c r="BP244" s="193"/>
      <c r="BQ244" s="193"/>
      <c r="BR244" s="193"/>
      <c r="BS244" s="193"/>
      <c r="BT244" s="199"/>
      <c r="BU244" s="199"/>
      <c r="BV244" s="199"/>
      <c r="BW244" s="193"/>
      <c r="BX244" s="193"/>
      <c r="BY244" s="193"/>
      <c r="BZ244" s="193"/>
      <c r="CA244" s="193"/>
      <c r="CB244"/>
      <c r="CC244" s="51"/>
      <c r="CD244" s="51" t="s">
        <v>56</v>
      </c>
      <c r="CE244" s="51">
        <f>VLOOKUP(AV244,'tab ar'!$A$1:$D$9,3,TRUE)</f>
        <v>1</v>
      </c>
      <c r="CF244" s="51"/>
      <c r="CG244" s="51"/>
      <c r="CH244" s="51"/>
      <c r="CI244" s="51"/>
      <c r="CK244" s="27" t="s">
        <v>56</v>
      </c>
      <c r="CL244" s="83"/>
      <c r="CM244" s="202">
        <f>SUM($U$27,$X$27)</f>
        <v>0</v>
      </c>
      <c r="CN244" s="202">
        <f>SUM($V$27,$Y$27)</f>
        <v>0</v>
      </c>
      <c r="CO244" s="199">
        <f t="shared" si="191"/>
        <v>0</v>
      </c>
      <c r="CP244" s="193"/>
      <c r="CQ244" s="199">
        <f t="shared" si="192"/>
        <v>0</v>
      </c>
      <c r="CR244" s="193"/>
      <c r="CS244" s="193"/>
      <c r="CT244" s="193"/>
      <c r="CU244" s="193"/>
      <c r="CV244" s="193"/>
      <c r="CW244" s="193"/>
      <c r="CX244" s="193"/>
      <c r="CY244" s="193"/>
      <c r="CZ244" s="193"/>
      <c r="DA244" s="193"/>
      <c r="DB244" s="193"/>
      <c r="DC244" s="193"/>
      <c r="DD244" s="193"/>
      <c r="DE244" s="193"/>
      <c r="DF244" s="193"/>
      <c r="DG244" s="193"/>
      <c r="DH244" s="193"/>
      <c r="DI244" s="193"/>
      <c r="DJ244" s="193"/>
      <c r="DK244" s="199"/>
      <c r="DL244" s="199"/>
      <c r="DM244" s="199"/>
      <c r="DN244" s="193"/>
      <c r="DO244" s="193"/>
      <c r="DP244" s="193"/>
      <c r="DQ244" s="193"/>
      <c r="DR244" s="193"/>
      <c r="DS244"/>
      <c r="DT244" s="51"/>
      <c r="DU244" s="51" t="s">
        <v>56</v>
      </c>
      <c r="DV244" s="51">
        <f>VLOOKUP(CM244,'tab ar'!$A$1:$D$9,3,TRUE)</f>
        <v>1</v>
      </c>
      <c r="DW244" s="51"/>
      <c r="DX244" s="51"/>
      <c r="DY244" s="51"/>
    </row>
    <row r="245" spans="1:129" x14ac:dyDescent="0.2">
      <c r="A245" s="51"/>
      <c r="B245"/>
      <c r="C245" s="29" t="s">
        <v>57</v>
      </c>
      <c r="D245" s="83"/>
      <c r="E245" s="202">
        <f t="shared" si="182"/>
        <v>0</v>
      </c>
      <c r="F245" s="202">
        <f t="shared" si="183"/>
        <v>0</v>
      </c>
      <c r="G245" s="199">
        <f t="shared" si="186"/>
        <v>0</v>
      </c>
      <c r="H245" s="193"/>
      <c r="I245" s="199">
        <f t="shared" si="187"/>
        <v>0</v>
      </c>
      <c r="J245" s="193"/>
      <c r="K245" s="193"/>
      <c r="L245" s="193"/>
      <c r="M245" s="193"/>
      <c r="N245" s="193"/>
      <c r="O245" s="193"/>
      <c r="P245" s="193"/>
      <c r="Q245" s="199">
        <f t="shared" si="184"/>
        <v>0</v>
      </c>
      <c r="R245" s="199">
        <f t="shared" si="185"/>
        <v>0</v>
      </c>
      <c r="S245" s="199">
        <f t="shared" si="188"/>
        <v>0</v>
      </c>
      <c r="T245" s="193"/>
      <c r="U245" s="193"/>
      <c r="V245" s="193"/>
      <c r="W245" s="193"/>
      <c r="X245" s="193"/>
      <c r="Y245" s="193"/>
      <c r="Z245" s="193"/>
      <c r="AA245" s="193"/>
      <c r="AB245" s="193"/>
      <c r="AC245" s="199"/>
      <c r="AD245" s="199"/>
      <c r="AE245" s="199"/>
      <c r="AF245" s="193"/>
      <c r="AG245" s="193"/>
      <c r="AH245" s="193"/>
      <c r="AI245" s="193"/>
      <c r="AJ245" s="193"/>
      <c r="AL245" s="51"/>
      <c r="AM245" s="51" t="s">
        <v>57</v>
      </c>
      <c r="AN245" s="51">
        <f>VLOOKUP(E245+Q245,'tab ar'!$A$1:$D$9,4,TRUE)</f>
        <v>1</v>
      </c>
      <c r="AO245" s="51"/>
      <c r="AP245" s="51"/>
      <c r="AQ245" s="51"/>
      <c r="AR245" s="51"/>
      <c r="AT245" s="29" t="s">
        <v>57</v>
      </c>
      <c r="AU245" s="83"/>
      <c r="AV245" s="202">
        <f>SUM($O$28,$R$28)</f>
        <v>0</v>
      </c>
      <c r="AW245" s="202">
        <f>SUM($P$28,$S$28)</f>
        <v>0</v>
      </c>
      <c r="AX245" s="199">
        <f t="shared" si="189"/>
        <v>0</v>
      </c>
      <c r="AY245" s="193"/>
      <c r="AZ245" s="199">
        <f t="shared" si="190"/>
        <v>0</v>
      </c>
      <c r="BA245" s="193"/>
      <c r="BB245" s="193"/>
      <c r="BC245" s="193"/>
      <c r="BD245" s="193"/>
      <c r="BE245" s="193"/>
      <c r="BF245" s="193"/>
      <c r="BG245" s="193"/>
      <c r="BH245" s="193"/>
      <c r="BI245" s="193"/>
      <c r="BJ245" s="193"/>
      <c r="BK245" s="193"/>
      <c r="BL245" s="193"/>
      <c r="BM245" s="193"/>
      <c r="BN245" s="193"/>
      <c r="BO245" s="193"/>
      <c r="BP245" s="193"/>
      <c r="BQ245" s="193"/>
      <c r="BR245" s="193"/>
      <c r="BS245" s="193"/>
      <c r="BT245" s="199"/>
      <c r="BU245" s="199"/>
      <c r="BV245" s="199"/>
      <c r="BW245" s="193"/>
      <c r="BX245" s="193"/>
      <c r="BY245" s="193"/>
      <c r="BZ245" s="193"/>
      <c r="CA245" s="193"/>
      <c r="CB245"/>
      <c r="CC245" s="51"/>
      <c r="CD245" s="51" t="s">
        <v>57</v>
      </c>
      <c r="CE245" s="51">
        <f>VLOOKUP(AV245,'tab ar'!$A$1:$D$9,4,TRUE)</f>
        <v>1</v>
      </c>
      <c r="CF245" s="51"/>
      <c r="CG245" s="51"/>
      <c r="CH245" s="51"/>
      <c r="CI245" s="51"/>
      <c r="CK245" s="29" t="s">
        <v>57</v>
      </c>
      <c r="CL245" s="83"/>
      <c r="CM245" s="202">
        <f>SUM($U$28,$X$28)</f>
        <v>0</v>
      </c>
      <c r="CN245" s="202">
        <f>SUM($V$28,$Y$28)</f>
        <v>0</v>
      </c>
      <c r="CO245" s="199">
        <f t="shared" si="191"/>
        <v>0</v>
      </c>
      <c r="CP245" s="193"/>
      <c r="CQ245" s="199">
        <f t="shared" si="192"/>
        <v>0</v>
      </c>
      <c r="CR245" s="193"/>
      <c r="CS245" s="193"/>
      <c r="CT245" s="193"/>
      <c r="CU245" s="193"/>
      <c r="CV245" s="193"/>
      <c r="CW245" s="193"/>
      <c r="CX245" s="193"/>
      <c r="CY245" s="193"/>
      <c r="CZ245" s="193"/>
      <c r="DA245" s="193"/>
      <c r="DB245" s="193"/>
      <c r="DC245" s="193"/>
      <c r="DD245" s="193"/>
      <c r="DE245" s="193"/>
      <c r="DF245" s="193"/>
      <c r="DG245" s="193"/>
      <c r="DH245" s="193"/>
      <c r="DI245" s="193"/>
      <c r="DJ245" s="193"/>
      <c r="DK245" s="199"/>
      <c r="DL245" s="199"/>
      <c r="DM245" s="199"/>
      <c r="DN245" s="193"/>
      <c r="DO245" s="193"/>
      <c r="DP245" s="193"/>
      <c r="DQ245" s="193"/>
      <c r="DR245" s="193"/>
      <c r="DS245"/>
      <c r="DT245" s="51"/>
      <c r="DU245" s="51" t="s">
        <v>57</v>
      </c>
      <c r="DV245" s="51">
        <f>VLOOKUP(CM245,'tab ar'!$A$1:$D$9,4,TRUE)</f>
        <v>1</v>
      </c>
      <c r="DW245" s="51"/>
      <c r="DX245" s="51"/>
      <c r="DY245" s="51"/>
    </row>
    <row r="246" spans="1:129" x14ac:dyDescent="0.2">
      <c r="A246" s="51"/>
      <c r="B246"/>
      <c r="C246" s="29" t="s">
        <v>58</v>
      </c>
      <c r="D246" s="83"/>
      <c r="E246" s="202">
        <f t="shared" si="182"/>
        <v>0</v>
      </c>
      <c r="F246" s="202">
        <f t="shared" si="183"/>
        <v>0</v>
      </c>
      <c r="G246" s="199">
        <f>IF(E246=0,0,IF(E246=1,F246,((E246-1)*F246*0.6/E246)+F246/E246))</f>
        <v>0</v>
      </c>
      <c r="H246" s="193"/>
      <c r="I246" s="199">
        <f>SUM(F246*E246,R246*Q246)</f>
        <v>0</v>
      </c>
      <c r="J246" s="193"/>
      <c r="K246" s="193"/>
      <c r="L246" s="193"/>
      <c r="M246" s="193"/>
      <c r="N246" s="193"/>
      <c r="O246" s="193"/>
      <c r="P246" s="193"/>
      <c r="Q246" s="199">
        <f t="shared" si="184"/>
        <v>0</v>
      </c>
      <c r="R246" s="199">
        <f t="shared" si="185"/>
        <v>0</v>
      </c>
      <c r="S246" s="199">
        <f>IF(Q246=0,0,IF(Q246=1,R246,((Q246-1)*R246*0.6/Q246)+R246/Q246))</f>
        <v>0</v>
      </c>
      <c r="T246" s="193"/>
      <c r="U246" s="193"/>
      <c r="V246" s="193"/>
      <c r="W246" s="193"/>
      <c r="X246" s="193"/>
      <c r="Y246" s="193"/>
      <c r="Z246" s="193"/>
      <c r="AA246" s="193"/>
      <c r="AB246" s="193"/>
      <c r="AC246" s="199"/>
      <c r="AD246" s="199"/>
      <c r="AE246" s="199"/>
      <c r="AF246" s="193"/>
      <c r="AG246" s="193"/>
      <c r="AH246" s="193"/>
      <c r="AI246" s="193"/>
      <c r="AJ246" s="193"/>
      <c r="AL246" s="51"/>
      <c r="AM246" s="51" t="s">
        <v>58</v>
      </c>
      <c r="AN246" s="51">
        <f>IF(Q246=0,0,IF(Q246=1,R246,((Q246-1)*R246*0.6)+R246))</f>
        <v>0</v>
      </c>
      <c r="AO246" s="51"/>
      <c r="AP246" s="51"/>
      <c r="AQ246" s="51"/>
      <c r="AR246" s="51"/>
      <c r="AT246" s="29" t="s">
        <v>58</v>
      </c>
      <c r="AU246" s="83"/>
      <c r="AV246" s="202">
        <f>SUM($O$29,$R$29)</f>
        <v>0</v>
      </c>
      <c r="AW246" s="202">
        <f>SUM($P$29,$S$29)</f>
        <v>0</v>
      </c>
      <c r="AX246" s="199">
        <f>IF(AV246=0,0,IF(AV246=1,AW246,((AV246-1)*AW246*0.6/AV246)+AW246/AV246))</f>
        <v>0</v>
      </c>
      <c r="AY246" s="193"/>
      <c r="AZ246" s="199">
        <f>AW246*AV246</f>
        <v>0</v>
      </c>
      <c r="BA246" s="193"/>
      <c r="BB246" s="193"/>
      <c r="BC246" s="193"/>
      <c r="BD246" s="193"/>
      <c r="BE246" s="193"/>
      <c r="BF246" s="193"/>
      <c r="BG246" s="193"/>
      <c r="BH246" s="193"/>
      <c r="BI246" s="193"/>
      <c r="BJ246" s="193"/>
      <c r="BK246" s="193"/>
      <c r="BL246" s="193"/>
      <c r="BM246" s="193"/>
      <c r="BN246" s="193"/>
      <c r="BO246" s="193"/>
      <c r="BP246" s="193"/>
      <c r="BQ246" s="193"/>
      <c r="BR246" s="193"/>
      <c r="BS246" s="193"/>
      <c r="BT246" s="199"/>
      <c r="BU246" s="199"/>
      <c r="BV246" s="199"/>
      <c r="BW246" s="193"/>
      <c r="BX246" s="193"/>
      <c r="BY246" s="193"/>
      <c r="BZ246" s="193"/>
      <c r="CA246" s="193"/>
      <c r="CB246"/>
      <c r="CC246" s="51"/>
      <c r="CD246" s="51" t="s">
        <v>58</v>
      </c>
      <c r="CE246" s="51">
        <f>IF(AV246=0,0,IF(AV246=1,AW246,((AV246-1)*AW246*0.6)+AW246))</f>
        <v>0</v>
      </c>
      <c r="CF246" s="51"/>
      <c r="CG246" s="51"/>
      <c r="CH246" s="51"/>
      <c r="CI246" s="51"/>
      <c r="CK246" s="29" t="s">
        <v>58</v>
      </c>
      <c r="CL246" s="83"/>
      <c r="CM246" s="202">
        <f>SUM($U$29,$X$29)</f>
        <v>0</v>
      </c>
      <c r="CN246" s="202">
        <f>SUM($V$29,$Y$29)</f>
        <v>0</v>
      </c>
      <c r="CO246" s="199">
        <f>IF(CM246=0,0,IF(CM246=1,CN246,((CM246-1)*CN246*0.6/CM246)+CN246/CM246))</f>
        <v>0</v>
      </c>
      <c r="CP246" s="193"/>
      <c r="CQ246" s="199">
        <f>CN246*CM246</f>
        <v>0</v>
      </c>
      <c r="CR246" s="193"/>
      <c r="CS246" s="193"/>
      <c r="CT246" s="193"/>
      <c r="CU246" s="193"/>
      <c r="CV246" s="193"/>
      <c r="CW246" s="193"/>
      <c r="CX246" s="193"/>
      <c r="CY246" s="193"/>
      <c r="CZ246" s="193"/>
      <c r="DA246" s="193"/>
      <c r="DB246" s="193"/>
      <c r="DC246" s="193"/>
      <c r="DD246" s="193"/>
      <c r="DE246" s="193"/>
      <c r="DF246" s="193"/>
      <c r="DG246" s="193"/>
      <c r="DH246" s="193"/>
      <c r="DI246" s="193"/>
      <c r="DJ246" s="193"/>
      <c r="DK246" s="199"/>
      <c r="DL246" s="199"/>
      <c r="DM246" s="199"/>
      <c r="DN246" s="193"/>
      <c r="DO246" s="193"/>
      <c r="DP246" s="193"/>
      <c r="DQ246" s="193"/>
      <c r="DR246" s="193"/>
      <c r="DS246"/>
      <c r="DT246" s="51"/>
      <c r="DU246" s="51" t="s">
        <v>58</v>
      </c>
      <c r="DV246" s="51">
        <f>IF(CM246=0,0,IF(CM246=1,CN246,((CM246-1)*CN246*0.6)+CN246))</f>
        <v>0</v>
      </c>
      <c r="DW246" s="51"/>
      <c r="DX246" s="51"/>
      <c r="DY246" s="51"/>
    </row>
    <row r="247" spans="1:129" x14ac:dyDescent="0.2">
      <c r="A247" s="51"/>
      <c r="B247"/>
      <c r="C247" s="30" t="s">
        <v>59</v>
      </c>
      <c r="D247" s="83"/>
      <c r="E247" s="202">
        <f t="shared" si="182"/>
        <v>0</v>
      </c>
      <c r="F247" s="202">
        <f t="shared" si="183"/>
        <v>0</v>
      </c>
      <c r="G247" s="199">
        <f t="shared" si="186"/>
        <v>0</v>
      </c>
      <c r="H247" s="193"/>
      <c r="I247" s="199">
        <f t="shared" si="187"/>
        <v>0</v>
      </c>
      <c r="J247" s="193"/>
      <c r="K247" s="193"/>
      <c r="L247" s="193"/>
      <c r="M247" s="193"/>
      <c r="N247" s="193"/>
      <c r="O247" s="193"/>
      <c r="P247" s="193"/>
      <c r="Q247" s="199">
        <f t="shared" si="184"/>
        <v>0</v>
      </c>
      <c r="R247" s="199">
        <f t="shared" si="185"/>
        <v>0</v>
      </c>
      <c r="S247" s="199">
        <f t="shared" si="188"/>
        <v>0</v>
      </c>
      <c r="T247" s="193"/>
      <c r="U247" s="193"/>
      <c r="V247" s="193"/>
      <c r="W247" s="193"/>
      <c r="X247" s="193"/>
      <c r="Y247" s="193"/>
      <c r="Z247" s="193"/>
      <c r="AA247" s="193"/>
      <c r="AB247" s="193"/>
      <c r="AC247" s="199"/>
      <c r="AD247" s="199"/>
      <c r="AE247" s="199"/>
      <c r="AF247" s="193"/>
      <c r="AG247" s="193"/>
      <c r="AH247" s="193"/>
      <c r="AI247" s="193"/>
      <c r="AJ247" s="193"/>
      <c r="AL247" s="51"/>
      <c r="AM247" s="51" t="s">
        <v>59</v>
      </c>
      <c r="AN247" s="51">
        <v>1</v>
      </c>
      <c r="AO247" s="51"/>
      <c r="AP247" s="51"/>
      <c r="AQ247" s="51"/>
      <c r="AR247" s="51"/>
      <c r="AT247" s="30" t="s">
        <v>59</v>
      </c>
      <c r="AU247" s="83"/>
      <c r="AV247" s="202">
        <f>SUM($O$30,$R$30)</f>
        <v>0</v>
      </c>
      <c r="AW247" s="202">
        <f>SUM($P$30,$S$30)</f>
        <v>0</v>
      </c>
      <c r="AX247" s="199">
        <f t="shared" si="189"/>
        <v>0</v>
      </c>
      <c r="AY247" s="193"/>
      <c r="AZ247" s="199">
        <f t="shared" si="190"/>
        <v>0</v>
      </c>
      <c r="BA247" s="193"/>
      <c r="BB247" s="193"/>
      <c r="BC247" s="193"/>
      <c r="BD247" s="193"/>
      <c r="BE247" s="193"/>
      <c r="BF247" s="193"/>
      <c r="BG247" s="193"/>
      <c r="BH247" s="193"/>
      <c r="BI247" s="193"/>
      <c r="BJ247" s="193"/>
      <c r="BK247" s="193"/>
      <c r="BL247" s="193"/>
      <c r="BM247" s="193"/>
      <c r="BN247" s="193"/>
      <c r="BO247" s="193"/>
      <c r="BP247" s="193"/>
      <c r="BQ247" s="193"/>
      <c r="BR247" s="193"/>
      <c r="BS247" s="193"/>
      <c r="BT247" s="199"/>
      <c r="BU247" s="199"/>
      <c r="BV247" s="199"/>
      <c r="BW247" s="193"/>
      <c r="BX247" s="193"/>
      <c r="BY247" s="193"/>
      <c r="BZ247" s="193"/>
      <c r="CA247" s="193"/>
      <c r="CB247"/>
      <c r="CC247" s="51"/>
      <c r="CD247" s="51" t="s">
        <v>59</v>
      </c>
      <c r="CE247" s="51">
        <v>1</v>
      </c>
      <c r="CF247" s="51"/>
      <c r="CG247" s="51"/>
      <c r="CH247" s="51"/>
      <c r="CI247" s="51"/>
      <c r="CK247" s="30" t="s">
        <v>59</v>
      </c>
      <c r="CL247" s="83"/>
      <c r="CM247" s="202">
        <f>SUM($U$30,$X$30)</f>
        <v>0</v>
      </c>
      <c r="CN247" s="202">
        <f>SUM($V$30,$Y$30)</f>
        <v>0</v>
      </c>
      <c r="CO247" s="199">
        <f t="shared" si="191"/>
        <v>0</v>
      </c>
      <c r="CP247" s="193"/>
      <c r="CQ247" s="199">
        <f t="shared" si="192"/>
        <v>0</v>
      </c>
      <c r="CR247" s="193"/>
      <c r="CS247" s="193"/>
      <c r="CT247" s="193"/>
      <c r="CU247" s="193"/>
      <c r="CV247" s="193"/>
      <c r="CW247" s="193"/>
      <c r="CX247" s="193"/>
      <c r="CY247" s="193"/>
      <c r="CZ247" s="193"/>
      <c r="DA247" s="193"/>
      <c r="DB247" s="193"/>
      <c r="DC247" s="193"/>
      <c r="DD247" s="193"/>
      <c r="DE247" s="193"/>
      <c r="DF247" s="193"/>
      <c r="DG247" s="193"/>
      <c r="DH247" s="193"/>
      <c r="DI247" s="193"/>
      <c r="DJ247" s="193"/>
      <c r="DK247" s="199"/>
      <c r="DL247" s="199"/>
      <c r="DM247" s="199"/>
      <c r="DN247" s="193"/>
      <c r="DO247" s="193"/>
      <c r="DP247" s="193"/>
      <c r="DQ247" s="193"/>
      <c r="DR247" s="193"/>
      <c r="DS247"/>
      <c r="DT247" s="51"/>
      <c r="DU247" s="51" t="s">
        <v>59</v>
      </c>
      <c r="DV247" s="51">
        <v>1</v>
      </c>
      <c r="DW247" s="51"/>
      <c r="DX247" s="51"/>
      <c r="DY247" s="51"/>
    </row>
    <row r="248" spans="1:129" ht="13.5" thickBot="1" x14ac:dyDescent="0.25">
      <c r="A248" s="51"/>
      <c r="B248"/>
      <c r="C248" s="31"/>
      <c r="D248" s="86"/>
      <c r="E248" s="203"/>
      <c r="F248" s="203"/>
      <c r="G248" s="91">
        <f>SUM(G230:G247)</f>
        <v>0</v>
      </c>
      <c r="H248" s="62"/>
      <c r="I248" s="297">
        <f>SUM(I230:I247)</f>
        <v>0</v>
      </c>
      <c r="J248" s="86"/>
      <c r="K248" s="61"/>
      <c r="L248" s="61"/>
      <c r="M248" s="86"/>
      <c r="N248" s="61"/>
      <c r="O248" s="61"/>
      <c r="P248" s="86"/>
      <c r="Q248" s="61"/>
      <c r="R248" s="61"/>
      <c r="S248" s="86">
        <f>SUM(S230:S247)</f>
        <v>0</v>
      </c>
      <c r="T248" s="61"/>
      <c r="U248" s="61"/>
      <c r="V248" s="86"/>
      <c r="W248" s="61"/>
      <c r="X248" s="61"/>
      <c r="Y248" s="86"/>
      <c r="Z248" s="61"/>
      <c r="AA248" s="61"/>
      <c r="AB248" s="86"/>
      <c r="AC248" s="203"/>
      <c r="AD248" s="203"/>
      <c r="AE248" s="86"/>
      <c r="AF248" s="61"/>
      <c r="AG248" s="61"/>
      <c r="AH248" s="91"/>
      <c r="AI248" s="62"/>
      <c r="AJ248" s="62"/>
      <c r="AL248" s="51"/>
      <c r="AR248" s="51"/>
      <c r="AT248" s="31"/>
      <c r="AU248" s="86"/>
      <c r="AV248" s="203"/>
      <c r="AW248" s="203"/>
      <c r="AX248" s="91"/>
      <c r="AY248" s="62"/>
      <c r="AZ248" s="62"/>
      <c r="BA248" s="86"/>
      <c r="BB248" s="61"/>
      <c r="BC248" s="61"/>
      <c r="BD248" s="86"/>
      <c r="BE248" s="61"/>
      <c r="BF248" s="61"/>
      <c r="BG248" s="86"/>
      <c r="BH248" s="61"/>
      <c r="BI248" s="61"/>
      <c r="BJ248" s="86"/>
      <c r="BK248" s="61"/>
      <c r="BL248" s="61"/>
      <c r="BM248" s="86"/>
      <c r="BN248" s="61"/>
      <c r="BO248" s="61"/>
      <c r="BP248" s="86"/>
      <c r="BQ248" s="61"/>
      <c r="BR248" s="61"/>
      <c r="BS248" s="86"/>
      <c r="BT248" s="203"/>
      <c r="BU248" s="203"/>
      <c r="BV248" s="86"/>
      <c r="BW248" s="61"/>
      <c r="BX248" s="61"/>
      <c r="BY248" s="91"/>
      <c r="BZ248" s="62"/>
      <c r="CA248" s="62"/>
      <c r="CB248"/>
      <c r="CC248" s="51"/>
      <c r="CD248"/>
      <c r="CG248"/>
      <c r="CI248" s="51"/>
      <c r="CK248" s="31"/>
      <c r="CL248" s="86"/>
      <c r="CM248" s="203"/>
      <c r="CN248" s="203"/>
      <c r="CO248" s="91"/>
      <c r="CP248" s="62"/>
      <c r="CQ248" s="62"/>
      <c r="CR248" s="86"/>
      <c r="CS248" s="61"/>
      <c r="CT248" s="61"/>
      <c r="CU248" s="86"/>
      <c r="CV248" s="61"/>
      <c r="CW248" s="61"/>
      <c r="CX248" s="86"/>
      <c r="CY248" s="61"/>
      <c r="CZ248" s="61"/>
      <c r="DA248" s="86"/>
      <c r="DB248" s="61"/>
      <c r="DC248" s="61"/>
      <c r="DD248" s="86"/>
      <c r="DE248" s="61"/>
      <c r="DF248" s="61"/>
      <c r="DG248" s="86"/>
      <c r="DH248" s="61"/>
      <c r="DI248" s="61"/>
      <c r="DJ248" s="86"/>
      <c r="DK248" s="203"/>
      <c r="DL248" s="203"/>
      <c r="DM248" s="86"/>
      <c r="DN248" s="61"/>
      <c r="DO248" s="61"/>
      <c r="DP248" s="91"/>
      <c r="DQ248" s="62"/>
      <c r="DR248" s="62"/>
      <c r="DS248"/>
      <c r="DT248" s="51"/>
      <c r="DV248"/>
      <c r="DW248"/>
      <c r="DX248"/>
      <c r="DY248"/>
    </row>
    <row r="249" spans="1:129" ht="13.5" thickBot="1" x14ac:dyDescent="0.25">
      <c r="A249" s="51"/>
      <c r="B249"/>
      <c r="C249" s="21" t="s">
        <v>60</v>
      </c>
      <c r="D249" s="85"/>
      <c r="E249" s="206"/>
      <c r="F249" s="204"/>
      <c r="G249" s="20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204"/>
      <c r="AD249" s="204"/>
      <c r="AE249" s="204"/>
      <c r="AF249" s="194"/>
      <c r="AG249" s="194"/>
      <c r="AH249" s="194"/>
      <c r="AI249" s="194"/>
      <c r="AJ249" s="194"/>
      <c r="AL249" s="51"/>
      <c r="AR249" s="51"/>
      <c r="AT249" s="21" t="s">
        <v>60</v>
      </c>
      <c r="AU249" s="85"/>
      <c r="AV249" s="206"/>
      <c r="AW249" s="204"/>
      <c r="AX249" s="204"/>
      <c r="AY249" s="194"/>
      <c r="AZ249" s="194"/>
      <c r="BA249" s="194"/>
      <c r="BB249" s="194"/>
      <c r="BC249" s="194"/>
      <c r="BD249" s="194"/>
      <c r="BE249" s="194"/>
      <c r="BF249" s="194"/>
      <c r="BG249" s="194"/>
      <c r="BH249" s="194"/>
      <c r="BI249" s="194"/>
      <c r="BJ249" s="194"/>
      <c r="BK249" s="194"/>
      <c r="BL249" s="194"/>
      <c r="BM249" s="194"/>
      <c r="BN249" s="194"/>
      <c r="BO249" s="194"/>
      <c r="BP249" s="194"/>
      <c r="BQ249" s="194"/>
      <c r="BR249" s="194"/>
      <c r="BS249" s="194"/>
      <c r="BT249" s="204"/>
      <c r="BU249" s="204"/>
      <c r="BV249" s="204"/>
      <c r="BW249" s="194"/>
      <c r="BX249" s="194"/>
      <c r="BY249" s="194"/>
      <c r="BZ249" s="194"/>
      <c r="CA249" s="194"/>
      <c r="CB249"/>
      <c r="CC249" s="51"/>
      <c r="CD249"/>
      <c r="CG249"/>
      <c r="CI249" s="51"/>
      <c r="CK249" s="21" t="s">
        <v>60</v>
      </c>
      <c r="CL249" s="85"/>
      <c r="CM249" s="206"/>
      <c r="CN249" s="204"/>
      <c r="CO249" s="204"/>
      <c r="CP249" s="194"/>
      <c r="CQ249" s="194"/>
      <c r="CR249" s="194"/>
      <c r="CS249" s="194"/>
      <c r="CT249" s="194"/>
      <c r="CU249" s="194"/>
      <c r="CV249" s="194"/>
      <c r="CW249" s="194"/>
      <c r="CX249" s="194"/>
      <c r="CY249" s="194"/>
      <c r="CZ249" s="194"/>
      <c r="DA249" s="194"/>
      <c r="DB249" s="194"/>
      <c r="DC249" s="194"/>
      <c r="DD249" s="194"/>
      <c r="DE249" s="194"/>
      <c r="DF249" s="194"/>
      <c r="DG249" s="194"/>
      <c r="DH249" s="194"/>
      <c r="DI249" s="194"/>
      <c r="DJ249" s="194"/>
      <c r="DK249" s="204"/>
      <c r="DL249" s="204"/>
      <c r="DM249" s="204"/>
      <c r="DN249" s="194"/>
      <c r="DO249" s="194"/>
      <c r="DP249" s="194"/>
      <c r="DQ249" s="194"/>
      <c r="DR249" s="194"/>
      <c r="DS249"/>
      <c r="DT249" s="51"/>
      <c r="DV249"/>
      <c r="DW249"/>
      <c r="DX249"/>
      <c r="DY249"/>
    </row>
    <row r="250" spans="1:129" ht="13.5" thickBot="1" x14ac:dyDescent="0.25">
      <c r="A250" s="51"/>
      <c r="B250"/>
      <c r="C250" s="22">
        <v>0.33333333333333298</v>
      </c>
      <c r="D250" s="83">
        <f>$B$33</f>
        <v>0.61</v>
      </c>
      <c r="E250" s="679">
        <f>SUM(IF($C$1="Residência",$C$33,0),IF($F$1="Residência",$F$33,0),IF($I$1="Residência",$I$33,0),IF($L$1="Residência",$L$33,0),IF($O$1="Residência",$O$33,0),IF($R$1="Residência",$R$33,0),IF($U$1="Residência",$U$33,0),IF($X$1="Residência",$X$33,0))</f>
        <v>0</v>
      </c>
      <c r="F250" s="680"/>
      <c r="G250" s="70">
        <f>IF($H$282=$DV$28,IF(E250&gt;0,((E250-1)*$BM$39*0.5)+$BM$39,E250*0.5*$BM$39),E250*0.5*$BM$39)</f>
        <v>0</v>
      </c>
      <c r="H250" s="70">
        <f>IF(E250&gt;0,1,0)*$A$33</f>
        <v>0</v>
      </c>
      <c r="I250" s="679">
        <f>E250*$BK$39</f>
        <v>0</v>
      </c>
      <c r="J250" s="680"/>
      <c r="K250" s="83"/>
      <c r="N250" s="116"/>
      <c r="O250" s="679">
        <f>SUM(IF($C$1="Residência",0,$C$33),IF($F$1="Residência",0,$F$33),IF($I$1="Residência",0,$I$33),IF($L$1="Residência",0,$L$33),IF($O$1="Residência",0,$O$33),IF($R$1="Residência",0,$R$33),IF($U$1="Residência",0,$U$33),IF($X$1="Residência",0,$X$33),IF($E$67="TRIFÁSICA",$C$67,0))</f>
        <v>0</v>
      </c>
      <c r="P250" s="680"/>
      <c r="Q250" s="70">
        <f>IF($H$282=$DV$28,IF(AND(O250&gt;0,E250&lt;1),((O250-1)*$BM$39*0.5)+$BM$39,O250*0.5*$BM$39),O250*0.5*$BM$39)</f>
        <v>0</v>
      </c>
      <c r="R250" s="70">
        <f>IF(O250&gt;0,1,0)*$A$33</f>
        <v>0</v>
      </c>
      <c r="S250" s="679">
        <f>O250*$BK$39</f>
        <v>0</v>
      </c>
      <c r="T250" s="680"/>
      <c r="U250" s="689"/>
      <c r="V250" s="690"/>
      <c r="W250" s="679">
        <f>SUM(IF($C$1="Residência",$C$33,0),IF($F$1="Residência",$F$33,0),IF($I$1="Residência",$I$33,0),IF($L$1="Residência",$L$33,0),IF($O$1="Residência",$O$33,0),IF($R$1="Residência",$R$33,0),IF($U$1="Residência",$U$33,0),IF($X$1="Residência",$X$33,0))</f>
        <v>0</v>
      </c>
      <c r="X250" s="680"/>
      <c r="Y250" s="70">
        <f>IF($Z$282=$DV$28,IF(W250&gt;0,((W250-1)*$BM$39*0.5)+$BM$39,W250*0.5*$BM$39),W250*0.5*$BM$39)</f>
        <v>0</v>
      </c>
      <c r="Z250" s="70">
        <f>IF(W250&gt;0,1,0)*$A$33</f>
        <v>0</v>
      </c>
      <c r="AA250" s="679">
        <f>W250*$BK$39</f>
        <v>0</v>
      </c>
      <c r="AB250" s="680"/>
      <c r="AC250" s="83"/>
      <c r="AF250" s="116"/>
      <c r="AG250" s="679">
        <f>SUM(IF($C$1="Residência",0,$C$33),IF($F$1="Residência",0,$F$33),IF($I$1="Residência",0,$I$33),IF($L$1="Residência",0,$L$33),IF($O$1="Residência",0,$O$33),IF($R$1="Residência",0,$R$33),IF($U$1="Residência",0,$U$33),IF($X$1="Residência",0,$X$33))</f>
        <v>0</v>
      </c>
      <c r="AH250" s="680"/>
      <c r="AI250" s="70">
        <f>IF($H$282=$DV$28,IF(AND(AG250&gt;0,W250&lt;1),((AG250-1)*$BM$39*0.5)+$BM$39,AG250*0.5*$BM$39),AG250*0.5*$BM$39)</f>
        <v>0</v>
      </c>
      <c r="AJ250" s="70">
        <f>IF(AG250&gt;0,1,0)*$A$33</f>
        <v>0</v>
      </c>
      <c r="AK250" s="679">
        <f>AG250*$BK$39</f>
        <v>0</v>
      </c>
      <c r="AL250" s="680"/>
      <c r="AR250" s="51"/>
      <c r="AT250" s="22">
        <v>0.33333333333333298</v>
      </c>
      <c r="AU250" s="83">
        <f>$B$33</f>
        <v>0.61</v>
      </c>
      <c r="AV250" s="679">
        <f>SUM($O$33,$R$33)</f>
        <v>0</v>
      </c>
      <c r="AW250" s="680"/>
      <c r="AX250" s="51">
        <f>IF($AY$282=AT250,((AV250-1)*$BM$39*0.5)+$BM$39,AV250*0.5*$BM$39)</f>
        <v>0</v>
      </c>
      <c r="AY250" s="116">
        <f>IF(AV250&gt;0,1,0)*$A$33</f>
        <v>0</v>
      </c>
      <c r="AZ250" s="679">
        <f>AV250*$BK$39</f>
        <v>0</v>
      </c>
      <c r="BA250" s="680"/>
      <c r="BB250" s="83"/>
      <c r="BE250" s="83"/>
      <c r="BF250" s="691"/>
      <c r="BG250" s="692"/>
      <c r="BH250" s="83"/>
      <c r="BI250" s="691"/>
      <c r="BJ250" s="692"/>
      <c r="BK250" s="83"/>
      <c r="BL250" s="689"/>
      <c r="BM250" s="690"/>
      <c r="BN250" s="83"/>
      <c r="BO250" s="395"/>
      <c r="BP250" s="396"/>
      <c r="BQ250" s="83"/>
      <c r="BR250" s="691"/>
      <c r="BS250" s="692"/>
      <c r="CB250"/>
      <c r="CC250" s="51"/>
      <c r="CD250"/>
      <c r="CG250"/>
      <c r="CI250" s="51"/>
      <c r="CK250" s="22">
        <v>0.33333333333333298</v>
      </c>
      <c r="CL250" s="83">
        <f>$B$33</f>
        <v>0.61</v>
      </c>
      <c r="CM250" s="679">
        <f>SUM($U$33,$X$33)</f>
        <v>0</v>
      </c>
      <c r="CN250" s="680"/>
      <c r="CO250" s="51">
        <f>IF($CP$282=CK250,((CM250-1)*$BM$39*0.5)+$BM$39,CM250*0.5*$BM$39)</f>
        <v>0</v>
      </c>
      <c r="CP250" s="116">
        <f>IF(CM250&gt;0,1,0)*$A$33</f>
        <v>0</v>
      </c>
      <c r="CQ250" s="679">
        <f>CM250*$BK$39</f>
        <v>0</v>
      </c>
      <c r="CR250" s="680"/>
      <c r="CS250" s="83"/>
      <c r="CV250" s="83"/>
      <c r="CW250" s="691"/>
      <c r="CX250" s="692"/>
      <c r="CY250" s="83"/>
      <c r="CZ250" s="691"/>
      <c r="DA250" s="692"/>
      <c r="DB250" s="83"/>
      <c r="DC250" s="689"/>
      <c r="DD250" s="690"/>
      <c r="DE250" s="83"/>
      <c r="DF250" s="691"/>
      <c r="DG250" s="692"/>
      <c r="DH250" s="83"/>
      <c r="DI250" s="691"/>
      <c r="DJ250" s="692"/>
      <c r="DP250"/>
      <c r="DQ250"/>
      <c r="DR250"/>
      <c r="DS250"/>
      <c r="DT250" s="51"/>
      <c r="DV250"/>
      <c r="DW250"/>
      <c r="DX250"/>
      <c r="DY250"/>
    </row>
    <row r="251" spans="1:129" ht="13.5" thickBot="1" x14ac:dyDescent="0.25">
      <c r="B251"/>
      <c r="C251" s="22">
        <v>0.5</v>
      </c>
      <c r="D251" s="83">
        <f>$B$34</f>
        <v>0.66</v>
      </c>
      <c r="E251" s="679">
        <f>SUM(IF($C$1="Residência",$C$34,0),IF($F$1="Residência",$F$34,0),IF($I$1="Residência",$I$34,0),IF($L$1="Residência",$L$34,0),IF($O$1="Residência",$O$34,0),IF($R$1="Residência",$R$34,0),IF($U$1="Residência",$U$34,0),IF($X$1="Residência",$X$34,0))</f>
        <v>0</v>
      </c>
      <c r="F251" s="680"/>
      <c r="G251" s="70">
        <f>IF($H$282=$DV$29,IF(E251&gt;0,((E251-1)*$BM$40*0.5)+$BM$40,E251*0.5*$BM$40),E251*0.5*$BM$40)</f>
        <v>0</v>
      </c>
      <c r="H251" s="70">
        <f>IF(E251&gt;0,1,0)*$A$34</f>
        <v>0</v>
      </c>
      <c r="I251" s="679">
        <f>E251*$BK$40</f>
        <v>0</v>
      </c>
      <c r="J251" s="680"/>
      <c r="K251" s="83"/>
      <c r="N251" s="116"/>
      <c r="O251" s="679">
        <f>SUM(IF($C$1="Residência",0,$C$34),IF($F$1="Residência",0,$F$34),IF($I$1="Residência",0,$I$34),IF($L$1="Residência",0,$L$34),IF($O$1="Residência",0,$O$34),IF($R$1="Residência",0,$R$34),IF($U$1="Residência",0,$U$34),IF($X$1="Residência",0,$X$34),IF($E$68="TRIFÁSICA",$C$68,0))</f>
        <v>0</v>
      </c>
      <c r="P251" s="680"/>
      <c r="Q251" s="70">
        <f>IF($H$282=$DV$29,IF(AND(O251&gt;0,E251&lt;1),((O251-1)*$BM$40*0.5)+$BM$40,0),O251*0.5*$BM$40)</f>
        <v>0</v>
      </c>
      <c r="R251" s="70">
        <f>IF(O251&gt;0,1,0)*$A$34</f>
        <v>0</v>
      </c>
      <c r="S251" s="679">
        <f>O251*$BK$40</f>
        <v>0</v>
      </c>
      <c r="T251" s="680"/>
      <c r="U251" s="689"/>
      <c r="V251" s="690"/>
      <c r="W251" s="679">
        <f>SUM(IF($C$1="Residência",$C$34,0),IF($F$1="Residência",$F$34,0),IF($I$1="Residência",$I$34,0),IF($L$1="Residência",$L$34,0),IF($O$1="Residência",$O$34,0),IF($R$1="Residência",$R$34,0),IF($U$1="Residência",$U$34,0),IF($X$1="Residência",$X$34,0))</f>
        <v>0</v>
      </c>
      <c r="X251" s="680"/>
      <c r="Y251" s="70">
        <f>IF($Z$282=$DV$29,IF(W251&gt;0,((W251-1)*$BM$40*0.5)+$BM$40,W251*0.5*$BM$40),W251*0.5*$BM$40)</f>
        <v>0</v>
      </c>
      <c r="Z251" s="70">
        <f>IF(W251&gt;0,1,0)*$A$34</f>
        <v>0</v>
      </c>
      <c r="AA251" s="679">
        <f>W251*$BK$40</f>
        <v>0</v>
      </c>
      <c r="AB251" s="680"/>
      <c r="AC251" s="83"/>
      <c r="AF251" s="116"/>
      <c r="AG251" s="679">
        <f>SUM(IF($C$1="Residência",0,$C$34),IF($F$1="Residência",0,$F$34),IF($I$1="Residência",0,$I$34),IF($L$1="Residência",0,$L$34),IF($O$1="Residência",0,$O$34),IF($R$1="Residência",0,$R$34),IF($U$1="Residência",0,$U$34),IF($X$1="Residência",0,$X$34))</f>
        <v>0</v>
      </c>
      <c r="AH251" s="680"/>
      <c r="AI251" s="70">
        <f>IF($H$282=$DV$29,IF(AND(AG251&gt;0,W251&lt;1),((AG251-1)*$BM$40*0.5)+$BM$40,0),AG251*0.5*$BM$40)</f>
        <v>0</v>
      </c>
      <c r="AJ251" s="70">
        <f>IF(AG251&gt;0,1,0)*$A$34</f>
        <v>0</v>
      </c>
      <c r="AK251" s="679">
        <f>AG251*$BK$40</f>
        <v>0</v>
      </c>
      <c r="AL251" s="680"/>
      <c r="AT251" s="22">
        <v>0.5</v>
      </c>
      <c r="AU251" s="83">
        <f>$B$34</f>
        <v>0.66</v>
      </c>
      <c r="AV251" s="679">
        <f>SUM($O$34,$R$34)</f>
        <v>0</v>
      </c>
      <c r="AW251" s="680"/>
      <c r="AX251" s="51">
        <f>IF($AY$282=AT251,IF(AV251&gt;0,((AV251-1)*$BM$40*0.5)+$BM$40,0),AV251*0.5*$BM$40)</f>
        <v>0</v>
      </c>
      <c r="AY251" s="116">
        <f>IF(AV251&gt;0,1,0)*$A$34</f>
        <v>0</v>
      </c>
      <c r="AZ251" s="679">
        <f>AV251*$BK$40</f>
        <v>0</v>
      </c>
      <c r="BA251" s="680"/>
      <c r="BB251" s="83"/>
      <c r="BE251" s="83"/>
      <c r="BF251" s="691"/>
      <c r="BG251" s="692"/>
      <c r="BH251" s="83"/>
      <c r="BI251" s="691"/>
      <c r="BJ251" s="692"/>
      <c r="BK251" s="83"/>
      <c r="BL251" s="689"/>
      <c r="BM251" s="690"/>
      <c r="BN251" s="83"/>
      <c r="BO251" s="395"/>
      <c r="BP251" s="396"/>
      <c r="BQ251" s="83"/>
      <c r="BR251" s="691"/>
      <c r="BS251" s="692"/>
      <c r="CB251"/>
      <c r="CC251"/>
      <c r="CD251"/>
      <c r="CG251"/>
      <c r="CK251" s="22">
        <v>0.5</v>
      </c>
      <c r="CL251" s="83">
        <f>$B$34</f>
        <v>0.66</v>
      </c>
      <c r="CM251" s="679">
        <f>SUM($U$34,$X$34)</f>
        <v>0</v>
      </c>
      <c r="CN251" s="680"/>
      <c r="CO251" s="51">
        <f>IF($CP$282=CK251,IF(CM251&gt;0,((CM251-1)*$BM$40*0.5)+$BM$40,0),CM251*0.5*$BM$40)</f>
        <v>0</v>
      </c>
      <c r="CP251" s="116">
        <f>IF(CM251&gt;0,1,0)*$A$34</f>
        <v>0</v>
      </c>
      <c r="CQ251" s="679">
        <f>CM251*$BK$40</f>
        <v>0</v>
      </c>
      <c r="CR251" s="680"/>
      <c r="CS251" s="83"/>
      <c r="CV251" s="83"/>
      <c r="CW251" s="691"/>
      <c r="CX251" s="692"/>
      <c r="CY251" s="83"/>
      <c r="CZ251" s="691"/>
      <c r="DA251" s="692"/>
      <c r="DB251" s="83"/>
      <c r="DC251" s="689"/>
      <c r="DD251" s="690"/>
      <c r="DE251" s="83"/>
      <c r="DF251" s="691"/>
      <c r="DG251" s="692"/>
      <c r="DH251" s="83"/>
      <c r="DI251" s="691"/>
      <c r="DJ251" s="692"/>
      <c r="DP251"/>
      <c r="DQ251"/>
      <c r="DR251"/>
      <c r="DS251"/>
      <c r="DT251"/>
      <c r="DV251"/>
      <c r="DW251"/>
      <c r="DX251"/>
      <c r="DY251"/>
    </row>
    <row r="252" spans="1:129" ht="13.5" thickBot="1" x14ac:dyDescent="0.25">
      <c r="A252" s="51"/>
      <c r="B252"/>
      <c r="C252" s="22">
        <v>0.75</v>
      </c>
      <c r="D252" s="83">
        <f>$B$35</f>
        <v>0.66</v>
      </c>
      <c r="E252" s="679">
        <f>SUM(IF($C$1="Residência",$C$35,0),IF($F$1="Residência",$F$35,0),IF($I$1="Residência",$I$35,0),IF($L$1="Residência",$L$35,0),IF($O$1="Residência",$O$35,0),IF($R$1="Residência",$R$35,0),IF($U$1="Residência",$U$35,0),IF($X$1="Residência",$X$35,0))</f>
        <v>0</v>
      </c>
      <c r="F252" s="680"/>
      <c r="G252" s="70">
        <f>IF($H$282=$DV$30,IF(E252&gt;0,((E252-1)*$BM$41*0.5)+$BM$41,E252*0.5*$BM$41),E252*0.5*$BM$41)</f>
        <v>0</v>
      </c>
      <c r="H252" s="70">
        <f>IF(E252&gt;0,1,0)*$A$35</f>
        <v>0</v>
      </c>
      <c r="I252" s="679">
        <f>E252*$BK$41</f>
        <v>0</v>
      </c>
      <c r="J252" s="680"/>
      <c r="K252" s="83"/>
      <c r="N252" s="116"/>
      <c r="O252" s="679">
        <f>SUM(IF($C$1="Residência",0,$C$35),IF($F$1="Residência",0,$F$35),IF($I$1="Residência",0,$I$35),IF($L$1="Residência",0,$L$35),IF($O$1="Residência",0,$O$35),IF($R$1="Residência",0,$R$35),IF($U$1="Residência",0,$U$35),IF($X$1="Residência",0,$X$35),IF($E$69="TRIFÁSICA",$C$69,0))</f>
        <v>0</v>
      </c>
      <c r="P252" s="680"/>
      <c r="Q252" s="70">
        <f>IF($H$282=$DV$30,IF(AND(O252&gt;0,E252&lt;1),((O252-1)*$BM$41*0.5)+$BM$41,O252*0.5*$BM$41),O252*0.5*$BM$41)</f>
        <v>0</v>
      </c>
      <c r="R252" s="70">
        <f>IF(O252&gt;0,1,0)*$A$35</f>
        <v>0</v>
      </c>
      <c r="S252" s="679">
        <f>O252*$BK$41</f>
        <v>0</v>
      </c>
      <c r="T252" s="680"/>
      <c r="U252" s="689"/>
      <c r="V252" s="690"/>
      <c r="W252" s="679">
        <f>SUM(IF($C$1="Residência",$C$35,0),IF($F$1="Residência",$F$35,0),IF($I$1="Residência",$I$35,0),IF($L$1="Residência",$L$35,0),IF($O$1="Residência",$O$35,0),IF($R$1="Residência",$R$35,0),IF($U$1="Residência",$U$35,0),IF($X$1="Residência",$X$35,0))</f>
        <v>0</v>
      </c>
      <c r="X252" s="680"/>
      <c r="Y252" s="70">
        <f>IF($Z$282=$DV$30,IF(W252&gt;0,((W252-1)*$BM$41*0.5)+$BM$41,W252*0.5*$BM$41),W252*0.5*$BM$41)</f>
        <v>0</v>
      </c>
      <c r="Z252" s="70">
        <f>IF(W252&gt;0,1,0)*$A$35</f>
        <v>0</v>
      </c>
      <c r="AA252" s="679">
        <f>W252*$BK$41</f>
        <v>0</v>
      </c>
      <c r="AB252" s="680"/>
      <c r="AC252" s="83"/>
      <c r="AF252" s="116"/>
      <c r="AG252" s="679">
        <f>SUM(IF($C$1="Residência",0,$C$35),IF($F$1="Residência",0,$F$35),IF($I$1="Residência",0,$I$35),IF($L$1="Residência",0,$L$35),IF($O$1="Residência",0,$O$35),IF($R$1="Residência",0,$R$35),IF($U$1="Residência",0,$U$35),IF($X$1="Residência",0,$X$35))</f>
        <v>0</v>
      </c>
      <c r="AH252" s="680"/>
      <c r="AI252" s="70">
        <f>IF($H$282=$DV$30,IF(AND(AG252&gt;0,W252&lt;1),((AG252-1)*$BM$41*0.5)+$BM$41,AG252*0.5*$BM$41),AG252*0.5*$BM$41)</f>
        <v>0</v>
      </c>
      <c r="AJ252" s="70">
        <f>IF(AG252&gt;0,1,0)*$A$35</f>
        <v>0</v>
      </c>
      <c r="AK252" s="679">
        <f>AG252*$BK$41</f>
        <v>0</v>
      </c>
      <c r="AL252" s="680"/>
      <c r="AR252" s="51"/>
      <c r="AT252" s="22">
        <v>0.75</v>
      </c>
      <c r="AU252" s="83">
        <f>$B$35</f>
        <v>0.66</v>
      </c>
      <c r="AV252" s="679">
        <f>SUM($O$35,$R$35)</f>
        <v>0</v>
      </c>
      <c r="AW252" s="680"/>
      <c r="AX252" s="51">
        <f>IF($AY$282=AT252,IF(AV252&gt;0,((AV252-1)*$BM$41*0.5)+$BM$41,0),AV252*0.5*$BM$41)</f>
        <v>0</v>
      </c>
      <c r="AY252" s="116">
        <f>IF(AV252&gt;0,1,0)*$A$35</f>
        <v>0</v>
      </c>
      <c r="AZ252" s="679">
        <f>AV252*$BK$41</f>
        <v>0</v>
      </c>
      <c r="BA252" s="680"/>
      <c r="BB252" s="83"/>
      <c r="BE252" s="83"/>
      <c r="BF252" s="691"/>
      <c r="BG252" s="692"/>
      <c r="BH252" s="83"/>
      <c r="BI252" s="691"/>
      <c r="BJ252" s="692"/>
      <c r="BK252" s="83"/>
      <c r="BL252" s="689"/>
      <c r="BM252" s="690"/>
      <c r="BN252" s="83"/>
      <c r="BO252" s="395"/>
      <c r="BP252" s="396"/>
      <c r="BQ252" s="83"/>
      <c r="BR252" s="691"/>
      <c r="BS252" s="692"/>
      <c r="CB252"/>
      <c r="CC252" s="51"/>
      <c r="CD252"/>
      <c r="CG252"/>
      <c r="CI252" s="51"/>
      <c r="CK252" s="22">
        <v>0.75</v>
      </c>
      <c r="CL252" s="83">
        <f>$B$35</f>
        <v>0.66</v>
      </c>
      <c r="CM252" s="679">
        <f>SUM($U$35,$X$35)</f>
        <v>0</v>
      </c>
      <c r="CN252" s="680"/>
      <c r="CO252" s="51">
        <f>IF($CP$282=CK252,IF(CM252&gt;0,((CM252-1)*$BM$41*0.5)+$BM$41,0),CM252*0.5*$BM$41)</f>
        <v>0</v>
      </c>
      <c r="CP252" s="116">
        <f>IF(CM252&gt;0,1,0)*$A$35</f>
        <v>0</v>
      </c>
      <c r="CQ252" s="679">
        <f>CM252*$BK$41</f>
        <v>0</v>
      </c>
      <c r="CR252" s="680"/>
      <c r="CS252" s="83"/>
      <c r="CV252" s="83"/>
      <c r="CW252" s="691"/>
      <c r="CX252" s="692"/>
      <c r="CY252" s="83"/>
      <c r="CZ252" s="691"/>
      <c r="DA252" s="692"/>
      <c r="DB252" s="83"/>
      <c r="DC252" s="689"/>
      <c r="DD252" s="690"/>
      <c r="DE252" s="83"/>
      <c r="DF252" s="691"/>
      <c r="DG252" s="692"/>
      <c r="DH252" s="83"/>
      <c r="DI252" s="691"/>
      <c r="DJ252" s="692"/>
      <c r="DP252"/>
      <c r="DQ252"/>
      <c r="DR252"/>
      <c r="DS252"/>
      <c r="DT252" s="51"/>
      <c r="DV252"/>
      <c r="DW252"/>
      <c r="DX252"/>
      <c r="DY252"/>
    </row>
    <row r="253" spans="1:129" ht="13.5" thickBot="1" x14ac:dyDescent="0.25">
      <c r="A253" s="51"/>
      <c r="B253"/>
      <c r="C253" s="22">
        <v>1</v>
      </c>
      <c r="D253" s="83">
        <f>$B$36</f>
        <v>0.69</v>
      </c>
      <c r="E253" s="679">
        <f>SUM(IF($C$1="Residência",$C$36,0),IF($F$1="Residência",$F$36,0),IF($I$1="Residência",$I$36,0),IF($L$1="Residência",$L$36,0),IF($O$1="Residência",$O$36,0),IF($R$1="Residência",$R$36,0),IF($U$1="Residência",$U$36,0),IF($X$1="Residência",$X$36,0))</f>
        <v>0</v>
      </c>
      <c r="F253" s="680"/>
      <c r="G253" s="70">
        <f>IF($H$282=$DV$31,IF(E253&gt;0,((E253-1)*$BM$42*0.5)+$BM$42,E253*0.5*$BM$42),E253*0.5*$BM$42)</f>
        <v>0</v>
      </c>
      <c r="H253" s="70">
        <f>IF(E253&gt;0,1,0)*$A$36</f>
        <v>0</v>
      </c>
      <c r="I253" s="679">
        <f>E253*$BK$42</f>
        <v>0</v>
      </c>
      <c r="J253" s="680"/>
      <c r="K253" s="83"/>
      <c r="N253" s="116"/>
      <c r="O253" s="679">
        <f>SUM(IF($C$1="Residência",0,$C$36),IF($F$1="Residência",0,$F$36),IF($I$1="Residência",0,$I$36),IF($L$1="Residência",0,$L$36),IF($O$1="Residência",0,$O$36),IF($R$1="Residência",0,$R$36),IF($U$1="Residência",0,$U$36),IF($X$1="Residência",0,$X$36),IF($E$70="TRIFÁSICA",$C$70,0))</f>
        <v>0</v>
      </c>
      <c r="P253" s="680"/>
      <c r="Q253" s="70">
        <f>IF($H$282=$DV$31,IF(AND(O253&gt;0,E253&lt;1),((O253-1)*$BM$42*0.5)+$BM$42,O253*0.5*$BM$42),O253*0.5*$BM$42)</f>
        <v>0</v>
      </c>
      <c r="R253" s="70">
        <f>IF(O253&gt;0,1,0)*$A$36</f>
        <v>0</v>
      </c>
      <c r="S253" s="679">
        <f>O253*$BK$42</f>
        <v>0</v>
      </c>
      <c r="T253" s="680"/>
      <c r="U253" s="689"/>
      <c r="V253" s="690"/>
      <c r="W253" s="679">
        <f>SUM(IF($C$1="Residência",$C$36,0),IF($F$1="Residência",$F$36,0),IF($I$1="Residência",$I$36,0),IF($L$1="Residência",$L$36,0),IF($O$1="Residência",$O$36,0),IF($R$1="Residência",$R$36,0),IF($U$1="Residência",$U$36,0),IF($X$1="Residência",$X$36,0))</f>
        <v>0</v>
      </c>
      <c r="X253" s="680"/>
      <c r="Y253" s="70">
        <f>IF($Z$282=$DV$31,IF(W253&gt;0,((W253-1)*$BM$42*0.5)+$BM$42,W253*0.5*$BM$42),W253*0.5*$BM$42)</f>
        <v>0</v>
      </c>
      <c r="Z253" s="70">
        <f>IF(W253&gt;0,1,0)*$A$36</f>
        <v>0</v>
      </c>
      <c r="AA253" s="679">
        <f>W253*$BK$42</f>
        <v>0</v>
      </c>
      <c r="AB253" s="680"/>
      <c r="AC253" s="83"/>
      <c r="AF253" s="116"/>
      <c r="AG253" s="679">
        <f>SUM(IF($C$1="Residência",0,$C$36),IF($F$1="Residência",0,$F$36),IF($I$1="Residência",0,$I$36),IF($L$1="Residência",0,$L$36),IF($O$1="Residência",0,$O$36),IF($R$1="Residência",0,$R$36),IF($U$1="Residência",0,$U$36),IF($X$1="Residência",0,$X$36))</f>
        <v>0</v>
      </c>
      <c r="AH253" s="680"/>
      <c r="AI253" s="70">
        <f>IF($H$282=$DV$31,IF(AND(AG253&gt;0,W253&lt;1),((AG253-1)*$BM$42*0.5)+$BM$42,AG253*0.5*$BM$42),AG253*0.5*$BM$42)</f>
        <v>0</v>
      </c>
      <c r="AJ253" s="70">
        <f>IF(AG253&gt;0,1,0)*$A$36</f>
        <v>0</v>
      </c>
      <c r="AK253" s="679">
        <f>AG253*$BK$42</f>
        <v>0</v>
      </c>
      <c r="AL253" s="680"/>
      <c r="AR253" s="51"/>
      <c r="AT253" s="22">
        <v>1</v>
      </c>
      <c r="AU253" s="83">
        <f>$B$36</f>
        <v>0.69</v>
      </c>
      <c r="AV253" s="679">
        <f>SUM($O$36,$R$36)</f>
        <v>0</v>
      </c>
      <c r="AW253" s="680"/>
      <c r="AX253" s="51">
        <f>IF($AY$282=AT253,IF(AV253&gt;0,((AV253-1)*$BM$42*0.5)+$BM$42,0),AV253*0.5*$BM$42)</f>
        <v>0</v>
      </c>
      <c r="AY253" s="116">
        <f>IF(AV253&gt;0,1,0)*$A$36</f>
        <v>0</v>
      </c>
      <c r="AZ253" s="679">
        <f>AV253*$BK$42</f>
        <v>0</v>
      </c>
      <c r="BA253" s="680"/>
      <c r="BB253" s="83"/>
      <c r="BE253" s="83"/>
      <c r="BF253" s="691"/>
      <c r="BG253" s="692"/>
      <c r="BH253" s="83"/>
      <c r="BI253" s="691"/>
      <c r="BJ253" s="692"/>
      <c r="BK253" s="83"/>
      <c r="BL253" s="689"/>
      <c r="BM253" s="690"/>
      <c r="BN253" s="83"/>
      <c r="BO253" s="395"/>
      <c r="BP253" s="396"/>
      <c r="BQ253" s="83"/>
      <c r="BR253" s="691"/>
      <c r="BS253" s="692"/>
      <c r="CB253"/>
      <c r="CC253" s="51"/>
      <c r="CD253"/>
      <c r="CG253"/>
      <c r="CI253" s="51"/>
      <c r="CK253" s="22">
        <v>1</v>
      </c>
      <c r="CL253" s="83">
        <f>$B$36</f>
        <v>0.69</v>
      </c>
      <c r="CM253" s="679">
        <f>SUM($U$36,$X$36)</f>
        <v>0</v>
      </c>
      <c r="CN253" s="680"/>
      <c r="CO253" s="51">
        <f>IF($CP$282=CK253,IF(CM253&gt;0,((CM253-1)*$BM$42*0.5)+$BM$42,0),CM253*0.5*$BM$42)</f>
        <v>0</v>
      </c>
      <c r="CP253" s="116">
        <f>IF(CM253&gt;0,1,0)*$A$36</f>
        <v>0</v>
      </c>
      <c r="CQ253" s="679">
        <f>CM253*$BK$42</f>
        <v>0</v>
      </c>
      <c r="CR253" s="680"/>
      <c r="CS253" s="83"/>
      <c r="CV253" s="83"/>
      <c r="CW253" s="691"/>
      <c r="CX253" s="692"/>
      <c r="CY253" s="83"/>
      <c r="CZ253" s="691"/>
      <c r="DA253" s="692"/>
      <c r="DB253" s="83"/>
      <c r="DC253" s="689"/>
      <c r="DD253" s="690"/>
      <c r="DE253" s="83"/>
      <c r="DF253" s="691"/>
      <c r="DG253" s="692"/>
      <c r="DH253" s="83"/>
      <c r="DI253" s="691"/>
      <c r="DJ253" s="692"/>
      <c r="DP253"/>
      <c r="DQ253"/>
      <c r="DR253"/>
      <c r="DS253"/>
      <c r="DT253" s="51"/>
      <c r="DV253"/>
      <c r="DW253"/>
      <c r="DX253"/>
      <c r="DY253"/>
    </row>
    <row r="254" spans="1:129" ht="13.5" thickBot="1" x14ac:dyDescent="0.25">
      <c r="A254" s="51"/>
      <c r="B254"/>
      <c r="C254" s="22">
        <v>1.5</v>
      </c>
      <c r="D254" s="83">
        <f>$B$37</f>
        <v>0.71</v>
      </c>
      <c r="E254" s="679">
        <f>SUM(IF($C$1="Residência",$C$37,0),IF($F$1="Residência",$F$37,0),IF($I$1="Residência",$I$37,0),IF($L$1="Residência",$L$37,0),IF($O$1="Residência",$O$37,0),IF($R$1="Residência",$R$37,0),IF($U$1="Residência",$U$37,0),IF($X$1="Residência",$X$37,0))</f>
        <v>0</v>
      </c>
      <c r="F254" s="680"/>
      <c r="G254" s="70">
        <f>IF($H$282=$DV$32,IF(E254&gt;0,((E254-1)*$BM$43*0.5)+$BM$43,E254*0.5*$BM$43),E254*0.5*$BM$43)</f>
        <v>0</v>
      </c>
      <c r="H254" s="70">
        <f>IF(E254&gt;0,1,0)*$A$37</f>
        <v>0</v>
      </c>
      <c r="I254" s="679">
        <f>E254*$BK$43</f>
        <v>0</v>
      </c>
      <c r="J254" s="680"/>
      <c r="K254" s="83"/>
      <c r="N254" s="116"/>
      <c r="O254" s="679">
        <f>SUM(IF($C$1="Residência",0,$C$37),IF($F$1="Residência",0,$F$37),IF($I$1="Residência",0,$I$37),IF($L$1="Residência",0,$L$37),IF($O$1="Residência",0,$O$37),IF($R$1="Residência",0,$R$37),IF($U$1="Residência",0,$U$37),IF($X$1="Residência",0,$X$37),IF($E$71="TRIFÁSICA",$C$71,0))</f>
        <v>0</v>
      </c>
      <c r="P254" s="680"/>
      <c r="Q254" s="70">
        <f>IF($H$282=$DV$32,IF(AND(O254&gt;0,E254&lt;1),((O254-1)*$BM$43*0.5)+$BM$43,O254*0.5*$BM$43),O254*0.5*$BM$43)</f>
        <v>0</v>
      </c>
      <c r="R254" s="70">
        <f>IF(O254&gt;0,1,0)*$A$37</f>
        <v>0</v>
      </c>
      <c r="S254" s="679">
        <f>O254*$BK$43</f>
        <v>0</v>
      </c>
      <c r="T254" s="680"/>
      <c r="U254" s="689"/>
      <c r="V254" s="690"/>
      <c r="W254" s="679">
        <f>SUM(IF($C$1="Residência",$C$37,0),IF($F$1="Residência",$F$37,0),IF($I$1="Residência",$I$37,0),IF($L$1="Residência",$L$37,0),IF($O$1="Residência",$O$37,0),IF($R$1="Residência",$R$37,0),IF($U$1="Residência",$U$37,0),IF($X$1="Residência",$X$37,0))</f>
        <v>0</v>
      </c>
      <c r="X254" s="680"/>
      <c r="Y254" s="70">
        <f>IF($Z$282=$DV$32,IF(W254&gt;0,((W254-1)*$BM$43*0.5)+$BM$43,W254*0.5*$BM$43),W254*0.5*$BM$43)</f>
        <v>0</v>
      </c>
      <c r="Z254" s="70">
        <f>IF(W254&gt;0,1,0)*$A$37</f>
        <v>0</v>
      </c>
      <c r="AA254" s="679">
        <f>W254*$BK$43</f>
        <v>0</v>
      </c>
      <c r="AB254" s="680"/>
      <c r="AC254" s="83"/>
      <c r="AF254" s="116"/>
      <c r="AG254" s="679">
        <f>SUM(IF($C$1="Residência",0,$C$37),IF($F$1="Residência",0,$F$37),IF($I$1="Residência",0,$I$37),IF($L$1="Residência",0,$L$37),IF($O$1="Residência",0,$O$37),IF($R$1="Residência",0,$R$37),IF($U$1="Residência",0,$U$37),IF($X$1="Residência",0,$X$37))</f>
        <v>0</v>
      </c>
      <c r="AH254" s="680"/>
      <c r="AI254" s="70">
        <f>IF($H$282=$DV$32,IF(AND(AG254&gt;0,W254&lt;1),((AG254-1)*$BM$43*0.5)+$BM$43,AG254*0.5*$BM$43),AG254*0.5*$BM$43)</f>
        <v>0</v>
      </c>
      <c r="AJ254" s="70">
        <f>IF(AG254&gt;0,1,0)*$A$37</f>
        <v>0</v>
      </c>
      <c r="AK254" s="679">
        <f>AG254*$BK$43</f>
        <v>0</v>
      </c>
      <c r="AL254" s="680"/>
      <c r="AR254" s="51"/>
      <c r="AT254" s="22">
        <v>1.5</v>
      </c>
      <c r="AU254" s="83">
        <f>$B$37</f>
        <v>0.71</v>
      </c>
      <c r="AV254" s="679">
        <f>SUM($O$37,$R$37)</f>
        <v>0</v>
      </c>
      <c r="AW254" s="680"/>
      <c r="AX254" s="51">
        <f>IF($AY$282=AT254,IF(AV254&gt;0,((AV254-1)*$BM$43*0.5)+$BM$43,0),AV254*0.5*$BM$43)</f>
        <v>0</v>
      </c>
      <c r="AY254" s="116">
        <f>IF(AV254&gt;0,1,0)*$A$37</f>
        <v>0</v>
      </c>
      <c r="AZ254" s="679">
        <f>AV254*$BK$43</f>
        <v>0</v>
      </c>
      <c r="BA254" s="680"/>
      <c r="BB254" s="83"/>
      <c r="BE254" s="83"/>
      <c r="BF254" s="691"/>
      <c r="BG254" s="692"/>
      <c r="BH254" s="83"/>
      <c r="BI254" s="691"/>
      <c r="BJ254" s="692"/>
      <c r="BK254" s="83"/>
      <c r="BL254" s="689"/>
      <c r="BM254" s="690"/>
      <c r="BN254" s="83"/>
      <c r="BO254" s="395"/>
      <c r="BP254" s="396"/>
      <c r="BQ254" s="83"/>
      <c r="BR254" s="691"/>
      <c r="BS254" s="692"/>
      <c r="CB254"/>
      <c r="CC254" s="51"/>
      <c r="CD254"/>
      <c r="CG254"/>
      <c r="CI254" s="51"/>
      <c r="CK254" s="22">
        <v>1.5</v>
      </c>
      <c r="CL254" s="83">
        <f>$B$37</f>
        <v>0.71</v>
      </c>
      <c r="CM254" s="679">
        <f>SUM($U$37,$X$37)</f>
        <v>0</v>
      </c>
      <c r="CN254" s="680"/>
      <c r="CO254" s="51">
        <f>IF($CP$282=CK254,IF(CM254&gt;0,((CM254-1)*$BM$43*0.5)+$BM$43,0),CM254*0.5*$BM$43)</f>
        <v>0</v>
      </c>
      <c r="CP254" s="116">
        <f>IF(CM254&gt;0,1,0)*$A$37</f>
        <v>0</v>
      </c>
      <c r="CQ254" s="679">
        <f>CM254*$BK$43</f>
        <v>0</v>
      </c>
      <c r="CR254" s="680"/>
      <c r="CS254" s="83"/>
      <c r="CV254" s="83"/>
      <c r="CW254" s="691"/>
      <c r="CX254" s="692"/>
      <c r="CY254" s="83"/>
      <c r="CZ254" s="691"/>
      <c r="DA254" s="692"/>
      <c r="DB254" s="83"/>
      <c r="DC254" s="689"/>
      <c r="DD254" s="690"/>
      <c r="DE254" s="83"/>
      <c r="DF254" s="691"/>
      <c r="DG254" s="692"/>
      <c r="DH254" s="83"/>
      <c r="DI254" s="691"/>
      <c r="DJ254" s="692"/>
      <c r="DP254"/>
      <c r="DQ254"/>
      <c r="DR254"/>
      <c r="DS254"/>
      <c r="DT254" s="51"/>
      <c r="DV254"/>
      <c r="DW254"/>
      <c r="DX254"/>
      <c r="DY254"/>
    </row>
    <row r="255" spans="1:129" ht="13.5" thickBot="1" x14ac:dyDescent="0.25">
      <c r="A255" s="51"/>
      <c r="B255"/>
      <c r="C255" s="22">
        <v>2</v>
      </c>
      <c r="D255" s="83">
        <f>$B$38</f>
        <v>0.72</v>
      </c>
      <c r="E255" s="679">
        <f>SUM(IF($C$1="Residência",$C$38,0),IF($F$1="Residência",$F$38,0),IF($I$1="Residência",$I$38,0),IF($L$1="Residência",$L$38,0),IF($O$1="Residência",$O$38,0),IF($R$1="Residência",$R$38,0),IF($U$1="Residência",$U$38,0),IF($X$1="Residência",$X$38,0))</f>
        <v>0</v>
      </c>
      <c r="F255" s="680"/>
      <c r="G255" s="70">
        <f>IF($H$282=$DV$33,IF(E255&gt;0,((E255-1)*$BM$44*0.5)+$BM$44,E255*0.5*$BM$44),E255*0.5*$BM$44)</f>
        <v>0</v>
      </c>
      <c r="H255" s="70">
        <f>IF(E255&gt;0,1,0)*$A$38</f>
        <v>0</v>
      </c>
      <c r="I255" s="679">
        <f>E255*$BK$44</f>
        <v>0</v>
      </c>
      <c r="J255" s="680"/>
      <c r="K255" s="83"/>
      <c r="N255" s="116"/>
      <c r="O255" s="679">
        <f>SUM(IF($C$1="Residência",0,$C$38),IF($F$1="Residência",0,$F$38),IF($I$1="Residência",0,$I$38),IF($L$1="Residência",0,$L$38),IF($O$1="Residência",0,$O$38),IF($R$1="Residência",0,$R$38),IF($U$1="Residência",0,$U$38),IF($X$1="Residência",0,$X$38),IF($E$72="TRIFÁSICA",$C$72,0))</f>
        <v>0</v>
      </c>
      <c r="P255" s="680"/>
      <c r="Q255" s="70">
        <f>IF($H$282=$DV$33,IF(AND(O255&gt;0,E255&lt;1),((O255-1)*$BM$44*0.5)+$BM$44,O255*0.5*$BM$44),O255*0.5*$BM$44)</f>
        <v>0</v>
      </c>
      <c r="R255" s="70">
        <f>IF(O255&gt;0,1,0)*$A$38</f>
        <v>0</v>
      </c>
      <c r="S255" s="679">
        <f>O255*$BK$44</f>
        <v>0</v>
      </c>
      <c r="T255" s="680"/>
      <c r="U255" s="689"/>
      <c r="V255" s="690"/>
      <c r="W255" s="679">
        <f>SUM(IF($C$1="Residência",$C$38,0),IF($F$1="Residência",$F$38,0),IF($I$1="Residência",$I$38,0),IF($L$1="Residência",$L$38,0),IF($O$1="Residência",$O$38,0),IF($R$1="Residência",$R$38,0),IF($U$1="Residência",$U$38,0),IF($X$1="Residência",$X$38,0))</f>
        <v>0</v>
      </c>
      <c r="X255" s="680"/>
      <c r="Y255" s="70">
        <f>IF($Z$282=$DV$33,IF(W255&gt;0,((W255-1)*$BM$44*0.5)+$BM$44,W255*0.5*$BM$44),W255*0.5*$BM$44)</f>
        <v>0</v>
      </c>
      <c r="Z255" s="70">
        <f>IF(W255&gt;0,1,0)*$A$38</f>
        <v>0</v>
      </c>
      <c r="AA255" s="679">
        <f>W255*$BK$44</f>
        <v>0</v>
      </c>
      <c r="AB255" s="680"/>
      <c r="AC255" s="83"/>
      <c r="AF255" s="116"/>
      <c r="AG255" s="679">
        <f>SUM(IF($C$1="Residência",0,$C$38),IF($F$1="Residência",0,$F$38),IF($I$1="Residência",0,$I$38),IF($L$1="Residência",0,$L$38),IF($O$1="Residência",0,$O$38),IF($R$1="Residência",0,$R$38),IF($U$1="Residência",0,$U$38),IF($X$1="Residência",0,$X$38))</f>
        <v>0</v>
      </c>
      <c r="AH255" s="680"/>
      <c r="AI255" s="70">
        <f>IF($H$282=$DV$33,IF(AND(AG255&gt;0,W255&lt;1),((AG255-1)*$BM$44*0.5)+$BM$44,AG255*0.5*$BM$44),AG255*0.5*$BM$44)</f>
        <v>0</v>
      </c>
      <c r="AJ255" s="70">
        <f>IF(AG255&gt;0,1,0)*$A$38</f>
        <v>0</v>
      </c>
      <c r="AK255" s="679">
        <f>AG255*$BK$44</f>
        <v>0</v>
      </c>
      <c r="AL255" s="680"/>
      <c r="AR255" s="51"/>
      <c r="AT255" s="22">
        <v>2</v>
      </c>
      <c r="AU255" s="83">
        <f>$B$38</f>
        <v>0.72</v>
      </c>
      <c r="AV255" s="679">
        <f>SUM($O$38,$R$38)</f>
        <v>0</v>
      </c>
      <c r="AW255" s="680"/>
      <c r="AX255" s="51">
        <f>IF($AY$282=AT255,IF(AV255&gt;0,((AV255-1)*$BM$44*0.5)+$BM$44,0),AV255*0.5*$BM$44)</f>
        <v>0</v>
      </c>
      <c r="AY255" s="116">
        <f>IF(AV255&gt;0,1,0)*$A$38</f>
        <v>0</v>
      </c>
      <c r="AZ255" s="679">
        <f>AV255*$BK$44</f>
        <v>0</v>
      </c>
      <c r="BA255" s="680"/>
      <c r="BB255" s="83"/>
      <c r="BE255" s="83"/>
      <c r="BF255" s="691"/>
      <c r="BG255" s="692"/>
      <c r="BH255" s="83"/>
      <c r="BI255" s="691"/>
      <c r="BJ255" s="692"/>
      <c r="BK255" s="83"/>
      <c r="BL255" s="689"/>
      <c r="BM255" s="690"/>
      <c r="BN255" s="83"/>
      <c r="BO255" s="395"/>
      <c r="BP255" s="396"/>
      <c r="BQ255" s="83"/>
      <c r="BR255" s="691"/>
      <c r="BS255" s="692"/>
      <c r="CB255"/>
      <c r="CC255" s="51"/>
      <c r="CD255"/>
      <c r="CG255"/>
      <c r="CI255" s="51"/>
      <c r="CK255" s="22">
        <v>2</v>
      </c>
      <c r="CL255" s="83">
        <f>$B$38</f>
        <v>0.72</v>
      </c>
      <c r="CM255" s="679">
        <f>SUM($U$38,$X$38)</f>
        <v>0</v>
      </c>
      <c r="CN255" s="680"/>
      <c r="CO255" s="51">
        <f>IF($CP$282=CK255,IF(CM255&gt;0,((CM255-1)*$BM$44*0.5)+$BM$44,0),CM255*0.5*$BM$44)</f>
        <v>0</v>
      </c>
      <c r="CP255" s="116">
        <f>IF(CM255&gt;0,1,0)*$A$38</f>
        <v>0</v>
      </c>
      <c r="CQ255" s="679">
        <f>CM255*$BK$44</f>
        <v>0</v>
      </c>
      <c r="CR255" s="680"/>
      <c r="CS255" s="83"/>
      <c r="CV255" s="83"/>
      <c r="CW255" s="691"/>
      <c r="CX255" s="692"/>
      <c r="CY255" s="83"/>
      <c r="CZ255" s="691"/>
      <c r="DA255" s="692"/>
      <c r="DB255" s="83"/>
      <c r="DC255" s="689"/>
      <c r="DD255" s="690"/>
      <c r="DE255" s="83"/>
      <c r="DF255" s="691"/>
      <c r="DG255" s="692"/>
      <c r="DH255" s="83"/>
      <c r="DI255" s="691"/>
      <c r="DJ255" s="692"/>
      <c r="DP255"/>
      <c r="DQ255"/>
      <c r="DR255"/>
      <c r="DS255"/>
      <c r="DT255" s="51"/>
      <c r="DV255"/>
      <c r="DW255"/>
      <c r="DX255"/>
      <c r="DY255"/>
    </row>
    <row r="256" spans="1:129" ht="13.5" thickBot="1" x14ac:dyDescent="0.25">
      <c r="A256" s="51"/>
      <c r="B256"/>
      <c r="C256" s="22">
        <v>3</v>
      </c>
      <c r="D256" s="83">
        <f>$B$39</f>
        <v>0.73</v>
      </c>
      <c r="E256" s="679">
        <f>SUM(IF($C$1="Residência",$C$39,0),IF($F$1="Residência",$F$39,0),IF($I$1="Residência",$I$39,0),IF($L$1="Residência",$L$39,0),IF($O$1="Residência",$O$39,0),IF($R$1="Residência",$R$39,0),IF($U$1="Residência",$U$39,0),IF($X$1="Residência",$X$39,0))</f>
        <v>0</v>
      </c>
      <c r="F256" s="680"/>
      <c r="G256" s="70">
        <f>IF($H$282=$DV$34,IF(E256&gt;0,((E256-1)*$BM$45*0.5)+$BM$45,E256*0.5*$BM$45),E256*0.5*$BM$45)</f>
        <v>0</v>
      </c>
      <c r="H256" s="70">
        <f>IF(E256&gt;0,1,0)*$A$39</f>
        <v>0</v>
      </c>
      <c r="I256" s="679">
        <f>E256*$BK$45</f>
        <v>0</v>
      </c>
      <c r="J256" s="680"/>
      <c r="K256" s="83"/>
      <c r="N256" s="116"/>
      <c r="O256" s="679">
        <f>SUM(IF($C$1="Residência",0,$C$39),IF($F$1="Residência",0,$F$39),IF($I$1="Residência",0,$I$39),IF($L$1="Residência",0,$L$39),IF($O$1="Residência",0,$O$39),IF($R$1="Residência",0,$R$39),IF($U$1="Residência",0,$U$39),IF($X$1="Residência",0,$X$39),IF($E$73="TRIFÁSICA",$C$73,0))</f>
        <v>0</v>
      </c>
      <c r="P256" s="680"/>
      <c r="Q256" s="70">
        <f>IF($H$282=$DV$34,IF(AND(O256&gt;0,E256&lt;1),((O256-1)*$BM$45*0.5)+$BM$45,O256*0.5*$BM$45),O256*0.5*$BM$45)</f>
        <v>0</v>
      </c>
      <c r="R256" s="70">
        <f>IF(O256&gt;0,1,0)*$A$39</f>
        <v>0</v>
      </c>
      <c r="S256" s="679">
        <f>O256*$BK$45</f>
        <v>0</v>
      </c>
      <c r="T256" s="680"/>
      <c r="U256" s="689"/>
      <c r="V256" s="690"/>
      <c r="W256" s="679">
        <f>SUM(IF($C$1="Residência",$C$39,0),IF($F$1="Residência",$F$39,0),IF($I$1="Residência",$I$39,0),IF($L$1="Residência",$L$39,0),IF($O$1="Residência",$O$39,0),IF($R$1="Residência",$R$39,0),IF($U$1="Residência",$U$39,0),IF($X$1="Residência",$X$39,0))</f>
        <v>0</v>
      </c>
      <c r="X256" s="680"/>
      <c r="Y256" s="70">
        <f>IF($Z$282=$DV$34,IF(W256&gt;0,((W256-1)*$BM$45*0.5)+$BM$45,W256*0.5*$BM$45),W256*0.5*$BM$45)</f>
        <v>0</v>
      </c>
      <c r="Z256" s="70">
        <f>IF(W256&gt;0,1,0)*$A$39</f>
        <v>0</v>
      </c>
      <c r="AA256" s="679">
        <f>W256*$BK$45</f>
        <v>0</v>
      </c>
      <c r="AB256" s="680"/>
      <c r="AC256" s="83"/>
      <c r="AF256" s="116"/>
      <c r="AG256" s="679">
        <f>SUM(IF($C$1="Residência",0,$C$39),IF($F$1="Residência",0,$F$39),IF($I$1="Residência",0,$I$39),IF($L$1="Residência",0,$L$39),IF($O$1="Residência",0,$O$39),IF($R$1="Residência",0,$R$39),IF($U$1="Residência",0,$U$39),IF($X$1="Residência",0,$X$39))</f>
        <v>0</v>
      </c>
      <c r="AH256" s="680"/>
      <c r="AI256" s="70">
        <f>IF($H$282=$DV$34,IF(AND(AG256&gt;0,W256&lt;1),((AG256-1)*$BM$45*0.5)+$BM$45,AG256*0.5*$BM$45),AG256*0.5*$BM$45)</f>
        <v>0</v>
      </c>
      <c r="AJ256" s="70">
        <f>IF(AG256&gt;0,1,0)*$A$39</f>
        <v>0</v>
      </c>
      <c r="AK256" s="679">
        <f>AG256*$BK$45</f>
        <v>0</v>
      </c>
      <c r="AL256" s="680"/>
      <c r="AR256" s="51"/>
      <c r="AT256" s="22">
        <v>3</v>
      </c>
      <c r="AU256" s="83">
        <f>$B$39</f>
        <v>0.73</v>
      </c>
      <c r="AV256" s="679">
        <f>SUM($O$39,$R$39)</f>
        <v>0</v>
      </c>
      <c r="AW256" s="680"/>
      <c r="AX256" s="51">
        <f>IF($AY$282=AT256,IF(AV256&gt;0,((AV256-1)*$BM$45*0.5)+$BM$45,0),AV256*0.5*$BM$45)</f>
        <v>0</v>
      </c>
      <c r="AY256" s="116">
        <f>IF(AV256&gt;0,1,0)*$A$39</f>
        <v>0</v>
      </c>
      <c r="AZ256" s="679">
        <f>AV256*$BK$45</f>
        <v>0</v>
      </c>
      <c r="BA256" s="680"/>
      <c r="BB256" s="83"/>
      <c r="BE256" s="83"/>
      <c r="BF256" s="691"/>
      <c r="BG256" s="692"/>
      <c r="BH256" s="83"/>
      <c r="BI256" s="691"/>
      <c r="BJ256" s="692"/>
      <c r="BK256" s="83"/>
      <c r="BL256" s="689"/>
      <c r="BM256" s="690"/>
      <c r="BN256" s="83"/>
      <c r="BO256" s="395"/>
      <c r="BP256" s="396"/>
      <c r="BQ256" s="83"/>
      <c r="BR256" s="691"/>
      <c r="BS256" s="692"/>
      <c r="CB256"/>
      <c r="CC256" s="51"/>
      <c r="CD256"/>
      <c r="CG256"/>
      <c r="CI256" s="51"/>
      <c r="CK256" s="22">
        <v>3</v>
      </c>
      <c r="CL256" s="83">
        <f>$B$39</f>
        <v>0.73</v>
      </c>
      <c r="CM256" s="679">
        <f>SUM($U$39,$X$39)</f>
        <v>0</v>
      </c>
      <c r="CN256" s="680"/>
      <c r="CO256" s="51">
        <f>IF($CP$282=CK256,IF(CM256&gt;0,((CM256-1)*$BM$45*0.5)+$BM$45,0),CM256*0.5*$BM$45)</f>
        <v>0</v>
      </c>
      <c r="CP256" s="116">
        <f>IF(CM256&gt;0,1,0)*$A$39</f>
        <v>0</v>
      </c>
      <c r="CQ256" s="679">
        <f>CM256*$BK$45</f>
        <v>0</v>
      </c>
      <c r="CR256" s="680"/>
      <c r="CS256" s="83"/>
      <c r="CV256" s="83"/>
      <c r="CW256" s="691"/>
      <c r="CX256" s="692"/>
      <c r="CY256" s="83"/>
      <c r="CZ256" s="691"/>
      <c r="DA256" s="692"/>
      <c r="DB256" s="83"/>
      <c r="DC256" s="689"/>
      <c r="DD256" s="690"/>
      <c r="DE256" s="83"/>
      <c r="DF256" s="691"/>
      <c r="DG256" s="692"/>
      <c r="DH256" s="83"/>
      <c r="DI256" s="691"/>
      <c r="DJ256" s="692"/>
      <c r="DP256"/>
      <c r="DQ256"/>
      <c r="DR256"/>
      <c r="DS256"/>
      <c r="DT256" s="51"/>
      <c r="DV256"/>
      <c r="DW256"/>
      <c r="DX256"/>
      <c r="DY256"/>
    </row>
    <row r="257" spans="1:129" ht="13.5" thickBot="1" x14ac:dyDescent="0.25">
      <c r="A257" s="51"/>
      <c r="B257"/>
      <c r="C257" s="22">
        <v>4</v>
      </c>
      <c r="D257" s="83">
        <f>$B$40</f>
        <v>0.13</v>
      </c>
      <c r="E257" s="679">
        <f>SUM(IF($C$1="Residência",$C$40,0),IF($F$1="Residência",$F$40,0),IF($I$1="Residência",$I$40,0),IF($L$1="Residência",$L$40,0),IF($O$1="Residência",$O$40,0),IF($R$1="Residência",$R$40,0),IF($U$1="Residência",$U$40,0),IF($X$1="Residência",$X$40,0))</f>
        <v>0</v>
      </c>
      <c r="F257" s="680"/>
      <c r="G257" s="70">
        <f>IF($H$282=$DV$35,IF(E257&gt;0,((E257-1)*$BM$46*0.5)+$BM$46,E257*0.5*$BM$46),E257*0.5*$BM$46)</f>
        <v>0</v>
      </c>
      <c r="H257" s="70">
        <f>IF(E257&gt;0,1,0)*$A$40</f>
        <v>0</v>
      </c>
      <c r="I257" s="679">
        <f>E257*$BK$46</f>
        <v>0</v>
      </c>
      <c r="J257" s="680"/>
      <c r="K257" s="83"/>
      <c r="N257" s="116"/>
      <c r="O257" s="679">
        <f>SUM(IF($C$1="Residência",0,$C$40),IF($F$1="Residência",0,$F$40),IF($I$1="Residência",0,$I$40),IF($L$1="Residência",0,$L$40),IF($O$1="Residência",0,$O$40),IF($R$1="Residência",0,$R$40),IF($U$1="Residência",0,$U$40),IF($X$1="Residência",0,$X$40))</f>
        <v>0</v>
      </c>
      <c r="P257" s="680"/>
      <c r="Q257" s="70">
        <f>IF($H$282=$DV$35,IF(AND(O257&gt;0,E257&lt;1),((O257-1)*$BM$46*0.5)+$BM$46,O257*0.5*$BM$46),O257*0.5*$BM$46)</f>
        <v>0</v>
      </c>
      <c r="R257" s="70">
        <f>IF(O257&gt;0,1,0)*$A$40</f>
        <v>0</v>
      </c>
      <c r="S257" s="679">
        <f>O257*$BK$46</f>
        <v>0</v>
      </c>
      <c r="T257" s="680"/>
      <c r="U257" s="689"/>
      <c r="V257" s="690"/>
      <c r="W257" s="679">
        <f>SUM(IF($C$1="Residência",$C$40,0),IF($F$1="Residência",$F$40,0),IF($I$1="Residência",$I$40,0),IF($L$1="Residência",$L$40,0),IF($O$1="Residência",$O$40,0),IF($R$1="Residência",$R$40,0),IF($U$1="Residência",$U$40,0),IF($X$1="Residência",$X$40,0))</f>
        <v>0</v>
      </c>
      <c r="X257" s="680"/>
      <c r="Y257" s="70">
        <f>IF($Z$282=$DV$35,IF(W257&gt;0,((W257-1)*$BM$46*0.5)+$BM$46,W257*0.5*$BM$46),W257*0.5*$BM$46)</f>
        <v>0</v>
      </c>
      <c r="Z257" s="70">
        <f>IF(W257&gt;0,1,0)*$A$40</f>
        <v>0</v>
      </c>
      <c r="AA257" s="679">
        <f>W257*$BK$46</f>
        <v>0</v>
      </c>
      <c r="AB257" s="680"/>
      <c r="AC257" s="83"/>
      <c r="AF257" s="116"/>
      <c r="AG257" s="679">
        <f>SUM(IF($C$1="Residência",0,$C$40),IF($F$1="Residência",0,$F$40),IF($I$1="Residência",0,$I$40),IF($L$1="Residência",0,$L$40),IF($O$1="Residência",0,$O$40),IF($R$1="Residência",0,$R$40),IF($U$1="Residência",0,$U$40),IF($X$1="Residência",0,$X$40))</f>
        <v>0</v>
      </c>
      <c r="AH257" s="680"/>
      <c r="AI257" s="70">
        <f>IF($H$282=$DV$35,IF(AND(AG257&gt;0,W257&lt;1),((AG257-1)*$BM$46*0.5)+$BM$46,AG257*0.5*$BM$46),AG257*0.5*$BM$46)</f>
        <v>0</v>
      </c>
      <c r="AJ257" s="70">
        <f>IF(AG257&gt;0,1,0)*$A$40</f>
        <v>0</v>
      </c>
      <c r="AK257" s="679">
        <f>AG257*$BK$46</f>
        <v>0</v>
      </c>
      <c r="AL257" s="680"/>
      <c r="AR257" s="51"/>
      <c r="AT257" s="22">
        <v>4</v>
      </c>
      <c r="AU257" s="83">
        <f>$B$40</f>
        <v>0.13</v>
      </c>
      <c r="AV257" s="679">
        <f>SUM($O$40,$R$40)</f>
        <v>0</v>
      </c>
      <c r="AW257" s="680"/>
      <c r="AX257" s="51">
        <f>IF($AY$282=AT257,IF(AV257&gt;0,((AV257-1)*$BM$46*0.5)+$BM$46,0),AV257*0.5*$BM$46)</f>
        <v>0</v>
      </c>
      <c r="AY257" s="116">
        <f>IF(AV257&gt;0,1,0)*$A$40</f>
        <v>0</v>
      </c>
      <c r="AZ257" s="679">
        <f>AV257*$BK$46</f>
        <v>0</v>
      </c>
      <c r="BA257" s="680"/>
      <c r="BB257" s="83"/>
      <c r="BE257" s="83"/>
      <c r="BF257" s="691"/>
      <c r="BG257" s="692"/>
      <c r="BH257" s="83"/>
      <c r="BI257" s="691"/>
      <c r="BJ257" s="692"/>
      <c r="BK257" s="83"/>
      <c r="BL257" s="689"/>
      <c r="BM257" s="690"/>
      <c r="BN257" s="83"/>
      <c r="BO257" s="395"/>
      <c r="BP257" s="396"/>
      <c r="BQ257" s="83"/>
      <c r="BR257" s="691"/>
      <c r="BS257" s="692"/>
      <c r="CB257"/>
      <c r="CC257" s="51"/>
      <c r="CD257"/>
      <c r="CG257"/>
      <c r="CI257" s="51"/>
      <c r="CK257" s="22">
        <v>4</v>
      </c>
      <c r="CL257" s="83">
        <f>$B$40</f>
        <v>0.13</v>
      </c>
      <c r="CM257" s="679">
        <f>SUM($U$40,$X$40)</f>
        <v>0</v>
      </c>
      <c r="CN257" s="680"/>
      <c r="CO257" s="51">
        <f>IF($CP$282=CK257,IF(CM257&gt;0,((CM257-1)*$BM$46*0.5)+$BM$46,0),CM257*0.5*$BM$46)</f>
        <v>0</v>
      </c>
      <c r="CP257" s="116">
        <f>IF(CM257&gt;0,1,0)*$A$40</f>
        <v>0</v>
      </c>
      <c r="CQ257" s="679">
        <f>CM257*$BK$46</f>
        <v>0</v>
      </c>
      <c r="CR257" s="680"/>
      <c r="CS257" s="83"/>
      <c r="CV257" s="83"/>
      <c r="CW257" s="691"/>
      <c r="CX257" s="692"/>
      <c r="CY257" s="83"/>
      <c r="CZ257" s="691"/>
      <c r="DA257" s="692"/>
      <c r="DB257" s="83"/>
      <c r="DC257" s="689"/>
      <c r="DD257" s="690"/>
      <c r="DE257" s="83"/>
      <c r="DF257" s="691"/>
      <c r="DG257" s="692"/>
      <c r="DH257" s="83"/>
      <c r="DI257" s="691"/>
      <c r="DJ257" s="692"/>
      <c r="DP257"/>
      <c r="DQ257"/>
      <c r="DR257"/>
      <c r="DS257"/>
      <c r="DT257" s="51"/>
      <c r="DV257"/>
      <c r="DW257"/>
      <c r="DX257"/>
      <c r="DY257"/>
    </row>
    <row r="258" spans="1:129" ht="13.5" thickBot="1" x14ac:dyDescent="0.25">
      <c r="A258" s="51"/>
      <c r="B258"/>
      <c r="C258" s="22">
        <v>5</v>
      </c>
      <c r="D258" s="83">
        <f>$B$41</f>
        <v>0.75</v>
      </c>
      <c r="E258" s="679">
        <f>SUM(IF($C$1="Residência",$C$41,0),IF($F$1="Residência",$F$41,0),IF($I$1="Residência",$I$41,0),IF($L$1="Residência",$L$41,0),IF($O$1="Residência",$O$41,0),IF($R$1="Residência",$R$41,0),IF($U$1="Residência",$U$41,0),IF($X$1="Residência",$X$41,0))</f>
        <v>0</v>
      </c>
      <c r="F258" s="680"/>
      <c r="G258" s="70">
        <f>IF($H$282=$DV$36,IF(E258&gt;0,((E258-1)*$BM$47*0.5)+$BM$47,E258*0.5*$BM$47),E258*0.5*$BM$47)</f>
        <v>0</v>
      </c>
      <c r="H258" s="70">
        <f>IF(E258&gt;0,1,0)*$A$41</f>
        <v>0</v>
      </c>
      <c r="I258" s="679">
        <f>E258*$BK$47</f>
        <v>0</v>
      </c>
      <c r="J258" s="680"/>
      <c r="K258" s="83"/>
      <c r="N258" s="116"/>
      <c r="O258" s="679">
        <f>SUM(IF($C$1="Residência",0,$C$41),IF($F$1="Residência",0,$F$41),IF($I$1="Residência",0,$I$41),IF($L$1="Residência",0,$L$41),IF($O$1="Residência",0,$O$41),IF($R$1="Residência",0,$R$41),IF($U$1="Residência",0,$U$41),IF($X$1="Residência",0,$X$41),IF($E$74="TRIFÁSICA",$C$74,0))</f>
        <v>0</v>
      </c>
      <c r="P258" s="680"/>
      <c r="Q258" s="70">
        <f>IF($H$282=$DV$36,IF(AND(O258&gt;0,E258&lt;1),((O258-1)*$BM$47*0.5)+$BM$47,O258*0.5*$BM$47),O258*0.5*$BM$47)</f>
        <v>0</v>
      </c>
      <c r="R258" s="70">
        <f>IF(O258&gt;0,1,0)*$A$41</f>
        <v>0</v>
      </c>
      <c r="S258" s="679">
        <f>O258*$BK$47</f>
        <v>0</v>
      </c>
      <c r="T258" s="680"/>
      <c r="U258" s="689"/>
      <c r="V258" s="690"/>
      <c r="W258" s="679">
        <f>SUM(IF($C$1="Residência",$C$41,0),IF($F$1="Residência",$F$41,0),IF($I$1="Residência",$I$41,0),IF($L$1="Residência",$L$41,0),IF($O$1="Residência",$O$41,0),IF($R$1="Residência",$R$41,0),IF($U$1="Residência",$U$41,0),IF($X$1="Residência",$X$41,0))</f>
        <v>0</v>
      </c>
      <c r="X258" s="680"/>
      <c r="Y258" s="70">
        <f>IF($Z$282=$DV$36,IF(W258&gt;0,((W258-1)*$BM$47*0.5)+$BM$47,W258*0.5*$BM$47),W258*0.5*$BM$47)</f>
        <v>0</v>
      </c>
      <c r="Z258" s="70">
        <f>IF(W258&gt;0,1,0)*$A$41</f>
        <v>0</v>
      </c>
      <c r="AA258" s="679">
        <f>W258*$BK$47</f>
        <v>0</v>
      </c>
      <c r="AB258" s="680"/>
      <c r="AC258" s="83"/>
      <c r="AF258" s="116"/>
      <c r="AG258" s="679">
        <f>SUM(IF($C$1="Residência",0,$C$41),IF($F$1="Residência",0,$F$41),IF($I$1="Residência",0,$I$41),IF($L$1="Residência",0,$L$41),IF($O$1="Residência",0,$O$41),IF($R$1="Residência",0,$R$41),IF($U$1="Residência",0,$U$41),IF($X$1="Residência",0,$X$41))</f>
        <v>0</v>
      </c>
      <c r="AH258" s="680"/>
      <c r="AI258" s="70">
        <f>IF($H$282=$DV$36,IF(AND(AG258&gt;0,W258&lt;1),((AG258-1)*$BM$47*0.5)+$BM$47,AG258*0.5*$BM$47),AG258*0.5*$BM$47)</f>
        <v>0</v>
      </c>
      <c r="AJ258" s="70">
        <f>IF(AG258&gt;0,1,0)*$A$41</f>
        <v>0</v>
      </c>
      <c r="AK258" s="679">
        <f>AG258*$BK$47</f>
        <v>0</v>
      </c>
      <c r="AL258" s="680"/>
      <c r="AR258" s="51"/>
      <c r="AT258" s="22">
        <v>5</v>
      </c>
      <c r="AU258" s="83">
        <f>$B$41</f>
        <v>0.75</v>
      </c>
      <c r="AV258" s="679">
        <f>SUM($O$41,$R$41)</f>
        <v>0</v>
      </c>
      <c r="AW258" s="680"/>
      <c r="AX258" s="51">
        <f>IF($AY$282=AT258,IF(AV258&gt;0,((AV258-1)*$BM$47*0.5)+$BM$47,0),AV258*0.5*$BM$47)</f>
        <v>0</v>
      </c>
      <c r="AY258" s="116">
        <f>IF(AV258&gt;0,1,0)*$A$41</f>
        <v>0</v>
      </c>
      <c r="AZ258" s="679">
        <f>AV258*$BK$47</f>
        <v>0</v>
      </c>
      <c r="BA258" s="680"/>
      <c r="BB258" s="83"/>
      <c r="BE258" s="83"/>
      <c r="BF258" s="691"/>
      <c r="BG258" s="692"/>
      <c r="BH258" s="83"/>
      <c r="BI258" s="691"/>
      <c r="BJ258" s="692"/>
      <c r="BK258" s="83"/>
      <c r="BL258" s="689"/>
      <c r="BM258" s="690"/>
      <c r="BN258" s="83"/>
      <c r="BO258" s="395"/>
      <c r="BP258" s="396"/>
      <c r="BQ258" s="83"/>
      <c r="BR258" s="691"/>
      <c r="BS258" s="692"/>
      <c r="CB258"/>
      <c r="CC258" s="51"/>
      <c r="CD258"/>
      <c r="CG258"/>
      <c r="CI258" s="51"/>
      <c r="CK258" s="22">
        <v>5</v>
      </c>
      <c r="CL258" s="83">
        <f>$B$41</f>
        <v>0.75</v>
      </c>
      <c r="CM258" s="679">
        <f>SUM($U$41,$X$41)</f>
        <v>0</v>
      </c>
      <c r="CN258" s="680"/>
      <c r="CO258" s="51">
        <f>IF($CP$282=CK258,IF(CM258&gt;0,((CM258-1)*$BM$47*0.5)+$BM$47,0),CM258*0.5*$BM$47)</f>
        <v>0</v>
      </c>
      <c r="CP258" s="116">
        <f>IF(CM258&gt;0,1,0)*$A$41</f>
        <v>0</v>
      </c>
      <c r="CQ258" s="679">
        <f>CM258*$BK$47</f>
        <v>0</v>
      </c>
      <c r="CR258" s="680"/>
      <c r="CS258" s="83"/>
      <c r="CV258" s="83"/>
      <c r="CW258" s="691"/>
      <c r="CX258" s="692"/>
      <c r="CY258" s="83"/>
      <c r="CZ258" s="691"/>
      <c r="DA258" s="692"/>
      <c r="DB258" s="83"/>
      <c r="DC258" s="689"/>
      <c r="DD258" s="690"/>
      <c r="DE258" s="83"/>
      <c r="DF258" s="691"/>
      <c r="DG258" s="692"/>
      <c r="DH258" s="83"/>
      <c r="DI258" s="691"/>
      <c r="DJ258" s="692"/>
      <c r="DP258"/>
      <c r="DQ258"/>
      <c r="DR258"/>
      <c r="DS258"/>
      <c r="DT258" s="51"/>
      <c r="DV258"/>
      <c r="DW258"/>
      <c r="DX258"/>
      <c r="DY258"/>
    </row>
    <row r="259" spans="1:129" ht="13.5" thickBot="1" x14ac:dyDescent="0.25">
      <c r="A259" s="51"/>
      <c r="B259"/>
      <c r="C259" s="22">
        <v>7</v>
      </c>
      <c r="D259" s="83">
        <f>$B$42</f>
        <v>0.76</v>
      </c>
      <c r="E259" s="679">
        <f>SUM(IF($C$1="Residência",$C$42,0),IF($F$1="Residência",$F$42,0),IF($I$1="Residência",$I$42,0),IF($L$1="Residência",$L$42,0),IF($O$1="Residência",$O$42,0),IF($R$1="Residência",$R$42,0),IF($U$1="Residência",$U$42,0),IF($X$1="Residência",$X$42,0))</f>
        <v>0</v>
      </c>
      <c r="F259" s="680"/>
      <c r="G259" s="70">
        <f>IF($H$282=$DV$37,IF(E259&gt;0,((E259-1)*$BM$48*0.5)+$BM$48,E259*0.5*$BM$48),E259*0.5*$BM$48)</f>
        <v>0</v>
      </c>
      <c r="H259" s="70">
        <f>IF(E259&gt;0,1,0)*$A$42</f>
        <v>0</v>
      </c>
      <c r="I259" s="679">
        <f>E259*$BK$48</f>
        <v>0</v>
      </c>
      <c r="J259" s="680"/>
      <c r="K259" s="83"/>
      <c r="N259" s="116"/>
      <c r="O259" s="679">
        <f>SUM(IF($C$1="Residência",0,$C$42),IF($F$1="Residência",0,$F$42),IF($I$1="Residência",0,$I$42),IF($L$1="Residência",0,$L$42),IF($O$1="Residência",0,$O$42),IF($R$1="Residência",0,$R$42),IF($U$1="Residência",0,$U$42),IF($X$1="Residência",0,$X$42))</f>
        <v>0</v>
      </c>
      <c r="P259" s="680"/>
      <c r="Q259" s="70">
        <f>IF($H$282=$DV$37,IF(AND(O259&gt;0,E259&lt;1),((O259-1)*$BM$48*0.5)+$BM$48,O259*0.5*$BM$48),O259*0.5*$BM$48)</f>
        <v>0</v>
      </c>
      <c r="R259" s="70">
        <f>IF(O259&gt;0,1,0)*$A$42</f>
        <v>0</v>
      </c>
      <c r="S259" s="679">
        <f>O259*$BK$48</f>
        <v>0</v>
      </c>
      <c r="T259" s="680"/>
      <c r="U259" s="689"/>
      <c r="V259" s="690"/>
      <c r="W259" s="679">
        <f>SUM(IF($C$1="Residência",$C$42,0),IF($F$1="Residência",$F$42,0),IF($I$1="Residência",$I$42,0),IF($L$1="Residência",$L$42,0),IF($O$1="Residência",$O$42,0),IF($R$1="Residência",$R$42,0),IF($U$1="Residência",$U$42,0),IF($X$1="Residência",$X$42,0))</f>
        <v>0</v>
      </c>
      <c r="X259" s="680"/>
      <c r="Y259" s="70">
        <f>IF($Z$282=$DV$37,IF(W259&gt;0,((W259-1)*$BM$48*0.5)+$BM$48,W259*0.5*$BM$48),W259*0.5*$BM$48)</f>
        <v>0</v>
      </c>
      <c r="Z259" s="70">
        <f>IF(W259&gt;0,1,0)*$A$42</f>
        <v>0</v>
      </c>
      <c r="AA259" s="679">
        <f>W259*$BK$48</f>
        <v>0</v>
      </c>
      <c r="AB259" s="680"/>
      <c r="AC259" s="83"/>
      <c r="AF259" s="116"/>
      <c r="AG259" s="679">
        <f>SUM(IF($C$1="Residência",0,$C$42),IF($F$1="Residência",0,$F$42),IF($I$1="Residência",0,$I$42),IF($L$1="Residência",0,$L$42),IF($O$1="Residência",0,$O$42),IF($R$1="Residência",0,$R$42),IF($U$1="Residência",0,$U$42),IF($X$1="Residência",0,$X$42))</f>
        <v>0</v>
      </c>
      <c r="AH259" s="680"/>
      <c r="AI259" s="70">
        <f>IF($H$282=$DV$37,IF(AND(AG259&gt;0,W259&lt;1),((AG259-1)*$BM$48*0.5)+$BM$48,AG259*0.5*$BM$48),AG259*0.5*$BM$48)</f>
        <v>0</v>
      </c>
      <c r="AJ259" s="70">
        <f>IF(AG259&gt;0,1,0)*$A$42</f>
        <v>0</v>
      </c>
      <c r="AK259" s="679">
        <f>AG259*$BK$48</f>
        <v>0</v>
      </c>
      <c r="AL259" s="680"/>
      <c r="AR259" s="51"/>
      <c r="AT259" s="22">
        <v>7</v>
      </c>
      <c r="AU259" s="83">
        <f>$B$42</f>
        <v>0.76</v>
      </c>
      <c r="AV259" s="679">
        <f>SUM($O$42,$R$42)</f>
        <v>0</v>
      </c>
      <c r="AW259" s="680"/>
      <c r="AX259" s="51">
        <f>IF($AY$282=AT259,IF(AV259&gt;0,((AV259-1)*$BM$48*0.5)+$BM$48,0),AV259*0.5*$BM$48)</f>
        <v>0</v>
      </c>
      <c r="AY259" s="116">
        <f>IF(AV259&gt;0,1,0)*$A$42</f>
        <v>0</v>
      </c>
      <c r="AZ259" s="679">
        <f>AV259*$BK$48</f>
        <v>0</v>
      </c>
      <c r="BA259" s="680"/>
      <c r="BB259" s="83"/>
      <c r="BE259" s="83"/>
      <c r="BF259" s="691"/>
      <c r="BG259" s="692"/>
      <c r="BH259" s="83"/>
      <c r="BI259" s="691"/>
      <c r="BJ259" s="692"/>
      <c r="BK259" s="83"/>
      <c r="BL259" s="689"/>
      <c r="BM259" s="690"/>
      <c r="BN259" s="83"/>
      <c r="BO259" s="395"/>
      <c r="BP259" s="396"/>
      <c r="BQ259" s="83"/>
      <c r="BR259" s="691"/>
      <c r="BS259" s="692"/>
      <c r="BU259" s="20"/>
      <c r="BV259" s="20"/>
      <c r="BW259" s="72"/>
      <c r="BX259" s="72"/>
      <c r="CB259"/>
      <c r="CC259"/>
      <c r="CD259"/>
      <c r="CG259"/>
      <c r="CI259" s="51"/>
      <c r="CK259" s="22">
        <v>7</v>
      </c>
      <c r="CL259" s="83">
        <f>$B$42</f>
        <v>0.76</v>
      </c>
      <c r="CM259" s="679">
        <f>SUM($U$42,$X$42)</f>
        <v>0</v>
      </c>
      <c r="CN259" s="680"/>
      <c r="CO259" s="51">
        <f>IF($CP$282=CK259,IF(CM259&gt;0,((CM259-1)*$BM$48*0.5)+$BM$48,0),CM259*0.5*$BM$48)</f>
        <v>0</v>
      </c>
      <c r="CP259" s="116">
        <f>IF(CM259&gt;0,1,0)*$A$42</f>
        <v>0</v>
      </c>
      <c r="CQ259" s="679">
        <f>CM259*$BK$48</f>
        <v>0</v>
      </c>
      <c r="CR259" s="680"/>
      <c r="CS259" s="83"/>
      <c r="CV259" s="83"/>
      <c r="CW259" s="691"/>
      <c r="CX259" s="692"/>
      <c r="CY259" s="83"/>
      <c r="CZ259" s="691"/>
      <c r="DA259" s="692"/>
      <c r="DB259" s="83"/>
      <c r="DC259" s="689"/>
      <c r="DD259" s="690"/>
      <c r="DE259" s="83"/>
      <c r="DF259" s="691"/>
      <c r="DG259" s="692"/>
      <c r="DH259" s="83"/>
      <c r="DI259" s="691"/>
      <c r="DJ259" s="692"/>
      <c r="DL259" s="20"/>
      <c r="DM259" s="20"/>
      <c r="DN259" s="72"/>
      <c r="DO259" s="72"/>
      <c r="DP259"/>
      <c r="DQ259"/>
      <c r="DR259"/>
      <c r="DS259"/>
      <c r="DT259"/>
      <c r="DV259"/>
      <c r="DW259"/>
      <c r="DX259"/>
      <c r="DY259"/>
    </row>
    <row r="260" spans="1:129" ht="13.5" thickBot="1" x14ac:dyDescent="0.25">
      <c r="B260"/>
      <c r="C260" s="22">
        <v>7.5</v>
      </c>
      <c r="D260" s="83">
        <f>$B$43</f>
        <v>0.76</v>
      </c>
      <c r="E260" s="679">
        <f>SUM(IF($C$1="Residência",$C$43,0),IF($F$1="Residência",$F$43,0),IF($I$1="Residência",$I$43,0),IF($L$1="Residência",$L$43,0),IF($O$1="Residência",$O$43,0),IF($R$1="Residência",$R$43,0),IF($U$1="Residência",$U$43,0),IF($X$1="Residência",$X$43,0))</f>
        <v>0</v>
      </c>
      <c r="F260" s="680"/>
      <c r="G260" s="70">
        <f>IF($H$282=$DV$38,IF(E260&gt;0,((E260-1)*$BM$49*0.5)+$BM$49,E260*0.5*$BM$49),E260*0.5*$BM$49)</f>
        <v>0</v>
      </c>
      <c r="H260" s="70">
        <f>IF(E260&gt;0,1,0)*$A$43</f>
        <v>0</v>
      </c>
      <c r="I260" s="679">
        <f>E260*$BK$49</f>
        <v>0</v>
      </c>
      <c r="J260" s="680"/>
      <c r="K260" s="83"/>
      <c r="N260" s="116"/>
      <c r="O260" s="679">
        <f>SUM(IF($C$1="Residência",0,$C$43),IF($F$1="Residência",0,$F$43),IF($I$1="Residência",0,$I$43),IF($L$1="Residência",0,$L$43),IF($O$1="Residência",0,$O$43),IF($R$1="Residência",0,$R$43),IF($U$1="Residência",0,$U$43),IF($X$1="Residência",0,$X$43))</f>
        <v>0</v>
      </c>
      <c r="P260" s="680"/>
      <c r="Q260" s="70">
        <f>IF($H$282=$DV$38,IF(AND(O260&gt;0,E260&lt;1),((O260-1)*$BM$49*0.5)+$BM$49,O260*0.5*$BM$49),O260*0.5*$BM$49)</f>
        <v>0</v>
      </c>
      <c r="R260" s="70">
        <f>IF(O260&gt;0,1,0)*$A$43</f>
        <v>0</v>
      </c>
      <c r="S260" s="679">
        <f>O260*$BK$49</f>
        <v>0</v>
      </c>
      <c r="T260" s="680"/>
      <c r="U260" s="689"/>
      <c r="V260" s="690"/>
      <c r="W260" s="679">
        <f>SUM(IF($C$1="Residência",$C$43,0),IF($F$1="Residência",$F$43,0),IF($I$1="Residência",$I$43,0),IF($L$1="Residência",$L$43,0),IF($O$1="Residência",$O$43,0),IF($R$1="Residência",$R$43,0),IF($U$1="Residência",$U$43,0),IF($X$1="Residência",$X$43,0))</f>
        <v>0</v>
      </c>
      <c r="X260" s="680"/>
      <c r="Y260" s="70">
        <f>IF($Z$282=$DV$38,IF(W260&gt;0,((W260-1)*$BM$49*0.5)+$BM$49,W260*0.5*$BM$49),W260*0.5*$BM$49)</f>
        <v>0</v>
      </c>
      <c r="Z260" s="70">
        <f>IF(W260&gt;0,1,0)*$A$43</f>
        <v>0</v>
      </c>
      <c r="AA260" s="679">
        <f>W260*$BK$49</f>
        <v>0</v>
      </c>
      <c r="AB260" s="680"/>
      <c r="AC260" s="83"/>
      <c r="AF260" s="116"/>
      <c r="AG260" s="679">
        <f>SUM(IF($C$1="Residência",0,$C$43),IF($F$1="Residência",0,$F$43),IF($I$1="Residência",0,$I$43),IF($L$1="Residência",0,$L$43),IF($O$1="Residência",0,$O$43),IF($R$1="Residência",0,$R$43),IF($U$1="Residência",0,$U$43),IF($X$1="Residência",0,$X$43))</f>
        <v>0</v>
      </c>
      <c r="AH260" s="680"/>
      <c r="AI260" s="70">
        <f>IF($H$282=$DV$38,IF(AND(AG260&gt;0,W260&lt;1),((AG260-1)*$BM$49*0.5)+$BM$49,AG260*0.5*$BM$49),AG260*0.5*$BM$49)</f>
        <v>0</v>
      </c>
      <c r="AJ260" s="70">
        <f>IF(AG260&gt;0,1,0)*$A$43</f>
        <v>0</v>
      </c>
      <c r="AK260" s="679">
        <f>AG260*$BK$49</f>
        <v>0</v>
      </c>
      <c r="AL260" s="680"/>
      <c r="AT260" s="22">
        <v>7.5</v>
      </c>
      <c r="AU260" s="83">
        <f>$B$43</f>
        <v>0.76</v>
      </c>
      <c r="AV260" s="679">
        <f>SUM($O$43,$R$43)</f>
        <v>0</v>
      </c>
      <c r="AW260" s="680"/>
      <c r="AX260" s="51">
        <f>IF($AY$282=AT260,IF(AV260&gt;0,((AV260-1)*$BM$49*0.5)+$BM$49,0),AV260*0.5*$BM$49)</f>
        <v>0</v>
      </c>
      <c r="AY260" s="116">
        <f>IF(AV260&gt;0,1,0)*$A$43</f>
        <v>0</v>
      </c>
      <c r="AZ260" s="679">
        <f>AV260*$BK$49</f>
        <v>0</v>
      </c>
      <c r="BA260" s="680"/>
      <c r="BB260" s="83"/>
      <c r="BE260" s="83"/>
      <c r="BF260" s="691"/>
      <c r="BG260" s="692"/>
      <c r="BH260" s="83"/>
      <c r="BI260" s="691"/>
      <c r="BJ260" s="692"/>
      <c r="BK260" s="83"/>
      <c r="BL260" s="689"/>
      <c r="BM260" s="690"/>
      <c r="BN260" s="83"/>
      <c r="BO260" s="395"/>
      <c r="BP260" s="396"/>
      <c r="BQ260" s="83"/>
      <c r="BR260" s="691"/>
      <c r="BS260" s="692"/>
      <c r="BU260" s="696"/>
      <c r="BV260" s="696"/>
      <c r="BW260" s="696"/>
      <c r="BX260" s="696"/>
      <c r="BY260" s="51"/>
      <c r="BZ260" s="20"/>
      <c r="CB260"/>
      <c r="CC260"/>
      <c r="CD260"/>
      <c r="CG260"/>
      <c r="CK260" s="22">
        <v>7.5</v>
      </c>
      <c r="CL260" s="83">
        <f>$B$43</f>
        <v>0.76</v>
      </c>
      <c r="CM260" s="679">
        <f>SUM($U$43,$X$43)</f>
        <v>0</v>
      </c>
      <c r="CN260" s="680"/>
      <c r="CO260" s="51">
        <f>IF($CP$282=CK260,IF(CM260&gt;0,((CM260-1)*$BM$49*0.5)+$BM$49,0),CM260*0.5*$BM$49)</f>
        <v>0</v>
      </c>
      <c r="CP260" s="116">
        <f>IF(CM260&gt;0,1,0)*$A$43</f>
        <v>0</v>
      </c>
      <c r="CQ260" s="679">
        <f>CM260*$BK$49</f>
        <v>0</v>
      </c>
      <c r="CR260" s="680"/>
      <c r="CS260" s="83"/>
      <c r="CV260" s="83"/>
      <c r="CW260" s="691"/>
      <c r="CX260" s="692"/>
      <c r="CY260" s="83"/>
      <c r="CZ260" s="691"/>
      <c r="DA260" s="692"/>
      <c r="DB260" s="83"/>
      <c r="DC260" s="689"/>
      <c r="DD260" s="690"/>
      <c r="DE260" s="83"/>
      <c r="DF260" s="691"/>
      <c r="DG260" s="692"/>
      <c r="DH260" s="83"/>
      <c r="DI260" s="691"/>
      <c r="DJ260" s="692"/>
      <c r="DL260" s="696"/>
      <c r="DM260" s="696"/>
      <c r="DN260" s="696"/>
      <c r="DO260" s="696"/>
      <c r="DP260" s="51"/>
      <c r="DQ260" s="20"/>
      <c r="DR260"/>
      <c r="DS260"/>
      <c r="DT260"/>
      <c r="DV260"/>
      <c r="DW260"/>
      <c r="DX260"/>
      <c r="DY260"/>
    </row>
    <row r="261" spans="1:129" ht="13.5" thickBot="1" x14ac:dyDescent="0.25">
      <c r="B261"/>
      <c r="C261" s="22">
        <v>10</v>
      </c>
      <c r="D261" s="83">
        <f>$B$44</f>
        <v>0.77</v>
      </c>
      <c r="E261" s="679">
        <f>SUM(IF($C$1="Residência",$C$44,0),IF($F$1="Residência",$F$44,0),IF($I$1="Residência",$I$44,0),IF($L$1="Residência",$L$44,0),IF($O$1="Residência",$O$44,0),IF($R$1="Residência",$R$44,0),IF($U$1="Residência",$U$44,0),IF($X$1="Residência",$X$44,0))</f>
        <v>0</v>
      </c>
      <c r="F261" s="680"/>
      <c r="G261" s="70">
        <f>IF($H$282=$DV$39,IF(E261&gt;0,((E261-1)*$BM$50*0.5)+$BM$50,E261*0.5*$BM$50),E261*0.5*$BM$50)</f>
        <v>0</v>
      </c>
      <c r="H261" s="70">
        <f>IF(E261&gt;0,1,0)*$A$44</f>
        <v>0</v>
      </c>
      <c r="I261" s="679">
        <f>E261*$BK$50</f>
        <v>0</v>
      </c>
      <c r="J261" s="680"/>
      <c r="K261" s="83"/>
      <c r="N261" s="116"/>
      <c r="O261" s="679">
        <f>SUM(IF($C$1="Residência",0,$C$44),IF($F$1="Residência",0,$F$44),IF($I$1="Residência",0,$I$44),IF($L$1="Residência",0,$L$44),IF($O$1="Residência",0,$O$44),IF($R$1="Residência",0,$R$44),IF($U$1="Residência",0,$U$44),IF($X$1="Residência",0,$X$44))</f>
        <v>0</v>
      </c>
      <c r="P261" s="680"/>
      <c r="Q261" s="70">
        <f>IF($H$282=$DV$39,IF(AND(O261&gt;0,E261&lt;1),((O261-1)*$BM$50*0.5)+$BM$50,O261*0.5*$BM$50),O261*0.5*$BM$50)</f>
        <v>0</v>
      </c>
      <c r="R261" s="70">
        <f>IF(O261&gt;0,1,0)*$A$44</f>
        <v>0</v>
      </c>
      <c r="S261" s="679">
        <f>O261*$BK$50</f>
        <v>0</v>
      </c>
      <c r="T261" s="680"/>
      <c r="U261" s="689"/>
      <c r="V261" s="690"/>
      <c r="W261" s="679">
        <f>SUM(IF($C$1="Residência",$C$44,0),IF($F$1="Residência",$F$44,0),IF($I$1="Residência",$I$44,0),IF($L$1="Residência",$L$44,0),IF($O$1="Residência",$O$44,0),IF($R$1="Residência",$R$44,0),IF($U$1="Residência",$U$44,0),IF($X$1="Residência",$X$44,0))</f>
        <v>0</v>
      </c>
      <c r="X261" s="680"/>
      <c r="Y261" s="70">
        <f>IF($Z$282=$DV$39,IF(W261&gt;0,((W261-1)*$BM$50*0.5)+$BM$50,W261*0.5*$BM$50),W261*0.5*$BM$50)</f>
        <v>0</v>
      </c>
      <c r="Z261" s="70">
        <f>IF(W261&gt;0,1,0)*$A$44</f>
        <v>0</v>
      </c>
      <c r="AA261" s="679">
        <f>W261*$BK$50</f>
        <v>0</v>
      </c>
      <c r="AB261" s="680"/>
      <c r="AC261" s="83"/>
      <c r="AF261" s="116"/>
      <c r="AG261" s="679">
        <f>SUM(IF($C$1="Residência",0,$C$44),IF($F$1="Residência",0,$F$44),IF($I$1="Residência",0,$I$44),IF($L$1="Residência",0,$L$44),IF($O$1="Residência",0,$O$44),IF($R$1="Residência",0,$R$44),IF($U$1="Residência",0,$U$44),IF($X$1="Residência",0,$X$44))</f>
        <v>0</v>
      </c>
      <c r="AH261" s="680"/>
      <c r="AI261" s="70">
        <f>IF($H$282=$DV$39,IF(AND(AG261&gt;0,W261&lt;1),((AG261-1)*$BM$50*0.5)+$BM$50,AG261*0.5*$BM$50),AG261*0.5*$BM$50)</f>
        <v>0</v>
      </c>
      <c r="AJ261" s="70">
        <f>IF(AG261&gt;0,1,0)*$A$44</f>
        <v>0</v>
      </c>
      <c r="AK261" s="679">
        <f>AG261*$BK$50</f>
        <v>0</v>
      </c>
      <c r="AL261" s="680"/>
      <c r="AT261" s="22">
        <v>10</v>
      </c>
      <c r="AU261" s="83">
        <f>$B$44</f>
        <v>0.77</v>
      </c>
      <c r="AV261" s="679">
        <f>SUM($O$44,$R$44)</f>
        <v>0</v>
      </c>
      <c r="AW261" s="680"/>
      <c r="AX261" s="51">
        <f>IF($AY$282=AT261,IF(AV261&gt;0,((AV261-1)*$BM$50*0.5)+$BM$50,0),AV261*0.5*$BM$50)</f>
        <v>0</v>
      </c>
      <c r="AY261" s="116">
        <f>IF(AV261&gt;0,1,0)*$A$44</f>
        <v>0</v>
      </c>
      <c r="AZ261" s="679">
        <f>AV261*$BK$50</f>
        <v>0</v>
      </c>
      <c r="BA261" s="680"/>
      <c r="BB261" s="83"/>
      <c r="BE261" s="83"/>
      <c r="BF261" s="691"/>
      <c r="BG261" s="692"/>
      <c r="BH261" s="83"/>
      <c r="BI261" s="691"/>
      <c r="BJ261" s="692"/>
      <c r="BK261" s="83"/>
      <c r="BL261" s="689"/>
      <c r="BM261" s="690"/>
      <c r="BN261" s="83"/>
      <c r="BO261" s="395"/>
      <c r="BP261" s="396"/>
      <c r="BQ261" s="83"/>
      <c r="BR261" s="691"/>
      <c r="BS261" s="692"/>
      <c r="BY261" s="116"/>
      <c r="BZ261" s="51"/>
      <c r="CB261"/>
      <c r="CC261"/>
      <c r="CD261"/>
      <c r="CG261"/>
      <c r="CK261" s="22">
        <v>10</v>
      </c>
      <c r="CL261" s="83">
        <f>$B$44</f>
        <v>0.77</v>
      </c>
      <c r="CM261" s="679">
        <f>SUM($U$44,$X$44)</f>
        <v>0</v>
      </c>
      <c r="CN261" s="680"/>
      <c r="CO261" s="51">
        <f>IF($CP$282=CK261,IF(CM261&gt;0,((CM261-1)*$BM$50*0.5)+$BM$50,0),CM261*0.5*$BM$50)</f>
        <v>0</v>
      </c>
      <c r="CP261" s="116">
        <f>IF(CM261&gt;0,1,0)*$A$44</f>
        <v>0</v>
      </c>
      <c r="CQ261" s="679">
        <f>CM261*$BK$50</f>
        <v>0</v>
      </c>
      <c r="CR261" s="680"/>
      <c r="CS261" s="83"/>
      <c r="CV261" s="83"/>
      <c r="CW261" s="691"/>
      <c r="CX261" s="692"/>
      <c r="CY261" s="83"/>
      <c r="CZ261" s="691"/>
      <c r="DA261" s="692"/>
      <c r="DB261" s="83"/>
      <c r="DC261" s="689"/>
      <c r="DD261" s="690"/>
      <c r="DE261" s="83"/>
      <c r="DF261" s="691"/>
      <c r="DG261" s="692"/>
      <c r="DH261" s="83"/>
      <c r="DI261" s="691"/>
      <c r="DJ261" s="692"/>
      <c r="DP261" s="116"/>
      <c r="DQ261" s="51"/>
      <c r="DR261"/>
      <c r="DS261"/>
      <c r="DT261"/>
      <c r="DV261"/>
      <c r="DW261"/>
      <c r="DX261"/>
      <c r="DY261"/>
    </row>
    <row r="262" spans="1:129" ht="13.5" thickBot="1" x14ac:dyDescent="0.25">
      <c r="B262"/>
      <c r="C262" s="22">
        <v>12.5</v>
      </c>
      <c r="D262" s="83">
        <f>$B$45</f>
        <v>0.77</v>
      </c>
      <c r="E262" s="679">
        <f>SUM(IF($C$1="Residência",$C$45,0),IF($F$1="Residência",$F$45,0),IF($I$1="Residência",$I$45,0),IF($L$1="Residência",$L$45,0),IF($O$1="Residência",$O$45,0),IF($R$1="Residência",$R$45,0),IF($U$1="Residência",$U$45,0),IF($X$1="Residência",$X$45,0))</f>
        <v>0</v>
      </c>
      <c r="F262" s="680"/>
      <c r="G262" s="70">
        <f>IF($H$282=$DV$40,IF(E262&gt;0,((E262-1)*$BM$51*0.5)+$BM$51,E262*0.5*$BM$51),E262*0.5*$BM$51)</f>
        <v>0</v>
      </c>
      <c r="H262" s="70">
        <f>IF(E262&gt;0,1,0)*$A$45</f>
        <v>0</v>
      </c>
      <c r="I262" s="679">
        <f>E262*$BK$51</f>
        <v>0</v>
      </c>
      <c r="J262" s="680"/>
      <c r="K262" s="83"/>
      <c r="N262" s="116"/>
      <c r="O262" s="679">
        <f>SUM(IF($C$1="Residência",0,$C$45),IF($F$1="Residência",0,$F$45),IF($I$1="Residência",0,$I$45),IF($L$1="Residência",0,$L$45),IF($O$1="Residência",0,$O$45),IF($R$1="Residência",0,$R$45),IF($U$1="Residência",0,$U$45),IF($X$1="Residência",0,$X$45))</f>
        <v>0</v>
      </c>
      <c r="P262" s="680"/>
      <c r="Q262" s="70">
        <f>IF($H$282=$DV$40,IF(AND(O262&gt;0,E262&lt;1),((O262-1)*$BM$51*0.5)+$BM$51,O262*0.5*$BM$51),O262*0.5*$BM$51)</f>
        <v>0</v>
      </c>
      <c r="R262" s="70">
        <f>IF(O262&gt;0,1,0)*$A$45</f>
        <v>0</v>
      </c>
      <c r="S262" s="679">
        <f>O262*$BK$51</f>
        <v>0</v>
      </c>
      <c r="T262" s="680"/>
      <c r="U262" s="689"/>
      <c r="V262" s="690"/>
      <c r="W262" s="679">
        <f>SUM(IF($C$1="Residência",$C$45,0),IF($F$1="Residência",$F$45,0),IF($I$1="Residência",$I$45,0),IF($L$1="Residência",$L$45,0),IF($O$1="Residência",$O$45,0),IF($R$1="Residência",$R$45,0),IF($U$1="Residência",$U$45,0),IF($X$1="Residência",$X$45,0))</f>
        <v>0</v>
      </c>
      <c r="X262" s="680"/>
      <c r="Y262" s="70">
        <f>IF($Z$282=$DV$40,IF(W262&gt;0,((W262-1)*$BM$51*0.5)+$BM$51,W262*0.5*$BM$51),W262*0.5*$BM$51)</f>
        <v>0</v>
      </c>
      <c r="Z262" s="70">
        <f>IF(W262&gt;0,1,0)*$A$45</f>
        <v>0</v>
      </c>
      <c r="AA262" s="679">
        <f>W262*$BK$51</f>
        <v>0</v>
      </c>
      <c r="AB262" s="680"/>
      <c r="AC262" s="83"/>
      <c r="AF262" s="116"/>
      <c r="AG262" s="679">
        <f>SUM(IF($C$1="Residência",0,$C$45),IF($F$1="Residência",0,$F$45),IF($I$1="Residência",0,$I$45),IF($L$1="Residência",0,$L$45),IF($O$1="Residência",0,$O$45),IF($R$1="Residência",0,$R$45),IF($U$1="Residência",0,$U$45),IF($X$1="Residência",0,$X$45))</f>
        <v>0</v>
      </c>
      <c r="AH262" s="680"/>
      <c r="AI262" s="70">
        <f>IF($H$282=$DV$40,IF(AND(AG262&gt;0,W262&lt;1),((AG262-1)*$BM$51*0.5)+$BM$51,AG262*0.5*$BM$51),AG262*0.5*$BM$51)</f>
        <v>0</v>
      </c>
      <c r="AJ262" s="70">
        <f>IF(AG262&gt;0,1,0)*$A$45</f>
        <v>0</v>
      </c>
      <c r="AK262" s="679">
        <f>AG262*$BK$51</f>
        <v>0</v>
      </c>
      <c r="AL262" s="680"/>
      <c r="AT262" s="22">
        <v>12.5</v>
      </c>
      <c r="AU262" s="83">
        <f>$B$45</f>
        <v>0.77</v>
      </c>
      <c r="AV262" s="679">
        <f>SUM($O$45,$R$45)</f>
        <v>0</v>
      </c>
      <c r="AW262" s="680"/>
      <c r="AX262" s="51">
        <f>IF($AY$282=AT262,IF(AV262&gt;0,((AV262-1)*$BM$51*0.5)+$BM$51,0),AV262*0.5*$BM$51)</f>
        <v>0</v>
      </c>
      <c r="AY262" s="116">
        <f>IF(AV262&gt;0,1,0)*$A$45</f>
        <v>0</v>
      </c>
      <c r="AZ262" s="679">
        <f>AV262*$BK$51</f>
        <v>0</v>
      </c>
      <c r="BA262" s="680"/>
      <c r="BB262" s="83"/>
      <c r="BE262" s="83"/>
      <c r="BF262" s="691"/>
      <c r="BG262" s="692"/>
      <c r="BH262" s="83"/>
      <c r="BI262" s="691"/>
      <c r="BJ262" s="692"/>
      <c r="BK262" s="83"/>
      <c r="BL262" s="689"/>
      <c r="BM262" s="690"/>
      <c r="BN262" s="83"/>
      <c r="BO262" s="395"/>
      <c r="BP262" s="396"/>
      <c r="BQ262" s="83"/>
      <c r="BR262" s="691"/>
      <c r="BS262" s="692"/>
      <c r="BY262" s="116"/>
      <c r="BZ262" s="51"/>
      <c r="CB262"/>
      <c r="CC262"/>
      <c r="CD262"/>
      <c r="CG262"/>
      <c r="CK262" s="22">
        <v>12.5</v>
      </c>
      <c r="CL262" s="83">
        <f>$B$45</f>
        <v>0.77</v>
      </c>
      <c r="CM262" s="679">
        <f>SUM($U$45,$X$45)</f>
        <v>0</v>
      </c>
      <c r="CN262" s="680"/>
      <c r="CO262" s="51">
        <f>IF($CP$282=CK262,IF(CM262&gt;0,((CM262-1)*$BM$51*0.5)+$BM$51,0),CM262*0.5*$BM$51)</f>
        <v>0</v>
      </c>
      <c r="CP262" s="116">
        <f>IF(CM262&gt;0,1,0)*$A$45</f>
        <v>0</v>
      </c>
      <c r="CQ262" s="679">
        <f>CM262*$BK$51</f>
        <v>0</v>
      </c>
      <c r="CR262" s="680"/>
      <c r="CS262" s="83"/>
      <c r="CV262" s="83"/>
      <c r="CW262" s="691"/>
      <c r="CX262" s="692"/>
      <c r="CY262" s="83"/>
      <c r="CZ262" s="691"/>
      <c r="DA262" s="692"/>
      <c r="DB262" s="83"/>
      <c r="DC262" s="689"/>
      <c r="DD262" s="690"/>
      <c r="DE262" s="83"/>
      <c r="DF262" s="691"/>
      <c r="DG262" s="692"/>
      <c r="DH262" s="83"/>
      <c r="DI262" s="691"/>
      <c r="DJ262" s="692"/>
      <c r="DP262" s="116"/>
      <c r="DQ262" s="51"/>
      <c r="DR262"/>
      <c r="DS262"/>
      <c r="DT262"/>
      <c r="DV262"/>
      <c r="DW262"/>
      <c r="DX262"/>
      <c r="DY262"/>
    </row>
    <row r="263" spans="1:129" ht="13.5" thickBot="1" x14ac:dyDescent="0.25">
      <c r="B263"/>
      <c r="C263" s="22">
        <v>15</v>
      </c>
      <c r="D263" s="83">
        <f>$B$46</f>
        <v>0.77</v>
      </c>
      <c r="E263" s="679">
        <f>SUM(IF($C$1="Residência",$C$46,0),IF($F$1="Residência",$F$46,0),IF($I$1="Residência",$I$46,0),IF($L$1="Residência",$L$46,0),IF($O$1="Residência",$O$46,0),IF($R$1="Residência",$R$46,0),IF($U$1="Residência",$U$46,0),IF($X$1="Residência",$X$46,0))</f>
        <v>0</v>
      </c>
      <c r="F263" s="680"/>
      <c r="G263" s="70">
        <f>IF($H$282=$DV$41,IF(E263&gt;0,((E263-1)*$BM$52*0.5)+$BM$52,E263*0.5*$BM$52),E263*0.5*$BM$52)</f>
        <v>0</v>
      </c>
      <c r="H263" s="70">
        <f>IF(E263&gt;0,1,0)*$A$46</f>
        <v>0</v>
      </c>
      <c r="I263" s="679">
        <f>E263*$BK$52</f>
        <v>0</v>
      </c>
      <c r="J263" s="680"/>
      <c r="K263" s="83"/>
      <c r="N263" s="116"/>
      <c r="O263" s="679">
        <f>SUM(IF($C$1="Residência",0,$C$46),IF($F$1="Residência",0,$F$46),IF($I$1="Residência",0,$I$46),IF($L$1="Residência",0,$L$46),IF($O$1="Residência",0,$O$46),IF($R$1="Residência",0,$R$46),IF($U$1="Residência",0,$U$46),IF($X$1="Residência",0,$X$46))</f>
        <v>0</v>
      </c>
      <c r="P263" s="680"/>
      <c r="Q263" s="70">
        <f>IF($H$282=$DV$41,IF(AND(O263&gt;0,E263&lt;1),((O263-1)*$BM$52*0.5)+$BM$52,O263*0.5*$BM$52),O263*0.5*$BM$52)</f>
        <v>0</v>
      </c>
      <c r="R263" s="70">
        <f>IF(O263&gt;0,1,0)*$A$46</f>
        <v>0</v>
      </c>
      <c r="S263" s="679">
        <f>O263*$BK$52</f>
        <v>0</v>
      </c>
      <c r="T263" s="680"/>
      <c r="U263" s="689"/>
      <c r="V263" s="690"/>
      <c r="W263" s="679">
        <f>SUM(IF($C$1="Residência",$C$46,0),IF($F$1="Residência",$F$46,0),IF($I$1="Residência",$I$46,0),IF($L$1="Residência",$L$46,0),IF($O$1="Residência",$O$46,0),IF($R$1="Residência",$R$46,0),IF($U$1="Residência",$U$46,0),IF($X$1="Residência",$X$46,0))</f>
        <v>0</v>
      </c>
      <c r="X263" s="680"/>
      <c r="Y263" s="70">
        <f>IF($Z$282=$DV$41,IF(W263&gt;0,((W263-1)*$BM$52*0.5)+$BM$52,W263*0.5*$BM$52),W263*0.5*$BM$52)</f>
        <v>0</v>
      </c>
      <c r="Z263" s="70">
        <f>IF(W263&gt;0,1,0)*$A$46</f>
        <v>0</v>
      </c>
      <c r="AA263" s="679">
        <f>W263*$BK$52</f>
        <v>0</v>
      </c>
      <c r="AB263" s="680"/>
      <c r="AC263" s="83"/>
      <c r="AF263" s="116"/>
      <c r="AG263" s="679">
        <f>SUM(IF($C$1="Residência",0,$C$46),IF($F$1="Residência",0,$F$46),IF($I$1="Residência",0,$I$46),IF($L$1="Residência",0,$L$46),IF($O$1="Residência",0,$O$46),IF($R$1="Residência",0,$R$46),IF($U$1="Residência",0,$U$46),IF($X$1="Residência",0,$X$46))</f>
        <v>0</v>
      </c>
      <c r="AH263" s="680"/>
      <c r="AI263" s="70">
        <f>IF($H$282=$DV$41,IF(AND(AG263&gt;0,W263&lt;1),((AG263-1)*$BM$52*0.5)+$BM$52,AG263*0.5*$BM$52),AG263*0.5*$BM$52)</f>
        <v>0</v>
      </c>
      <c r="AJ263" s="70">
        <f>IF(AG263&gt;0,1,0)*$A$46</f>
        <v>0</v>
      </c>
      <c r="AK263" s="679">
        <f>AG263*$BK$52</f>
        <v>0</v>
      </c>
      <c r="AL263" s="680"/>
      <c r="AT263" s="22">
        <v>15</v>
      </c>
      <c r="AU263" s="83">
        <f>$B$46</f>
        <v>0.77</v>
      </c>
      <c r="AV263" s="679">
        <f>SUM($O$46,$R$46)</f>
        <v>0</v>
      </c>
      <c r="AW263" s="680"/>
      <c r="AX263" s="51">
        <f>IF($AY$282=AT263,IF(AV263&gt;0,((AV263-1)*$BM$52*0.5)+$BM$52,0),AV263*0.5*$BM$52)</f>
        <v>0</v>
      </c>
      <c r="AY263" s="116">
        <f>IF(AV263&gt;0,1,0)*$A$46</f>
        <v>0</v>
      </c>
      <c r="AZ263" s="679">
        <f>AV263*$BK$52</f>
        <v>0</v>
      </c>
      <c r="BA263" s="680"/>
      <c r="BB263" s="83"/>
      <c r="BE263" s="83"/>
      <c r="BF263" s="691"/>
      <c r="BG263" s="692"/>
      <c r="BH263" s="83"/>
      <c r="BI263" s="691"/>
      <c r="BJ263" s="692"/>
      <c r="BK263" s="83"/>
      <c r="BL263" s="689"/>
      <c r="BM263" s="690"/>
      <c r="BN263" s="83"/>
      <c r="BO263" s="395"/>
      <c r="BP263" s="396"/>
      <c r="BQ263" s="83"/>
      <c r="BR263" s="691"/>
      <c r="BS263" s="692"/>
      <c r="BY263" s="117"/>
      <c r="BZ263" s="51"/>
      <c r="CB263"/>
      <c r="CC263"/>
      <c r="CD263"/>
      <c r="CG263"/>
      <c r="CK263" s="22">
        <v>15</v>
      </c>
      <c r="CL263" s="83">
        <f>$B$46</f>
        <v>0.77</v>
      </c>
      <c r="CM263" s="679">
        <f>SUM($U$46,$X$46)</f>
        <v>0</v>
      </c>
      <c r="CN263" s="680"/>
      <c r="CO263" s="51">
        <f>IF($CP$282=CK263,IF(CM263&gt;0,((CM263-1)*$BM$52*0.5)+$BM$52,0),CM263*0.5*$BM$52)</f>
        <v>0</v>
      </c>
      <c r="CP263" s="116">
        <f>IF(CM263&gt;0,1,0)*$A$46</f>
        <v>0</v>
      </c>
      <c r="CQ263" s="679">
        <f>CM263*$BK$52</f>
        <v>0</v>
      </c>
      <c r="CR263" s="680"/>
      <c r="CS263" s="83"/>
      <c r="CV263" s="83"/>
      <c r="CW263" s="691"/>
      <c r="CX263" s="692"/>
      <c r="CY263" s="83"/>
      <c r="CZ263" s="691"/>
      <c r="DA263" s="692"/>
      <c r="DB263" s="83"/>
      <c r="DC263" s="689"/>
      <c r="DD263" s="690"/>
      <c r="DE263" s="83"/>
      <c r="DF263" s="691"/>
      <c r="DG263" s="692"/>
      <c r="DH263" s="83"/>
      <c r="DI263" s="691"/>
      <c r="DJ263" s="692"/>
      <c r="DP263" s="117"/>
      <c r="DQ263" s="51"/>
      <c r="DR263"/>
      <c r="DS263"/>
      <c r="DT263"/>
      <c r="DV263"/>
      <c r="DW263"/>
      <c r="DX263"/>
      <c r="DY263"/>
    </row>
    <row r="264" spans="1:129" ht="13.5" thickBot="1" x14ac:dyDescent="0.25">
      <c r="B264"/>
      <c r="C264" s="22">
        <v>20</v>
      </c>
      <c r="D264" s="83">
        <f>$B$47</f>
        <v>0.77</v>
      </c>
      <c r="E264" s="679">
        <f>SUM(IF($C$1="Residência",$C$47,0),IF($F$1="Residência",$F$47,0),IF($I$1="Residência",$I$47,0),IF($L$1="Residência",$L$47,0),IF($O$1="Residência",$O$47,0),IF($R$1="Residência",$R$47,0),IF($U$1="Residência",$U$47,0),IF($X$1="Residência",$X$47,0))</f>
        <v>0</v>
      </c>
      <c r="F264" s="680"/>
      <c r="G264" s="70">
        <f>IF($H$282=$DV$42,IF(E264&gt;0,((E264-1)*$BM$53*0.5)+$BM$53,E264*0.5*$BM$53),E264*0.5*$BM$53)</f>
        <v>0</v>
      </c>
      <c r="H264" s="70">
        <f>IF(E264&gt;0,1,0)*$A$47</f>
        <v>0</v>
      </c>
      <c r="I264" s="679">
        <f>E264*$BK$53</f>
        <v>0</v>
      </c>
      <c r="J264" s="680"/>
      <c r="K264" s="83"/>
      <c r="N264" s="116"/>
      <c r="O264" s="679">
        <f>SUM(IF($C$1="Residência",0,$C$47),IF($F$1="Residência",0,$F$47),IF($I$1="Residência",0,$I$47),IF($L$1="Residência",0,$L$47),IF($O$1="Residência",0,$O$47),IF($R$1="Residência",0,$R$47),IF($U$1="Residência",0,$U$47),IF($X$1="Residência",0,$X$47))</f>
        <v>0</v>
      </c>
      <c r="P264" s="680"/>
      <c r="Q264" s="70">
        <f>IF($H$282=$DV$42,IF(AND(O264&gt;0,E264&lt;1),((O264-1)*$BM$53*0.5)+$BM$53,O264*0.5*$BM$53),O264*0.5*$BM$53)</f>
        <v>0</v>
      </c>
      <c r="R264" s="70">
        <f>IF(O264&gt;0,1,0)*$A$47</f>
        <v>0</v>
      </c>
      <c r="S264" s="679">
        <f>O264*$BK$53</f>
        <v>0</v>
      </c>
      <c r="T264" s="680"/>
      <c r="U264" s="689"/>
      <c r="V264" s="690"/>
      <c r="W264" s="679">
        <f>SUM(IF($C$1="Residência",$C$47,0),IF($F$1="Residência",$F$47,0),IF($I$1="Residência",$I$47,0),IF($L$1="Residência",$L$47,0),IF($O$1="Residência",$O$47,0),IF($R$1="Residência",$R$47,0),IF($U$1="Residência",$U$47,0),IF($X$1="Residência",$X$47,0))</f>
        <v>0</v>
      </c>
      <c r="X264" s="680"/>
      <c r="Y264" s="70">
        <f>IF($Z$282=$DV$42,IF(W264&gt;0,((W264-1)*$BM$53*0.5)+$BM$53,W264*0.5*$BM$53),W264*0.5*$BM$53)</f>
        <v>0</v>
      </c>
      <c r="Z264" s="70">
        <f>IF(W264&gt;0,1,0)*$A$47</f>
        <v>0</v>
      </c>
      <c r="AA264" s="679">
        <f>W264*$BK$53</f>
        <v>0</v>
      </c>
      <c r="AB264" s="680"/>
      <c r="AC264" s="83"/>
      <c r="AF264" s="116"/>
      <c r="AG264" s="679">
        <f>SUM(IF($C$1="Residência",0,$C$47),IF($F$1="Residência",0,$F$47),IF($I$1="Residência",0,$I$47),IF($L$1="Residência",0,$L$47),IF($O$1="Residência",0,$O$47),IF($R$1="Residência",0,$R$47),IF($U$1="Residência",0,$U$47),IF($X$1="Residência",0,$X$47))</f>
        <v>0</v>
      </c>
      <c r="AH264" s="680"/>
      <c r="AI264" s="70">
        <f>IF($H$282=$DV$42,IF(AND(AG264&gt;0,W264&lt;1),((AG264-1)*$BM$53*0.5)+$BM$53,AG264*0.5*$BM$53),AG264*0.5*$BM$53)</f>
        <v>0</v>
      </c>
      <c r="AJ264" s="70">
        <f>IF(AG264&gt;0,1,0)*$A$47</f>
        <v>0</v>
      </c>
      <c r="AK264" s="679">
        <f>AG264*$BK$53</f>
        <v>0</v>
      </c>
      <c r="AL264" s="680"/>
      <c r="AT264" s="22">
        <v>20</v>
      </c>
      <c r="AU264" s="83">
        <f>$B$47</f>
        <v>0.77</v>
      </c>
      <c r="AV264" s="679">
        <f>SUM($O$47,$R$47)</f>
        <v>0</v>
      </c>
      <c r="AW264" s="680"/>
      <c r="AX264" s="51">
        <f>IF($AY$282=AT264,IF(AV264&gt;0,((AV264-1)*$BM$53*0.5)+$BM$53,0),AV264*0.5*$BM$53)</f>
        <v>0</v>
      </c>
      <c r="AY264" s="116">
        <f>IF(AV264&gt;0,1,0)*$A$47</f>
        <v>0</v>
      </c>
      <c r="AZ264" s="679">
        <f>AV264*$BK$53</f>
        <v>0</v>
      </c>
      <c r="BA264" s="680"/>
      <c r="BB264" s="83"/>
      <c r="BE264" s="83"/>
      <c r="BF264" s="691"/>
      <c r="BG264" s="692"/>
      <c r="BH264" s="83"/>
      <c r="BI264" s="691"/>
      <c r="BJ264" s="692"/>
      <c r="BK264" s="83"/>
      <c r="BL264" s="689"/>
      <c r="BM264" s="690"/>
      <c r="BN264" s="83"/>
      <c r="BO264" s="395"/>
      <c r="BP264" s="396"/>
      <c r="BQ264" s="83"/>
      <c r="BR264" s="691"/>
      <c r="BS264" s="692"/>
      <c r="BY264" s="116"/>
      <c r="BZ264" s="51"/>
      <c r="CB264"/>
      <c r="CC264"/>
      <c r="CD264"/>
      <c r="CG264"/>
      <c r="CK264" s="22">
        <v>20</v>
      </c>
      <c r="CL264" s="83">
        <f>$B$47</f>
        <v>0.77</v>
      </c>
      <c r="CM264" s="679">
        <f>SUM($U$47,$X$47)</f>
        <v>0</v>
      </c>
      <c r="CN264" s="680"/>
      <c r="CO264" s="51">
        <f>IF($CP$282=CK264,IF(CM264&gt;0,((CM264-1)*$BM$53*0.5)+$BM$53,0),CM264*0.5*$BM$53)</f>
        <v>0</v>
      </c>
      <c r="CP264" s="116">
        <f>IF(CM264&gt;0,1,0)*$A$47</f>
        <v>0</v>
      </c>
      <c r="CQ264" s="679">
        <f>CM264*$BK$53</f>
        <v>0</v>
      </c>
      <c r="CR264" s="680"/>
      <c r="CS264" s="83"/>
      <c r="CV264" s="83"/>
      <c r="CW264" s="691"/>
      <c r="CX264" s="692"/>
      <c r="CY264" s="83"/>
      <c r="CZ264" s="691"/>
      <c r="DA264" s="692"/>
      <c r="DB264" s="83"/>
      <c r="DC264" s="689"/>
      <c r="DD264" s="690"/>
      <c r="DE264" s="83"/>
      <c r="DF264" s="691"/>
      <c r="DG264" s="692"/>
      <c r="DH264" s="83"/>
      <c r="DI264" s="691"/>
      <c r="DJ264" s="692"/>
      <c r="DP264" s="116"/>
      <c r="DQ264" s="51"/>
      <c r="DR264"/>
      <c r="DS264"/>
      <c r="DT264"/>
      <c r="DV264"/>
      <c r="DW264"/>
      <c r="DX264"/>
      <c r="DY264"/>
    </row>
    <row r="265" spans="1:129" ht="13.5" thickBot="1" x14ac:dyDescent="0.25">
      <c r="B265"/>
      <c r="C265" s="22">
        <v>25</v>
      </c>
      <c r="D265" s="83">
        <f>$B$48</f>
        <v>0.81</v>
      </c>
      <c r="E265" s="679">
        <f>SUM(IF($C$1="Residência",$C$48,0),IF($F$1="Residência",$F$48,0),IF($I$1="Residência",$I$48,0),IF($L$1="Residência",$L$48,0),IF($O$1="Residência",$O$48,0),IF($R$1="Residência",$R$48,0),IF($U$1="Residência",$U$48,0),IF($X$1="Residência",$X$48,0))</f>
        <v>0</v>
      </c>
      <c r="F265" s="680"/>
      <c r="G265" s="70">
        <f>IF($H$282=$DV$43,IF(E265&gt;0,((E265-1)*$BM$54*0.5)+$BM$54,E265*0.5*$BM$54),E265*0.5*$BM$54)</f>
        <v>0</v>
      </c>
      <c r="H265" s="70">
        <f>IF(E265&gt;0,1,0)*$A$48</f>
        <v>0</v>
      </c>
      <c r="I265" s="679">
        <f>E265*$BK$54</f>
        <v>0</v>
      </c>
      <c r="J265" s="680"/>
      <c r="K265" s="83"/>
      <c r="N265" s="116"/>
      <c r="O265" s="679">
        <f>SUM(IF($C$1="Residência",0,$C$48),IF($F$1="Residência",0,$F$48),IF($I$1="Residência",0,$I$48),IF($L$1="Residência",0,$L$48),IF($O$1="Residência",0,$O$48),IF($R$1="Residência",0,$R$48),IF($U$1="Residência",0,$U$48),IF($X$1="Residência",0,$X$48))</f>
        <v>0</v>
      </c>
      <c r="P265" s="680"/>
      <c r="Q265" s="70">
        <f>IF($H$282=$DV$43,IF(AND(O265&gt;0,E265&lt;1),((O265-1)*$BM$54*0.5)+$BM$54,O265*0.5*$BM$54),O265*0.5*$BM$54)</f>
        <v>0</v>
      </c>
      <c r="R265" s="70">
        <f>IF(O265&gt;0,1,0)*$A$48</f>
        <v>0</v>
      </c>
      <c r="S265" s="679">
        <f>O265*$BK$54</f>
        <v>0</v>
      </c>
      <c r="T265" s="680"/>
      <c r="U265" s="689"/>
      <c r="V265" s="690"/>
      <c r="W265" s="679">
        <f>SUM(IF($C$1="Residência",$C$48,0),IF($F$1="Residência",$F$48,0),IF($I$1="Residência",$I$48,0),IF($L$1="Residência",$L$48,0),IF($O$1="Residência",$O$48,0),IF($R$1="Residência",$R$48,0),IF($U$1="Residência",$U$48,0),IF($X$1="Residência",$X$48,0))</f>
        <v>0</v>
      </c>
      <c r="X265" s="680"/>
      <c r="Y265" s="70">
        <f>IF($Z$282=$DV$43,IF(W265&gt;0,((W265-1)*$BM$54*0.5)+$BM$54,W265*0.5*$BM$54),W265*0.5*$BM$54)</f>
        <v>0</v>
      </c>
      <c r="Z265" s="70">
        <f>IF(W265&gt;0,1,0)*$A$48</f>
        <v>0</v>
      </c>
      <c r="AA265" s="679">
        <f>W265*$BK$54</f>
        <v>0</v>
      </c>
      <c r="AB265" s="680"/>
      <c r="AC265" s="83"/>
      <c r="AF265" s="116"/>
      <c r="AG265" s="679">
        <f>SUM(IF($C$1="Residência",0,$C$48),IF($F$1="Residência",0,$F$48),IF($I$1="Residência",0,$I$48),IF($L$1="Residência",0,$L$48),IF($O$1="Residência",0,$O$48),IF($R$1="Residência",0,$R$48),IF($U$1="Residência",0,$U$48),IF($X$1="Residência",0,$X$48))</f>
        <v>0</v>
      </c>
      <c r="AH265" s="680"/>
      <c r="AI265" s="70">
        <f>IF($H$282=$DV$43,IF(AND(AG265&gt;0,W265&lt;1),((AG265-1)*$BM$54*0.5)+$BM$54,AG265*0.5*$BM$54),AG265*0.5*$BM$54)</f>
        <v>0</v>
      </c>
      <c r="AJ265" s="70">
        <f>IF(AG265&gt;0,1,0)*$A$48</f>
        <v>0</v>
      </c>
      <c r="AK265" s="679">
        <f>AG265*$BK$54</f>
        <v>0</v>
      </c>
      <c r="AL265" s="680"/>
      <c r="AT265" s="22">
        <v>25</v>
      </c>
      <c r="AU265" s="83">
        <f>$B$48</f>
        <v>0.81</v>
      </c>
      <c r="AV265" s="679">
        <f>SUM($O$48,$R$48)</f>
        <v>0</v>
      </c>
      <c r="AW265" s="680"/>
      <c r="AX265" s="51">
        <f>IF($AY$282=AT265,IF(AV265&gt;0,((AV265-1)*$BM$54*0.5)+$BM$54,0),AV265*0.5*$BM$54)</f>
        <v>0</v>
      </c>
      <c r="AY265" s="116">
        <f>IF(AV265&gt;0,1,0)*$A$48</f>
        <v>0</v>
      </c>
      <c r="AZ265" s="679">
        <f>AV265*$BK$54</f>
        <v>0</v>
      </c>
      <c r="BA265" s="680"/>
      <c r="BB265" s="83"/>
      <c r="BE265" s="83"/>
      <c r="BF265" s="691"/>
      <c r="BG265" s="692"/>
      <c r="BH265" s="83"/>
      <c r="BI265" s="691"/>
      <c r="BJ265" s="692"/>
      <c r="BK265" s="83"/>
      <c r="BL265" s="689"/>
      <c r="BM265" s="690"/>
      <c r="BN265" s="83"/>
      <c r="BO265" s="395"/>
      <c r="BP265" s="396"/>
      <c r="BQ265" s="83"/>
      <c r="BR265" s="691"/>
      <c r="BS265" s="692"/>
      <c r="BY265" s="116"/>
      <c r="BZ265" s="51"/>
      <c r="CB265"/>
      <c r="CC265"/>
      <c r="CD265"/>
      <c r="CG265"/>
      <c r="CK265" s="22">
        <v>25</v>
      </c>
      <c r="CL265" s="83">
        <f>$B$48</f>
        <v>0.81</v>
      </c>
      <c r="CM265" s="679">
        <f>SUM($U$48,$X$48)</f>
        <v>0</v>
      </c>
      <c r="CN265" s="680"/>
      <c r="CO265" s="51">
        <f>IF($CP$282=CK265,IF(CM265&gt;0,((CM265-1)*$BM$54*0.5)+$BM$54,0),CM265*0.5*$BM$54)</f>
        <v>0</v>
      </c>
      <c r="CP265" s="116">
        <f>IF(CM265&gt;0,1,0)*$A$48</f>
        <v>0</v>
      </c>
      <c r="CQ265" s="679">
        <f>CM265*$BK$54</f>
        <v>0</v>
      </c>
      <c r="CR265" s="680"/>
      <c r="CS265" s="83"/>
      <c r="CV265" s="83"/>
      <c r="CW265" s="691"/>
      <c r="CX265" s="692"/>
      <c r="CY265" s="83"/>
      <c r="CZ265" s="691"/>
      <c r="DA265" s="692"/>
      <c r="DB265" s="83"/>
      <c r="DC265" s="689"/>
      <c r="DD265" s="690"/>
      <c r="DE265" s="83"/>
      <c r="DF265" s="691"/>
      <c r="DG265" s="692"/>
      <c r="DH265" s="83"/>
      <c r="DI265" s="691"/>
      <c r="DJ265" s="692"/>
      <c r="DP265" s="116"/>
      <c r="DQ265" s="51"/>
      <c r="DR265"/>
      <c r="DS265"/>
      <c r="DT265"/>
      <c r="DV265"/>
      <c r="DW265"/>
      <c r="DX265"/>
      <c r="DY265"/>
    </row>
    <row r="266" spans="1:129" ht="13.5" thickBot="1" x14ac:dyDescent="0.25">
      <c r="B266"/>
      <c r="C266" s="23">
        <v>30</v>
      </c>
      <c r="D266" s="83">
        <f>$B$49</f>
        <v>0.82</v>
      </c>
      <c r="E266" s="679">
        <f>SUM(IF($C$1="Residência",$C$49,0),IF($F$1="Residência",$F$49,0),IF($I$1="Residência",$I$49,0),IF($L$1="Residência",$L$49,0),IF($O$1="Residência",$O$49,0),IF($R$1="Residência",$R$49,0),IF($U$1="Residência",$U$49,0),IF($X$1="Residência",$X$49,0))</f>
        <v>0</v>
      </c>
      <c r="F266" s="680"/>
      <c r="G266" s="70">
        <f>IF($H$282=$DV$44,IF(E266&gt;0,((E266-1)*$BM$55*0.5)+$BM$55,E266*0.5*$BM$55),E266*0.5*$BM$55)</f>
        <v>0</v>
      </c>
      <c r="H266" s="70">
        <f>IF(E266&gt;0,1,0)*$A$49</f>
        <v>0</v>
      </c>
      <c r="I266" s="679">
        <f>E266*$BK$55</f>
        <v>0</v>
      </c>
      <c r="J266" s="680"/>
      <c r="K266" s="83"/>
      <c r="N266" s="116"/>
      <c r="O266" s="679">
        <f>SUM(IF($C$1="Residência",0,$C$49),IF($F$1="Residência",0,$F$49),IF($I$1="Residência",0,$I$49),IF($L$1="Residência",0,$L$49),IF($O$1="Residência",0,$O$49),IF($R$1="Residência",0,$R$49),IF($U$1="Residência",0,$U$49),IF($X$1="Residência",0,$X$49))</f>
        <v>0</v>
      </c>
      <c r="P266" s="680"/>
      <c r="Q266" s="70">
        <f>IF($H$282=$DV$44,IF(AND(O266&gt;0,E266&lt;1),((O266-1)*$BM$55*0.5)+$BM$55,O266*0.5*$BM$55),O266*0.5*$BM$55)</f>
        <v>0</v>
      </c>
      <c r="R266" s="70">
        <f>IF(O266&gt;0,1,0)*$A$49</f>
        <v>0</v>
      </c>
      <c r="S266" s="679">
        <f>O266*$BK$55</f>
        <v>0</v>
      </c>
      <c r="T266" s="680"/>
      <c r="U266" s="689"/>
      <c r="V266" s="690"/>
      <c r="W266" s="679">
        <f>SUM(IF($C$1="Residência",$C$49,0),IF($F$1="Residência",$F$49,0),IF($I$1="Residência",$I$49,0),IF($L$1="Residência",$L$49,0),IF($O$1="Residência",$O$49,0),IF($R$1="Residência",$R$49,0),IF($U$1="Residência",$U$49,0),IF($X$1="Residência",$X$49,0))</f>
        <v>0</v>
      </c>
      <c r="X266" s="680"/>
      <c r="Y266" s="70">
        <f>IF($Z$282=$DV$44,IF(W266&gt;0,((W266-1)*$BM$55*0.5)+$BM$55,W266*0.5*$BM$55),W266*0.5*$BM$55)</f>
        <v>0</v>
      </c>
      <c r="Z266" s="70">
        <f>IF(W266&gt;0,1,0)*$A$49</f>
        <v>0</v>
      </c>
      <c r="AA266" s="679">
        <f>W266*$BK$55</f>
        <v>0</v>
      </c>
      <c r="AB266" s="680"/>
      <c r="AC266" s="83"/>
      <c r="AF266" s="116"/>
      <c r="AG266" s="679">
        <f>SUM(IF($C$1="Residência",0,$C$49),IF($F$1="Residência",0,$F$49),IF($I$1="Residência",0,$I$49),IF($L$1="Residência",0,$L$49),IF($O$1="Residência",0,$O$49),IF($R$1="Residência",0,$R$49),IF($U$1="Residência",0,$U$49),IF($X$1="Residência",0,$X$49))</f>
        <v>0</v>
      </c>
      <c r="AH266" s="680"/>
      <c r="AI266" s="70">
        <f>IF($H$282=$DV$44,IF(AND(AG266&gt;0,W266&lt;1),((AG266-1)*$BM$55*0.5)+$BM$55,AG266*0.5*$BM$55),AG266*0.5*$BM$55)</f>
        <v>0</v>
      </c>
      <c r="AJ266" s="70">
        <f>IF(AG266&gt;0,1,0)*$A$49</f>
        <v>0</v>
      </c>
      <c r="AK266" s="679">
        <f>AG266*$BK$55</f>
        <v>0</v>
      </c>
      <c r="AL266" s="680"/>
      <c r="AT266" s="23">
        <v>30</v>
      </c>
      <c r="AU266" s="83">
        <f>$B$49</f>
        <v>0.82</v>
      </c>
      <c r="AV266" s="689">
        <f>SUM($O$49,$R$49)</f>
        <v>0</v>
      </c>
      <c r="AW266" s="690"/>
      <c r="AX266" s="51">
        <f>IF($AY$282=AT266,IF(AV266&gt;0,((AV266-1)*$BM$55*0.5)+$BM$55,0),AV266*0.5*$BM$55)</f>
        <v>0</v>
      </c>
      <c r="AY266" s="116">
        <f>IF(AV266&gt;0,1,0)*$A$49</f>
        <v>0</v>
      </c>
      <c r="AZ266" s="679">
        <f>AV266*$BK$55</f>
        <v>0</v>
      </c>
      <c r="BA266" s="680"/>
      <c r="BB266" s="83"/>
      <c r="BE266" s="83"/>
      <c r="BF266" s="691"/>
      <c r="BG266" s="692"/>
      <c r="BH266" s="83"/>
      <c r="BI266" s="691"/>
      <c r="BJ266" s="692"/>
      <c r="BK266" s="83"/>
      <c r="BL266" s="689"/>
      <c r="BM266" s="690"/>
      <c r="BN266" s="83"/>
      <c r="BO266" s="395"/>
      <c r="BP266" s="396"/>
      <c r="BQ266" s="83"/>
      <c r="BR266" s="691"/>
      <c r="BS266" s="692"/>
      <c r="BY266" s="116"/>
      <c r="BZ266" s="51"/>
      <c r="CB266"/>
      <c r="CC266"/>
      <c r="CD266"/>
      <c r="CG266"/>
      <c r="CK266" s="23">
        <v>30</v>
      </c>
      <c r="CL266" s="83">
        <f>$B$49</f>
        <v>0.82</v>
      </c>
      <c r="CM266" s="689">
        <f>SUM($U$49,$X$49)</f>
        <v>0</v>
      </c>
      <c r="CN266" s="690"/>
      <c r="CO266" s="51">
        <f>IF($CP$282=CK266,IF(CM266&gt;0,((CM266-1)*$BM$55*0.5)+$BM$55,0),CM266*0.5*$BM$55)</f>
        <v>0</v>
      </c>
      <c r="CP266" s="116">
        <f>IF(CM266&gt;0,1,0)*$A$49</f>
        <v>0</v>
      </c>
      <c r="CQ266" s="679">
        <f>CM266*$BK$55</f>
        <v>0</v>
      </c>
      <c r="CR266" s="680"/>
      <c r="CS266" s="83"/>
      <c r="CV266" s="83"/>
      <c r="CW266" s="691"/>
      <c r="CX266" s="692"/>
      <c r="CY266" s="83"/>
      <c r="CZ266" s="691"/>
      <c r="DA266" s="692"/>
      <c r="DB266" s="83"/>
      <c r="DC266" s="689"/>
      <c r="DD266" s="690"/>
      <c r="DE266" s="83"/>
      <c r="DF266" s="691"/>
      <c r="DG266" s="692"/>
      <c r="DH266" s="83"/>
      <c r="DI266" s="691"/>
      <c r="DJ266" s="692"/>
      <c r="DP266" s="116"/>
      <c r="DQ266" s="51"/>
      <c r="DR266"/>
      <c r="DS266"/>
      <c r="DT266"/>
      <c r="DV266"/>
      <c r="DW266"/>
      <c r="DX266"/>
      <c r="DY266"/>
    </row>
    <row r="267" spans="1:129" ht="13.5" thickBot="1" x14ac:dyDescent="0.25">
      <c r="B267"/>
      <c r="C267" s="32"/>
      <c r="D267" s="84"/>
      <c r="E267" s="205"/>
      <c r="F267" s="205"/>
      <c r="G267" s="89"/>
      <c r="H267" s="70"/>
      <c r="I267" s="205"/>
      <c r="J267" s="205"/>
      <c r="K267" s="84"/>
      <c r="L267" s="53"/>
      <c r="M267" s="53"/>
      <c r="N267" s="51"/>
      <c r="O267" s="53"/>
      <c r="P267" s="53"/>
      <c r="Q267" s="84"/>
      <c r="R267" s="205"/>
      <c r="S267" s="53"/>
      <c r="T267" s="84"/>
      <c r="U267" s="205"/>
      <c r="V267" s="205"/>
      <c r="W267" s="205"/>
      <c r="X267" s="205"/>
      <c r="Y267" s="89"/>
      <c r="Z267" s="70"/>
      <c r="AA267" s="205"/>
      <c r="AB267" s="205"/>
      <c r="AC267" s="84"/>
      <c r="AD267" s="53"/>
      <c r="AE267" s="53"/>
      <c r="AF267" s="51"/>
      <c r="AG267" s="53"/>
      <c r="AH267" s="53"/>
      <c r="AI267" s="84"/>
      <c r="AJ267" s="205"/>
      <c r="AK267" s="53"/>
      <c r="AL267" s="84"/>
      <c r="AT267" s="32"/>
      <c r="AU267" s="84"/>
      <c r="AV267" s="205"/>
      <c r="AW267" s="205"/>
      <c r="AX267" s="89"/>
      <c r="AY267" s="51"/>
      <c r="AZ267" s="53"/>
      <c r="BA267" s="53"/>
      <c r="BB267" s="84"/>
      <c r="BC267" s="53"/>
      <c r="BD267" s="53"/>
      <c r="BE267" s="84"/>
      <c r="BF267" s="53"/>
      <c r="BG267" s="53"/>
      <c r="BH267" s="84"/>
      <c r="BI267" s="53"/>
      <c r="BJ267" s="53"/>
      <c r="BK267" s="84"/>
      <c r="BL267" s="205"/>
      <c r="BM267" s="205"/>
      <c r="BN267" s="84"/>
      <c r="BO267" s="53"/>
      <c r="BP267" s="53"/>
      <c r="BQ267" s="89"/>
      <c r="BR267" s="54"/>
      <c r="BS267" s="54"/>
      <c r="BY267" s="116"/>
      <c r="BZ267" s="51"/>
      <c r="CB267"/>
      <c r="CC267"/>
      <c r="CD267"/>
      <c r="CG267"/>
      <c r="CK267" s="32"/>
      <c r="CL267" s="84"/>
      <c r="CM267" s="205"/>
      <c r="CN267" s="205"/>
      <c r="CO267" s="89"/>
      <c r="CP267" s="51"/>
      <c r="CQ267" s="53"/>
      <c r="CR267" s="53"/>
      <c r="CS267" s="84"/>
      <c r="CT267" s="53"/>
      <c r="CU267" s="53"/>
      <c r="CV267" s="84"/>
      <c r="CW267" s="53"/>
      <c r="CX267" s="53"/>
      <c r="CY267" s="84"/>
      <c r="CZ267" s="53"/>
      <c r="DA267" s="53"/>
      <c r="DB267" s="84"/>
      <c r="DC267" s="205"/>
      <c r="DD267" s="205"/>
      <c r="DE267" s="84"/>
      <c r="DF267" s="53"/>
      <c r="DG267" s="53"/>
      <c r="DH267" s="89"/>
      <c r="DI267" s="54"/>
      <c r="DJ267" s="54"/>
      <c r="DP267" s="116"/>
      <c r="DQ267" s="51"/>
      <c r="DR267"/>
      <c r="DS267"/>
      <c r="DT267"/>
      <c r="DV267"/>
      <c r="DW267"/>
      <c r="DX267"/>
      <c r="DY267"/>
    </row>
    <row r="268" spans="1:129" ht="13.5" thickBot="1" x14ac:dyDescent="0.25">
      <c r="B268"/>
      <c r="C268" s="24" t="s">
        <v>60</v>
      </c>
      <c r="D268" s="85"/>
      <c r="E268" s="206"/>
      <c r="F268" s="204"/>
      <c r="G268" s="204"/>
      <c r="H268" s="70"/>
      <c r="I268" s="204"/>
      <c r="J268" s="204"/>
      <c r="K268" s="194"/>
      <c r="L268" s="194"/>
      <c r="M268" s="194"/>
      <c r="N268" s="51"/>
      <c r="O268" s="194"/>
      <c r="P268" s="194"/>
      <c r="Q268" s="204"/>
      <c r="R268" s="204"/>
      <c r="S268" s="194"/>
      <c r="T268" s="194"/>
      <c r="U268" s="204"/>
      <c r="V268" s="204"/>
      <c r="W268" s="206"/>
      <c r="X268" s="204"/>
      <c r="Y268" s="204"/>
      <c r="Z268" s="70"/>
      <c r="AA268" s="204"/>
      <c r="AB268" s="204"/>
      <c r="AC268" s="194"/>
      <c r="AD268" s="194"/>
      <c r="AE268" s="194"/>
      <c r="AF268" s="51"/>
      <c r="AG268" s="194"/>
      <c r="AH268" s="194"/>
      <c r="AI268" s="204"/>
      <c r="AJ268" s="204"/>
      <c r="AK268" s="194"/>
      <c r="AL268" s="194"/>
      <c r="AT268" s="24" t="s">
        <v>60</v>
      </c>
      <c r="AU268" s="85"/>
      <c r="AV268" s="206"/>
      <c r="AW268" s="204"/>
      <c r="AX268" s="204"/>
      <c r="AY268" s="51"/>
      <c r="AZ268" s="194"/>
      <c r="BA268" s="194"/>
      <c r="BB268" s="194"/>
      <c r="BC268" s="194"/>
      <c r="BD268" s="194"/>
      <c r="BE268" s="194"/>
      <c r="BF268" s="194"/>
      <c r="BG268" s="194"/>
      <c r="BH268" s="194"/>
      <c r="BI268" s="194"/>
      <c r="BJ268" s="194"/>
      <c r="BK268" s="194"/>
      <c r="BL268" s="204"/>
      <c r="BM268" s="204"/>
      <c r="BN268" s="204"/>
      <c r="BO268" s="194"/>
      <c r="BP268" s="194"/>
      <c r="BQ268" s="194"/>
      <c r="BR268" s="194"/>
      <c r="BS268" s="194"/>
      <c r="BY268" s="118"/>
      <c r="BZ268" s="51"/>
      <c r="CB268"/>
      <c r="CC268"/>
      <c r="CD268"/>
      <c r="CG268"/>
      <c r="CK268" s="24" t="s">
        <v>60</v>
      </c>
      <c r="CL268" s="85"/>
      <c r="CM268" s="206"/>
      <c r="CN268" s="204"/>
      <c r="CO268" s="204"/>
      <c r="CP268" s="51"/>
      <c r="CQ268" s="194"/>
      <c r="CR268" s="194"/>
      <c r="CS268" s="194"/>
      <c r="CT268" s="194"/>
      <c r="CU268" s="194"/>
      <c r="CV268" s="194"/>
      <c r="CW268" s="194"/>
      <c r="CX268" s="194"/>
      <c r="CY268" s="194"/>
      <c r="CZ268" s="194"/>
      <c r="DA268" s="194"/>
      <c r="DB268" s="194"/>
      <c r="DC268" s="204"/>
      <c r="DD268" s="204"/>
      <c r="DE268" s="204"/>
      <c r="DF268" s="194"/>
      <c r="DG268" s="194"/>
      <c r="DH268" s="194"/>
      <c r="DI268" s="194"/>
      <c r="DJ268" s="194"/>
      <c r="DP268" s="118"/>
      <c r="DQ268" s="51"/>
      <c r="DR268"/>
      <c r="DS268"/>
      <c r="DT268"/>
      <c r="DV268"/>
      <c r="DW268"/>
      <c r="DX268"/>
      <c r="DY268"/>
    </row>
    <row r="269" spans="1:129" ht="13.5" thickBot="1" x14ac:dyDescent="0.25">
      <c r="B269"/>
      <c r="C269" s="22">
        <v>0.25</v>
      </c>
      <c r="D269" s="83">
        <f>$B$52</f>
        <v>0.63</v>
      </c>
      <c r="E269" s="679">
        <f>SUM(IF($C$1="Residência",$C$52,0),IF($F$1="Residência",$F$52,0),IF($I$1="Residência",$I$52,0),IF($L$1="Residência",$L$52,0),IF($O$1="Residência",$O$52,0),IF($R$1="Residência",$R$52,0),IF($U$1="Residência",$U$52,0),IF($X$1="Residência",$X$52,0))</f>
        <v>0</v>
      </c>
      <c r="F269" s="680"/>
      <c r="G269" s="70">
        <f>IF($H$282=$DV$47,IF(E269&gt;0,((E269-1)*$BM$58*0.5)+$BM$58,E269*0.5*$BM$58),E269*0.5*$BM$58)</f>
        <v>0</v>
      </c>
      <c r="H269" s="70">
        <f>IF(E269&gt;0,1,0)*$A$52</f>
        <v>0</v>
      </c>
      <c r="I269" s="679">
        <f>E269*$BK$58</f>
        <v>0</v>
      </c>
      <c r="J269" s="680"/>
      <c r="K269" s="83"/>
      <c r="L269" s="691"/>
      <c r="M269" s="692"/>
      <c r="N269" s="51"/>
      <c r="O269" s="679">
        <f>SUM(IF($C$1="Residência",0,$C$52),IF($F$1="Residência",0,$F$52),IF($I$1="Residência",0,$I$52),IF($L$1="Residência",0,$L$52),IF($O$1="Residência",0,$O$52),IF($R$1="Residência",0,$R$52),IF($U$1="Residência",0,$U$52),IF($X$1="Residência",0,$X$52))</f>
        <v>0</v>
      </c>
      <c r="P269" s="680"/>
      <c r="Q269" s="70">
        <f>IF($H$282=$DV$47,IF(AND(O269&gt;0,E269&lt;1),((O269-1)*$BM$58*0.5)+$BM$58,O269*0.5*$BM$58),O269*0.5*$BM$58)</f>
        <v>0</v>
      </c>
      <c r="R269" s="70">
        <f>IF(O269&gt;0,1,0)*$A$52</f>
        <v>0</v>
      </c>
      <c r="S269" s="679">
        <f>O269*$BK$58</f>
        <v>0</v>
      </c>
      <c r="T269" s="680"/>
      <c r="U269" s="689"/>
      <c r="V269" s="690"/>
      <c r="W269" s="679">
        <f>SUM(IF($C$1="Residência",$C$52,0),IF($F$1="Residência",$F$52,0),IF($I$1="Residência",$I$52,0),IF($L$1="Residência",$L$52,0),IF($O$1="Residência",$O$52,0),IF($R$1="Residência",$R$52,0),IF($U$1="Residência",$U$52,0),IF($X$1="Residência",$X$52,0))</f>
        <v>0</v>
      </c>
      <c r="X269" s="680"/>
      <c r="Y269" s="70">
        <f>IF($Z$282=$DV$47,IF(W269&gt;0,((W269-1)*$BM$58*0.5)+$BM$58,W269*0.5*$BM$58),W269*0.5*$BM$58)</f>
        <v>0</v>
      </c>
      <c r="Z269" s="70">
        <f>IF(W269&gt;0,1,0)*$A$52</f>
        <v>0</v>
      </c>
      <c r="AA269" s="679">
        <f>W269*$BK$58</f>
        <v>0</v>
      </c>
      <c r="AB269" s="680"/>
      <c r="AC269" s="83"/>
      <c r="AD269" s="691"/>
      <c r="AE269" s="692"/>
      <c r="AF269" s="51"/>
      <c r="AG269" s="679">
        <f>SUM(IF($C$1="Residência",0,$C$52),IF($F$1="Residência",0,$F$52),IF($I$1="Residência",0,$I$52),IF($L$1="Residência",0,$L$52),IF($O$1="Residência",0,$O$52),IF($R$1="Residência",0,$R$52),IF($U$1="Residência",0,$U$52),IF($X$1="Residência",0,$X$52))</f>
        <v>0</v>
      </c>
      <c r="AH269" s="680"/>
      <c r="AI269" s="70">
        <f>IF($H$282=$DV$47,IF(AND(AG269&gt;0,W269&lt;1),((AG269-1)*$BM$58*0.5)+$BM$58,AG269*0.5*$BM$58),AG269*0.5*$BM$58)</f>
        <v>0</v>
      </c>
      <c r="AJ269" s="70">
        <f>IF(AG269&gt;0,1,0)*$A$52</f>
        <v>0</v>
      </c>
      <c r="AK269" s="679">
        <f>AG269*$BK$58</f>
        <v>0</v>
      </c>
      <c r="AL269" s="680"/>
      <c r="AT269" s="22">
        <v>0.25</v>
      </c>
      <c r="AU269" s="83">
        <f>$B$52</f>
        <v>0.63</v>
      </c>
      <c r="AV269" s="679">
        <f>SUM($O$52,$R$52)</f>
        <v>0</v>
      </c>
      <c r="AW269" s="680"/>
      <c r="AX269" s="51">
        <f>IF($AY$282=AT269,((AV269-1)*$BM$58*0.5)+$BM$58,AV269*0.5*$BM$58)</f>
        <v>0</v>
      </c>
      <c r="AY269" s="116">
        <f>IF(AV269&gt;0,1,0)*$A$52</f>
        <v>0</v>
      </c>
      <c r="AZ269" s="679">
        <f>AV269*$BK$58</f>
        <v>0</v>
      </c>
      <c r="BA269" s="680"/>
      <c r="BB269" s="83"/>
      <c r="BC269" s="691"/>
      <c r="BD269" s="692"/>
      <c r="BE269" s="83"/>
      <c r="BF269" s="691"/>
      <c r="BG269" s="692"/>
      <c r="BH269" s="83"/>
      <c r="BI269" s="691"/>
      <c r="BJ269" s="692"/>
      <c r="BK269" s="83"/>
      <c r="BL269" s="689"/>
      <c r="BM269" s="690"/>
      <c r="BN269" s="83"/>
      <c r="BO269" s="395"/>
      <c r="BP269" s="396"/>
      <c r="BQ269" s="83"/>
      <c r="BR269" s="691"/>
      <c r="BS269" s="692"/>
      <c r="BY269" s="119"/>
      <c r="BZ269" s="51"/>
      <c r="CB269"/>
      <c r="CC269"/>
      <c r="CD269"/>
      <c r="CG269"/>
      <c r="CK269" s="22">
        <v>0.25</v>
      </c>
      <c r="CL269" s="83">
        <f>$B$52</f>
        <v>0.63</v>
      </c>
      <c r="CM269" s="679">
        <f>SUM($U$52,$X$52)</f>
        <v>0</v>
      </c>
      <c r="CN269" s="680"/>
      <c r="CO269" s="51">
        <f>IF($CP$282=CK269,((CM269-1)*$BM$58*0.5)+$BM$58,CM269*0.5*$BM$58)</f>
        <v>0</v>
      </c>
      <c r="CP269" s="116">
        <f>IF(CM269&gt;0,1,0)*$A$52</f>
        <v>0</v>
      </c>
      <c r="CQ269" s="679">
        <f>CM269*$BK$58</f>
        <v>0</v>
      </c>
      <c r="CR269" s="680"/>
      <c r="CS269" s="83"/>
      <c r="CT269" s="691"/>
      <c r="CU269" s="692"/>
      <c r="CV269" s="83"/>
      <c r="CW269" s="691"/>
      <c r="CX269" s="692"/>
      <c r="CY269" s="83"/>
      <c r="CZ269" s="691"/>
      <c r="DA269" s="692"/>
      <c r="DB269" s="83"/>
      <c r="DC269" s="689"/>
      <c r="DD269" s="690"/>
      <c r="DE269" s="83"/>
      <c r="DF269" s="691"/>
      <c r="DG269" s="692"/>
      <c r="DH269" s="83"/>
      <c r="DI269" s="691"/>
      <c r="DJ269" s="692"/>
      <c r="DP269" s="119"/>
      <c r="DQ269" s="51"/>
      <c r="DR269"/>
      <c r="DS269"/>
      <c r="DT269"/>
      <c r="DV269"/>
      <c r="DW269"/>
      <c r="DX269"/>
      <c r="DY269"/>
    </row>
    <row r="270" spans="1:129" ht="13.5" thickBot="1" x14ac:dyDescent="0.25">
      <c r="B270"/>
      <c r="C270" s="22">
        <v>0.33333333333333298</v>
      </c>
      <c r="D270" s="83">
        <f>$B$53</f>
        <v>0.66</v>
      </c>
      <c r="E270" s="679">
        <f>SUM(IF($C$1="Residência",$C$53,0),IF($F$1="Residência",$F$53,0),IF($I$1="Residência",$I$53,0),IF($L$1="Residência",$L$53,0),IF($O$1="Residência",$O$53,0),IF($R$1="Residência",$R$53,0),IF($U$1="Residência",$U$53,0),IF($X$1="Residência",$X$53,0))</f>
        <v>0</v>
      </c>
      <c r="F270" s="680"/>
      <c r="G270" s="70">
        <f>IF($H$282=$DV$48,IF(AND(E250&lt;1,O250&lt;1,E270&gt;0),((E270-1)*$BM$59*0.5)+$BM$59,E270*0.5*$BM$59),E270*0.5*$BM$59)</f>
        <v>0</v>
      </c>
      <c r="H270" s="70">
        <f>IF(E270&gt;0,1,0)*$A$53</f>
        <v>0</v>
      </c>
      <c r="I270" s="679">
        <f>E270*$BK$59</f>
        <v>0</v>
      </c>
      <c r="J270" s="680"/>
      <c r="K270" s="83"/>
      <c r="L270" s="691"/>
      <c r="M270" s="692"/>
      <c r="N270" s="51"/>
      <c r="O270" s="679">
        <f>SUM(IF($C$1="Residência",0,$C$53),IF($F$1="Residência",0,$F$53),IF($I$1="Residência",0,$I$53),IF($L$1="Residência",0,$L$53),IF($O$1="Residência",0,$O$53),IF($R$1="Residência",0,$R$53),IF($U$1="Residência",0,$U$53),IF($X$1="Residência",0,$X$53),IF($E$67="BIFÁSICA",$C$67,0))</f>
        <v>0</v>
      </c>
      <c r="P270" s="680"/>
      <c r="Q270" s="70">
        <f>IF($H$282=$DV$48,IF(AND(O250&lt;1,E250&lt;1,O270&gt;0,E270&lt;1),((O270-1)*$BM$59*0.5)+$BM$59,O270*0.5*$BM$59),O270*0.5*$BM$59)</f>
        <v>0</v>
      </c>
      <c r="R270" s="70">
        <f>IF(O270&gt;0,1,0)*$A$53</f>
        <v>0</v>
      </c>
      <c r="S270" s="679">
        <f>O270*$BK$59</f>
        <v>0</v>
      </c>
      <c r="T270" s="680"/>
      <c r="U270" s="689"/>
      <c r="V270" s="690"/>
      <c r="W270" s="679">
        <f>SUM(IF($C$1="Residência",$C$53,0),IF($F$1="Residência",$F$53,0),IF($I$1="Residência",$I$53,0),IF($L$1="Residência",$L$53,0),IF($O$1="Residência",$O$53,0),IF($R$1="Residência",$R$53,0),IF($U$1="Residência",$U$53,0),IF($X$1="Residência",$X$53,0))</f>
        <v>0</v>
      </c>
      <c r="X270" s="680"/>
      <c r="Y270" s="70">
        <f>IF($Z$282=$DV$48,IF(AND(W250&lt;1,AG250&lt;1,W270&gt;0),((W270-1)*$BM$59*0.5)+$BM$59,W270*0.5*$BM$59),W270*0.5*$BM$59)</f>
        <v>0</v>
      </c>
      <c r="Z270" s="70">
        <f>IF(W270&gt;0,1,0)*$A$53</f>
        <v>0</v>
      </c>
      <c r="AA270" s="679">
        <f>W270*$BK$59</f>
        <v>0</v>
      </c>
      <c r="AB270" s="680"/>
      <c r="AC270" s="83"/>
      <c r="AD270" s="691"/>
      <c r="AE270" s="692"/>
      <c r="AF270" s="51"/>
      <c r="AG270" s="679">
        <f>SUM(IF($C$1="Residência",0,$C$53),IF($F$1="Residência",0,$F$53),IF($I$1="Residência",0,$I$53),IF($L$1="Residência",0,$L$53),IF($O$1="Residência",0,$O$53),IF($R$1="Residência",0,$R$53),IF($U$1="Residência",0,$U$53),IF($X$1="Residência",0,$X$53))</f>
        <v>0</v>
      </c>
      <c r="AH270" s="680"/>
      <c r="AI270" s="70">
        <f>IF($H$282=$DV$48,IF(AND(AG250&lt;1,W250&lt;1,AG270&gt;0,W270&lt;1),((AG270-1)*$BM$59*0.5)+$BM$59,AG270*0.5*$BM$59),AG270*0.5*$BM$59)</f>
        <v>0</v>
      </c>
      <c r="AJ270" s="70">
        <f>IF(AG270&gt;0,1,0)*$A$53</f>
        <v>0</v>
      </c>
      <c r="AK270" s="679">
        <f>AG270*$BK$59</f>
        <v>0</v>
      </c>
      <c r="AL270" s="680"/>
      <c r="AT270" s="22">
        <v>0.33333333333333298</v>
      </c>
      <c r="AU270" s="83">
        <f>$B$53</f>
        <v>0.66</v>
      </c>
      <c r="AV270" s="679">
        <f>SUM($O$53,$R$53)</f>
        <v>0</v>
      </c>
      <c r="AW270" s="680"/>
      <c r="AX270" s="51">
        <f>IF($AY$282=AT270,IF(AV250&lt;1,((AV270-1)*$BM$59*0.5)+$BM$59,AV270*0.5*$BM$59),AV270*0.5*$BM$59)</f>
        <v>0</v>
      </c>
      <c r="AY270" s="116">
        <f>IF(AV270&gt;0,1,0)*$A$53</f>
        <v>0</v>
      </c>
      <c r="AZ270" s="679">
        <f>AV270*$BK$59</f>
        <v>0</v>
      </c>
      <c r="BA270" s="680"/>
      <c r="BB270" s="83"/>
      <c r="BC270" s="691"/>
      <c r="BD270" s="692"/>
      <c r="BE270" s="83"/>
      <c r="BF270" s="691"/>
      <c r="BG270" s="692"/>
      <c r="BH270" s="83"/>
      <c r="BI270" s="691"/>
      <c r="BJ270" s="692"/>
      <c r="BK270" s="83"/>
      <c r="BL270" s="689"/>
      <c r="BM270" s="690"/>
      <c r="BN270" s="83"/>
      <c r="BO270" s="395"/>
      <c r="BP270" s="396"/>
      <c r="BQ270" s="83"/>
      <c r="BR270" s="691"/>
      <c r="BS270" s="692"/>
      <c r="BY270" s="120"/>
      <c r="BZ270" s="51"/>
      <c r="CB270"/>
      <c r="CC270"/>
      <c r="CD270"/>
      <c r="CG270"/>
      <c r="CK270" s="22">
        <v>0.33333333333333298</v>
      </c>
      <c r="CL270" s="83">
        <f>$B$53</f>
        <v>0.66</v>
      </c>
      <c r="CM270" s="679">
        <f>SUM($U$53,$X$53)</f>
        <v>0</v>
      </c>
      <c r="CN270" s="680"/>
      <c r="CO270" s="51">
        <f>IF($CP$282=CK270,IF(CM250&lt;1,((CM270-1)*$BM$59*0.5)+$BM$59,CM270*0.5*$BM$59),CM270*0.5*$BM$59)</f>
        <v>0</v>
      </c>
      <c r="CP270" s="116">
        <f>IF(CM270&gt;0,1,0)*$A$53</f>
        <v>0</v>
      </c>
      <c r="CQ270" s="679">
        <f>CM270*$BK$59</f>
        <v>0</v>
      </c>
      <c r="CR270" s="680"/>
      <c r="CS270" s="83"/>
      <c r="CT270" s="691"/>
      <c r="CU270" s="692"/>
      <c r="CV270" s="83"/>
      <c r="CW270" s="691"/>
      <c r="CX270" s="692"/>
      <c r="CY270" s="83"/>
      <c r="CZ270" s="691"/>
      <c r="DA270" s="692"/>
      <c r="DB270" s="83"/>
      <c r="DC270" s="689"/>
      <c r="DD270" s="690"/>
      <c r="DE270" s="83"/>
      <c r="DF270" s="691"/>
      <c r="DG270" s="692"/>
      <c r="DH270" s="83"/>
      <c r="DI270" s="691"/>
      <c r="DJ270" s="692"/>
      <c r="DP270" s="120"/>
      <c r="DQ270" s="51"/>
      <c r="DR270"/>
      <c r="DS270"/>
      <c r="DT270"/>
      <c r="DV270"/>
      <c r="DW270"/>
      <c r="DX270"/>
      <c r="DY270"/>
    </row>
    <row r="271" spans="1:129" ht="13.5" thickBot="1" x14ac:dyDescent="0.25">
      <c r="B271"/>
      <c r="C271" s="22">
        <v>0.5</v>
      </c>
      <c r="D271" s="83">
        <f>$B$54</f>
        <v>0.67</v>
      </c>
      <c r="E271" s="679">
        <f>SUM(IF($C$1="Residência",$C$54,0),IF($F$1="Residência",$F$54,0),IF($I$1="Residência",$I$54,0),IF($L$1="Residência",$L$54,0),IF($O$1="Residência",$O$54,0),IF($R$1="Residência",$R$54,0),IF($U$1="Residência",$U$54,0),IF($X$1="Residência",$X$54,0))</f>
        <v>0</v>
      </c>
      <c r="F271" s="680"/>
      <c r="G271" s="70">
        <f>IF($H$282=$DV$49,IF(AND(E251&lt;1,O251&lt;1,E271&gt;0),((E271-1)*$BM$282*0.5)+$BM$282,E271*0.5*$BM$282),E271*0.5*$BM$282)</f>
        <v>0</v>
      </c>
      <c r="H271" s="70">
        <f>IF(E271&gt;0,1,0)*$A$54</f>
        <v>0</v>
      </c>
      <c r="I271" s="679">
        <f>E271*$BK$60</f>
        <v>0</v>
      </c>
      <c r="J271" s="680"/>
      <c r="K271" s="83"/>
      <c r="L271" s="691"/>
      <c r="M271" s="692"/>
      <c r="N271" s="51"/>
      <c r="O271" s="679">
        <f>SUM(IF($C$1="Residência",0,$C$54),IF($F$1="Residência",0,$F$54),IF($I$1="Residência",0,$I$54),IF($L$1="Residência",0,$L$54),IF($O$1="Residência",0,$O$54),IF($R$1="Residência",0,$R$54),IF($U$1="Residência",0,$U$54),IF($X$1="Residência",0,$X$54),IF($E$68="BIFÁSICA",$C$68,0))</f>
        <v>0</v>
      </c>
      <c r="P271" s="680"/>
      <c r="Q271" s="70">
        <f>IF($H$282=$DV$49,IF(AND(O251&lt;1,E251&lt;1,O271&gt;0,E271&lt;1),((O271-1)*$BM$282*0.5)+$BM$282,O271*0.5*$BM$282),O271*0.5*$BM$282)</f>
        <v>0</v>
      </c>
      <c r="R271" s="70">
        <f>IF(O271&gt;0,1,0)*$A$54</f>
        <v>0</v>
      </c>
      <c r="S271" s="679">
        <f>O271*$BK$60</f>
        <v>0</v>
      </c>
      <c r="T271" s="680"/>
      <c r="U271" s="689"/>
      <c r="V271" s="690"/>
      <c r="W271" s="679">
        <f>SUM(IF($C$1="Residência",$C$54,0),IF($F$1="Residência",$F$54,0),IF($I$1="Residência",$I$54,0),IF($L$1="Residência",$L$54,0),IF($O$1="Residência",$O$54,0),IF($R$1="Residência",$R$54,0),IF($U$1="Residência",$U$54,0),IF($X$1="Residência",$X$54,0))</f>
        <v>0</v>
      </c>
      <c r="X271" s="680"/>
      <c r="Y271" s="70">
        <f>IF($Z$282=$DV$49,IF(AND(W251&lt;1,AG251&lt;1,W271&gt;0),((W271-1)*$BM$282*0.5)+$BM$282,W271*0.5*$BM$282),W271*0.5*$BM$282)</f>
        <v>0</v>
      </c>
      <c r="Z271" s="70">
        <f>IF(W271&gt;0,1,0)*$A$54</f>
        <v>0</v>
      </c>
      <c r="AA271" s="679">
        <f>W271*$BK$60</f>
        <v>0</v>
      </c>
      <c r="AB271" s="680"/>
      <c r="AC271" s="83"/>
      <c r="AD271" s="691"/>
      <c r="AE271" s="692"/>
      <c r="AF271" s="51"/>
      <c r="AG271" s="679">
        <f>SUM(IF($C$1="Residência",0,$C$54),IF($F$1="Residência",0,$F$54),IF($I$1="Residência",0,$I$54),IF($L$1="Residência",0,$L$54),IF($O$1="Residência",0,$O$54),IF($R$1="Residência",0,$R$54),IF($U$1="Residência",0,$U$54),IF($X$1="Residência",0,$X$54))</f>
        <v>0</v>
      </c>
      <c r="AH271" s="680"/>
      <c r="AI271" s="70">
        <f>IF($H$282=$DV$49,IF(AND(AG251&lt;1,W251&lt;1,AG271&gt;0,W271&lt;1),((AG271-1)*$BM$282*0.5)+$BM$282,AG271*0.5*$BM$282),AG271*0.5*$BM$282)</f>
        <v>0</v>
      </c>
      <c r="AJ271" s="70">
        <f>IF(AG271&gt;0,1,0)*$A$54</f>
        <v>0</v>
      </c>
      <c r="AK271" s="679">
        <f>AG271*$BK$60</f>
        <v>0</v>
      </c>
      <c r="AL271" s="680"/>
      <c r="AT271" s="22">
        <v>0.5</v>
      </c>
      <c r="AU271" s="83">
        <f>$B$54</f>
        <v>0.67</v>
      </c>
      <c r="AV271" s="679">
        <f>SUM($O$54,$R$54)</f>
        <v>0</v>
      </c>
      <c r="AW271" s="680"/>
      <c r="AX271" s="51">
        <f>IF($AY$282=AT271,IF(AV251&lt;1,((AV271-1)*$BM$60*0.5)+$BM$60,AV271*0.5*$BM$60),AV271*0.5*$BM$60)</f>
        <v>0</v>
      </c>
      <c r="AY271" s="116">
        <f>IF(AV271&gt;0,1,0)*$A$54</f>
        <v>0</v>
      </c>
      <c r="AZ271" s="679">
        <f>AV271*$BK$60</f>
        <v>0</v>
      </c>
      <c r="BA271" s="680"/>
      <c r="BB271" s="83"/>
      <c r="BC271" s="691"/>
      <c r="BD271" s="692"/>
      <c r="BE271" s="83"/>
      <c r="BF271" s="691"/>
      <c r="BG271" s="692"/>
      <c r="BH271" s="83"/>
      <c r="BI271" s="691"/>
      <c r="BJ271" s="692"/>
      <c r="BK271" s="83"/>
      <c r="BL271" s="689"/>
      <c r="BM271" s="690"/>
      <c r="BN271" s="83"/>
      <c r="BO271" s="395"/>
      <c r="BP271" s="396"/>
      <c r="BQ271" s="83"/>
      <c r="BR271" s="691"/>
      <c r="BS271" s="692"/>
      <c r="BY271" s="116"/>
      <c r="BZ271" s="51"/>
      <c r="CB271"/>
      <c r="CC271"/>
      <c r="CD271"/>
      <c r="CG271"/>
      <c r="CK271" s="22">
        <v>0.5</v>
      </c>
      <c r="CL271" s="83">
        <f>$B$54</f>
        <v>0.67</v>
      </c>
      <c r="CM271" s="679">
        <f>SUM($U$54,$X$54)</f>
        <v>0</v>
      </c>
      <c r="CN271" s="680"/>
      <c r="CO271" s="51">
        <f>IF($CP$282=CK271,IF(CM251&lt;1,((CM271-1)*$BM$60*0.5)+$BM$60,CM271*0.5*$BM$60),CM271*0.5*$BM$60)</f>
        <v>0</v>
      </c>
      <c r="CP271" s="116">
        <f>IF(CM271&gt;0,1,0)*$A$54</f>
        <v>0</v>
      </c>
      <c r="CQ271" s="679">
        <f>CM271*$BK$60</f>
        <v>0</v>
      </c>
      <c r="CR271" s="680"/>
      <c r="CS271" s="83"/>
      <c r="CT271" s="691"/>
      <c r="CU271" s="692"/>
      <c r="CV271" s="83"/>
      <c r="CW271" s="691"/>
      <c r="CX271" s="692"/>
      <c r="CY271" s="83"/>
      <c r="CZ271" s="691"/>
      <c r="DA271" s="692"/>
      <c r="DB271" s="83"/>
      <c r="DC271" s="689"/>
      <c r="DD271" s="690"/>
      <c r="DE271" s="83"/>
      <c r="DF271" s="691"/>
      <c r="DG271" s="692"/>
      <c r="DH271" s="83"/>
      <c r="DI271" s="691"/>
      <c r="DJ271" s="692"/>
      <c r="DP271" s="116"/>
      <c r="DQ271" s="51"/>
      <c r="DR271"/>
      <c r="DS271"/>
      <c r="DT271"/>
      <c r="DV271"/>
      <c r="DW271"/>
      <c r="DX271"/>
      <c r="DY271"/>
    </row>
    <row r="272" spans="1:129" ht="13.5" thickBot="1" x14ac:dyDescent="0.25">
      <c r="B272"/>
      <c r="C272" s="22">
        <v>0.75</v>
      </c>
      <c r="D272" s="83">
        <f>$B$55</f>
        <v>0.67</v>
      </c>
      <c r="E272" s="679">
        <f>SUM(IF($C$1="Residência",$C$55,0),IF($F$1="Residência",$F$55,0),IF($I$1="Residência",$I$55,0),IF($L$1="Residência",$L$55,0),IF($O$1="Residência",$O$55,0),IF($R$1="Residência",$R$55,0),IF($U$1="Residência",$U$55,0),IF($X$1="Residência",$X$55,0))</f>
        <v>0</v>
      </c>
      <c r="F272" s="680"/>
      <c r="G272" s="70">
        <f>IF($H$282=$DV$50,IF(AND(E252&lt;1,O252&lt;1,E272&gt;0),((E272-1)*$BM$61*0.5)+$BM$61,E272*0.5*$BM$61),E272*0.5*$BM$61)</f>
        <v>0</v>
      </c>
      <c r="H272" s="70">
        <f>IF(E272&gt;0,1,0)*$A$55</f>
        <v>0</v>
      </c>
      <c r="I272" s="679">
        <f>E272*$BK$61</f>
        <v>0</v>
      </c>
      <c r="J272" s="680"/>
      <c r="K272" s="83"/>
      <c r="L272" s="691"/>
      <c r="M272" s="692"/>
      <c r="N272" s="51"/>
      <c r="O272" s="679">
        <f>SUM(IF($C$1="Residência",0,$C$55),IF($F$1="Residência",0,$F$55),IF($I$1="Residência",0,$I$55),IF($L$1="Residência",0,$L$55),IF($O$1="Residência",0,$O$55),IF($R$1="Residência",0,$R$55),IF($U$1="Residência",0,$U$55),IF($X$1="Residência",0,$X$55),IF($E$69="BIFÁSICA",$C$69,0))</f>
        <v>0</v>
      </c>
      <c r="P272" s="680"/>
      <c r="Q272" s="70">
        <f>IF($H$282=$DV$50,IF(AND(O252&lt;1,E252&lt;1,O272&gt;0,E272&lt;1),((O272-1)*$BM$61*0.5)+$BM$61,O272*0.5*$BM$61),O272*0.5*$BM$61)</f>
        <v>0</v>
      </c>
      <c r="R272" s="70">
        <f>IF(O272&gt;0,1,0)*$A$55</f>
        <v>0</v>
      </c>
      <c r="S272" s="679">
        <f>O272*$BK$61</f>
        <v>0</v>
      </c>
      <c r="T272" s="680"/>
      <c r="U272" s="689"/>
      <c r="V272" s="690"/>
      <c r="W272" s="679">
        <f>SUM(IF($C$1="Residência",$C$55,0),IF($F$1="Residência",$F$55,0),IF($I$1="Residência",$I$55,0),IF($L$1="Residência",$L$55,0),IF($O$1="Residência",$O$55,0),IF($R$1="Residência",$R$55,0),IF($U$1="Residência",$U$55,0),IF($X$1="Residência",$X$55,0))</f>
        <v>0</v>
      </c>
      <c r="X272" s="680"/>
      <c r="Y272" s="70">
        <f>IF($Z$282=$DV$50,IF(AND(W252&lt;1,AG252&lt;1,W272&gt;0),((W272-1)*$BM$61*0.5)+$BM$61,W272*0.5*$BM$61),W272*0.5*$BM$61)</f>
        <v>0</v>
      </c>
      <c r="Z272" s="70">
        <f>IF(W272&gt;0,1,0)*$A$55</f>
        <v>0</v>
      </c>
      <c r="AA272" s="679">
        <f>W272*$BK$61</f>
        <v>0</v>
      </c>
      <c r="AB272" s="680"/>
      <c r="AC272" s="83"/>
      <c r="AD272" s="691"/>
      <c r="AE272" s="692"/>
      <c r="AF272" s="51"/>
      <c r="AG272" s="679">
        <f>SUM(IF($C$1="Residência",0,$C$55),IF($F$1="Residência",0,$F$55),IF($I$1="Residência",0,$I$55),IF($L$1="Residência",0,$L$55),IF($O$1="Residência",0,$O$55),IF($R$1="Residência",0,$R$55),IF($U$1="Residência",0,$U$55),IF($X$1="Residência",0,$X$55))</f>
        <v>0</v>
      </c>
      <c r="AH272" s="680"/>
      <c r="AI272" s="70">
        <f>IF($H$282=$DV$50,IF(AND(AG252&lt;1,W252&lt;1,AG272&gt;0,W272&lt;1),((AG272-1)*$BM$61*0.5)+$BM$61,AG272*0.5*$BM$61),AG272*0.5*$BM$61)</f>
        <v>0</v>
      </c>
      <c r="AJ272" s="70">
        <f>IF(AG272&gt;0,1,0)*$A$55</f>
        <v>0</v>
      </c>
      <c r="AK272" s="679">
        <f>AG272*$BK$61</f>
        <v>0</v>
      </c>
      <c r="AL272" s="680"/>
      <c r="AT272" s="22">
        <v>0.75</v>
      </c>
      <c r="AU272" s="83">
        <f>$B$55</f>
        <v>0.67</v>
      </c>
      <c r="AV272" s="679">
        <f>SUM($O$55,$R$55)</f>
        <v>0</v>
      </c>
      <c r="AW272" s="680"/>
      <c r="AX272" s="51">
        <f>IF($AY$282=AT272,IF(AV252&lt;1,((AV272-1)*$BM$61*0.5)+$BM$61,AV272*0.5*$BM$61),AV272*0.5*$BM$61)</f>
        <v>0</v>
      </c>
      <c r="AY272" s="116">
        <f>IF(AV272&gt;0,1,0)*$A$55</f>
        <v>0</v>
      </c>
      <c r="AZ272" s="679">
        <f>AV272*$BK$61</f>
        <v>0</v>
      </c>
      <c r="BA272" s="680"/>
      <c r="BB272" s="83"/>
      <c r="BC272" s="691"/>
      <c r="BD272" s="692"/>
      <c r="BE272" s="83"/>
      <c r="BF272" s="691"/>
      <c r="BG272" s="692"/>
      <c r="BH272" s="83"/>
      <c r="BI272" s="691"/>
      <c r="BJ272" s="692"/>
      <c r="BK272" s="83"/>
      <c r="BL272" s="689"/>
      <c r="BM272" s="690"/>
      <c r="BN272" s="83"/>
      <c r="BO272" s="395"/>
      <c r="BP272" s="396"/>
      <c r="BQ272" s="83"/>
      <c r="BR272" s="691"/>
      <c r="BS272" s="692"/>
      <c r="BY272" s="116"/>
      <c r="BZ272" s="51"/>
      <c r="CB272"/>
      <c r="CC272"/>
      <c r="CD272"/>
      <c r="CG272"/>
      <c r="CK272" s="22">
        <v>0.75</v>
      </c>
      <c r="CL272" s="83">
        <f>$B$55</f>
        <v>0.67</v>
      </c>
      <c r="CM272" s="679">
        <f>SUM($U$55,$X$55)</f>
        <v>0</v>
      </c>
      <c r="CN272" s="680"/>
      <c r="CO272" s="51">
        <f>IF($CP$282=CK272,IF(CM252&lt;1,((CM272-1)*$BM$61*0.5)+$BM$61,CM272*0.5*$BM$61),CM272*0.5*$BM$61)</f>
        <v>0</v>
      </c>
      <c r="CP272" s="116">
        <f>IF(CM272&gt;0,1,0)*$A$55</f>
        <v>0</v>
      </c>
      <c r="CQ272" s="679">
        <f>CM272*$BK$61</f>
        <v>0</v>
      </c>
      <c r="CR272" s="680"/>
      <c r="CS272" s="83"/>
      <c r="CT272" s="691"/>
      <c r="CU272" s="692"/>
      <c r="CV272" s="83"/>
      <c r="CW272" s="691"/>
      <c r="CX272" s="692"/>
      <c r="CY272" s="83"/>
      <c r="CZ272" s="691"/>
      <c r="DA272" s="692"/>
      <c r="DB272" s="83"/>
      <c r="DC272" s="689"/>
      <c r="DD272" s="690"/>
      <c r="DE272" s="83"/>
      <c r="DF272" s="691"/>
      <c r="DG272" s="692"/>
      <c r="DH272" s="83"/>
      <c r="DI272" s="691"/>
      <c r="DJ272" s="692"/>
      <c r="DP272" s="116"/>
      <c r="DQ272" s="51"/>
      <c r="DR272"/>
      <c r="DS272"/>
      <c r="DT272"/>
      <c r="DV272"/>
      <c r="DW272"/>
      <c r="DX272"/>
      <c r="DY272"/>
    </row>
    <row r="273" spans="1:129" ht="13.5" thickBot="1" x14ac:dyDescent="0.25">
      <c r="B273"/>
      <c r="C273" s="22">
        <v>1</v>
      </c>
      <c r="D273" s="83">
        <f>$B$56</f>
        <v>0.73</v>
      </c>
      <c r="E273" s="679">
        <f>SUM(IF($C$1="Residência",$C$56,0),IF($F$1="Residência",$F$56,0),IF($I$1="Residência",$I$56,0),IF($L$1="Residência",$L$56,0),IF($O$1="Residência",$O$56,0),IF($R$1="Residência",$R$56,0),IF($U$1="Residência",$U$56,0),IF($X$1="Residência",$X$56,0))</f>
        <v>0</v>
      </c>
      <c r="F273" s="680"/>
      <c r="G273" s="70">
        <f>IF($H$282=$DV$51,IF(AND(E253&lt;1,O253&lt;1,E273&gt;0),((E273-1)*$BM$62*0.5)+$BM$62,E273*0.5*$BM$62),E273*0.5*$BM$62)</f>
        <v>0</v>
      </c>
      <c r="H273" s="70">
        <f>IF(E273&gt;0,1,0)*$A$56</f>
        <v>0</v>
      </c>
      <c r="I273" s="679">
        <f>E273*$BK$62</f>
        <v>0</v>
      </c>
      <c r="J273" s="680"/>
      <c r="K273" s="83"/>
      <c r="L273" s="691"/>
      <c r="M273" s="692"/>
      <c r="N273" s="51"/>
      <c r="O273" s="679">
        <f>SUM(IF($C$1="Residência",0,$C$56),IF($F$1="Residência",0,$F$56),IF($I$1="Residência",0,$I$56),IF($L$1="Residência",0,$L$56),IF($O$1="Residência",0,$O$56),IF($R$1="Residência",0,$R$56),IF($U$1="Residência",0,$U$56),IF($X$1="Residência",0,$X$56),IF($E$70="BIFÁSICA",$C$70,0))</f>
        <v>0</v>
      </c>
      <c r="P273" s="680"/>
      <c r="Q273" s="70">
        <f>IF($H$282=$DV$51,IF(AND(O253&lt;1,E253&lt;1,O273&gt;0,E273&lt;1),((O273-1)*$BM$62*0.5)+$BM$62,O273*0.5*$BM$62),O273*0.5*$BM$62)</f>
        <v>0</v>
      </c>
      <c r="R273" s="70">
        <f>IF(O273&gt;0,1,0)*$A$56</f>
        <v>0</v>
      </c>
      <c r="S273" s="679">
        <f>O273*$BK$62</f>
        <v>0</v>
      </c>
      <c r="T273" s="680"/>
      <c r="U273" s="689"/>
      <c r="V273" s="690"/>
      <c r="W273" s="679">
        <f>SUM(IF($C$1="Residência",$C$56,0),IF($F$1="Residência",$F$56,0),IF($I$1="Residência",$I$56,0),IF($L$1="Residência",$L$56,0),IF($O$1="Residência",$O$56,0),IF($R$1="Residência",$R$56,0),IF($U$1="Residência",$U$56,0),IF($X$1="Residência",$X$56,0))</f>
        <v>0</v>
      </c>
      <c r="X273" s="680"/>
      <c r="Y273" s="70">
        <f>IF($Z$282=$DV$51,IF(AND(W253&lt;1,AG253&lt;1,W273&gt;0),((W273-1)*$BM$62*0.5)+$BM$62,W273*0.5*$BM$62),W273*0.5*$BM$62)</f>
        <v>0</v>
      </c>
      <c r="Z273" s="70">
        <f>IF(W273&gt;0,1,0)*$A$56</f>
        <v>0</v>
      </c>
      <c r="AA273" s="679">
        <f>W273*$BK$62</f>
        <v>0</v>
      </c>
      <c r="AB273" s="680"/>
      <c r="AC273" s="83"/>
      <c r="AD273" s="691"/>
      <c r="AE273" s="692"/>
      <c r="AF273" s="51"/>
      <c r="AG273" s="679">
        <f>SUM(IF($C$1="Residência",0,$C$56),IF($F$1="Residência",0,$F$56),IF($I$1="Residência",0,$I$56),IF($L$1="Residência",0,$L$56),IF($O$1="Residência",0,$O$56),IF($R$1="Residência",0,$R$56),IF($U$1="Residência",0,$U$56),IF($X$1="Residência",0,$X$56))</f>
        <v>0</v>
      </c>
      <c r="AH273" s="680"/>
      <c r="AI273" s="70">
        <f>IF($H$282=$DV$51,IF(AND(AG253&lt;1,W253&lt;1,AG273&gt;0,W273&lt;1),((AG273-1)*$BM$62*0.5)+$BM$62,AG273*0.5*$BM$62),AG273*0.5*$BM$62)</f>
        <v>0</v>
      </c>
      <c r="AJ273" s="70">
        <f>IF(AG273&gt;0,1,0)*$A$56</f>
        <v>0</v>
      </c>
      <c r="AK273" s="679">
        <f>AG273*$BK$62</f>
        <v>0</v>
      </c>
      <c r="AL273" s="680"/>
      <c r="AT273" s="22">
        <v>1</v>
      </c>
      <c r="AU273" s="83">
        <f>$B$56</f>
        <v>0.73</v>
      </c>
      <c r="AV273" s="679">
        <f>SUM($O$56,$R$56)</f>
        <v>0</v>
      </c>
      <c r="AW273" s="680"/>
      <c r="AX273" s="51">
        <f>IF($AY$282=AT273,IF(AV253&lt;1,((AV273-1)*$BM$62*0.5)+$BM$62,AV273*0.5*$BM$62),AV273*0.5*$BM$62)</f>
        <v>0</v>
      </c>
      <c r="AY273" s="116">
        <f>IF(AV273&gt;0,1,0)*$A$56</f>
        <v>0</v>
      </c>
      <c r="AZ273" s="679">
        <f>AV273*$BK$62</f>
        <v>0</v>
      </c>
      <c r="BA273" s="680"/>
      <c r="BB273" s="83"/>
      <c r="BC273" s="691"/>
      <c r="BD273" s="692"/>
      <c r="BE273" s="83"/>
      <c r="BF273" s="691"/>
      <c r="BG273" s="692"/>
      <c r="BH273" s="83"/>
      <c r="BI273" s="691"/>
      <c r="BJ273" s="692"/>
      <c r="BK273" s="83"/>
      <c r="BL273" s="689"/>
      <c r="BM273" s="690"/>
      <c r="BN273" s="83"/>
      <c r="BO273" s="395"/>
      <c r="BP273" s="396"/>
      <c r="BQ273" s="83"/>
      <c r="BR273" s="691"/>
      <c r="BS273" s="692"/>
      <c r="BY273" s="116"/>
      <c r="BZ273" s="51"/>
      <c r="CB273"/>
      <c r="CC273"/>
      <c r="CD273"/>
      <c r="CG273"/>
      <c r="CK273" s="22">
        <v>1</v>
      </c>
      <c r="CL273" s="83">
        <f>$B$56</f>
        <v>0.73</v>
      </c>
      <c r="CM273" s="679">
        <f>SUM($U$56,$X$56)</f>
        <v>0</v>
      </c>
      <c r="CN273" s="680"/>
      <c r="CO273" s="51">
        <f>IF($CP$282=CK273,IF(CM253&lt;1,((CM273-1)*$BM$62*0.5)+$BM$62,CM273*0.5*$BM$62),CM273*0.5*$BM$62)</f>
        <v>0</v>
      </c>
      <c r="CP273" s="116">
        <f>IF(CM273&gt;0,1,0)*$A$56</f>
        <v>0</v>
      </c>
      <c r="CQ273" s="679">
        <f>CM273*$BK$62</f>
        <v>0</v>
      </c>
      <c r="CR273" s="680"/>
      <c r="CS273" s="83"/>
      <c r="CT273" s="691"/>
      <c r="CU273" s="692"/>
      <c r="CV273" s="83"/>
      <c r="CW273" s="691"/>
      <c r="CX273" s="692"/>
      <c r="CY273" s="83"/>
      <c r="CZ273" s="691"/>
      <c r="DA273" s="692"/>
      <c r="DB273" s="83"/>
      <c r="DC273" s="689"/>
      <c r="DD273" s="690"/>
      <c r="DE273" s="83"/>
      <c r="DF273" s="691"/>
      <c r="DG273" s="692"/>
      <c r="DH273" s="83"/>
      <c r="DI273" s="691"/>
      <c r="DJ273" s="692"/>
      <c r="DP273" s="116"/>
      <c r="DQ273" s="51"/>
      <c r="DR273"/>
      <c r="DS273"/>
      <c r="DT273"/>
      <c r="DV273"/>
      <c r="DW273"/>
      <c r="DX273"/>
      <c r="DY273"/>
    </row>
    <row r="274" spans="1:129" ht="13.5" thickBot="1" x14ac:dyDescent="0.25">
      <c r="B274"/>
      <c r="C274" s="22">
        <v>1.5</v>
      </c>
      <c r="D274" s="83">
        <f>$B$57</f>
        <v>0.71</v>
      </c>
      <c r="E274" s="679">
        <f>SUM(IF($C$1="Residência",$C$57,0),IF($F$1="Residência",$F$57,0),IF($I$1="Residência",$I$57,0),IF($L$1="Residência",$L$57,0),IF($O$1="Residência",$O$57,0),IF($R$1="Residência",$R$57,0),IF($U$1="Residência",$U$57,0),IF($X$1="Residência",$X$57,0))</f>
        <v>0</v>
      </c>
      <c r="F274" s="680"/>
      <c r="G274" s="70">
        <f>IF($H$282=$DV$52,IF(AND(E254&lt;1,O254&lt;1,E213&gt;0),((E213-1)*$BM$63*0.5)+$BM$63,E213*0.5*$BM$63),E213*0.5*$BM$63)</f>
        <v>0</v>
      </c>
      <c r="H274" s="70">
        <f>IF(E213&gt;0,1,0)*$A$57</f>
        <v>0</v>
      </c>
      <c r="I274" s="679">
        <f>E213*$BK$63</f>
        <v>0</v>
      </c>
      <c r="J274" s="680"/>
      <c r="K274" s="83"/>
      <c r="L274" s="691"/>
      <c r="M274" s="692"/>
      <c r="N274" s="51"/>
      <c r="O274" s="679">
        <f>SUM(IF($C$1="Residência",0,$C$57),IF($F$1="Residência",0,$F$57),IF($I$1="Residência",0,$I$57),IF($L$1="Residência",0,$L$57),IF($O$1="Residência",0,$O$57),IF($R$1="Residência",0,$R$57),IF($U$1="Residência",0,$U$57),IF($X$1="Residência",0,$X$57),IF($E$71="BIFÁSICA",$C$71,0))</f>
        <v>0</v>
      </c>
      <c r="P274" s="680"/>
      <c r="Q274" s="70">
        <f>IF($H$282=$DV$52,IF(AND(O254&lt;1,E254&lt;1,O213&gt;0,E213&lt;1),((O213-1)*$BM$63*0.5)+$BM$63,O213*0.5*$BM$63),O213*0.5*$BM$63)</f>
        <v>0</v>
      </c>
      <c r="R274" s="70">
        <f>IF(O213&gt;0,1,0)*$A$57</f>
        <v>0</v>
      </c>
      <c r="S274" s="679">
        <f>O213*$BK$63</f>
        <v>0</v>
      </c>
      <c r="T274" s="680"/>
      <c r="U274" s="689"/>
      <c r="V274" s="690"/>
      <c r="W274" s="679">
        <f>SUM(IF($C$1="Residência",$C$57,0),IF($F$1="Residência",$F$57,0),IF($I$1="Residência",$I$57,0),IF($L$1="Residência",$L$57,0),IF($O$1="Residência",$O$57,0),IF($R$1="Residência",$R$57,0),IF($U$1="Residência",$U$57,0),IF($X$1="Residência",$X$57,0))</f>
        <v>0</v>
      </c>
      <c r="X274" s="680"/>
      <c r="Y274" s="70">
        <f>IF($Z$282=$DV$52,IF(AND(W254&lt;1,AG254&lt;1,W213&gt;0),((W213-1)*$BM$63*0.5)+$BM$63,W213*0.5*$BM$63),W213*0.5*$BM$63)</f>
        <v>0</v>
      </c>
      <c r="Z274" s="70">
        <f>IF(W213&gt;0,1,0)*$A$57</f>
        <v>0</v>
      </c>
      <c r="AA274" s="679">
        <f>W213*$BK$63</f>
        <v>0</v>
      </c>
      <c r="AB274" s="680"/>
      <c r="AC274" s="83"/>
      <c r="AD274" s="691"/>
      <c r="AE274" s="692"/>
      <c r="AF274" s="51"/>
      <c r="AG274" s="679">
        <f>SUM(IF($C$1="Residência",0,$C$57),IF($F$1="Residência",0,$F$57),IF($I$1="Residência",0,$I$57),IF($L$1="Residência",0,$L$57),IF($O$1="Residência",0,$O$57),IF($R$1="Residência",0,$R$57),IF($U$1="Residência",0,$U$57),IF($X$1="Residência",0,$X$57))</f>
        <v>0</v>
      </c>
      <c r="AH274" s="680"/>
      <c r="AI274" s="70">
        <f>IF($H$282=$DV$52,IF(AND(AG254&lt;1,W254&lt;1,AG213&gt;0,W213&lt;1),((AG213-1)*$BM$63*0.5)+$BM$63,AG213*0.5*$BM$63),AG213*0.5*$BM$63)</f>
        <v>0</v>
      </c>
      <c r="AJ274" s="70">
        <f>IF(AG213&gt;0,1,0)*$A$57</f>
        <v>0</v>
      </c>
      <c r="AK274" s="679">
        <f>AG213*$BK$63</f>
        <v>0</v>
      </c>
      <c r="AL274" s="680"/>
      <c r="AT274" s="22">
        <v>1.5</v>
      </c>
      <c r="AU274" s="83">
        <f>$B$57</f>
        <v>0.71</v>
      </c>
      <c r="AV274" s="679">
        <f>SUM($O$57,$R$57)</f>
        <v>0</v>
      </c>
      <c r="AW274" s="680"/>
      <c r="AX274" s="51">
        <f>IF($AY$282=AT274,IF(AV254&lt;1,((AV274-1)*$BM$63*0.5)+$BM$63,AV274*0.5*$BM$63),AV274*0.5*$BM$63)</f>
        <v>0</v>
      </c>
      <c r="AY274" s="116">
        <f>IF(AV213&gt;0,1,0)*$A$57</f>
        <v>0</v>
      </c>
      <c r="AZ274" s="679">
        <f>AV213*$BK$63</f>
        <v>0</v>
      </c>
      <c r="BA274" s="680"/>
      <c r="BB274" s="83"/>
      <c r="BC274" s="691"/>
      <c r="BD274" s="692"/>
      <c r="BE274" s="83"/>
      <c r="BF274" s="691"/>
      <c r="BG274" s="692"/>
      <c r="BH274" s="83"/>
      <c r="BI274" s="691"/>
      <c r="BJ274" s="692"/>
      <c r="BK274" s="83"/>
      <c r="BL274" s="689"/>
      <c r="BM274" s="690"/>
      <c r="BN274" s="83"/>
      <c r="BO274" s="395"/>
      <c r="BP274" s="396"/>
      <c r="BQ274" s="83"/>
      <c r="BR274" s="691"/>
      <c r="BS274" s="692"/>
      <c r="BY274" s="116"/>
      <c r="BZ274" s="51"/>
      <c r="CB274"/>
      <c r="CC274"/>
      <c r="CD274"/>
      <c r="CG274"/>
      <c r="CK274" s="22">
        <v>1.5</v>
      </c>
      <c r="CL274" s="83">
        <f>$B$57</f>
        <v>0.71</v>
      </c>
      <c r="CM274" s="679">
        <f>SUM($U$57,$X$57)</f>
        <v>0</v>
      </c>
      <c r="CN274" s="680"/>
      <c r="CO274" s="51">
        <f>IF($CP$282=CK213,IF(CM254&lt;1,((CM274-1)*$BM$63*0.5)+$BM$63,CM274*0.5*$BM$63),CM274*0.5*$BM$63)</f>
        <v>0</v>
      </c>
      <c r="CP274" s="116">
        <f>IF(CM213&gt;0,1,0)*$A$57</f>
        <v>0</v>
      </c>
      <c r="CQ274" s="679">
        <f>CM213*$BK$63</f>
        <v>0</v>
      </c>
      <c r="CR274" s="680"/>
      <c r="CS274" s="83"/>
      <c r="CT274" s="691"/>
      <c r="CU274" s="692"/>
      <c r="CV274" s="83"/>
      <c r="CW274" s="691"/>
      <c r="CX274" s="692"/>
      <c r="CY274" s="83"/>
      <c r="CZ274" s="691"/>
      <c r="DA274" s="692"/>
      <c r="DB274" s="83"/>
      <c r="DC274" s="689"/>
      <c r="DD274" s="690"/>
      <c r="DE274" s="83"/>
      <c r="DF274" s="691"/>
      <c r="DG274" s="692"/>
      <c r="DH274" s="83"/>
      <c r="DI274" s="691"/>
      <c r="DJ274" s="692"/>
      <c r="DP274" s="116"/>
      <c r="DQ274" s="51"/>
      <c r="DR274"/>
      <c r="DS274"/>
      <c r="DT274"/>
      <c r="DV274"/>
      <c r="DW274"/>
      <c r="DX274"/>
      <c r="DY274"/>
    </row>
    <row r="275" spans="1:129" ht="13.5" thickBot="1" x14ac:dyDescent="0.25">
      <c r="B275"/>
      <c r="C275" s="22">
        <v>2</v>
      </c>
      <c r="D275" s="83">
        <f>$B$58</f>
        <v>0.73</v>
      </c>
      <c r="E275" s="679">
        <f>SUM(IF($C$1="Residência",$C$58,0),IF($F$1="Residência",$F$58,0),IF($I$1="Residência",$I$58,0),IF($L$1="Residência",$L$58,0),IF($O$1="Residência",$O$58,0),IF($R$1="Residência",$R$58,0),IF($U$1="Residência",$U$58,0),IF($X$1="Residência",$X$58,0))</f>
        <v>0</v>
      </c>
      <c r="F275" s="680"/>
      <c r="G275" s="70">
        <f>IF($H$282=$DV$53,IF(AND(E255&lt;1,O255&lt;1,E275&gt;0),((E275-1)*$BM$64*0.5)+$BM$64,E275*0.5*$BM$64),E275*0.5*$BM$64)</f>
        <v>0</v>
      </c>
      <c r="H275" s="70">
        <f>IF(E275&gt;0,1,0)*$A$58</f>
        <v>0</v>
      </c>
      <c r="I275" s="679">
        <f>E275*$BK$64</f>
        <v>0</v>
      </c>
      <c r="J275" s="680"/>
      <c r="K275" s="83"/>
      <c r="L275" s="691"/>
      <c r="M275" s="692"/>
      <c r="N275" s="51"/>
      <c r="O275" s="679">
        <f>SUM(IF($C$1="Residência",0,$C$58),IF($F$1="Residência",0,$F$58),IF($I$1="Residência",0,$I$58),IF($L$1="Residência",0,$L$58),IF($O$1="Residência",0,$O$58),IF($R$1="Residência",0,$R$58),IF($U$1="Residência",0,$U$58),IF($X$1="Residência",0,$X$58),IF($E$72="BIFÁSICA",$C$72,0))</f>
        <v>0</v>
      </c>
      <c r="P275" s="680"/>
      <c r="Q275" s="70">
        <f>IF($H$282=$DV$53,IF(AND(O255&lt;1,E255&lt;1,O275&gt;0,E275&lt;1),((O275-1)*$BM$64*0.5)+$BM$64,O275*0.5*$BM$64),O275*0.5*$BM$64)</f>
        <v>0</v>
      </c>
      <c r="R275" s="70">
        <f>IF(O275&gt;0,1,0)*$A$58</f>
        <v>0</v>
      </c>
      <c r="S275" s="679">
        <f>O275*$BK$64</f>
        <v>0</v>
      </c>
      <c r="T275" s="680"/>
      <c r="U275" s="689"/>
      <c r="V275" s="690"/>
      <c r="W275" s="679">
        <f>SUM(IF($C$1="Residência",$C$58,0),IF($F$1="Residência",$F$58,0),IF($I$1="Residência",$I$58,0),IF($L$1="Residência",$L$58,0),IF($O$1="Residência",$O$58,0),IF($R$1="Residência",$R$58,0),IF($U$1="Residência",$U$58,0),IF($X$1="Residência",$X$58,0))</f>
        <v>0</v>
      </c>
      <c r="X275" s="680"/>
      <c r="Y275" s="70">
        <f>IF($Z$282=$DV$53,IF(AND(W255&lt;1,AG255&lt;1,W275&gt;0),((W275-1)*$BM$64*0.5)+$BM$64,W275*0.5*$BM$64),W275*0.5*$BM$64)</f>
        <v>0</v>
      </c>
      <c r="Z275" s="70">
        <f>IF(W275&gt;0,1,0)*$A$58</f>
        <v>0</v>
      </c>
      <c r="AA275" s="679">
        <f>W275*$BK$64</f>
        <v>0</v>
      </c>
      <c r="AB275" s="680"/>
      <c r="AC275" s="83"/>
      <c r="AD275" s="691"/>
      <c r="AE275" s="692"/>
      <c r="AF275" s="51"/>
      <c r="AG275" s="679">
        <f>SUM(IF($C$1="Residência",0,$C$58),IF($F$1="Residência",0,$F$58),IF($I$1="Residência",0,$I$58),IF($L$1="Residência",0,$L$58),IF($O$1="Residência",0,$O$58),IF($R$1="Residência",0,$R$58),IF($U$1="Residência",0,$U$58),IF($X$1="Residência",0,$X$58))</f>
        <v>0</v>
      </c>
      <c r="AH275" s="680"/>
      <c r="AI275" s="70">
        <f>IF($H$282=$DV$53,IF(AND(AG255&lt;1,W255&lt;1,AG275&gt;0,W275&lt;1),((AG275-1)*$BM$64*0.5)+$BM$64,AG275*0.5*$BM$64),AG275*0.5*$BM$64)</f>
        <v>0</v>
      </c>
      <c r="AJ275" s="70">
        <f>IF(AG275&gt;0,1,0)*$A$58</f>
        <v>0</v>
      </c>
      <c r="AK275" s="679">
        <f>AG275*$BK$64</f>
        <v>0</v>
      </c>
      <c r="AL275" s="680"/>
      <c r="AT275" s="22">
        <v>2</v>
      </c>
      <c r="AU275" s="83">
        <f>$B$58</f>
        <v>0.73</v>
      </c>
      <c r="AV275" s="679">
        <f>SUM($O$58,$R$58)</f>
        <v>0</v>
      </c>
      <c r="AW275" s="680"/>
      <c r="AX275" s="51">
        <f>IF($AY$282=AT275,IF(AV255&lt;1,((AV275-1)*$BM$64*0.5)+$BM$64,AV275*0.5*$BM$64),AV275*0.5*$BM$64)</f>
        <v>0</v>
      </c>
      <c r="AY275" s="116">
        <f>IF(AV275&gt;0,1,0)*$A$58</f>
        <v>0</v>
      </c>
      <c r="AZ275" s="679">
        <f>AV275*$BK$64</f>
        <v>0</v>
      </c>
      <c r="BA275" s="680"/>
      <c r="BB275" s="83"/>
      <c r="BC275" s="691"/>
      <c r="BD275" s="692"/>
      <c r="BE275" s="83"/>
      <c r="BF275" s="691"/>
      <c r="BG275" s="692"/>
      <c r="BH275" s="83"/>
      <c r="BI275" s="691"/>
      <c r="BJ275" s="692"/>
      <c r="BK275" s="83"/>
      <c r="BL275" s="689"/>
      <c r="BM275" s="690"/>
      <c r="BN275" s="83"/>
      <c r="BO275" s="395"/>
      <c r="BP275" s="396"/>
      <c r="BQ275" s="83"/>
      <c r="BR275" s="691"/>
      <c r="BS275" s="692"/>
      <c r="BY275" s="116"/>
      <c r="BZ275" s="51"/>
      <c r="CB275"/>
      <c r="CC275"/>
      <c r="CD275"/>
      <c r="CG275"/>
      <c r="CK275" s="22">
        <v>2</v>
      </c>
      <c r="CL275" s="83">
        <f>$B$58</f>
        <v>0.73</v>
      </c>
      <c r="CM275" s="679">
        <f>SUM($U$58,$X$58)</f>
        <v>0</v>
      </c>
      <c r="CN275" s="680"/>
      <c r="CO275" s="51">
        <f>IF($CP$282=CK275,IF(CM255&lt;1,((CM275-1)*$BM$64*0.5)+$BM$64,CM275*0.5*$BM$64),CM275*0.5*$BM$64)</f>
        <v>0</v>
      </c>
      <c r="CP275" s="116">
        <f>IF(CM275&gt;0,1,0)*$A$58</f>
        <v>0</v>
      </c>
      <c r="CQ275" s="679">
        <f>CM275*$BK$64</f>
        <v>0</v>
      </c>
      <c r="CR275" s="680"/>
      <c r="CS275" s="83"/>
      <c r="CT275" s="691"/>
      <c r="CU275" s="692"/>
      <c r="CV275" s="83"/>
      <c r="CW275" s="691"/>
      <c r="CX275" s="692"/>
      <c r="CY275" s="83"/>
      <c r="CZ275" s="691"/>
      <c r="DA275" s="692"/>
      <c r="DB275" s="83"/>
      <c r="DC275" s="689"/>
      <c r="DD275" s="690"/>
      <c r="DE275" s="83"/>
      <c r="DF275" s="691"/>
      <c r="DG275" s="692"/>
      <c r="DH275" s="83"/>
      <c r="DI275" s="691"/>
      <c r="DJ275" s="692"/>
      <c r="DP275" s="116"/>
      <c r="DQ275" s="51"/>
      <c r="DR275"/>
      <c r="DS275"/>
      <c r="DT275"/>
      <c r="DV275"/>
      <c r="DW275"/>
      <c r="DX275"/>
      <c r="DY275"/>
    </row>
    <row r="276" spans="1:129" ht="13.5" thickBot="1" x14ac:dyDescent="0.25">
      <c r="B276"/>
      <c r="C276" s="22">
        <v>3</v>
      </c>
      <c r="D276" s="83">
        <f>$B$59</f>
        <v>0.79</v>
      </c>
      <c r="E276" s="679">
        <f>SUM(IF($C$1="Residência",$C$59,0),IF($F$1="Residência",$F$59,0),IF($I$1="Residência",$I$59,0),IF($L$1="Residência",$L$59,0),IF($O$1="Residência",$O$59,0),IF($R$1="Residência",$R$59,0),IF($U$1="Residência",$U$59,0),IF($X$1="Residência",$X$59,0))</f>
        <v>0</v>
      </c>
      <c r="F276" s="680"/>
      <c r="G276" s="70">
        <f>IF($H$282=$DV$54,IF(AND(E256&lt;1,O256&lt;1,E276&gt;0),((E276-1)*$BM$65*0.5)+$BM$65,E276*0.5*$BM$65),E276*0.5*$BM$65)</f>
        <v>0</v>
      </c>
      <c r="H276" s="70">
        <f>IF(E276&gt;0,1,0)*$A$59</f>
        <v>0</v>
      </c>
      <c r="I276" s="679">
        <f>E276*$BK$65</f>
        <v>0</v>
      </c>
      <c r="J276" s="680"/>
      <c r="K276" s="83"/>
      <c r="L276" s="691"/>
      <c r="M276" s="692"/>
      <c r="N276" s="51"/>
      <c r="O276" s="679">
        <f>SUM(IF($C$1="Residência",0,$C$59),IF($F$1="Residência",0,$F$59),IF($I$1="Residência",0,$I$59),IF($L$1="Residência",0,$L$59),IF($O$1="Residência",0,$O$59),IF($R$1="Residência",0,$R$59),IF($U$1="Residência",0,$U$59),IF($X$1="Residência",0,$X$59),IF($E$73="BIFÁSICA",$C$73,0))</f>
        <v>0</v>
      </c>
      <c r="P276" s="680"/>
      <c r="Q276" s="70">
        <f>IF($H$282=$DV$54,IF(AND(O256&lt;1,E256&lt;1,O276&gt;0,E276&lt;1),((O276-1)*$BM$65*0.5)+$BM$65,O276*0.5*$BM$65),O276*0.5*$BM$65)</f>
        <v>0</v>
      </c>
      <c r="R276" s="70">
        <f>IF(O276&gt;0,1,0)*$A$59</f>
        <v>0</v>
      </c>
      <c r="S276" s="679">
        <f>O276*$BK$65</f>
        <v>0</v>
      </c>
      <c r="T276" s="680"/>
      <c r="U276" s="689"/>
      <c r="V276" s="690"/>
      <c r="W276" s="679">
        <f>SUM(IF($C$1="Residência",$C$59,0),IF($F$1="Residência",$F$59,0),IF($I$1="Residência",$I$59,0),IF($L$1="Residência",$L$59,0),IF($O$1="Residência",$O$59,0),IF($R$1="Residência",$R$59,0),IF($U$1="Residência",$U$59,0),IF($X$1="Residência",$X$59,0))</f>
        <v>0</v>
      </c>
      <c r="X276" s="680"/>
      <c r="Y276" s="70">
        <f>IF($Z$282=$DV$54,IF(AND(W256&lt;1,AG256&lt;1,W276&gt;0),((W276-1)*$BM$65*0.5)+$BM$65,W276*0.5*$BM$65),W276*0.5*$BM$65)</f>
        <v>0</v>
      </c>
      <c r="Z276" s="70">
        <f>IF(W276&gt;0,1,0)*$A$59</f>
        <v>0</v>
      </c>
      <c r="AA276" s="679">
        <f>W276*$BK$65</f>
        <v>0</v>
      </c>
      <c r="AB276" s="680"/>
      <c r="AC276" s="83"/>
      <c r="AD276" s="691"/>
      <c r="AE276" s="692"/>
      <c r="AF276" s="51"/>
      <c r="AG276" s="679">
        <f>SUM(IF($C$1="Residência",0,$C$59),IF($F$1="Residência",0,$F$59),IF($I$1="Residência",0,$I$59),IF($L$1="Residência",0,$L$59),IF($O$1="Residência",0,$O$59),IF($R$1="Residência",0,$R$59),IF($U$1="Residência",0,$U$59),IF($X$1="Residência",0,$X$59))</f>
        <v>0</v>
      </c>
      <c r="AH276" s="680"/>
      <c r="AI276" s="70">
        <f>IF($H$282=$DV$54,IF(AND(AG256&lt;1,W256&lt;1,AG276&gt;0,W276&lt;1),((AG276-1)*$BM$65*0.5)+$BM$65,AG276*0.5*$BM$65),AG276*0.5*$BM$65)</f>
        <v>0</v>
      </c>
      <c r="AJ276" s="70">
        <f>IF(AG276&gt;0,1,0)*$A$59</f>
        <v>0</v>
      </c>
      <c r="AK276" s="679">
        <f>AG276*$BK$65</f>
        <v>0</v>
      </c>
      <c r="AL276" s="680"/>
      <c r="AT276" s="22">
        <v>3</v>
      </c>
      <c r="AU276" s="83">
        <f>$B$59</f>
        <v>0.79</v>
      </c>
      <c r="AV276" s="679">
        <f>SUM($O$59,$R$59)</f>
        <v>0</v>
      </c>
      <c r="AW276" s="680"/>
      <c r="AX276" s="51">
        <f>IF($AY$282=AT276,IF(AV256&lt;1,((AV276-1)*$BM$65*0.5)+$BM$65,AV276*0.5*$BM$65),AV276*0.5*$BM$65)</f>
        <v>0</v>
      </c>
      <c r="AY276" s="116">
        <f>IF(AV276&gt;0,1,0)*$A$59</f>
        <v>0</v>
      </c>
      <c r="AZ276" s="679">
        <f>AV276*$BK$65</f>
        <v>0</v>
      </c>
      <c r="BA276" s="680"/>
      <c r="BB276" s="83"/>
      <c r="BC276" s="691"/>
      <c r="BD276" s="692"/>
      <c r="BE276" s="83"/>
      <c r="BF276" s="691"/>
      <c r="BG276" s="692"/>
      <c r="BH276" s="83"/>
      <c r="BI276" s="691"/>
      <c r="BJ276" s="692"/>
      <c r="BK276" s="83"/>
      <c r="BL276" s="689"/>
      <c r="BM276" s="690"/>
      <c r="BN276" s="83"/>
      <c r="BO276" s="395"/>
      <c r="BP276" s="396"/>
      <c r="BQ276" s="83"/>
      <c r="BR276" s="691"/>
      <c r="BS276" s="692"/>
      <c r="BY276" s="116"/>
      <c r="BZ276" s="51"/>
      <c r="CB276"/>
      <c r="CC276"/>
      <c r="CD276"/>
      <c r="CG276"/>
      <c r="CK276" s="22">
        <v>3</v>
      </c>
      <c r="CL276" s="83">
        <f>$B$59</f>
        <v>0.79</v>
      </c>
      <c r="CM276" s="679">
        <f>SUM($U$59,$X$59)</f>
        <v>0</v>
      </c>
      <c r="CN276" s="680"/>
      <c r="CO276" s="51">
        <f>IF($CP$282=CK276,IF(CM256&lt;1,((CM276-1)*$BM$65*0.5)+$BM$65,CM276*0.5*$BM$65),CM276*0.5*$BM$65)</f>
        <v>0</v>
      </c>
      <c r="CP276" s="116">
        <f>IF(CM276&gt;0,1,0)*$A$59</f>
        <v>0</v>
      </c>
      <c r="CQ276" s="679">
        <f>CM276*$BK$65</f>
        <v>0</v>
      </c>
      <c r="CR276" s="680"/>
      <c r="CS276" s="83"/>
      <c r="CT276" s="691"/>
      <c r="CU276" s="692"/>
      <c r="CV276" s="83"/>
      <c r="CW276" s="691"/>
      <c r="CX276" s="692"/>
      <c r="CY276" s="83"/>
      <c r="CZ276" s="691"/>
      <c r="DA276" s="692"/>
      <c r="DB276" s="83"/>
      <c r="DC276" s="689"/>
      <c r="DD276" s="690"/>
      <c r="DE276" s="83"/>
      <c r="DF276" s="691"/>
      <c r="DG276" s="692"/>
      <c r="DH276" s="83"/>
      <c r="DI276" s="691"/>
      <c r="DJ276" s="692"/>
      <c r="DP276" s="116"/>
      <c r="DQ276" s="51"/>
      <c r="DR276"/>
      <c r="DS276"/>
      <c r="DT276"/>
      <c r="DV276"/>
      <c r="DW276"/>
      <c r="DX276"/>
      <c r="DY276"/>
    </row>
    <row r="277" spans="1:129" ht="13.5" thickBot="1" x14ac:dyDescent="0.25">
      <c r="B277"/>
      <c r="C277" s="22">
        <v>5</v>
      </c>
      <c r="D277" s="83">
        <f>$B$60</f>
        <v>0.83</v>
      </c>
      <c r="E277" s="679">
        <f>SUM(IF($C$1="Residência",$C$60,0),IF($F$1="Residência",$F$60,0),IF($I$1="Residência",$I$60,0),IF($L$1="Residência",$L$60,0),IF($O$1="Residência",$O$60,0),IF($R$1="Residência",$R$60,0),IF($U$1="Residência",$U$60,0),IF($X$1="Residência",$X$60,0))</f>
        <v>0</v>
      </c>
      <c r="F277" s="680"/>
      <c r="G277" s="70">
        <f>IF($H$282=$DV$55,IF(AND(E258&lt;1,O258&lt;1,E277&gt;0),((E277-1)*$BM$66*0.5)+$BM$66,E277*0.5*$BM$66),E277*0.5*$BM$66)</f>
        <v>0</v>
      </c>
      <c r="H277" s="70">
        <f>IF(E277&gt;0,1,0)*$A$60</f>
        <v>0</v>
      </c>
      <c r="I277" s="679">
        <f>E277*$BK$66</f>
        <v>0</v>
      </c>
      <c r="J277" s="680"/>
      <c r="K277" s="83"/>
      <c r="L277" s="691"/>
      <c r="M277" s="692"/>
      <c r="N277" s="51"/>
      <c r="O277" s="679">
        <f>SUM(IF($C$1="Residência",0,$C$60),IF($F$1="Residência",0,$F$60),IF($I$1="Residência",0,$I$60),IF($L$1="Residência",0,$L$60),IF($O$1="Residência",0,$O$60),IF($R$1="Residência",0,$R$60),IF($U$1="Residência",0,$U$60),IF($X$1="Residência",0,$X$60),IF($E$74="BIFÁSICA",$C$74,0))</f>
        <v>0</v>
      </c>
      <c r="P277" s="680"/>
      <c r="Q277" s="70">
        <f>IF($H$282=$DV$55,IF(AND(O258&lt;1,E258&lt;1,O277&gt;0,E277&lt;1),((O277-1)*$BM$66*0.5)+$BM$66,O277*0.5*$BM$66),O277*0.5*$BM$66)</f>
        <v>0</v>
      </c>
      <c r="R277" s="70">
        <f>IF(O277&gt;0,1,0)*$A$60</f>
        <v>0</v>
      </c>
      <c r="S277" s="679">
        <f>O277*$BK$66</f>
        <v>0</v>
      </c>
      <c r="T277" s="680"/>
      <c r="U277" s="689"/>
      <c r="V277" s="690"/>
      <c r="W277" s="679">
        <f>SUM(IF($C$1="Residência",$C$60,0),IF($F$1="Residência",$F$60,0),IF($I$1="Residência",$I$60,0),IF($L$1="Residência",$L$60,0),IF($O$1="Residência",$O$60,0),IF($R$1="Residência",$R$60,0),IF($U$1="Residência",$U$60,0),IF($X$1="Residência",$X$60,0))</f>
        <v>0</v>
      </c>
      <c r="X277" s="680"/>
      <c r="Y277" s="70">
        <f>IF($Z$282=$DV$55,IF(AND(W258&lt;1,AG258&lt;1,W277&gt;0),((W277-1)*$BM$66*0.5)+$BM$66,W277*0.5*$BM$66),W277*0.5*$BM$66)</f>
        <v>0</v>
      </c>
      <c r="Z277" s="70">
        <f>IF(W277&gt;0,1,0)*$A$60</f>
        <v>0</v>
      </c>
      <c r="AA277" s="679">
        <f>W277*$BK$66</f>
        <v>0</v>
      </c>
      <c r="AB277" s="680"/>
      <c r="AC277" s="83"/>
      <c r="AD277" s="691"/>
      <c r="AE277" s="692"/>
      <c r="AF277" s="51"/>
      <c r="AG277" s="679">
        <f>SUM(IF($C$1="Residência",0,$C$60),IF($F$1="Residência",0,$F$60),IF($I$1="Residência",0,$I$60),IF($L$1="Residência",0,$L$60),IF($O$1="Residência",0,$O$60),IF($R$1="Residência",0,$R$60),IF($U$1="Residência",0,$U$60),IF($X$1="Residência",0,$X$60))</f>
        <v>0</v>
      </c>
      <c r="AH277" s="680"/>
      <c r="AI277" s="70">
        <f>IF($H$282=$DV$55,IF(AND(AG258&lt;1,W258&lt;1,AG277&gt;0,W277&lt;1),((AG277-1)*$BM$66*0.5)+$BM$66,AG277*0.5*$BM$66),AG277*0.5*$BM$66)</f>
        <v>0</v>
      </c>
      <c r="AJ277" s="70">
        <f>IF(AG277&gt;0,1,0)*$A$60</f>
        <v>0</v>
      </c>
      <c r="AK277" s="679">
        <f>AG277*$BK$66</f>
        <v>0</v>
      </c>
      <c r="AL277" s="680"/>
      <c r="AT277" s="22">
        <v>5</v>
      </c>
      <c r="AU277" s="83">
        <f>$B$60</f>
        <v>0.83</v>
      </c>
      <c r="AV277" s="679">
        <f>SUM($O$60,$R$60)</f>
        <v>0</v>
      </c>
      <c r="AW277" s="680"/>
      <c r="AX277" s="51">
        <f>IF($AY$282=AT277,IF(AV258&lt;1,((AV277-1)*$BM$66*0.5)+$BM$66,AV277*0.5*$BM$66),AV277*0.5*$BM$66)</f>
        <v>0</v>
      </c>
      <c r="AY277" s="116">
        <f>IF(AV277&gt;0,1,0)*$A$60</f>
        <v>0</v>
      </c>
      <c r="AZ277" s="679">
        <f>AV277*$BK$66</f>
        <v>0</v>
      </c>
      <c r="BA277" s="680"/>
      <c r="BB277" s="83"/>
      <c r="BC277" s="691"/>
      <c r="BD277" s="692"/>
      <c r="BE277" s="83"/>
      <c r="BF277" s="691"/>
      <c r="BG277" s="692"/>
      <c r="BH277" s="83"/>
      <c r="BI277" s="691"/>
      <c r="BJ277" s="692"/>
      <c r="BK277" s="83"/>
      <c r="BL277" s="689"/>
      <c r="BM277" s="690"/>
      <c r="BN277" s="83"/>
      <c r="BO277" s="395"/>
      <c r="BP277" s="396"/>
      <c r="BQ277" s="83"/>
      <c r="BR277" s="691"/>
      <c r="BS277" s="692"/>
      <c r="BY277" s="116"/>
      <c r="BZ277" s="51"/>
      <c r="CB277"/>
      <c r="CC277"/>
      <c r="CD277"/>
      <c r="CG277"/>
      <c r="CK277" s="22">
        <v>5</v>
      </c>
      <c r="CL277" s="83">
        <f>$B$60</f>
        <v>0.83</v>
      </c>
      <c r="CM277" s="679">
        <f>SUM($U$60,$X$60)</f>
        <v>0</v>
      </c>
      <c r="CN277" s="680"/>
      <c r="CO277" s="51">
        <f>IF($CP$282=CK277,IF(CM258&lt;1,((CM277-1)*$BM$66*0.5)+$BM$66,CM277*0.5*$BM$66),CM277*0.5*$BM$66)</f>
        <v>0</v>
      </c>
      <c r="CP277" s="116">
        <f>IF(CM277&gt;0,1,0)*$A$60</f>
        <v>0</v>
      </c>
      <c r="CQ277" s="679">
        <f>CM277*$BK$66</f>
        <v>0</v>
      </c>
      <c r="CR277" s="680"/>
      <c r="CS277" s="83"/>
      <c r="CT277" s="691"/>
      <c r="CU277" s="692"/>
      <c r="CV277" s="83"/>
      <c r="CW277" s="691"/>
      <c r="CX277" s="692"/>
      <c r="CY277" s="83"/>
      <c r="CZ277" s="691"/>
      <c r="DA277" s="692"/>
      <c r="DB277" s="83"/>
      <c r="DC277" s="689"/>
      <c r="DD277" s="690"/>
      <c r="DE277" s="83"/>
      <c r="DF277" s="691"/>
      <c r="DG277" s="692"/>
      <c r="DH277" s="83"/>
      <c r="DI277" s="691"/>
      <c r="DJ277" s="692"/>
      <c r="DP277" s="116"/>
      <c r="DQ277" s="51"/>
      <c r="DR277"/>
      <c r="DS277"/>
      <c r="DT277"/>
      <c r="DV277"/>
      <c r="DW277"/>
      <c r="DX277"/>
      <c r="DY277"/>
    </row>
    <row r="278" spans="1:129" ht="13.5" thickBot="1" x14ac:dyDescent="0.25">
      <c r="A278" s="51"/>
      <c r="B278"/>
      <c r="C278" s="22">
        <v>7.5</v>
      </c>
      <c r="D278" s="83">
        <f>$B$61</f>
        <v>0.8</v>
      </c>
      <c r="E278" s="679">
        <f>SUM(IF($C$1="Residência",$C$61,0),IF($F$1="Residência",$F$61,0),IF($I$1="Residência",$I$61,0),IF($L$1="Residência",$L$61,0),IF($O$1="Residência",$O$61,0),IF($R$1="Residência",$R$61,0),IF($U$1="Residência",$U$61,0),IF($X$1="Residência",$X$61,0))</f>
        <v>0</v>
      </c>
      <c r="F278" s="680"/>
      <c r="G278" s="70">
        <f>IF($H$282=$DV$56,IF(AND(E259&lt;1,O259&lt;1,E278&gt;0),((E278-1)*$BM$67*0.5)+$BM$67,E278*0.5*$BM$67),E278*0.5*$BM$67)</f>
        <v>0</v>
      </c>
      <c r="H278" s="70">
        <f>IF(E278&gt;0,1,0)*$A$61</f>
        <v>0</v>
      </c>
      <c r="I278" s="679">
        <f>E278*$BK$67</f>
        <v>0</v>
      </c>
      <c r="J278" s="680"/>
      <c r="K278" s="83"/>
      <c r="L278" s="691"/>
      <c r="M278" s="692"/>
      <c r="N278" s="51"/>
      <c r="O278" s="679">
        <f>SUM(IF($C$1="Residência",0,$C$61),IF($F$1="Residência",0,$F$61),IF($I$1="Residência",0,$I$61),IF($L$1="Residência",0,$L$61),IF($O$1="Residência",0,$O$61),IF($R$1="Residência",0,$R$61),IF($U$1="Residência",0,$U$61),IF($X$1="Residência",0,$X$61))</f>
        <v>0</v>
      </c>
      <c r="P278" s="680"/>
      <c r="Q278" s="70">
        <f>IF($H$282=$DV$56,IF(AND(O259&lt;1,E259&lt;1,O278&gt;0,E278&lt;1),((O278-1)*$BM$67*0.5)+$BM$67,O278*0.5*$BM$67),O278*0.5*$BM$67)</f>
        <v>0</v>
      </c>
      <c r="R278" s="70">
        <f>IF(O278&gt;0,1,0)*$A$61</f>
        <v>0</v>
      </c>
      <c r="S278" s="679">
        <f>O278*$BK$67</f>
        <v>0</v>
      </c>
      <c r="T278" s="680"/>
      <c r="U278" s="689"/>
      <c r="V278" s="690"/>
      <c r="W278" s="679">
        <f>SUM(IF($C$1="Residência",$C$61,0),IF($F$1="Residência",$F$61,0),IF($I$1="Residência",$I$61,0),IF($L$1="Residência",$L$61,0),IF($O$1="Residência",$O$61,0),IF($R$1="Residência",$R$61,0),IF($U$1="Residência",$U$61,0),IF($X$1="Residência",$X$61,0))</f>
        <v>0</v>
      </c>
      <c r="X278" s="680"/>
      <c r="Y278" s="70">
        <f>IF($Z$282=$DV$56,IF(AND(W259&lt;1,AG259&lt;1,W278&gt;0),((W278-1)*$BM$67*0.5)+$BM$67,W278*0.5*$BM$67),W278*0.5*$BM$67)</f>
        <v>0</v>
      </c>
      <c r="Z278" s="70">
        <f>IF(W278&gt;0,1,0)*$A$61</f>
        <v>0</v>
      </c>
      <c r="AA278" s="679">
        <f>W278*$BK$67</f>
        <v>0</v>
      </c>
      <c r="AB278" s="680"/>
      <c r="AC278" s="83"/>
      <c r="AD278" s="691"/>
      <c r="AE278" s="692"/>
      <c r="AF278" s="51"/>
      <c r="AG278" s="679">
        <f>SUM(IF($C$1="Residência",0,$C$61),IF($F$1="Residência",0,$F$61),IF($I$1="Residência",0,$I$61),IF($L$1="Residência",0,$L$61),IF($O$1="Residência",0,$O$61),IF($R$1="Residência",0,$R$61),IF($U$1="Residência",0,$U$61),IF($X$1="Residência",0,$X$61))</f>
        <v>0</v>
      </c>
      <c r="AH278" s="680"/>
      <c r="AI278" s="70">
        <f>IF($H$282=$DV$56,IF(AND(AG259&lt;1,W259&lt;1,AG278&gt;0,W278&lt;1),((AG278-1)*$BM$67*0.5)+$BM$67,AG278*0.5*$BM$67),AG278*0.5*$BM$67)</f>
        <v>0</v>
      </c>
      <c r="AJ278" s="70">
        <f>IF(AG278&gt;0,1,0)*$A$61</f>
        <v>0</v>
      </c>
      <c r="AK278" s="679">
        <f>AG278*$BK$67</f>
        <v>0</v>
      </c>
      <c r="AL278" s="680"/>
      <c r="AR278" s="51"/>
      <c r="AT278" s="22">
        <v>7.5</v>
      </c>
      <c r="AU278" s="83">
        <f>$B$61</f>
        <v>0.8</v>
      </c>
      <c r="AV278" s="679">
        <f>SUM($O$61,$R$61)</f>
        <v>0</v>
      </c>
      <c r="AW278" s="680"/>
      <c r="AX278" s="51">
        <f>IF($AY$282=AT278,IF(AV259&lt;1,((AV278-1)*$BM$67*0.5)+$BM$67,AV278*0.5*$BM$67),0)</f>
        <v>0</v>
      </c>
      <c r="AY278" s="116">
        <f>IF(AV278&gt;0,1,0)*$A$61</f>
        <v>0</v>
      </c>
      <c r="AZ278" s="679">
        <f>AV278*$BK$67</f>
        <v>0</v>
      </c>
      <c r="BA278" s="680"/>
      <c r="BB278" s="83"/>
      <c r="BC278" s="691"/>
      <c r="BD278" s="692"/>
      <c r="BE278" s="83"/>
      <c r="BF278" s="691"/>
      <c r="BG278" s="692"/>
      <c r="BH278" s="83"/>
      <c r="BI278" s="691"/>
      <c r="BJ278" s="692"/>
      <c r="BK278" s="83"/>
      <c r="BL278" s="689"/>
      <c r="BM278" s="690"/>
      <c r="BN278" s="83"/>
      <c r="BO278" s="395"/>
      <c r="BP278" s="396"/>
      <c r="BQ278" s="83"/>
      <c r="BR278" s="691"/>
      <c r="BS278" s="692"/>
      <c r="BU278" s="20"/>
      <c r="BV278" s="20"/>
      <c r="BW278" s="72"/>
      <c r="BX278" s="72"/>
      <c r="CB278"/>
      <c r="CC278"/>
      <c r="CD278"/>
      <c r="CG278"/>
      <c r="CI278" s="51"/>
      <c r="CK278" s="22">
        <v>7.5</v>
      </c>
      <c r="CL278" s="83">
        <f>$B$61</f>
        <v>0.8</v>
      </c>
      <c r="CM278" s="679">
        <f>SUM($U$61,$X$61)</f>
        <v>0</v>
      </c>
      <c r="CN278" s="680"/>
      <c r="CO278" s="51">
        <f>IF($CP$282=CK278,IF(CM259&lt;1,((CM278-1)*$BM$67*0.5)+$BM$67,CM278*0.5*$BM$67),CM278*0.5*$BM$67)</f>
        <v>0</v>
      </c>
      <c r="CP278" s="116">
        <f>IF(CM278&gt;0,1,0)*$A$61</f>
        <v>0</v>
      </c>
      <c r="CQ278" s="679">
        <f>CM278*$BK$67</f>
        <v>0</v>
      </c>
      <c r="CR278" s="680"/>
      <c r="CS278" s="83"/>
      <c r="CT278" s="691"/>
      <c r="CU278" s="692"/>
      <c r="CV278" s="83"/>
      <c r="CW278" s="691"/>
      <c r="CX278" s="692"/>
      <c r="CY278" s="83"/>
      <c r="CZ278" s="691"/>
      <c r="DA278" s="692"/>
      <c r="DB278" s="83"/>
      <c r="DC278" s="689"/>
      <c r="DD278" s="690"/>
      <c r="DE278" s="83"/>
      <c r="DF278" s="691"/>
      <c r="DG278" s="692"/>
      <c r="DH278" s="83"/>
      <c r="DI278" s="691"/>
      <c r="DJ278" s="692"/>
      <c r="DL278" s="20"/>
      <c r="DM278" s="20"/>
      <c r="DN278" s="72"/>
      <c r="DO278" s="72"/>
      <c r="DP278"/>
      <c r="DQ278"/>
      <c r="DR278"/>
      <c r="DS278"/>
      <c r="DT278"/>
      <c r="DV278"/>
      <c r="DW278"/>
      <c r="DX278"/>
      <c r="DY278"/>
    </row>
    <row r="279" spans="1:129" ht="13.5" thickBot="1" x14ac:dyDescent="0.25">
      <c r="B279"/>
      <c r="C279" s="22">
        <v>10</v>
      </c>
      <c r="D279" s="83">
        <f>$B$62</f>
        <v>0.8</v>
      </c>
      <c r="E279" s="679">
        <f>SUM(IF($C$1="Residência",$C$62,0),IF($F$1="Residência",$F$62,0),IF($I$1="Residência",$I$62,0),IF($L$1="Residência",$L$62,0),IF($O$1="Residência",$O$62,0),IF($R$1="Residência",$R$62,0),IF($U$1="Residência",$U$62,0),IF($X$1="Residência",$X$62,0))</f>
        <v>0</v>
      </c>
      <c r="F279" s="680"/>
      <c r="G279" s="70">
        <f>IF($H$282=$DV$57,IF(AND(E261&lt;1,O261&lt;1,E279&gt;0),((E279-1)*$BM$68*0.5)+$BM$68,E279*0.5*$BM$68),E279*0.5*$BM$68)</f>
        <v>0</v>
      </c>
      <c r="H279" s="70">
        <f>IF(E279&gt;0,1,0)*$A$62</f>
        <v>0</v>
      </c>
      <c r="I279" s="679">
        <f>E279*$BK$68</f>
        <v>0</v>
      </c>
      <c r="J279" s="680"/>
      <c r="K279" s="83"/>
      <c r="L279" s="691"/>
      <c r="M279" s="692"/>
      <c r="N279" s="51"/>
      <c r="O279" s="679">
        <f>SUM(IF($C$1="Residência",0,$C$62),IF($F$1="Residência",0,$F$62),IF($I$1="Residência",0,$I$62),IF($L$1="Residência",0,$L$62),IF($O$1="Residência",0,$O$62),IF($R$1="Residência",0,$R$62),IF($U$1="Residência",0,$U$62),IF($X$1="Residência",0,$X$62))</f>
        <v>0</v>
      </c>
      <c r="P279" s="680"/>
      <c r="Q279" s="70">
        <f>IF($H$282=$DV$57,IF(AND(O261&lt;1,E261&lt;1,O279&gt;0,E279&lt;1),((O279-1)*$BM$68*0.5)+$BM$68,O279*0.5*$BM$68),O279*0.5*$BM$68)</f>
        <v>0</v>
      </c>
      <c r="R279" s="70">
        <f>IF(O279&gt;0,1,0)*$A$62</f>
        <v>0</v>
      </c>
      <c r="S279" s="679">
        <f>O279*$BK$68</f>
        <v>0</v>
      </c>
      <c r="T279" s="680"/>
      <c r="U279" s="689"/>
      <c r="V279" s="690"/>
      <c r="W279" s="679">
        <f>SUM(IF($C$1="Residência",$C$62,0),IF($F$1="Residência",$F$62,0),IF($I$1="Residência",$I$62,0),IF($L$1="Residência",$L$62,0),IF($O$1="Residência",$O$62,0),IF($R$1="Residência",$R$62,0),IF($U$1="Residência",$U$62,0),IF($X$1="Residência",$X$62,0))</f>
        <v>0</v>
      </c>
      <c r="X279" s="680"/>
      <c r="Y279" s="70">
        <f>IF($Z$282=$DV$57,IF(AND(W261&lt;1,AG261&lt;1,W279&gt;0),((W279-1)*$BM$68*0.5)+$BM$68,W279*0.5*$BM$68),W279*0.5*$BM$68)</f>
        <v>0</v>
      </c>
      <c r="Z279" s="70">
        <f>IF(W279&gt;0,1,0)*$A$62</f>
        <v>0</v>
      </c>
      <c r="AA279" s="679">
        <f>W279*$BK$68</f>
        <v>0</v>
      </c>
      <c r="AB279" s="680"/>
      <c r="AC279" s="83"/>
      <c r="AD279" s="691"/>
      <c r="AE279" s="692"/>
      <c r="AF279" s="51"/>
      <c r="AG279" s="679">
        <f>SUM(IF($C$1="Residência",0,$C$62),IF($F$1="Residência",0,$F$62),IF($I$1="Residência",0,$I$62),IF($L$1="Residência",0,$L$62),IF($O$1="Residência",0,$O$62),IF($R$1="Residência",0,$R$62),IF($U$1="Residência",0,$U$62),IF($X$1="Residência",0,$X$62))</f>
        <v>0</v>
      </c>
      <c r="AH279" s="680"/>
      <c r="AI279" s="70">
        <f>IF($H$282=$DV$57,IF(AND(AG261&lt;1,W261&lt;1,AG279&gt;0,W279&lt;1),((AG279-1)*$BM$68*0.5)+$BM$68,AG279*0.5*$BM$68),AG279*0.5*$BM$68)</f>
        <v>0</v>
      </c>
      <c r="AJ279" s="70">
        <f>IF(AG279&gt;0,1,0)*$A$62</f>
        <v>0</v>
      </c>
      <c r="AK279" s="679">
        <f>AG279*$BK$68</f>
        <v>0</v>
      </c>
      <c r="AL279" s="680"/>
      <c r="AT279" s="22">
        <v>10</v>
      </c>
      <c r="AU279" s="83">
        <f>$B$62</f>
        <v>0.8</v>
      </c>
      <c r="AV279" s="679">
        <f>SUM($O$62,$R$62)</f>
        <v>0</v>
      </c>
      <c r="AW279" s="680"/>
      <c r="AX279" s="51">
        <f>IF($AY$282=AT279,IF(AV261&lt;1,((AV279-1)*$BM$68*0.5)+$BM$68,AV279*0.5*$BM$68),0)</f>
        <v>0</v>
      </c>
      <c r="AY279" s="116">
        <f>IF(AV279&gt;0,1,0)*$A$62</f>
        <v>0</v>
      </c>
      <c r="AZ279" s="679">
        <f>AV279*$BK$68</f>
        <v>0</v>
      </c>
      <c r="BA279" s="680"/>
      <c r="BB279" s="83"/>
      <c r="BC279" s="691"/>
      <c r="BD279" s="692"/>
      <c r="BE279" s="83"/>
      <c r="BF279" s="691"/>
      <c r="BG279" s="692"/>
      <c r="BH279" s="83"/>
      <c r="BI279" s="691"/>
      <c r="BJ279" s="692"/>
      <c r="BK279" s="83"/>
      <c r="BL279" s="689"/>
      <c r="BM279" s="690"/>
      <c r="BN279" s="83"/>
      <c r="BO279" s="395"/>
      <c r="BP279" s="396"/>
      <c r="BQ279" s="83"/>
      <c r="BR279" s="691"/>
      <c r="BS279" s="692"/>
      <c r="BU279" s="696"/>
      <c r="BV279" s="696"/>
      <c r="BW279" s="696"/>
      <c r="BX279" s="696"/>
      <c r="BY279" s="51"/>
      <c r="BZ279" s="20"/>
      <c r="CB279"/>
      <c r="CC279"/>
      <c r="CD279"/>
      <c r="CG279"/>
      <c r="CK279" s="22">
        <v>10</v>
      </c>
      <c r="CL279" s="83">
        <f>$B$62</f>
        <v>0.8</v>
      </c>
      <c r="CM279" s="679">
        <f>SUM($U$62,$X$62)</f>
        <v>0</v>
      </c>
      <c r="CN279" s="680"/>
      <c r="CO279" s="51">
        <f>IF($CP$282=CK279,IF(CM261&lt;1,((CM279-1)*$BM$68*0.5)+$BM$68,CM279*0.5*$BM$68),0)</f>
        <v>0</v>
      </c>
      <c r="CP279" s="116">
        <f>IF(CM279&gt;0,1,0)*$A$62</f>
        <v>0</v>
      </c>
      <c r="CQ279" s="679">
        <f>CM279*$BK$68</f>
        <v>0</v>
      </c>
      <c r="CR279" s="680"/>
      <c r="CS279" s="83"/>
      <c r="CT279" s="691"/>
      <c r="CU279" s="692"/>
      <c r="CV279" s="83"/>
      <c r="CW279" s="691"/>
      <c r="CX279" s="692"/>
      <c r="CY279" s="83"/>
      <c r="CZ279" s="691"/>
      <c r="DA279" s="692"/>
      <c r="DB279" s="83"/>
      <c r="DC279" s="689"/>
      <c r="DD279" s="690"/>
      <c r="DE279" s="83"/>
      <c r="DF279" s="691"/>
      <c r="DG279" s="692"/>
      <c r="DH279" s="83"/>
      <c r="DI279" s="691"/>
      <c r="DJ279" s="692"/>
      <c r="DL279" s="696"/>
      <c r="DM279" s="696"/>
      <c r="DN279" s="696"/>
      <c r="DO279" s="696"/>
      <c r="DP279" s="51"/>
      <c r="DQ279" s="20"/>
      <c r="DR279"/>
      <c r="DS279"/>
      <c r="DT279"/>
      <c r="DV279"/>
      <c r="DW279"/>
      <c r="DX279"/>
      <c r="DY279"/>
    </row>
    <row r="280" spans="1:129" ht="13.5" thickBot="1" x14ac:dyDescent="0.25">
      <c r="B280"/>
      <c r="C280" s="22">
        <v>12.5</v>
      </c>
      <c r="D280" s="83">
        <f>$B$63</f>
        <v>0.78</v>
      </c>
      <c r="E280" s="679">
        <f>SUM(IF($C$1="Residência",$C$63,0),IF($F$1="Residência",$F$63,0),IF($I$1="Residência",$I$63,0),IF($L$1="Residência",$L$63,0),IF($O$1="Residência",$O$63,0),IF($R$1="Residência",$R$63,0),IF($U$1="Residência",$U$63,0),IF($X$1="Residência",$X$63,0))</f>
        <v>0</v>
      </c>
      <c r="F280" s="680"/>
      <c r="G280" s="70">
        <f>IF($H$282=$DV$58,IF(AND(E262&lt;1,O262&lt;1,E280&gt;0),((E280-1)*$BM$69*0.5)+$BM$69,E280*0.5*$BM$69),E280*0.5*$BM$69)</f>
        <v>0</v>
      </c>
      <c r="H280" s="70">
        <f>IF(E280&gt;0,1,0)*$A$63</f>
        <v>0</v>
      </c>
      <c r="I280" s="679">
        <f>E280*$BK$69</f>
        <v>0</v>
      </c>
      <c r="J280" s="680"/>
      <c r="K280" s="83"/>
      <c r="L280" s="691"/>
      <c r="M280" s="692"/>
      <c r="N280" s="51"/>
      <c r="O280" s="679">
        <f>SUM(IF($C$1="Residência",0,$C$63),IF($F$1="Residência",0,$F$63),IF($I$1="Residência",0,$I$63),IF($L$1="Residência",0,$L$63),IF($O$1="Residência",0,$O$63),IF($R$1="Residência",0,$R$63),IF($U$1="Residência",0,$U$63),IF($X$1="Residência",0,$X$63))</f>
        <v>0</v>
      </c>
      <c r="P280" s="680"/>
      <c r="Q280" s="70">
        <f>IF($H$282=$DV$58,IF(AND(O262&lt;1,E262&lt;1,O280&gt;0,E280&lt;1),((O280-1)*$BM$69*0.5)+$BM$69,O280*0.5*$BM$69),O280*0.5*$BM$69)</f>
        <v>0</v>
      </c>
      <c r="R280" s="70">
        <f>IF(O280&gt;0,1,0)*$A$63</f>
        <v>0</v>
      </c>
      <c r="S280" s="679">
        <f>O280*$BK$69</f>
        <v>0</v>
      </c>
      <c r="T280" s="680"/>
      <c r="U280" s="689"/>
      <c r="V280" s="690"/>
      <c r="W280" s="679">
        <f>SUM(IF($C$1="Residência",$C$63,0),IF($F$1="Residência",$F$63,0),IF($I$1="Residência",$I$63,0),IF($L$1="Residência",$L$63,0),IF($O$1="Residência",$O$63,0),IF($R$1="Residência",$R$63,0),IF($U$1="Residência",$U$63,0),IF($X$1="Residência",$X$63,0))</f>
        <v>0</v>
      </c>
      <c r="X280" s="680"/>
      <c r="Y280" s="70">
        <f>IF($Z$282=$DV$58,IF(AND(W262&lt;1,AG262&lt;1,W280&gt;0),((W280-1)*$BM$69*0.5)+$BM$69,W280*0.5*$BM$69),W280*0.5*$BM$69)</f>
        <v>0</v>
      </c>
      <c r="Z280" s="70">
        <f>IF(W280&gt;0,1,0)*$A$63</f>
        <v>0</v>
      </c>
      <c r="AA280" s="679">
        <f>W280*$BK$69</f>
        <v>0</v>
      </c>
      <c r="AB280" s="680"/>
      <c r="AC280" s="83"/>
      <c r="AD280" s="691"/>
      <c r="AE280" s="692"/>
      <c r="AF280" s="51"/>
      <c r="AG280" s="679">
        <f>SUM(IF($C$1="Residência",0,$C$63),IF($F$1="Residência",0,$F$63),IF($I$1="Residência",0,$I$63),IF($L$1="Residência",0,$L$63),IF($O$1="Residência",0,$O$63),IF($R$1="Residência",0,$R$63),IF($U$1="Residência",0,$U$63),IF($X$1="Residência",0,$X$63))</f>
        <v>0</v>
      </c>
      <c r="AH280" s="680"/>
      <c r="AI280" s="70">
        <f>IF($H$282=$DV$58,IF(AND(AG262&lt;1,W262&lt;1,AG280&gt;0,W280&lt;1),((AG280-1)*$BM$69*0.5)+$BM$69,AG280*0.5*$BM$69),AG280*0.5*$BM$69)</f>
        <v>0</v>
      </c>
      <c r="AJ280" s="70">
        <f>IF(AG280&gt;0,1,0)*$A$63</f>
        <v>0</v>
      </c>
      <c r="AK280" s="679">
        <f>AG280*$BK$69</f>
        <v>0</v>
      </c>
      <c r="AL280" s="680"/>
      <c r="AT280" s="22">
        <v>12.5</v>
      </c>
      <c r="AU280" s="83">
        <f>$B$63</f>
        <v>0.78</v>
      </c>
      <c r="AV280" s="679">
        <f>SUM($O$63,$R$63)</f>
        <v>0</v>
      </c>
      <c r="AW280" s="680"/>
      <c r="AX280" s="51">
        <f>IF($AY$282=AT280,IF(AV262&lt;1,((AV280-1)*$BM$69*0.5)+$BM$69,AV280*0.5*$BM$69),0)</f>
        <v>0</v>
      </c>
      <c r="AY280" s="116">
        <f>IF(AV280&gt;0,1,0)*$A$63</f>
        <v>0</v>
      </c>
      <c r="AZ280" s="679">
        <f>AV280*$BK$69</f>
        <v>0</v>
      </c>
      <c r="BA280" s="680"/>
      <c r="BB280" s="83"/>
      <c r="BC280" s="691"/>
      <c r="BD280" s="692"/>
      <c r="BE280" s="83"/>
      <c r="BF280" s="691"/>
      <c r="BG280" s="692"/>
      <c r="BH280" s="83"/>
      <c r="BI280" s="691"/>
      <c r="BJ280" s="692"/>
      <c r="BK280" s="83"/>
      <c r="BL280" s="689"/>
      <c r="BM280" s="690"/>
      <c r="BN280" s="83"/>
      <c r="BO280" s="395"/>
      <c r="BP280" s="396"/>
      <c r="BQ280" s="83"/>
      <c r="BR280" s="691"/>
      <c r="BS280" s="692"/>
      <c r="BY280" s="116"/>
      <c r="BZ280" s="51"/>
      <c r="CB280"/>
      <c r="CC280"/>
      <c r="CD280"/>
      <c r="CG280"/>
      <c r="CK280" s="22">
        <v>12.5</v>
      </c>
      <c r="CL280" s="83">
        <f>$B$63</f>
        <v>0.78</v>
      </c>
      <c r="CM280" s="679">
        <f>SUM($U$63,$X$63)</f>
        <v>0</v>
      </c>
      <c r="CN280" s="680"/>
      <c r="CO280" s="51">
        <f>IF($CP$282=CK280,IF(CM262&lt;1,((CM280-1)*$BM$69*0.5)+$BM$69,CM280*0.5*$BM$69),0)</f>
        <v>0</v>
      </c>
      <c r="CP280" s="116">
        <f>IF(CM280&gt;0,1,0)*$A$63</f>
        <v>0</v>
      </c>
      <c r="CQ280" s="679">
        <f>CM280*$BK$69</f>
        <v>0</v>
      </c>
      <c r="CR280" s="680"/>
      <c r="CS280" s="83"/>
      <c r="CT280" s="691"/>
      <c r="CU280" s="692"/>
      <c r="CV280" s="83"/>
      <c r="CW280" s="691"/>
      <c r="CX280" s="692"/>
      <c r="CY280" s="83"/>
      <c r="CZ280" s="691"/>
      <c r="DA280" s="692"/>
      <c r="DB280" s="83"/>
      <c r="DC280" s="689"/>
      <c r="DD280" s="690"/>
      <c r="DE280" s="83"/>
      <c r="DF280" s="691"/>
      <c r="DG280" s="692"/>
      <c r="DH280" s="83"/>
      <c r="DI280" s="691"/>
      <c r="DJ280" s="692"/>
      <c r="DP280" s="116"/>
      <c r="DQ280" s="51"/>
      <c r="DR280"/>
      <c r="DS280"/>
      <c r="DT280"/>
      <c r="DV280"/>
      <c r="DW280"/>
      <c r="DX280"/>
      <c r="DY280"/>
    </row>
    <row r="281" spans="1:129" ht="13.5" thickBot="1" x14ac:dyDescent="0.25">
      <c r="B281"/>
      <c r="C281" s="23">
        <v>15</v>
      </c>
      <c r="D281" s="83">
        <f>$B$64</f>
        <v>0.81</v>
      </c>
      <c r="E281" s="679">
        <f>SUM(IF($C$1="Residência",$C$64,0),IF($F$1="Residência",$F$64,0),IF($I$1="Residência",$I$64,0),IF($L$1="Residência",$L$64,0),IF($O$1="Residência",$O$64,0),IF($R$1="Residência",$R$64,0),IF($U$1="Residência",$U$64,0),IF($X$1="Residência",$X$64,0))</f>
        <v>0</v>
      </c>
      <c r="F281" s="680"/>
      <c r="G281" s="70">
        <f>IF($H$282=$DV$59,IF(AND(E263&lt;1,O263&lt;1,E281&gt;0),((E281-1)*$BM$70*0.5)+$BM$70,E281*0.5*$BM$70),E281*0.5*$BM$70)</f>
        <v>0</v>
      </c>
      <c r="H281" s="70">
        <f>IF(E281&gt;0,1,0)*$A$64</f>
        <v>0</v>
      </c>
      <c r="I281" s="679">
        <f>E281*$BK$70</f>
        <v>0</v>
      </c>
      <c r="J281" s="680"/>
      <c r="K281" s="83"/>
      <c r="L281" s="691"/>
      <c r="M281" s="692"/>
      <c r="N281" s="51"/>
      <c r="O281" s="679">
        <f>SUM(IF($C$1="Residência",0,$C$64),IF($F$1="Residência",0,$F$64),IF($I$1="Residência",0,$I$64),IF($L$1="Residência",0,$L$64),IF($O$1="Residência",0,$O$64),IF($R$1="Residência",0,$R$64),IF($U$1="Residência",0,$U$64),IF($X$1="Residência",0,$X$64))</f>
        <v>0</v>
      </c>
      <c r="P281" s="680"/>
      <c r="Q281" s="70">
        <f>IF($H$282=$DV$59,IF(AND(O263&lt;1,E263&lt;1,O281&gt;0,E281&lt;1),((O281-1)*$BM$70*0.5)+$BM$70,O281*0.5*$BM$70),O281*0.5*$BM$70)</f>
        <v>0</v>
      </c>
      <c r="R281" s="70">
        <f>IF(O281&gt;0,1,0)*$A$64</f>
        <v>0</v>
      </c>
      <c r="S281" s="679">
        <f>O281*$BK$70</f>
        <v>0</v>
      </c>
      <c r="T281" s="680"/>
      <c r="U281" s="689"/>
      <c r="V281" s="690"/>
      <c r="W281" s="679">
        <f>SUM(IF($C$1="Residência",$C$64,0),IF($F$1="Residência",$F$64,0),IF($I$1="Residência",$I$64,0),IF($L$1="Residência",$L$64,0),IF($O$1="Residência",$O$64,0),IF($R$1="Residência",$R$64,0),IF($U$1="Residência",$U$64,0),IF($X$1="Residência",$X$64,0))</f>
        <v>0</v>
      </c>
      <c r="X281" s="680"/>
      <c r="Y281" s="70">
        <f>IF($Z$282=$DV$59,IF(AND(W263&lt;1,AG263&lt;1,W281&gt;0),((W281-1)*$BM$70*0.5)+$BM$70,W281*0.5*$BM$70),W281*0.5*$BM$70)</f>
        <v>0</v>
      </c>
      <c r="Z281" s="70">
        <f>IF(W281&gt;0,1,0)*$A$64</f>
        <v>0</v>
      </c>
      <c r="AA281" s="679">
        <f>W281*$BK$70</f>
        <v>0</v>
      </c>
      <c r="AB281" s="680"/>
      <c r="AC281" s="83"/>
      <c r="AD281" s="691"/>
      <c r="AE281" s="692"/>
      <c r="AF281" s="51"/>
      <c r="AG281" s="679">
        <f>SUM(IF($C$1="Residência",0,$C$64),IF($F$1="Residência",0,$F$64),IF($I$1="Residência",0,$I$64),IF($L$1="Residência",0,$L$64),IF($O$1="Residência",0,$O$64),IF($R$1="Residência",0,$R$64),IF($U$1="Residência",0,$U$64),IF($X$1="Residência",0,$X$64))</f>
        <v>0</v>
      </c>
      <c r="AH281" s="680"/>
      <c r="AI281" s="70">
        <f>IF($H$282=$DV$59,IF(AND(AG263&lt;1,W263&lt;1,AG281&gt;0,W281&lt;1),((AG281-1)*$BM$70*0.5)+$BM$70,AG281*0.5*$BM$70),AG281*0.5*$BM$70)</f>
        <v>0</v>
      </c>
      <c r="AJ281" s="70">
        <f>IF(AG281&gt;0,1,0)*$A$64</f>
        <v>0</v>
      </c>
      <c r="AK281" s="679">
        <f>AG281*$BK$70</f>
        <v>0</v>
      </c>
      <c r="AL281" s="680"/>
      <c r="AT281" s="23">
        <v>15</v>
      </c>
      <c r="AU281" s="83">
        <f>$B$64</f>
        <v>0.81</v>
      </c>
      <c r="AV281" s="689">
        <f>SUM($O$64,$R$64)</f>
        <v>0</v>
      </c>
      <c r="AW281" s="690"/>
      <c r="AX281" s="51">
        <f>IF($AY$282=AT281,IF(AV263&lt;1,((AV281-1)*$BM$70*0.5)+$BM$70,AV281*0.5*$BM$70),0)</f>
        <v>0</v>
      </c>
      <c r="AY281" s="116">
        <f>IF(AV281&gt;0,1,0)*$A$64</f>
        <v>0</v>
      </c>
      <c r="AZ281" s="679">
        <f>AV281*$BK$70</f>
        <v>0</v>
      </c>
      <c r="BA281" s="680"/>
      <c r="BB281" s="83"/>
      <c r="BC281" s="691"/>
      <c r="BD281" s="692"/>
      <c r="BE281" s="83"/>
      <c r="BF281" s="691"/>
      <c r="BG281" s="692"/>
      <c r="BH281" s="83"/>
      <c r="BI281" s="691"/>
      <c r="BJ281" s="692"/>
      <c r="BK281" s="83"/>
      <c r="BL281" s="689"/>
      <c r="BM281" s="690"/>
      <c r="BN281" s="83"/>
      <c r="BO281" s="395"/>
      <c r="BP281" s="396"/>
      <c r="BQ281" s="83"/>
      <c r="BR281" s="691"/>
      <c r="BS281" s="692"/>
      <c r="BY281" s="116"/>
      <c r="BZ281" s="51"/>
      <c r="CB281"/>
      <c r="CC281"/>
      <c r="CD281"/>
      <c r="CG281"/>
      <c r="CK281" s="23">
        <v>15</v>
      </c>
      <c r="CL281" s="83">
        <f>$B$64</f>
        <v>0.81</v>
      </c>
      <c r="CM281" s="689">
        <f>SUM($U$64,$X$64)</f>
        <v>0</v>
      </c>
      <c r="CN281" s="690"/>
      <c r="CO281" s="51">
        <f>IF($CP$282=CK281,IF(CM263&lt;1,((CM281-1)*$BM$70*0.5)+$BM$70,CM281*0.5*$BM$70),0)</f>
        <v>0</v>
      </c>
      <c r="CP281" s="116">
        <f>IF(CM281&gt;0,1,0)*$A$64</f>
        <v>0</v>
      </c>
      <c r="CQ281" s="679">
        <f>CM281*$BK$70</f>
        <v>0</v>
      </c>
      <c r="CR281" s="680"/>
      <c r="CS281" s="83"/>
      <c r="CT281" s="691"/>
      <c r="CU281" s="692"/>
      <c r="CV281" s="83"/>
      <c r="CW281" s="691"/>
      <c r="CX281" s="692"/>
      <c r="CY281" s="83"/>
      <c r="CZ281" s="691"/>
      <c r="DA281" s="692"/>
      <c r="DB281" s="83"/>
      <c r="DC281" s="689"/>
      <c r="DD281" s="690"/>
      <c r="DE281" s="83"/>
      <c r="DF281" s="691"/>
      <c r="DG281" s="692"/>
      <c r="DH281" s="83"/>
      <c r="DI281" s="691"/>
      <c r="DJ281" s="692"/>
      <c r="DP281" s="116"/>
      <c r="DQ281" s="51"/>
      <c r="DR281"/>
      <c r="DS281"/>
      <c r="DT281"/>
      <c r="DV281"/>
      <c r="DW281"/>
      <c r="DX281"/>
      <c r="DY281"/>
    </row>
    <row r="282" spans="1:129" ht="13.5" thickBot="1" x14ac:dyDescent="0.25">
      <c r="B282"/>
      <c r="C282" s="25"/>
      <c r="D282" s="87"/>
      <c r="E282" s="170"/>
      <c r="F282" s="170"/>
      <c r="G282" s="92"/>
      <c r="H282" s="87">
        <f>LARGE(I282:R282,1)</f>
        <v>0</v>
      </c>
      <c r="I282" s="298">
        <f>LARGE(H250:H281,1)</f>
        <v>0</v>
      </c>
      <c r="J282" s="35"/>
      <c r="K282" s="87"/>
      <c r="L282" s="35"/>
      <c r="M282" s="35"/>
      <c r="N282" s="87"/>
      <c r="O282" s="35"/>
      <c r="P282" s="35"/>
      <c r="Q282" s="87"/>
      <c r="R282" s="170">
        <f>LARGE(R250:R281,1)</f>
        <v>0</v>
      </c>
      <c r="S282" s="35"/>
      <c r="T282" s="87"/>
      <c r="U282" s="170"/>
      <c r="V282" s="170"/>
      <c r="W282" s="170"/>
      <c r="X282" s="170"/>
      <c r="Y282" s="92"/>
      <c r="Z282" s="87">
        <f>LARGE(AA282:AJ282,1)</f>
        <v>0</v>
      </c>
      <c r="AA282" s="298">
        <f>LARGE(Z250:Z281,1)</f>
        <v>0</v>
      </c>
      <c r="AB282" s="35"/>
      <c r="AC282" s="87"/>
      <c r="AD282" s="35"/>
      <c r="AE282" s="35"/>
      <c r="AF282" s="87"/>
      <c r="AG282" s="35"/>
      <c r="AH282" s="35"/>
      <c r="AI282" s="87"/>
      <c r="AJ282" s="170">
        <f>LARGE(AJ250:AJ281,1)</f>
        <v>0</v>
      </c>
      <c r="AK282" s="35"/>
      <c r="AL282" s="87"/>
      <c r="AT282" s="25"/>
      <c r="AU282" s="87"/>
      <c r="AV282" s="170"/>
      <c r="AW282" s="170"/>
      <c r="AX282" s="92"/>
      <c r="AY282" s="87">
        <f>LARGE(AY250:AY281,1)</f>
        <v>0</v>
      </c>
      <c r="AZ282" s="35"/>
      <c r="BA282" s="35"/>
      <c r="BB282" s="87"/>
      <c r="BC282" s="35"/>
      <c r="BD282" s="35"/>
      <c r="BE282" s="87"/>
      <c r="BF282" s="35"/>
      <c r="BG282" s="35"/>
      <c r="BH282" s="87"/>
      <c r="BI282" s="35"/>
      <c r="BJ282" s="35"/>
      <c r="BK282" s="87"/>
      <c r="BL282" s="170"/>
      <c r="BM282" s="170"/>
      <c r="BN282" s="87"/>
      <c r="BO282" s="35"/>
      <c r="BP282" s="35"/>
      <c r="BQ282" s="92"/>
      <c r="BR282" s="33"/>
      <c r="BS282" s="33"/>
      <c r="BY282" s="116"/>
      <c r="BZ282" s="51"/>
      <c r="CB282"/>
      <c r="CC282"/>
      <c r="CD282"/>
      <c r="CG282"/>
      <c r="CK282" s="25"/>
      <c r="CL282" s="87"/>
      <c r="CM282" s="170"/>
      <c r="CN282" s="170"/>
      <c r="CO282" s="92"/>
      <c r="CP282" s="87">
        <f>LARGE(CP250:CP281,1)</f>
        <v>0</v>
      </c>
      <c r="CQ282" s="35"/>
      <c r="CR282" s="35"/>
      <c r="CS282" s="87"/>
      <c r="CT282" s="35"/>
      <c r="CU282" s="35"/>
      <c r="CV282" s="87"/>
      <c r="CW282" s="35"/>
      <c r="CX282" s="35"/>
      <c r="CY282" s="87"/>
      <c r="CZ282" s="35"/>
      <c r="DA282" s="35"/>
      <c r="DB282" s="87"/>
      <c r="DC282" s="170"/>
      <c r="DD282" s="170"/>
      <c r="DE282" s="87"/>
      <c r="DF282" s="35"/>
      <c r="DG282" s="35"/>
      <c r="DH282" s="92"/>
      <c r="DI282" s="33"/>
      <c r="DJ282" s="33"/>
      <c r="DP282" s="116"/>
      <c r="DQ282" s="51"/>
      <c r="DR282"/>
      <c r="DS282"/>
      <c r="DT282"/>
      <c r="DV282"/>
      <c r="DW282"/>
      <c r="DX282"/>
      <c r="DY282"/>
    </row>
    <row r="283" spans="1:129" ht="13.5" thickBot="1" x14ac:dyDescent="0.25">
      <c r="G283" s="204">
        <f>SUM(G269:G281,G250:G266,$G$248,$F$228)*$B$224</f>
        <v>0</v>
      </c>
      <c r="H283" s="194"/>
      <c r="I283" s="194"/>
      <c r="J283" s="194"/>
      <c r="K283" s="194"/>
      <c r="L283" s="194"/>
      <c r="M283" s="194"/>
      <c r="N283" s="194"/>
      <c r="O283" s="194"/>
      <c r="P283" s="194"/>
      <c r="Q283" s="299">
        <f>SUM(Q269:Q281,Q250:Q266,$AE$230,$AJ$228,$AG$228,$AD$228,$AA$228,$X$228,$U$228,$R$228,$O$228,$L$228,$I$228,S248)</f>
        <v>0</v>
      </c>
      <c r="W283" s="88"/>
      <c r="Y283" s="204">
        <f>SUM(Y269:Y281,Y250:Y266,$G$248,$F$228)*$B$224</f>
        <v>0</v>
      </c>
      <c r="Z283" s="194"/>
      <c r="AA283" s="194"/>
      <c r="AB283" s="194"/>
      <c r="AC283" s="194"/>
      <c r="AD283" s="194"/>
      <c r="AE283" s="194"/>
      <c r="AF283" s="194"/>
      <c r="AG283" s="194"/>
      <c r="AH283" s="194"/>
      <c r="AI283" s="299">
        <f>SUM(AI269:AI281,AI250:AI266,$AE$230,$AJ$228,$AG$228,$AD$228,$AA$228,$X$228,$U$228,$R$228,$O$228,$L$228,$I$228,S248)</f>
        <v>0</v>
      </c>
      <c r="AZ283"/>
      <c r="BJ283"/>
      <c r="CB283"/>
      <c r="CC283"/>
      <c r="CD283"/>
      <c r="CG283"/>
      <c r="DP283"/>
      <c r="DQ283"/>
      <c r="DR283"/>
      <c r="DS283"/>
      <c r="DT283"/>
      <c r="DV283"/>
      <c r="DW283"/>
      <c r="DX283"/>
      <c r="DY283"/>
    </row>
    <row r="284" spans="1:129" x14ac:dyDescent="0.2">
      <c r="A284" s="51"/>
      <c r="B284"/>
      <c r="C284" s="676" t="s">
        <v>1583</v>
      </c>
      <c r="D284" s="673" t="s">
        <v>102</v>
      </c>
      <c r="E284" s="698" t="s">
        <v>68</v>
      </c>
      <c r="F284" s="699"/>
      <c r="G284" s="708" t="s">
        <v>102</v>
      </c>
      <c r="H284" s="685" t="s">
        <v>115</v>
      </c>
      <c r="I284" s="686"/>
      <c r="J284" s="708" t="s">
        <v>102</v>
      </c>
      <c r="K284" s="685" t="s">
        <v>116</v>
      </c>
      <c r="L284" s="686"/>
      <c r="M284" s="673" t="s">
        <v>102</v>
      </c>
      <c r="N284" s="685" t="s">
        <v>117</v>
      </c>
      <c r="O284" s="686"/>
      <c r="P284" s="673" t="s">
        <v>102</v>
      </c>
      <c r="Q284" s="685" t="s">
        <v>1837</v>
      </c>
      <c r="R284" s="686"/>
      <c r="S284" s="673" t="s">
        <v>102</v>
      </c>
      <c r="T284" s="685" t="s">
        <v>119</v>
      </c>
      <c r="U284" s="686"/>
      <c r="V284" s="673" t="s">
        <v>102</v>
      </c>
      <c r="W284" s="685" t="s">
        <v>120</v>
      </c>
      <c r="X284" s="686"/>
      <c r="Y284" s="673" t="s">
        <v>102</v>
      </c>
      <c r="Z284" s="685" t="s">
        <v>121</v>
      </c>
      <c r="AA284" s="686"/>
      <c r="AB284" s="673" t="s">
        <v>102</v>
      </c>
      <c r="AC284" s="698" t="s">
        <v>122</v>
      </c>
      <c r="AD284" s="699"/>
      <c r="AE284" s="673" t="s">
        <v>102</v>
      </c>
      <c r="AF284" s="685" t="s">
        <v>123</v>
      </c>
      <c r="AG284" s="686"/>
      <c r="AH284" s="673" t="s">
        <v>102</v>
      </c>
      <c r="AI284" s="685" t="s">
        <v>69</v>
      </c>
      <c r="AJ284" s="686"/>
      <c r="AL284" s="51"/>
      <c r="AM284" s="697"/>
      <c r="AN284" s="697"/>
      <c r="AO284" s="697"/>
      <c r="AP284" s="697"/>
      <c r="AQ284" s="697"/>
      <c r="AR284" s="51"/>
      <c r="AT284" s="676" t="s">
        <v>1584</v>
      </c>
      <c r="AU284" s="673" t="s">
        <v>102</v>
      </c>
      <c r="AV284" s="698" t="s">
        <v>68</v>
      </c>
      <c r="AW284" s="699"/>
      <c r="AX284" s="708" t="s">
        <v>102</v>
      </c>
      <c r="AY284" s="685" t="s">
        <v>115</v>
      </c>
      <c r="AZ284" s="686"/>
      <c r="BA284" s="708" t="s">
        <v>102</v>
      </c>
      <c r="BB284" s="685" t="s">
        <v>116</v>
      </c>
      <c r="BC284" s="686"/>
      <c r="BD284" s="673" t="s">
        <v>102</v>
      </c>
      <c r="BE284" s="685" t="s">
        <v>117</v>
      </c>
      <c r="BF284" s="686"/>
      <c r="BG284" s="673" t="s">
        <v>102</v>
      </c>
      <c r="BH284" s="685" t="s">
        <v>1837</v>
      </c>
      <c r="BI284" s="686"/>
      <c r="BJ284" s="673" t="s">
        <v>102</v>
      </c>
      <c r="BK284" s="685" t="s">
        <v>119</v>
      </c>
      <c r="BL284" s="686"/>
      <c r="BM284" s="673" t="s">
        <v>102</v>
      </c>
      <c r="BN284" s="685" t="s">
        <v>120</v>
      </c>
      <c r="BO284" s="686"/>
      <c r="BP284" s="673" t="s">
        <v>102</v>
      </c>
      <c r="BQ284" s="685" t="s">
        <v>121</v>
      </c>
      <c r="BR284" s="686"/>
      <c r="BS284" s="673" t="s">
        <v>102</v>
      </c>
      <c r="BT284" s="698" t="s">
        <v>122</v>
      </c>
      <c r="BU284" s="699"/>
      <c r="BV284" s="673" t="s">
        <v>102</v>
      </c>
      <c r="BW284" s="685" t="s">
        <v>123</v>
      </c>
      <c r="BX284" s="686"/>
      <c r="BY284" s="673" t="s">
        <v>102</v>
      </c>
      <c r="BZ284" s="685" t="s">
        <v>69</v>
      </c>
      <c r="CA284" s="686"/>
      <c r="CB284"/>
      <c r="CC284" s="51"/>
      <c r="CD284" s="697"/>
      <c r="CE284" s="697"/>
      <c r="CF284" s="697"/>
      <c r="CG284" s="697"/>
      <c r="CH284" s="697"/>
      <c r="CI284" s="51"/>
      <c r="CK284" s="676" t="s">
        <v>1585</v>
      </c>
      <c r="CL284" s="673" t="s">
        <v>102</v>
      </c>
      <c r="CM284" s="698" t="s">
        <v>68</v>
      </c>
      <c r="CN284" s="699"/>
      <c r="CO284" s="708" t="s">
        <v>102</v>
      </c>
      <c r="CP284" s="685" t="s">
        <v>115</v>
      </c>
      <c r="CQ284" s="686"/>
      <c r="CR284" s="708" t="s">
        <v>102</v>
      </c>
      <c r="CS284" s="685" t="s">
        <v>116</v>
      </c>
      <c r="CT284" s="686"/>
      <c r="CU284" s="673" t="s">
        <v>102</v>
      </c>
      <c r="CV284" s="685" t="s">
        <v>117</v>
      </c>
      <c r="CW284" s="686"/>
      <c r="CX284" s="673" t="s">
        <v>102</v>
      </c>
      <c r="CY284" s="685" t="s">
        <v>1837</v>
      </c>
      <c r="CZ284" s="686"/>
      <c r="DA284" s="673" t="s">
        <v>102</v>
      </c>
      <c r="DB284" s="685" t="s">
        <v>119</v>
      </c>
      <c r="DC284" s="686"/>
      <c r="DD284" s="673" t="s">
        <v>102</v>
      </c>
      <c r="DE284" s="685" t="s">
        <v>120</v>
      </c>
      <c r="DF284" s="686"/>
      <c r="DG284" s="673" t="s">
        <v>102</v>
      </c>
      <c r="DH284" s="685" t="s">
        <v>121</v>
      </c>
      <c r="DI284" s="686"/>
      <c r="DJ284" s="673" t="s">
        <v>102</v>
      </c>
      <c r="DK284" s="698" t="s">
        <v>122</v>
      </c>
      <c r="DL284" s="699"/>
      <c r="DM284" s="673" t="s">
        <v>102</v>
      </c>
      <c r="DN284" s="685" t="s">
        <v>123</v>
      </c>
      <c r="DO284" s="686"/>
      <c r="DP284" s="673" t="s">
        <v>102</v>
      </c>
      <c r="DQ284" s="685" t="s">
        <v>69</v>
      </c>
      <c r="DR284" s="686"/>
      <c r="DS284"/>
      <c r="DT284" s="51"/>
      <c r="DU284" s="697"/>
      <c r="DV284" s="697"/>
      <c r="DW284" s="697"/>
      <c r="DX284" s="697"/>
      <c r="DY284" s="697"/>
    </row>
    <row r="285" spans="1:129" ht="13.5" thickBot="1" x14ac:dyDescent="0.25">
      <c r="A285" s="51"/>
      <c r="B285" s="98">
        <f>VLOOKUP(SUM($B$1,$E$1,$H$1,$K$1,$N$1,$Q$1,$T$1,$W$1,$Z$1,$AC$1,$AF$1,$AI$1),SIMULTANEIDADE!$B$3:$D$41,3,TRUE)</f>
        <v>1</v>
      </c>
      <c r="C285" s="677"/>
      <c r="D285" s="674"/>
      <c r="E285" s="700"/>
      <c r="F285" s="701"/>
      <c r="G285" s="709"/>
      <c r="H285" s="687"/>
      <c r="I285" s="688"/>
      <c r="J285" s="709"/>
      <c r="K285" s="687"/>
      <c r="L285" s="688"/>
      <c r="M285" s="674"/>
      <c r="N285" s="687"/>
      <c r="O285" s="688"/>
      <c r="P285" s="674"/>
      <c r="Q285" s="687"/>
      <c r="R285" s="688"/>
      <c r="S285" s="674"/>
      <c r="T285" s="687"/>
      <c r="U285" s="688"/>
      <c r="V285" s="674"/>
      <c r="W285" s="687"/>
      <c r="X285" s="688"/>
      <c r="Y285" s="674"/>
      <c r="Z285" s="687"/>
      <c r="AA285" s="688"/>
      <c r="AB285" s="674"/>
      <c r="AC285" s="700"/>
      <c r="AD285" s="701"/>
      <c r="AE285" s="674"/>
      <c r="AF285" s="687"/>
      <c r="AG285" s="688"/>
      <c r="AH285" s="674"/>
      <c r="AI285" s="687"/>
      <c r="AJ285" s="688"/>
      <c r="AK285" s="190"/>
      <c r="AM285" s="696"/>
      <c r="AN285" s="696"/>
      <c r="AO285" s="696"/>
      <c r="AP285" s="696"/>
      <c r="AQ285" s="696"/>
      <c r="AR285" s="51"/>
      <c r="AS285" s="98">
        <f>VLOOKUP(SUM($T$1,$Z$1,$W$1),SIMULTANEIDADE!$B$3:$D$41,3,TRUE)</f>
        <v>1</v>
      </c>
      <c r="AT285" s="677"/>
      <c r="AU285" s="674"/>
      <c r="AV285" s="700"/>
      <c r="AW285" s="701"/>
      <c r="AX285" s="709"/>
      <c r="AY285" s="687"/>
      <c r="AZ285" s="688"/>
      <c r="BA285" s="709"/>
      <c r="BB285" s="687"/>
      <c r="BC285" s="688"/>
      <c r="BD285" s="674"/>
      <c r="BE285" s="687"/>
      <c r="BF285" s="688"/>
      <c r="BG285" s="674"/>
      <c r="BH285" s="687"/>
      <c r="BI285" s="688"/>
      <c r="BJ285" s="674"/>
      <c r="BK285" s="687"/>
      <c r="BL285" s="688"/>
      <c r="BM285" s="674"/>
      <c r="BN285" s="687"/>
      <c r="BO285" s="688"/>
      <c r="BP285" s="674"/>
      <c r="BQ285" s="687"/>
      <c r="BR285" s="688"/>
      <c r="BS285" s="674"/>
      <c r="BT285" s="700"/>
      <c r="BU285" s="701"/>
      <c r="BV285" s="674"/>
      <c r="BW285" s="687"/>
      <c r="BX285" s="688"/>
      <c r="BY285" s="674"/>
      <c r="BZ285" s="687"/>
      <c r="CA285" s="688"/>
      <c r="CB285" s="190"/>
      <c r="CC285"/>
      <c r="CD285" s="696"/>
      <c r="CE285" s="696"/>
      <c r="CF285" s="696"/>
      <c r="CG285" s="696"/>
      <c r="CH285" s="696"/>
      <c r="CI285" s="51"/>
      <c r="CJ285" s="98">
        <f>VLOOKUP(SUM($AF$1,$AC$1,$AI$1),SIMULTANEIDADE!$B$3:$D$41,3,TRUE)</f>
        <v>1</v>
      </c>
      <c r="CK285" s="677"/>
      <c r="CL285" s="674"/>
      <c r="CM285" s="700"/>
      <c r="CN285" s="701"/>
      <c r="CO285" s="709"/>
      <c r="CP285" s="687"/>
      <c r="CQ285" s="688"/>
      <c r="CR285" s="709"/>
      <c r="CS285" s="687"/>
      <c r="CT285" s="688"/>
      <c r="CU285" s="674"/>
      <c r="CV285" s="687"/>
      <c r="CW285" s="688"/>
      <c r="CX285" s="674"/>
      <c r="CY285" s="687"/>
      <c r="CZ285" s="688"/>
      <c r="DA285" s="674"/>
      <c r="DB285" s="687"/>
      <c r="DC285" s="688"/>
      <c r="DD285" s="674"/>
      <c r="DE285" s="687"/>
      <c r="DF285" s="688"/>
      <c r="DG285" s="674"/>
      <c r="DH285" s="687"/>
      <c r="DI285" s="688"/>
      <c r="DJ285" s="674"/>
      <c r="DK285" s="700"/>
      <c r="DL285" s="701"/>
      <c r="DM285" s="674"/>
      <c r="DN285" s="687"/>
      <c r="DO285" s="688"/>
      <c r="DP285" s="674"/>
      <c r="DQ285" s="687"/>
      <c r="DR285" s="688"/>
      <c r="DS285" s="190"/>
      <c r="DT285"/>
      <c r="DU285" s="696"/>
      <c r="DV285" s="696"/>
      <c r="DW285" s="696"/>
      <c r="DX285" s="696"/>
      <c r="DY285" s="696"/>
    </row>
    <row r="286" spans="1:129" ht="13.5" thickBot="1" x14ac:dyDescent="0.25">
      <c r="B286"/>
      <c r="C286" s="678"/>
      <c r="D286" s="675"/>
      <c r="E286" s="704"/>
      <c r="F286" s="705"/>
      <c r="G286" s="710"/>
      <c r="H286" s="706"/>
      <c r="I286" s="707"/>
      <c r="J286" s="710"/>
      <c r="K286" s="683"/>
      <c r="L286" s="684"/>
      <c r="M286" s="675"/>
      <c r="N286" s="683"/>
      <c r="O286" s="684"/>
      <c r="P286" s="675"/>
      <c r="Q286" s="683"/>
      <c r="R286" s="684"/>
      <c r="S286" s="675"/>
      <c r="T286" s="683"/>
      <c r="U286" s="684"/>
      <c r="V286" s="675"/>
      <c r="W286" s="683"/>
      <c r="X286" s="684"/>
      <c r="Y286" s="675"/>
      <c r="Z286" s="683"/>
      <c r="AA286" s="684"/>
      <c r="AB286" s="675"/>
      <c r="AC286" s="702"/>
      <c r="AD286" s="703"/>
      <c r="AE286" s="675"/>
      <c r="AF286" s="683"/>
      <c r="AG286" s="684"/>
      <c r="AH286" s="675"/>
      <c r="AI286" s="683"/>
      <c r="AJ286" s="684"/>
      <c r="AK286" s="191"/>
      <c r="AM286" s="20"/>
      <c r="AN286" s="20"/>
      <c r="AO286" s="20"/>
      <c r="AP286" s="72"/>
      <c r="AQ286" s="72"/>
      <c r="AT286" s="678"/>
      <c r="AU286" s="675"/>
      <c r="AV286" s="704"/>
      <c r="AW286" s="705"/>
      <c r="AX286" s="710"/>
      <c r="AY286" s="706"/>
      <c r="AZ286" s="707"/>
      <c r="BA286" s="710"/>
      <c r="BB286" s="683"/>
      <c r="BC286" s="684"/>
      <c r="BD286" s="675"/>
      <c r="BE286" s="683"/>
      <c r="BF286" s="684"/>
      <c r="BG286" s="675"/>
      <c r="BH286" s="683"/>
      <c r="BI286" s="684"/>
      <c r="BJ286" s="675"/>
      <c r="BK286" s="683"/>
      <c r="BL286" s="684"/>
      <c r="BM286" s="675"/>
      <c r="BN286" s="683"/>
      <c r="BO286" s="684"/>
      <c r="BP286" s="675"/>
      <c r="BQ286" s="683"/>
      <c r="BR286" s="684"/>
      <c r="BS286" s="675"/>
      <c r="BT286" s="702"/>
      <c r="BU286" s="703"/>
      <c r="BV286" s="675"/>
      <c r="BW286" s="683"/>
      <c r="BX286" s="684"/>
      <c r="BY286" s="675"/>
      <c r="BZ286" s="683"/>
      <c r="CA286" s="684"/>
      <c r="CB286" s="191"/>
      <c r="CC286"/>
      <c r="CD286" s="20"/>
      <c r="CE286" s="20"/>
      <c r="CF286" s="20"/>
      <c r="CG286" s="72"/>
      <c r="CH286" s="72"/>
      <c r="CK286" s="678"/>
      <c r="CL286" s="675"/>
      <c r="CM286" s="704"/>
      <c r="CN286" s="705"/>
      <c r="CO286" s="710"/>
      <c r="CP286" s="706"/>
      <c r="CQ286" s="707"/>
      <c r="CR286" s="710"/>
      <c r="CS286" s="683"/>
      <c r="CT286" s="684"/>
      <c r="CU286" s="675"/>
      <c r="CV286" s="683"/>
      <c r="CW286" s="684"/>
      <c r="CX286" s="675"/>
      <c r="CY286" s="683"/>
      <c r="CZ286" s="684"/>
      <c r="DA286" s="675"/>
      <c r="DB286" s="683"/>
      <c r="DC286" s="684"/>
      <c r="DD286" s="675"/>
      <c r="DE286" s="683"/>
      <c r="DF286" s="684"/>
      <c r="DG286" s="675"/>
      <c r="DH286" s="683"/>
      <c r="DI286" s="684"/>
      <c r="DJ286" s="675"/>
      <c r="DK286" s="702"/>
      <c r="DL286" s="703"/>
      <c r="DM286" s="675"/>
      <c r="DN286" s="683"/>
      <c r="DO286" s="684"/>
      <c r="DP286" s="675"/>
      <c r="DQ286" s="683"/>
      <c r="DR286" s="684"/>
      <c r="DS286" s="191"/>
      <c r="DT286"/>
      <c r="DU286" s="20"/>
      <c r="DV286" s="20"/>
      <c r="DW286" s="20"/>
      <c r="DX286" s="72"/>
      <c r="DY286" s="72"/>
    </row>
    <row r="287" spans="1:129" x14ac:dyDescent="0.2">
      <c r="A287" s="51"/>
      <c r="B287"/>
      <c r="C287" s="27" t="s">
        <v>39</v>
      </c>
      <c r="D287" s="93"/>
      <c r="E287" s="681">
        <f>SUM(IF(OR($C$1=DX1,C1="Flat"),$C$4,0),IF(OR($F$1=DX1,F1="Flat"),$F$4,0),IF(OR($I$1=DX1,I1="Flat"),$I$4,0),IF(OR($L$1=DX1,L1="Flat"),$L$4,0),IF(OR($O$1=DX1,O1="Flat"),$O$4,0),IF(OR($R$1=DX1,R1="Flat"),$R$4,0),IF(OR($U$1=DX1,U1="Flat"),$U$4,0),IF(OR($X$1=DX1,X1="Flat"),$X$4,0),IF(OR($AA$1=DX1,AA1="Flat"),$AA$4,0),IF(OR($AD$1=DX1,AD1="Flat"),$AD$4,0),IF(OR($AG$1=DX1,AG1="Flat"),$AG$4,0),IF(OR($AJ$1=DX1,AJ1="Flat"),$AJ$4,0))</f>
        <v>0</v>
      </c>
      <c r="F287" s="682"/>
      <c r="G287" s="93"/>
      <c r="H287" s="681"/>
      <c r="I287" s="682"/>
      <c r="J287" s="93"/>
      <c r="K287" s="681"/>
      <c r="L287" s="682"/>
      <c r="M287" s="93"/>
      <c r="N287" s="681"/>
      <c r="O287" s="682"/>
      <c r="P287" s="93"/>
      <c r="Q287" s="681"/>
      <c r="R287" s="682"/>
      <c r="S287" s="93"/>
      <c r="T287" s="681"/>
      <c r="U287" s="682"/>
      <c r="V287" s="93"/>
      <c r="W287" s="681"/>
      <c r="X287" s="682"/>
      <c r="Y287" s="93"/>
      <c r="Z287" s="681"/>
      <c r="AA287" s="682"/>
      <c r="AB287" s="93"/>
      <c r="AC287" s="681"/>
      <c r="AD287" s="682"/>
      <c r="AE287" s="93"/>
      <c r="AF287" s="681"/>
      <c r="AG287" s="682"/>
      <c r="AH287" s="93"/>
      <c r="AI287" s="681">
        <f>SUM(IF($C$1=AI284,$C$4,0),IF($F$1=AI284,$F$4,0),IF($I$1=AI284,$I$4,0),IF($L$1=AI284,$L$4,0),IF($O$1=AI284,$O$4,0),IF($R$1=AI284,$R$4,0),IF($U$1=AI284,$U$4,0),IF($X$1=AI284,$X$4,0),IF($AA$1=AI284,$AA$4,0),IF($AD$1=AI284,$AD$4,0),IF($AG$1=AI284,$AG$4,0),IF($AJ$1=AI284,$AJ$4,0))</f>
        <v>0</v>
      </c>
      <c r="AJ287" s="682"/>
      <c r="AK287" s="170"/>
      <c r="AM287" s="51"/>
      <c r="AN287" s="70"/>
      <c r="AO287" s="51"/>
      <c r="AP287" s="51"/>
      <c r="AQ287" s="51"/>
      <c r="AR287" s="51"/>
      <c r="AT287" s="27" t="s">
        <v>39</v>
      </c>
      <c r="AU287" s="93"/>
      <c r="AV287" s="681">
        <f>SUM(IF(OR($U$1=FO1,U1="Flat"),$U$4,0),IF(OR($AA$1=FO1,AA1="Flat"),$AA$4,0),IF(OR($X$1=FO1,X1="Flat"),$X$4,0))</f>
        <v>0</v>
      </c>
      <c r="AW287" s="682"/>
      <c r="AX287" s="93"/>
      <c r="AY287" s="681"/>
      <c r="AZ287" s="682"/>
      <c r="BA287" s="93"/>
      <c r="BB287" s="681"/>
      <c r="BC287" s="682"/>
      <c r="BD287" s="93"/>
      <c r="BE287" s="681"/>
      <c r="BF287" s="682"/>
      <c r="BG287" s="93"/>
      <c r="BH287" s="681"/>
      <c r="BI287" s="682"/>
      <c r="BJ287" s="93"/>
      <c r="BK287" s="681"/>
      <c r="BL287" s="682"/>
      <c r="BM287" s="93"/>
      <c r="BN287" s="681"/>
      <c r="BO287" s="682"/>
      <c r="BP287" s="93"/>
      <c r="BQ287" s="681"/>
      <c r="BR287" s="682"/>
      <c r="BS287" s="93"/>
      <c r="BT287" s="681"/>
      <c r="BU287" s="682"/>
      <c r="BV287" s="93"/>
      <c r="BW287" s="681"/>
      <c r="BX287" s="682"/>
      <c r="BY287" s="93"/>
      <c r="BZ287" s="681">
        <f>SUM(IF($U$1=BZ284,$U$4,0),IF($AA$1=BZ284,$AA$4,0),IF($X$1=BZ284,$X$4,0))</f>
        <v>0</v>
      </c>
      <c r="CA287" s="682"/>
      <c r="CB287" s="170"/>
      <c r="CC287"/>
      <c r="CD287" s="51"/>
      <c r="CE287" s="70"/>
      <c r="CF287" s="51"/>
      <c r="CG287" s="51"/>
      <c r="CH287" s="51"/>
      <c r="CI287" s="51"/>
      <c r="CK287" s="27" t="s">
        <v>39</v>
      </c>
      <c r="CL287" s="93"/>
      <c r="CM287" s="681">
        <f>SUM(IF(OR($AG$1=HF1,AG1="Flat"),$AG$4,0),IF(OR($AD$1=HF1,AD1="Flat"),$AD$4,0),IF(OR($AJ$1=HF1,AJ1="Flat"),$AJ$4,0))</f>
        <v>0</v>
      </c>
      <c r="CN287" s="682"/>
      <c r="CO287" s="93"/>
      <c r="CP287" s="681"/>
      <c r="CQ287" s="682"/>
      <c r="CR287" s="93"/>
      <c r="CS287" s="681"/>
      <c r="CT287" s="682"/>
      <c r="CU287" s="93"/>
      <c r="CV287" s="681"/>
      <c r="CW287" s="682"/>
      <c r="CX287" s="93"/>
      <c r="CY287" s="681"/>
      <c r="CZ287" s="682"/>
      <c r="DA287" s="93"/>
      <c r="DB287" s="681"/>
      <c r="DC287" s="682"/>
      <c r="DD287" s="93"/>
      <c r="DE287" s="681"/>
      <c r="DF287" s="682"/>
      <c r="DG287" s="93"/>
      <c r="DH287" s="681"/>
      <c r="DI287" s="682"/>
      <c r="DJ287" s="93"/>
      <c r="DK287" s="681"/>
      <c r="DL287" s="682"/>
      <c r="DM287" s="93"/>
      <c r="DN287" s="681"/>
      <c r="DO287" s="682"/>
      <c r="DP287" s="93"/>
      <c r="DQ287" s="681">
        <f>SUM(IF($AG$1=DQ284,$AG$4,0),IF($AD$1=DQ284,$AD$4,0),IF($AJ$1=DQ284,$AJ$4,0))</f>
        <v>0</v>
      </c>
      <c r="DR287" s="682"/>
      <c r="DS287" s="170"/>
      <c r="DT287"/>
      <c r="DU287" s="51"/>
      <c r="DV287" s="70"/>
      <c r="DW287" s="51"/>
      <c r="DX287" s="51"/>
      <c r="DY287" s="51"/>
    </row>
    <row r="288" spans="1:129" x14ac:dyDescent="0.2">
      <c r="A288" s="681"/>
      <c r="B288" s="682"/>
      <c r="C288" s="27" t="s">
        <v>168</v>
      </c>
      <c r="D288" s="83"/>
      <c r="E288" s="681"/>
      <c r="F288" s="682"/>
      <c r="G288" s="83"/>
      <c r="H288" s="681">
        <f>SUM(IF($C$1=H284,$AR$5:$AR$10,0),IF($F$1=H284,$AT$5:$AT$10,0),IF($I$1=H284,$AV$5:$AV$10,0),IF($L$1=H284,$AX$5:$AX$10,0),IF($O$1=H284,$AZ$5:$AZ$10,0),IF($R$1=H284,$BB$5:$BB$10,0),IF($U$1=H284,$BD$5:$BD$10,0),IF($X$1=H284,$BF$5:$BF$10,0),IF($AA$1=H284,$BH$5:$BH$10,0),IF($AD$1=H284,$BJ$5:$BJ$10,0),IF($AG$1=H284,$BL$5:$BL$10,0),IF($AJ$1=H284,$BN$5:$BN$10,0))</f>
        <v>0</v>
      </c>
      <c r="I288" s="682"/>
      <c r="J288" s="83"/>
      <c r="K288" s="681">
        <f>SUM(IF($C$1=K284,$AR$5:$AR$10,0),IF($F$1=K284,$AT$5:$AT$10,0),IF($I$1=K284,$AV$5:$AV$10,0),IF($L$1=K284,$AX$5:$AX$10,0),IF($O$1=K284,$AZ$5:$AZ$10,0),IF($R$1=K284,$BB$5:$BB$10,0),IF($U$1=K284,$BD$5:$BD$10,0),IF($X$1=K284,$BF$5:$BF$10,0),IF($AA$1=K284,$BH$5:$BH$10,0),IF($AD$1=K284,$BJ$5:$BJ$10,0),IF($AG$1=K284,$BL$5:$BL$10,0),IF($AJ$1=K284,$BN$5:$BN$10,0))</f>
        <v>0</v>
      </c>
      <c r="L288" s="682"/>
      <c r="M288" s="83"/>
      <c r="N288" s="681">
        <f>SUM(IF($C$1=N284,$AR$5:$AR$10,0),IF($F$1=N284,$AT$5:$AT$10,0),IF($I$1=N284,$AV$5:$AV$10,0),IF($L$1=N284,$AX$5:$AX$10,0),IF($O$1=N284,$AZ$5:$AZ$10,0),IF($R$1=N284,$BB$5:$BB$10,0),IF($U$1=N284,$BD$5:$BD$10,0),IF($X$1=N284,$BF$5:$BF$10,0),IF($AA$1=N284,$BH$5:$BH$10,0),IF($AD$1=N284,$BJ$5:$BJ$10,0),IF($AG$1=N284,$BL$5:$BL$10,0),IF($AJ$1=N284,$BN$5:$BN$10,0))</f>
        <v>0</v>
      </c>
      <c r="O288" s="682"/>
      <c r="P288" s="83"/>
      <c r="Q288" s="681">
        <f>SUM(IF($C$1=Q284,$AR$5:$AR$10,0),IF($F$1=Q284,$AT$5:$AT$10,0),IF($I$1=Q284,$AV$5:$AV$10,0),IF($L$1=Q284,$AX$5:$AX$10,0),IF($O$1=Q284,$AZ$5:$AZ$10,0),IF($R$1=Q284,$BB$5:$BB$10,0),IF($U$1=Q284,$BD$5:$BD$10,0),IF($X$1=Q284,$BF$5:$BF$10,0),IF($AA$1=Q284,$BH$5:$BH$10,0),IF($AD$1=Q284,$BJ$5:$BJ$10,0),IF($AG$1=Q284,$BL$5:$BL$10,0),IF($AJ$1=Q284,$BN$5:$BN$10,0))</f>
        <v>0</v>
      </c>
      <c r="R288" s="682"/>
      <c r="S288" s="83"/>
      <c r="T288" s="681">
        <f>SUM(IF($C$1=T284,$AR$5:$AR$10,0),IF($F$1=T284,$AT$5:$AT$10,0),IF($I$1=T284,$AV$5:$AV$10,0),IF($L$1=T284,$AX$5:$AX$10,0),IF($O$1=T284,$AZ$5:$AZ$10,0),IF($R$1=T284,$BB$5:$BB$10,0),IF($U$1=T284,$BD$5:$BD$10,0),IF($X$1=T284,$BF$5:$BF$10,0),IF($AA$1=T284,$BH$5:$BH$10,0),IF($AD$1=T284,$BJ$5:$BJ$10,0),IF($AG$1=T284,$BL$5:$BL$10,0),IF($AJ$1=T284,$BN$5:$BN$10,0))</f>
        <v>0</v>
      </c>
      <c r="U288" s="682"/>
      <c r="V288" s="83"/>
      <c r="W288" s="681">
        <f>SUM(IF($C$1=W284,$AR$5:$AR$10,0),IF($F$1=W284,$AT$5:$AT$10,0),IF($I$1=W284,$AV$5:$AV$10,0),IF($L$1=W284,$AX$5:$AX$10,0),IF($O$1=W284,$AZ$5:$AZ$10,0),IF($R$1=W284,$BB$5:$BB$10,0),IF($U$1=W284,$BD$5:$BD$10,0),IF($X$1=W284,$BF$5:$BF$10,0),IF($AA$1=W284,$BH$5:$BH$10,0),IF($AD$1=W284,$BJ$5:$BJ$10,0),IF($AG$1=W284,$BL$5:$BL$10,0),IF($AJ$1=W284,$BN$5:$BN$10,0))</f>
        <v>0</v>
      </c>
      <c r="X288" s="682"/>
      <c r="Y288" s="83"/>
      <c r="Z288" s="681">
        <f>SUM(IF($C$1=Z284,$AR$5:$AR$10,0),IF($F$1=Z284,$AT$5:$AT$10,0),IF($I$1=Z284,$AV$5:$AV$10,0),IF($L$1=Z284,$AX$5:$AX$10,0),IF($O$1=Z284,$AZ$5:$AZ$10,0),IF($R$1=Z284,$BB$5:$BB$10,0),IF($U$1=Z284,$BD$5:$BD$10,0),IF($X$1=Z284,$BF$5:$BF$10,0),IF($AA$1=Z284,$BH$5:$BH$10,0),IF($AD$1=Z284,$BJ$5:$BJ$10,0),IF($AG$1=Z284,$BL$5:$BL$10,0),IF($AJ$1=Z284,$BN$5:$BN$10,0))</f>
        <v>0</v>
      </c>
      <c r="AA288" s="682"/>
      <c r="AB288" s="83"/>
      <c r="AC288" s="681">
        <f>SUM(IF($C$1=AC284,$AR$5:$AR$10,0),IF($F$1=AC284,$AT$5:$AT$10,0),IF($I$1=AC284,$AV$5:$AV$10,0),IF($L$1=AC284,$AX$5:$AX$10,0),IF($O$1=AC284,$AZ$5:$AZ$10,0),IF($R$1=AC284,$BB$5:$BB$10,0),IF($U$1=AC284,$BD$5:$BD$10,0),IF($X$1=AC284,$BF$5:$BF$10,0),IF($AA$1=AC284,$BH$5:$BH$10,0),IF($AD$1=AC284,$BJ$5:$BJ$10,0),IF($AG$1=AC284,$BL$5:$BL$10,0),IF($AJ$1=AC284,$BN$5:$BN$10,0))</f>
        <v>0</v>
      </c>
      <c r="AD288" s="682"/>
      <c r="AE288" s="83"/>
      <c r="AF288" s="681">
        <f>SUM(IF($C$1=AF284,$AR$5:$AR$10,0),IF($F$1=AF284,$AT$5:$AT$10,0),IF($I$1=AF284,$AV$5:$AV$10,0),IF($L$1=AF284,$AX$5:$AX$10,0),IF($O$1=AF284,$AZ$5:$AZ$10,0),IF($R$1=AF284,$BB$5:$BB$10,0),IF($U$1=AF284,$BD$5:$BD$10,0),IF($X$1=AF284,$BF$5:$BF$10,0),IF($AA$1=AF284,$BH$5:$BH$10,0),IF($AD$1=AF284,$BJ$5:$BJ$10,0),IF($AG$1=AF284,$BL$5:$BL$10,0),IF($AJ$1=AF284,$BN$5:$BN$10,0))</f>
        <v>0</v>
      </c>
      <c r="AG288" s="682"/>
      <c r="AH288" s="83"/>
      <c r="AI288" s="681"/>
      <c r="AJ288" s="682"/>
      <c r="AK288" s="681"/>
      <c r="AL288" s="682"/>
      <c r="AM288" s="697" t="s">
        <v>124</v>
      </c>
      <c r="AN288" s="697"/>
      <c r="AO288" s="697"/>
      <c r="AP288" s="697"/>
      <c r="AQ288" s="697"/>
      <c r="AR288" s="681"/>
      <c r="AS288" s="682"/>
      <c r="AT288" s="27" t="s">
        <v>168</v>
      </c>
      <c r="AU288" s="83"/>
      <c r="AV288" s="681"/>
      <c r="AW288" s="682"/>
      <c r="AX288" s="83"/>
      <c r="AY288" s="681">
        <f>SUM(IF($U$1=AY284,$BD$5:$BD$10,0),IF($AA$1=AY284,$BH$5:$BH$10,0),IF($X$1=AY284,$BF$5:$BF$10,0))</f>
        <v>0</v>
      </c>
      <c r="AZ288" s="682"/>
      <c r="BA288" s="83"/>
      <c r="BB288" s="681">
        <f>SUM(IF($U$1=BB284,$BD$5:$BD$10,0),IF($AA$1=BB284,$BH$5:$BH$10,0),IF($X$1=BB284,$BF$5:$BF$10,0))</f>
        <v>0</v>
      </c>
      <c r="BC288" s="682"/>
      <c r="BD288" s="83"/>
      <c r="BE288" s="681">
        <f>SUM(IF($U$1=BE284,$BD$5:$BD$10,0),IF($AA$1=BE284,$BH$5:$BH$10,0),IF($X$1=BE284,$BF$5:$BF$10,0))</f>
        <v>0</v>
      </c>
      <c r="BF288" s="682"/>
      <c r="BG288" s="83"/>
      <c r="BH288" s="681">
        <f>SUM(IF($U$1=BH284,$BD$5:$BD$10,0),IF($AA$1=BH284,$BH$5:$BH$10,0),IF($X$1=BH284,$BF$5:$BF$10,0))</f>
        <v>0</v>
      </c>
      <c r="BI288" s="682"/>
      <c r="BJ288" s="83"/>
      <c r="BK288" s="681">
        <f>SUM(IF($U$1=BK284,$BD$5:$BD$10,0),IF($AA$1=BK284,$BH$5:$BH$10,0),IF($X$1=BK284,$BF$5:$BF$10,0))</f>
        <v>0</v>
      </c>
      <c r="BL288" s="682"/>
      <c r="BM288" s="83"/>
      <c r="BN288" s="681">
        <f>SUM(IF($U$1=BN284,$BD$5:$BD$10,0),IF($AA$1=BN284,$BH$5:$BH$10,0),IF($X$1=BN284,$BF$5:$BF$10,0))</f>
        <v>0</v>
      </c>
      <c r="BO288" s="682"/>
      <c r="BP288" s="83"/>
      <c r="BQ288" s="681">
        <f>SUM(IF($U$1=BQ284,$BD$5:$BD$10,0),IF($AA$1=BQ284,$BH$5:$BH$10,0),IF($X$1=BQ284,$BF$5:$BF$10,0))</f>
        <v>0</v>
      </c>
      <c r="BR288" s="682"/>
      <c r="BS288" s="83"/>
      <c r="BT288" s="681">
        <f>SUM(IF($U$1=BT284,$BD$5:$BD$10,0),IF($AA$1=BT284,$BH$5:$BH$10,0),IF($X$1=BT284,$BF$5:$BF$10,0))</f>
        <v>0</v>
      </c>
      <c r="BU288" s="682"/>
      <c r="BV288" s="83"/>
      <c r="BW288" s="681">
        <f>SUM(IF($U$1=BW284,$BD$5:$BD$10,0),IF($AA$1=BW284,$BH$5:$BH$10,0),IF($X$1=BW284,$BF$5:$BF$10,0))</f>
        <v>0</v>
      </c>
      <c r="BX288" s="682"/>
      <c r="BY288" s="83"/>
      <c r="BZ288" s="681"/>
      <c r="CA288" s="682"/>
      <c r="CB288" s="681"/>
      <c r="CC288" s="682"/>
      <c r="CD288" s="697" t="s">
        <v>124</v>
      </c>
      <c r="CE288" s="697"/>
      <c r="CF288" s="697"/>
      <c r="CG288" s="697"/>
      <c r="CH288" s="697"/>
      <c r="CI288" s="681"/>
      <c r="CJ288" s="682"/>
      <c r="CK288" s="27" t="s">
        <v>168</v>
      </c>
      <c r="CL288" s="83"/>
      <c r="CM288" s="681"/>
      <c r="CN288" s="682"/>
      <c r="CO288" s="83"/>
      <c r="CP288" s="681">
        <f>SUM(IF($AG$1=CP284,$BL$5:$BL$10,0),IF($AD$1=CP284,$BJ$5:$BJ$10,0),IF($AJ$1=CP284,$BN$5:$BN$10,0))</f>
        <v>0</v>
      </c>
      <c r="CQ288" s="682"/>
      <c r="CR288" s="83"/>
      <c r="CS288" s="681">
        <f>SUM(IF($AG$1=CS284,$BL$5:$BL$10,0),IF($AD$1=CS284,$BJ$5:$BJ$10,0),IF($AJ$1=CS284,$BN$5:$BN$10,0))</f>
        <v>0</v>
      </c>
      <c r="CT288" s="682"/>
      <c r="CU288" s="83"/>
      <c r="CV288" s="681">
        <f>SUM(IF($AG$1=CV284,$BL$5:$BL$10,0),IF($AD$1=CV284,$BJ$5:$BJ$10,0),IF($AJ$1=CV284,$BN$5:$BN$10,0))</f>
        <v>0</v>
      </c>
      <c r="CW288" s="682"/>
      <c r="CX288" s="83"/>
      <c r="CY288" s="681">
        <f>SUM(IF($AG$1=CY284,$BL$5:$BL$10,0),IF($AD$1=CY284,$BJ$5:$BJ$10,0),IF($AJ$1=CY284,$BN$5:$BN$10,0))</f>
        <v>0</v>
      </c>
      <c r="CZ288" s="682"/>
      <c r="DA288" s="83"/>
      <c r="DB288" s="681">
        <f>SUM(IF($AG$1=DB284,$BL$5:$BL$10,0),IF($AD$1=DB284,$BJ$5:$BJ$10,0),IF($AJ$1=DB284,$BN$5:$BN$10,0))</f>
        <v>0</v>
      </c>
      <c r="DC288" s="682"/>
      <c r="DD288" s="83"/>
      <c r="DE288" s="681">
        <f>SUM(IF($AG$1=DE284,$BL$5:$BL$10,0),IF($AD$1=DE284,$BJ$5:$BJ$10,0),IF($AJ$1=DE284,$BN$5:$BN$10,0))</f>
        <v>0</v>
      </c>
      <c r="DF288" s="682"/>
      <c r="DG288" s="83"/>
      <c r="DH288" s="681">
        <f>SUM(IF($AG$1=DH284,$BL$5:$BL$10,0),IF($AD$1=DH284,$BJ$5:$BJ$10,0),IF($AJ$1=DH284,$BN$5:$BN$10,0))</f>
        <v>0</v>
      </c>
      <c r="DI288" s="682"/>
      <c r="DJ288" s="83"/>
      <c r="DK288" s="681">
        <f>SUM(IF($AG$1=DK284,$BL$5:$BL$10,0),IF($AD$1=DK284,$BJ$5:$BJ$10,0),IF($AJ$1=DK284,$BN$5:$BN$10,0))</f>
        <v>0</v>
      </c>
      <c r="DL288" s="682"/>
      <c r="DM288" s="83"/>
      <c r="DN288" s="681">
        <f>SUM(IF($AG$1=DN284,$BL$5:$BL$10,0),IF($AD$1=DN284,$BJ$5:$BJ$10,0),IF($AJ$1=DN284,$BN$5:$BN$10,0))</f>
        <v>0</v>
      </c>
      <c r="DO288" s="682"/>
      <c r="DP288" s="83"/>
      <c r="DQ288" s="681"/>
      <c r="DR288" s="682"/>
      <c r="DS288" s="681"/>
      <c r="DT288" s="682"/>
      <c r="DU288" s="697" t="s">
        <v>124</v>
      </c>
      <c r="DV288" s="697"/>
      <c r="DW288" s="697"/>
      <c r="DX288" s="697"/>
      <c r="DY288" s="697"/>
    </row>
    <row r="289" spans="1:129" ht="13.5" thickBot="1" x14ac:dyDescent="0.25">
      <c r="A289" s="51"/>
      <c r="B289"/>
      <c r="C289" s="195" t="s">
        <v>169</v>
      </c>
      <c r="D289" s="196"/>
      <c r="E289" s="197"/>
      <c r="F289" s="198">
        <f>E287*0.005</f>
        <v>0</v>
      </c>
      <c r="G289" s="196"/>
      <c r="H289" s="197"/>
      <c r="I289" s="198">
        <f>IF(H288&gt;12,((H288-12)*0.5)+12,H288)</f>
        <v>0</v>
      </c>
      <c r="J289" s="196"/>
      <c r="K289" s="197"/>
      <c r="L289" s="198">
        <f>IF(K288&gt;20,((K288-20)*0.7)+20,K288)</f>
        <v>0</v>
      </c>
      <c r="M289" s="196"/>
      <c r="N289" s="197"/>
      <c r="O289" s="198">
        <f>IF(N288&gt;50,((N288-50)*0.2)+(50*0.4),N288*0.4)</f>
        <v>0</v>
      </c>
      <c r="P289" s="196"/>
      <c r="Q289" s="197">
        <v>1</v>
      </c>
      <c r="R289" s="198">
        <f>Q289*Q288</f>
        <v>0</v>
      </c>
      <c r="S289" s="196"/>
      <c r="T289" s="197">
        <v>1</v>
      </c>
      <c r="U289" s="198">
        <f>T289*T288</f>
        <v>0</v>
      </c>
      <c r="V289" s="196"/>
      <c r="W289" s="197">
        <v>1</v>
      </c>
      <c r="X289" s="198">
        <f>W289*W288</f>
        <v>0</v>
      </c>
      <c r="Y289" s="196"/>
      <c r="Z289" s="197">
        <v>1</v>
      </c>
      <c r="AA289" s="198">
        <f>Z289*Z288</f>
        <v>0</v>
      </c>
      <c r="AB289" s="196"/>
      <c r="AC289" s="197">
        <v>1</v>
      </c>
      <c r="AD289" s="198">
        <f>AC289*AC288</f>
        <v>0</v>
      </c>
      <c r="AE289" s="196"/>
      <c r="AF289" s="197">
        <v>1</v>
      </c>
      <c r="AG289" s="198">
        <f>AF289*AF288</f>
        <v>0</v>
      </c>
      <c r="AH289" s="196"/>
      <c r="AI289" s="197"/>
      <c r="AJ289" s="198">
        <f>AI287*0.005</f>
        <v>0</v>
      </c>
      <c r="AK289" s="192"/>
      <c r="AM289" s="696" t="s">
        <v>104</v>
      </c>
      <c r="AN289" s="696"/>
      <c r="AO289" s="696"/>
      <c r="AP289" s="696"/>
      <c r="AQ289" s="696"/>
      <c r="AR289" s="51"/>
      <c r="AT289" s="195" t="s">
        <v>169</v>
      </c>
      <c r="AU289" s="196"/>
      <c r="AV289" s="197"/>
      <c r="AW289" s="198">
        <f>AV287*0.005</f>
        <v>0</v>
      </c>
      <c r="AX289" s="196"/>
      <c r="AY289" s="197"/>
      <c r="AZ289" s="198">
        <f>IF(AY288&gt;12,((AY288-12)*0.5)+12,AY288)</f>
        <v>0</v>
      </c>
      <c r="BA289" s="196"/>
      <c r="BB289" s="197"/>
      <c r="BC289" s="198">
        <f>IF(BB288&gt;20,((BB288-20)*0.7)+20,BB288)</f>
        <v>0</v>
      </c>
      <c r="BD289" s="196"/>
      <c r="BE289" s="197"/>
      <c r="BF289" s="198">
        <f>IF(BE288&gt;50,((BE288-50)*0.2)+(50*0.4),BE288*0.4)</f>
        <v>0</v>
      </c>
      <c r="BG289" s="196"/>
      <c r="BH289" s="197">
        <v>1</v>
      </c>
      <c r="BI289" s="198">
        <f>BH289*BH288</f>
        <v>0</v>
      </c>
      <c r="BJ289" s="196"/>
      <c r="BK289" s="197">
        <v>1</v>
      </c>
      <c r="BL289" s="198">
        <f>BK289*BK288</f>
        <v>0</v>
      </c>
      <c r="BM289" s="196"/>
      <c r="BN289" s="197">
        <v>1</v>
      </c>
      <c r="BO289" s="198">
        <f>BN289*BN288</f>
        <v>0</v>
      </c>
      <c r="BP289" s="196"/>
      <c r="BQ289" s="197">
        <v>1</v>
      </c>
      <c r="BR289" s="198">
        <f>BQ289*BQ288</f>
        <v>0</v>
      </c>
      <c r="BS289" s="196"/>
      <c r="BT289" s="197">
        <v>1</v>
      </c>
      <c r="BU289" s="198">
        <f>BT289*BT288</f>
        <v>0</v>
      </c>
      <c r="BV289" s="196"/>
      <c r="BW289" s="197">
        <v>1</v>
      </c>
      <c r="BX289" s="198">
        <f>BW289*BW288</f>
        <v>0</v>
      </c>
      <c r="BY289" s="196"/>
      <c r="BZ289" s="197"/>
      <c r="CA289" s="198">
        <f>BZ287*0.005</f>
        <v>0</v>
      </c>
      <c r="CB289" s="192"/>
      <c r="CC289"/>
      <c r="CD289" s="696" t="s">
        <v>104</v>
      </c>
      <c r="CE289" s="696"/>
      <c r="CF289" s="696"/>
      <c r="CG289" s="696"/>
      <c r="CH289" s="696"/>
      <c r="CI289" s="51"/>
      <c r="CK289" s="195" t="s">
        <v>169</v>
      </c>
      <c r="CL289" s="196"/>
      <c r="CM289" s="197"/>
      <c r="CN289" s="198">
        <f>CM287*0.005</f>
        <v>0</v>
      </c>
      <c r="CO289" s="196"/>
      <c r="CP289" s="197"/>
      <c r="CQ289" s="198">
        <f>IF(CP288&gt;12,((CP288-12)*0.5)+12,CP288)</f>
        <v>0</v>
      </c>
      <c r="CR289" s="196"/>
      <c r="CS289" s="197"/>
      <c r="CT289" s="198">
        <f>IF(CS288&gt;20,((CS288-20)*0.7)+20,CS288)</f>
        <v>0</v>
      </c>
      <c r="CU289" s="196"/>
      <c r="CV289" s="197"/>
      <c r="CW289" s="198">
        <f>IF(CV288&gt;50,((CV288-50)*0.2)+(50*0.4),CV288*0.4)</f>
        <v>0</v>
      </c>
      <c r="CX289" s="196"/>
      <c r="CY289" s="197">
        <v>1</v>
      </c>
      <c r="CZ289" s="198">
        <f>CY289*CY288</f>
        <v>0</v>
      </c>
      <c r="DA289" s="196"/>
      <c r="DB289" s="197">
        <v>1</v>
      </c>
      <c r="DC289" s="198">
        <f>DB289*DB288</f>
        <v>0</v>
      </c>
      <c r="DD289" s="196"/>
      <c r="DE289" s="197">
        <v>1</v>
      </c>
      <c r="DF289" s="198">
        <f>DE289*DE288</f>
        <v>0</v>
      </c>
      <c r="DG289" s="196"/>
      <c r="DH289" s="197">
        <v>1</v>
      </c>
      <c r="DI289" s="198">
        <f>DH289*DH288</f>
        <v>0</v>
      </c>
      <c r="DJ289" s="196"/>
      <c r="DK289" s="197">
        <v>1</v>
      </c>
      <c r="DL289" s="198">
        <f>DK289*DK288</f>
        <v>0</v>
      </c>
      <c r="DM289" s="196"/>
      <c r="DN289" s="197">
        <v>1</v>
      </c>
      <c r="DO289" s="198">
        <f>DN289*DN288</f>
        <v>0</v>
      </c>
      <c r="DP289" s="196"/>
      <c r="DQ289" s="197"/>
      <c r="DR289" s="198">
        <f>DQ287*0.005</f>
        <v>0</v>
      </c>
      <c r="DS289" s="192"/>
      <c r="DT289"/>
      <c r="DU289" s="696" t="s">
        <v>104</v>
      </c>
      <c r="DV289" s="696"/>
      <c r="DW289" s="696"/>
      <c r="DX289" s="696"/>
      <c r="DY289" s="696"/>
    </row>
    <row r="290" spans="1:129" ht="13.5" thickBot="1" x14ac:dyDescent="0.25">
      <c r="A290" s="51"/>
      <c r="B290"/>
      <c r="C290" s="21"/>
      <c r="D290" s="85"/>
      <c r="E290" s="200"/>
      <c r="F290" s="201" t="s">
        <v>41</v>
      </c>
      <c r="G290" s="90" t="s">
        <v>171</v>
      </c>
      <c r="H290" s="57" t="s">
        <v>38</v>
      </c>
      <c r="I290" s="58" t="s">
        <v>41</v>
      </c>
      <c r="J290" s="85"/>
      <c r="K290" s="55" t="s">
        <v>38</v>
      </c>
      <c r="L290" s="59" t="s">
        <v>41</v>
      </c>
      <c r="M290" s="85"/>
      <c r="N290" s="55" t="s">
        <v>38</v>
      </c>
      <c r="O290" s="59" t="s">
        <v>41</v>
      </c>
      <c r="P290" s="85"/>
      <c r="Q290" s="55" t="s">
        <v>38</v>
      </c>
      <c r="R290" s="59" t="s">
        <v>41</v>
      </c>
      <c r="S290" s="85"/>
      <c r="T290" s="55" t="s">
        <v>38</v>
      </c>
      <c r="U290" s="59" t="s">
        <v>41</v>
      </c>
      <c r="V290" s="85"/>
      <c r="W290" s="55" t="s">
        <v>38</v>
      </c>
      <c r="X290" s="59" t="s">
        <v>41</v>
      </c>
      <c r="Y290" s="85"/>
      <c r="Z290" s="55" t="s">
        <v>38</v>
      </c>
      <c r="AA290" s="59" t="s">
        <v>41</v>
      </c>
      <c r="AB290" s="85"/>
      <c r="AC290" s="200" t="s">
        <v>38</v>
      </c>
      <c r="AD290" s="201" t="s">
        <v>41</v>
      </c>
      <c r="AE290" s="85" t="s">
        <v>171</v>
      </c>
      <c r="AF290" s="55" t="s">
        <v>38</v>
      </c>
      <c r="AG290" s="59" t="s">
        <v>41</v>
      </c>
      <c r="AH290" s="90"/>
      <c r="AI290" s="60" t="s">
        <v>38</v>
      </c>
      <c r="AJ290" s="58" t="s">
        <v>41</v>
      </c>
      <c r="AK290" s="35"/>
      <c r="AM290" s="20" t="s">
        <v>105</v>
      </c>
      <c r="AN290" s="20" t="s">
        <v>171</v>
      </c>
      <c r="AO290" s="20"/>
      <c r="AP290" s="72"/>
      <c r="AQ290" s="72"/>
      <c r="AR290" s="51"/>
      <c r="AT290" s="21"/>
      <c r="AU290" s="85"/>
      <c r="AV290" s="200"/>
      <c r="AW290" s="201" t="s">
        <v>41</v>
      </c>
      <c r="AX290" s="90" t="s">
        <v>171</v>
      </c>
      <c r="AY290" s="57" t="s">
        <v>38</v>
      </c>
      <c r="AZ290" s="58" t="s">
        <v>41</v>
      </c>
      <c r="BA290" s="85"/>
      <c r="BB290" s="55" t="s">
        <v>38</v>
      </c>
      <c r="BC290" s="59" t="s">
        <v>41</v>
      </c>
      <c r="BD290" s="85"/>
      <c r="BE290" s="55" t="s">
        <v>38</v>
      </c>
      <c r="BF290" s="59" t="s">
        <v>41</v>
      </c>
      <c r="BG290" s="85"/>
      <c r="BH290" s="55" t="s">
        <v>38</v>
      </c>
      <c r="BI290" s="59" t="s">
        <v>41</v>
      </c>
      <c r="BJ290" s="85"/>
      <c r="BK290" s="55" t="s">
        <v>38</v>
      </c>
      <c r="BL290" s="59" t="s">
        <v>41</v>
      </c>
      <c r="BM290" s="85"/>
      <c r="BN290" s="55" t="s">
        <v>38</v>
      </c>
      <c r="BO290" s="59" t="s">
        <v>41</v>
      </c>
      <c r="BP290" s="85"/>
      <c r="BQ290" s="55" t="s">
        <v>38</v>
      </c>
      <c r="BR290" s="59" t="s">
        <v>41</v>
      </c>
      <c r="BS290" s="85"/>
      <c r="BT290" s="200" t="s">
        <v>38</v>
      </c>
      <c r="BU290" s="201" t="s">
        <v>41</v>
      </c>
      <c r="BV290" s="85" t="s">
        <v>171</v>
      </c>
      <c r="BW290" s="55" t="s">
        <v>38</v>
      </c>
      <c r="BX290" s="59" t="s">
        <v>41</v>
      </c>
      <c r="BY290" s="90"/>
      <c r="BZ290" s="60" t="s">
        <v>38</v>
      </c>
      <c r="CA290" s="58" t="s">
        <v>41</v>
      </c>
      <c r="CB290" s="35"/>
      <c r="CC290"/>
      <c r="CD290" s="20" t="s">
        <v>105</v>
      </c>
      <c r="CE290" s="20" t="s">
        <v>171</v>
      </c>
      <c r="CF290" s="20"/>
      <c r="CG290" s="72"/>
      <c r="CH290" s="72"/>
      <c r="CI290" s="51"/>
      <c r="CK290" s="21"/>
      <c r="CL290" s="85"/>
      <c r="CM290" s="200"/>
      <c r="CN290" s="201" t="s">
        <v>41</v>
      </c>
      <c r="CO290" s="90" t="s">
        <v>171</v>
      </c>
      <c r="CP290" s="57" t="s">
        <v>38</v>
      </c>
      <c r="CQ290" s="58" t="s">
        <v>41</v>
      </c>
      <c r="CR290" s="85"/>
      <c r="CS290" s="55" t="s">
        <v>38</v>
      </c>
      <c r="CT290" s="59" t="s">
        <v>41</v>
      </c>
      <c r="CU290" s="85"/>
      <c r="CV290" s="55" t="s">
        <v>38</v>
      </c>
      <c r="CW290" s="59" t="s">
        <v>41</v>
      </c>
      <c r="CX290" s="85"/>
      <c r="CY290" s="55" t="s">
        <v>38</v>
      </c>
      <c r="CZ290" s="59" t="s">
        <v>41</v>
      </c>
      <c r="DA290" s="85"/>
      <c r="DB290" s="55" t="s">
        <v>38</v>
      </c>
      <c r="DC290" s="59" t="s">
        <v>41</v>
      </c>
      <c r="DD290" s="85"/>
      <c r="DE290" s="55" t="s">
        <v>38</v>
      </c>
      <c r="DF290" s="59" t="s">
        <v>41</v>
      </c>
      <c r="DG290" s="85"/>
      <c r="DH290" s="55" t="s">
        <v>38</v>
      </c>
      <c r="DI290" s="59" t="s">
        <v>41</v>
      </c>
      <c r="DJ290" s="85"/>
      <c r="DK290" s="200" t="s">
        <v>38</v>
      </c>
      <c r="DL290" s="201" t="s">
        <v>41</v>
      </c>
      <c r="DM290" s="85" t="s">
        <v>171</v>
      </c>
      <c r="DN290" s="55" t="s">
        <v>38</v>
      </c>
      <c r="DO290" s="59" t="s">
        <v>41</v>
      </c>
      <c r="DP290" s="90"/>
      <c r="DQ290" s="60" t="s">
        <v>38</v>
      </c>
      <c r="DR290" s="58" t="s">
        <v>41</v>
      </c>
      <c r="DS290" s="35"/>
      <c r="DT290"/>
      <c r="DU290" s="20" t="s">
        <v>105</v>
      </c>
      <c r="DV290" s="20" t="s">
        <v>171</v>
      </c>
      <c r="DW290" s="20"/>
      <c r="DX290" s="72"/>
      <c r="DY290" s="72"/>
    </row>
    <row r="291" spans="1:129" x14ac:dyDescent="0.2">
      <c r="A291" s="51"/>
      <c r="B291"/>
      <c r="C291" s="26" t="s">
        <v>42</v>
      </c>
      <c r="D291" s="83"/>
      <c r="E291" s="202">
        <f t="shared" ref="E291:E308" si="193">SUM(IF($C$1=$DX$1,C13,0),IF($F$1=$DX$1,F13,0),IF($I$1=$DX$1,I13,0),IF($L$1=$DX$1,L13,0),IF($O$1=$DX$1,O13,0),IF($R$1=$DX$1,R13,0),IF($U$1=$DX$1,U13,0),IF($X$1=$DX$1,X13,0),IF($AA$1=$DX$1,AA13,0),IF($AD$1=$DX$1,AD13,0),IF($AG$1=$DX$1,AG13,0),IF($AJ$1=$DX$1,AJ13,0))</f>
        <v>0</v>
      </c>
      <c r="F291" s="202">
        <f t="shared" ref="F291:F308" si="194">SUM(IF($C$1=$DX$1,D13,0),IF($F$1=$DX$1,G13,0),IF($I$1=$DX$1,J13,0),IF($L$1=$DX$1,M13,0),IF($O$1=$DX$1,P13,0),IF($R$1=$DX$1,S13,0),IF($U$1=$DX$1,V13,0),IF($X$1=$DX$1,Y13,0),IF($AA$1=$DX$1,AB13,0),IF($AD$1=$DX$1,AE13,0),IF($AG$1=$DX$1,AH13,0),IF($AJ$1=$DX$1,AK13,0))</f>
        <v>0</v>
      </c>
      <c r="G291" s="199">
        <f>F291*AN291</f>
        <v>0</v>
      </c>
      <c r="H291" s="193"/>
      <c r="I291" s="199">
        <f>SUM(F291,R291)</f>
        <v>0</v>
      </c>
      <c r="J291" s="193"/>
      <c r="K291" s="193"/>
      <c r="L291" s="193"/>
      <c r="M291" s="193"/>
      <c r="N291" s="193"/>
      <c r="O291" s="193"/>
      <c r="P291" s="193"/>
      <c r="Q291" s="199">
        <f t="shared" ref="Q291:Q308" si="195">SUM(IF(OR($C$1=$DX$1,$C$1=$EV$1),0,C13),IF(OR($F$1=$DX$1,$F$1=$EV$1),0,F13),IF(OR($I$1=$DX$1,$I$1=$EV$1),0,I13),IF(OR($L$1=$DX$1,$L$1=$EV$1),0,L13),IF(OR($O$1=$DX$1,$O$1=$EV$1),0,O13),IF(OR($R$1=$DX$1,$R$1=$EV$1),0,R13),IF(OR($U$1=$DX$1,$U$1=$EV$1),0,U13),IF(OR($X$1=$DX$1,$X$1=$EV$1),0,X13),IF(OR($AA$1=$DX$1,$AA$1=$EV$1),0,AA13),IF(OR($AD$1=$DX$1,$AD$1=$EV$1),0,AD13),IF(OR($AG$1=$DX$1,$AG$1=$EV$1),0,AG13),IF(OR($AJ$1=$DX$1,$AJ$1=$EV$1),0,AJ13))</f>
        <v>0</v>
      </c>
      <c r="R291" s="199">
        <f t="shared" ref="R291:R308" si="196">SUM(IF(OR($C$1=$DX$1,$C$1=$EV$1),0,D13),IF(OR($F$1=$DX$1,$F$1=$EV$1),0,G13),IF(OR($I$1=$DX$1,$I$1=$EV$1),0,J13),IF(OR($L$1=$DX$1,$L$1=$EV$1),0,M13),IF(OR($O$1=$DX$1,$O$1=$EV$1),0,P13),IF(OR($R$1=$DX$1,$R$1=$EV$1),0,S13),IF(OR($U$1=$DX$1,$U$1=$EV$1),0,V13),IF(OR($X$1=$DX$1,$X$1=$EV$1),0,Y13),IF(OR($AA$1=$DX$1,$AA$1=$EV$1),0,AB13),IF(OR($AD$1=$DX$1,$AD$1=$EV$1),0,AE13),IF(OR($AG$1=$DX$1,$AG$1=$EV$1),0,AH13),IF(OR($AJ$1=$DX$1,$AJ$1=$EV$1),0,AK13))</f>
        <v>0</v>
      </c>
      <c r="S291" s="199">
        <f>R291*AN291</f>
        <v>0</v>
      </c>
      <c r="T291" s="193"/>
      <c r="U291" s="193"/>
      <c r="V291" s="193"/>
      <c r="W291" s="193"/>
      <c r="X291" s="193"/>
      <c r="Y291" s="193"/>
      <c r="Z291" s="193"/>
      <c r="AA291" s="193"/>
      <c r="AB291" s="193"/>
      <c r="AC291" s="202">
        <f>SUM(IF($C$1=$EV$1,C$13,0),IF($F$1=$EV$1,F$13,0),IF($I$1=$EV$1,I$13,0),IF($L$1=$EV$1,L$13,0),IF($O$1=$EV$1,O$13,0),IF($R$1=$EV$1,R$13,0),IF($U$1=$EV$1,U$13,0),IF($X$1=$EV$1,X$13,0),IF($AA$1=$EV$1,AA$13,0),IF($AD$1=$EV$1,AD$13,0),IF($AG$1=$EV$1,AG$13,0),IF($AJ$1=$EV$1,AJ$13,0))</f>
        <v>0</v>
      </c>
      <c r="AD291" s="202">
        <f>SUM(IF($C$1=$EV$1,D$13,0),IF($F$1=$EV$1,G$13,0),IF($I$1=$EV$1,J$13,0),IF($L$1=$EV$1,M$13,0),IF($O$1=$EV$1,P$13,0),IF($R$1=$EV$1,S$13,0),IF($U$1=$EV$1,V$13,0),IF($X$1=$EV$1,Y$13,0),IF($AA$1=$EV$1,AB$13,0),IF($AD$1=$EV$1,AE$13,0),IF($AG$1=$EV$1,AH$13,0),IF($AJ$1=$EV$1,AK$13,0))</f>
        <v>0</v>
      </c>
      <c r="AE291" s="199">
        <f>AD291</f>
        <v>0</v>
      </c>
      <c r="AF291" s="193"/>
      <c r="AG291" s="193"/>
      <c r="AH291" s="193"/>
      <c r="AI291" s="193"/>
      <c r="AJ291" s="193"/>
      <c r="AK291" s="35"/>
      <c r="AM291" s="51" t="s">
        <v>42</v>
      </c>
      <c r="AN291" s="51">
        <f>VLOOKUP(SUM(E291:E293,Q291:Q293),'tab aparelhos'!$B$4:$C$35,2)</f>
        <v>0</v>
      </c>
      <c r="AO291" s="51"/>
      <c r="AP291" s="51"/>
      <c r="AQ291" s="51"/>
      <c r="AR291" s="51"/>
      <c r="AT291" s="26" t="s">
        <v>42</v>
      </c>
      <c r="AU291" s="83"/>
      <c r="AV291" s="202">
        <f t="shared" ref="AV291:AV308" si="197">SUM(IF($U$1=$DX$1,U13,0),IF($AA$1=$DX$1,AA13,0),IF($X$1=$DX$1,X13,0))</f>
        <v>0</v>
      </c>
      <c r="AW291" s="202">
        <f t="shared" ref="AW291:AW308" si="198">SUM(IF($U$1=$DX$1,V13,0),IF($AA$1=$DX$1,AB13,0),IF($X$1=$DX$1,Y13,0))</f>
        <v>0</v>
      </c>
      <c r="AX291" s="199">
        <f>AW291*CE291</f>
        <v>0</v>
      </c>
      <c r="AY291" s="193"/>
      <c r="AZ291" s="199">
        <f>SUM(AW291,BI291)</f>
        <v>0</v>
      </c>
      <c r="BA291" s="193"/>
      <c r="BB291" s="193"/>
      <c r="BC291" s="193"/>
      <c r="BD291" s="193"/>
      <c r="BE291" s="193"/>
      <c r="BF291" s="193"/>
      <c r="BG291" s="193"/>
      <c r="BH291" s="199">
        <f t="shared" ref="BH291:BH308" si="199">SUM(IF(OR($U$1=$DX$1,$U$1=$EV$1),0,U13),IF(OR($AA$1=$DX$1,$AA$1=$EV$1),0,AA13),IF(OR($X$1=$DX$1,$X$1=$EV$1),0,X13))</f>
        <v>0</v>
      </c>
      <c r="BI291" s="199">
        <f t="shared" ref="BI291:BI308" si="200">SUM(IF(OR($U$1=$DX$1,$U$1=$EV$1),0,V13),IF(OR($AA$1=$DX$1,$AA$1=$EV$1),0,AB13),IF(OR($X$1=$DX$1,$X$1=$EV$1),0,Y13))</f>
        <v>0</v>
      </c>
      <c r="BJ291" s="199">
        <f>BI291*CE291</f>
        <v>0</v>
      </c>
      <c r="BK291" s="193"/>
      <c r="BL291" s="193"/>
      <c r="BM291" s="193"/>
      <c r="BN291" s="193"/>
      <c r="BO291" s="193"/>
      <c r="BP291" s="193"/>
      <c r="BQ291" s="193"/>
      <c r="BR291" s="193"/>
      <c r="BS291" s="193"/>
      <c r="BT291" s="202">
        <f>SUM(IF($U$1=$EV$1,$U$13,0),IF($AA$1=$EV$1,$AA$13,0),IF($X$1=$EV$1,$X$13,0))</f>
        <v>0</v>
      </c>
      <c r="BU291" s="202">
        <f>SUM(IF($U$1=$EV$1,$V$13,0),IF($AA$1=$EV$1,$AB$13,0),IF($X$1=$EV$1,$Y$13,0))</f>
        <v>0</v>
      </c>
      <c r="BV291" s="199">
        <f>BU291</f>
        <v>0</v>
      </c>
      <c r="BW291" s="193"/>
      <c r="BX291" s="193"/>
      <c r="BY291" s="193"/>
      <c r="BZ291" s="193"/>
      <c r="CA291" s="193"/>
      <c r="CB291" s="35"/>
      <c r="CC291"/>
      <c r="CD291" s="51" t="s">
        <v>42</v>
      </c>
      <c r="CE291" s="51">
        <f>VLOOKUP(SUM(AV291:AV293,BH291:BH293),'tab aparelhos'!$B$4:$C$35,2)</f>
        <v>0</v>
      </c>
      <c r="CF291" s="51"/>
      <c r="CG291" s="51"/>
      <c r="CH291" s="51"/>
      <c r="CI291" s="51"/>
      <c r="CK291" s="26" t="s">
        <v>42</v>
      </c>
      <c r="CL291" s="83"/>
      <c r="CM291" s="202">
        <f t="shared" ref="CM291:CM308" si="201">SUM(IF($AD$1=$DX$1,AD13,0),IF($AJ$1=$DX$1,AJ13,0),IF($AG$1=$DX$1,AG13,0))</f>
        <v>0</v>
      </c>
      <c r="CN291" s="202">
        <f t="shared" ref="CN291:CN308" si="202">SUM(IF($AD$1=$DX$1,AE13,0),IF($AJ$1=$DX$1,AK13,0),IF($AG$1=$DX$1,AH13,0))</f>
        <v>0</v>
      </c>
      <c r="CO291" s="199">
        <f>CN291*DV291</f>
        <v>0</v>
      </c>
      <c r="CP291" s="193"/>
      <c r="CQ291" s="199">
        <f>SUM(CN291,CZ291)</f>
        <v>0</v>
      </c>
      <c r="CR291" s="193"/>
      <c r="CS291" s="193"/>
      <c r="CT291" s="193"/>
      <c r="CU291" s="193"/>
      <c r="CV291" s="193"/>
      <c r="CW291" s="193"/>
      <c r="CX291" s="193"/>
      <c r="CY291" s="199">
        <f t="shared" ref="CY291:CY308" si="203">SUM(IF(OR($AD$1=$DX$1,$AD$1=$EV$1),0,AD13),IF(OR($AJ$1=$DX$1,$AJ$1=$EV$1),0,AJ13),IF(OR($AG$1=$DX$1,$AG$1=$EV$1),0,AG13))</f>
        <v>0</v>
      </c>
      <c r="CZ291" s="199">
        <f t="shared" ref="CZ291:CZ308" si="204">SUM(IF(OR($AD$1=$DX$1,$AD$1=$EV$1),0,AE13),IF(OR($AJ$1=$DX$1,$AJ$1=$EV$1),0,AK13),IF(OR($AG$1=$DX$1,$AG$1=$EV$1),0,AH13))</f>
        <v>0</v>
      </c>
      <c r="DA291" s="199">
        <f>CZ291*DV291</f>
        <v>0</v>
      </c>
      <c r="DB291" s="193"/>
      <c r="DC291" s="193"/>
      <c r="DD291" s="193"/>
      <c r="DE291" s="193"/>
      <c r="DF291" s="193"/>
      <c r="DG291" s="193"/>
      <c r="DH291" s="193"/>
      <c r="DI291" s="193"/>
      <c r="DJ291" s="193"/>
      <c r="DK291" s="202">
        <f>SUM(IF($AG$1=$EV$1,$AG$13,0),IF($AD$1=$EV$1,$AD$13,0),IF($AJ$1=$EV$1,$AJ$13,0))</f>
        <v>0</v>
      </c>
      <c r="DL291" s="202">
        <f>SUM(IF($AG$1=$EV$1,$AH$13,0),IF($AD$1=$EV$1,$AE$13,0),IF($AJ$1=$EV$1,$AK$13,0))</f>
        <v>0</v>
      </c>
      <c r="DM291" s="199">
        <f>DL291</f>
        <v>0</v>
      </c>
      <c r="DN291" s="193"/>
      <c r="DO291" s="193"/>
      <c r="DP291" s="193"/>
      <c r="DQ291" s="193"/>
      <c r="DR291" s="193"/>
      <c r="DS291" s="35"/>
      <c r="DT291"/>
      <c r="DU291" s="51" t="s">
        <v>42</v>
      </c>
      <c r="DV291" s="51">
        <f>VLOOKUP(SUM(CM291:CM293,CY291:CY293),'tab aparelhos'!$B$4:$C$35,2)</f>
        <v>0</v>
      </c>
      <c r="DW291" s="51"/>
      <c r="DX291" s="51"/>
      <c r="DY291" s="51"/>
    </row>
    <row r="292" spans="1:129" x14ac:dyDescent="0.2">
      <c r="A292" s="51"/>
      <c r="B292"/>
      <c r="C292" s="27" t="s">
        <v>43</v>
      </c>
      <c r="D292" s="83"/>
      <c r="E292" s="202">
        <f t="shared" si="193"/>
        <v>0</v>
      </c>
      <c r="F292" s="202">
        <f t="shared" si="194"/>
        <v>0</v>
      </c>
      <c r="G292" s="199">
        <f t="shared" ref="G292:G308" si="205">F292*AN292</f>
        <v>0</v>
      </c>
      <c r="H292" s="193"/>
      <c r="I292" s="199">
        <f t="shared" ref="I292:I308" si="206">SUM(F292,R292)</f>
        <v>0</v>
      </c>
      <c r="J292" s="193"/>
      <c r="K292" s="193"/>
      <c r="L292" s="193"/>
      <c r="M292" s="193"/>
      <c r="N292" s="193"/>
      <c r="O292" s="193"/>
      <c r="P292" s="193"/>
      <c r="Q292" s="199">
        <f t="shared" si="195"/>
        <v>0</v>
      </c>
      <c r="R292" s="199">
        <f t="shared" si="196"/>
        <v>0</v>
      </c>
      <c r="S292" s="199">
        <f t="shared" ref="S292:S308" si="207">R292*AN292</f>
        <v>0</v>
      </c>
      <c r="T292" s="193"/>
      <c r="U292" s="193"/>
      <c r="V292" s="193"/>
      <c r="W292" s="193"/>
      <c r="X292" s="193"/>
      <c r="Y292" s="193"/>
      <c r="Z292" s="193"/>
      <c r="AA292" s="193"/>
      <c r="AB292" s="193"/>
      <c r="AC292" s="199"/>
      <c r="AD292" s="199"/>
      <c r="AE292" s="199"/>
      <c r="AF292" s="193"/>
      <c r="AG292" s="193"/>
      <c r="AH292" s="193"/>
      <c r="AI292" s="193"/>
      <c r="AJ292" s="193"/>
      <c r="AK292" s="35"/>
      <c r="AM292" s="51" t="s">
        <v>43</v>
      </c>
      <c r="AN292" s="51">
        <f>VLOOKUP(SUM(E291:E293,Q291:Q293),'tab aparelhos'!$B$4:$C$35,2)</f>
        <v>0</v>
      </c>
      <c r="AO292" s="51"/>
      <c r="AP292" s="51"/>
      <c r="AQ292" s="51"/>
      <c r="AR292" s="51"/>
      <c r="AT292" s="27" t="s">
        <v>43</v>
      </c>
      <c r="AU292" s="83"/>
      <c r="AV292" s="202">
        <f t="shared" si="197"/>
        <v>0</v>
      </c>
      <c r="AW292" s="202">
        <f t="shared" si="198"/>
        <v>0</v>
      </c>
      <c r="AX292" s="199">
        <f t="shared" ref="AX292:AX308" si="208">AW292*CE292</f>
        <v>0</v>
      </c>
      <c r="AY292" s="193"/>
      <c r="AZ292" s="199">
        <f t="shared" ref="AZ292:AZ308" si="209">SUM(AW292,BI292)</f>
        <v>0</v>
      </c>
      <c r="BA292" s="193"/>
      <c r="BB292" s="193"/>
      <c r="BC292" s="193"/>
      <c r="BD292" s="193"/>
      <c r="BE292" s="193"/>
      <c r="BF292" s="193"/>
      <c r="BG292" s="193"/>
      <c r="BH292" s="199">
        <f t="shared" si="199"/>
        <v>0</v>
      </c>
      <c r="BI292" s="199">
        <f t="shared" si="200"/>
        <v>0</v>
      </c>
      <c r="BJ292" s="199">
        <f t="shared" ref="BJ292:BJ308" si="210">BI292*CE292</f>
        <v>0</v>
      </c>
      <c r="BK292" s="193"/>
      <c r="BL292" s="193"/>
      <c r="BM292" s="193"/>
      <c r="BN292" s="193"/>
      <c r="BO292" s="193"/>
      <c r="BP292" s="193"/>
      <c r="BQ292" s="193"/>
      <c r="BR292" s="193"/>
      <c r="BS292" s="193"/>
      <c r="BT292" s="199"/>
      <c r="BU292" s="199"/>
      <c r="BV292" s="199"/>
      <c r="BW292" s="193"/>
      <c r="BX292" s="193"/>
      <c r="BY292" s="193"/>
      <c r="BZ292" s="193"/>
      <c r="CA292" s="193"/>
      <c r="CB292" s="35"/>
      <c r="CC292"/>
      <c r="CD292" s="51" t="s">
        <v>43</v>
      </c>
      <c r="CE292" s="51">
        <f>VLOOKUP(SUM(AV291:AV293,BH291:BH293),'tab aparelhos'!$B$4:$C$35,2)</f>
        <v>0</v>
      </c>
      <c r="CF292" s="51"/>
      <c r="CG292" s="51"/>
      <c r="CH292" s="51"/>
      <c r="CI292" s="51"/>
      <c r="CK292" s="27" t="s">
        <v>43</v>
      </c>
      <c r="CL292" s="83"/>
      <c r="CM292" s="202">
        <f t="shared" si="201"/>
        <v>0</v>
      </c>
      <c r="CN292" s="202">
        <f t="shared" si="202"/>
        <v>0</v>
      </c>
      <c r="CO292" s="199">
        <f t="shared" ref="CO292:CO308" si="211">CN292*DV292</f>
        <v>0</v>
      </c>
      <c r="CP292" s="193"/>
      <c r="CQ292" s="199">
        <f t="shared" ref="CQ292:CQ308" si="212">SUM(CN292,CZ292)</f>
        <v>0</v>
      </c>
      <c r="CR292" s="193"/>
      <c r="CS292" s="193"/>
      <c r="CT292" s="193"/>
      <c r="CU292" s="193"/>
      <c r="CV292" s="193"/>
      <c r="CW292" s="193"/>
      <c r="CX292" s="193"/>
      <c r="CY292" s="199">
        <f t="shared" si="203"/>
        <v>0</v>
      </c>
      <c r="CZ292" s="199">
        <f t="shared" si="204"/>
        <v>0</v>
      </c>
      <c r="DA292" s="199">
        <f t="shared" ref="DA292:DA308" si="213">CZ292*DV292</f>
        <v>0</v>
      </c>
      <c r="DB292" s="193"/>
      <c r="DC292" s="193"/>
      <c r="DD292" s="193"/>
      <c r="DE292" s="193"/>
      <c r="DF292" s="193"/>
      <c r="DG292" s="193"/>
      <c r="DH292" s="193"/>
      <c r="DI292" s="193"/>
      <c r="DJ292" s="193"/>
      <c r="DK292" s="199"/>
      <c r="DL292" s="199"/>
      <c r="DM292" s="199"/>
      <c r="DN292" s="193"/>
      <c r="DO292" s="193"/>
      <c r="DP292" s="193"/>
      <c r="DQ292" s="193"/>
      <c r="DR292" s="193"/>
      <c r="DS292" s="35"/>
      <c r="DT292"/>
      <c r="DU292" s="51" t="s">
        <v>43</v>
      </c>
      <c r="DV292" s="51">
        <f>VLOOKUP(SUM(CM291:CM293,CY291:CY293),'tab aparelhos'!$B$4:$C$35,2)</f>
        <v>0</v>
      </c>
      <c r="DW292" s="51"/>
      <c r="DX292" s="51"/>
      <c r="DY292" s="51"/>
    </row>
    <row r="293" spans="1:129" x14ac:dyDescent="0.2">
      <c r="A293" s="51"/>
      <c r="B293"/>
      <c r="C293" s="27" t="s">
        <v>44</v>
      </c>
      <c r="D293" s="83"/>
      <c r="E293" s="202">
        <f t="shared" si="193"/>
        <v>0</v>
      </c>
      <c r="F293" s="202">
        <f t="shared" si="194"/>
        <v>0</v>
      </c>
      <c r="G293" s="199">
        <f t="shared" si="205"/>
        <v>0</v>
      </c>
      <c r="H293" s="193"/>
      <c r="I293" s="199">
        <f t="shared" si="206"/>
        <v>0</v>
      </c>
      <c r="J293" s="193"/>
      <c r="K293" s="193"/>
      <c r="L293" s="193"/>
      <c r="M293" s="193"/>
      <c r="N293" s="193"/>
      <c r="O293" s="193"/>
      <c r="P293" s="193"/>
      <c r="Q293" s="199">
        <f t="shared" si="195"/>
        <v>0</v>
      </c>
      <c r="R293" s="199">
        <f t="shared" si="196"/>
        <v>0</v>
      </c>
      <c r="S293" s="199">
        <f t="shared" si="207"/>
        <v>0</v>
      </c>
      <c r="T293" s="193"/>
      <c r="U293" s="193"/>
      <c r="V293" s="193"/>
      <c r="W293" s="193"/>
      <c r="X293" s="193"/>
      <c r="Y293" s="193"/>
      <c r="Z293" s="193"/>
      <c r="AA293" s="193"/>
      <c r="AB293" s="193"/>
      <c r="AC293" s="199"/>
      <c r="AD293" s="199"/>
      <c r="AE293" s="199"/>
      <c r="AF293" s="193"/>
      <c r="AG293" s="193"/>
      <c r="AH293" s="193"/>
      <c r="AI293" s="193"/>
      <c r="AJ293" s="193"/>
      <c r="AK293" s="35"/>
      <c r="AM293" s="51" t="s">
        <v>44</v>
      </c>
      <c r="AN293" s="51">
        <f>VLOOKUP(SUM(E291:E293,Q291:Q293),'tab aparelhos'!$B$4:$C$35,2)</f>
        <v>0</v>
      </c>
      <c r="AO293" s="51"/>
      <c r="AP293" s="51"/>
      <c r="AQ293" s="51"/>
      <c r="AR293" s="51"/>
      <c r="AT293" s="27" t="s">
        <v>44</v>
      </c>
      <c r="AU293" s="83"/>
      <c r="AV293" s="202">
        <f t="shared" si="197"/>
        <v>0</v>
      </c>
      <c r="AW293" s="202">
        <f t="shared" si="198"/>
        <v>0</v>
      </c>
      <c r="AX293" s="199">
        <f t="shared" si="208"/>
        <v>0</v>
      </c>
      <c r="AY293" s="193"/>
      <c r="AZ293" s="199">
        <f t="shared" si="209"/>
        <v>0</v>
      </c>
      <c r="BA293" s="193"/>
      <c r="BB293" s="193"/>
      <c r="BC293" s="193"/>
      <c r="BD293" s="193"/>
      <c r="BE293" s="193"/>
      <c r="BF293" s="193"/>
      <c r="BG293" s="193"/>
      <c r="BH293" s="199">
        <f t="shared" si="199"/>
        <v>0</v>
      </c>
      <c r="BI293" s="199">
        <f t="shared" si="200"/>
        <v>0</v>
      </c>
      <c r="BJ293" s="199">
        <f t="shared" si="210"/>
        <v>0</v>
      </c>
      <c r="BK293" s="193"/>
      <c r="BL293" s="193"/>
      <c r="BM293" s="193"/>
      <c r="BN293" s="193"/>
      <c r="BO293" s="193"/>
      <c r="BP293" s="193"/>
      <c r="BQ293" s="193"/>
      <c r="BR293" s="193"/>
      <c r="BS293" s="193"/>
      <c r="BT293" s="199"/>
      <c r="BU293" s="199"/>
      <c r="BV293" s="199"/>
      <c r="BW293" s="193"/>
      <c r="BX293" s="193"/>
      <c r="BY293" s="193"/>
      <c r="BZ293" s="193"/>
      <c r="CA293" s="193"/>
      <c r="CB293" s="35"/>
      <c r="CC293"/>
      <c r="CD293" s="51" t="s">
        <v>44</v>
      </c>
      <c r="CE293" s="51">
        <f>VLOOKUP(SUM(AV291:AV293,BH291:BH293),'tab aparelhos'!$B$4:$C$35,2)</f>
        <v>0</v>
      </c>
      <c r="CF293" s="51"/>
      <c r="CG293" s="51"/>
      <c r="CH293" s="51"/>
      <c r="CI293" s="51"/>
      <c r="CK293" s="27" t="s">
        <v>44</v>
      </c>
      <c r="CL293" s="83"/>
      <c r="CM293" s="202">
        <f t="shared" si="201"/>
        <v>0</v>
      </c>
      <c r="CN293" s="202">
        <f t="shared" si="202"/>
        <v>0</v>
      </c>
      <c r="CO293" s="199">
        <f t="shared" si="211"/>
        <v>0</v>
      </c>
      <c r="CP293" s="193"/>
      <c r="CQ293" s="199">
        <f t="shared" si="212"/>
        <v>0</v>
      </c>
      <c r="CR293" s="193"/>
      <c r="CS293" s="193"/>
      <c r="CT293" s="193"/>
      <c r="CU293" s="193"/>
      <c r="CV293" s="193"/>
      <c r="CW293" s="193"/>
      <c r="CX293" s="193"/>
      <c r="CY293" s="199">
        <f t="shared" si="203"/>
        <v>0</v>
      </c>
      <c r="CZ293" s="199">
        <f t="shared" si="204"/>
        <v>0</v>
      </c>
      <c r="DA293" s="199">
        <f t="shared" si="213"/>
        <v>0</v>
      </c>
      <c r="DB293" s="193"/>
      <c r="DC293" s="193"/>
      <c r="DD293" s="193"/>
      <c r="DE293" s="193"/>
      <c r="DF293" s="193"/>
      <c r="DG293" s="193"/>
      <c r="DH293" s="193"/>
      <c r="DI293" s="193"/>
      <c r="DJ293" s="193"/>
      <c r="DK293" s="199"/>
      <c r="DL293" s="199"/>
      <c r="DM293" s="199"/>
      <c r="DN293" s="193"/>
      <c r="DO293" s="193"/>
      <c r="DP293" s="193"/>
      <c r="DQ293" s="193"/>
      <c r="DR293" s="193"/>
      <c r="DS293" s="35"/>
      <c r="DT293"/>
      <c r="DU293" s="51" t="s">
        <v>44</v>
      </c>
      <c r="DV293" s="51">
        <f>VLOOKUP(SUM(CM291:CM293,CY291:CY293),'tab aparelhos'!$B$4:$C$35,2)</f>
        <v>0</v>
      </c>
      <c r="DW293" s="51"/>
      <c r="DX293" s="51"/>
      <c r="DY293" s="51"/>
    </row>
    <row r="294" spans="1:129" x14ac:dyDescent="0.2">
      <c r="A294" s="51"/>
      <c r="B294"/>
      <c r="C294" s="27" t="s">
        <v>45</v>
      </c>
      <c r="D294" s="83"/>
      <c r="E294" s="202">
        <f t="shared" si="193"/>
        <v>0</v>
      </c>
      <c r="F294" s="202">
        <f t="shared" si="194"/>
        <v>0</v>
      </c>
      <c r="G294" s="199">
        <f t="shared" si="205"/>
        <v>0</v>
      </c>
      <c r="H294" s="193"/>
      <c r="I294" s="199">
        <f t="shared" si="206"/>
        <v>0</v>
      </c>
      <c r="J294" s="193"/>
      <c r="K294" s="193"/>
      <c r="L294" s="193"/>
      <c r="M294" s="193"/>
      <c r="N294" s="193"/>
      <c r="O294" s="193"/>
      <c r="P294" s="193"/>
      <c r="Q294" s="199">
        <f t="shared" si="195"/>
        <v>0</v>
      </c>
      <c r="R294" s="199">
        <f t="shared" si="196"/>
        <v>0</v>
      </c>
      <c r="S294" s="199">
        <f t="shared" si="207"/>
        <v>0</v>
      </c>
      <c r="T294" s="193"/>
      <c r="U294" s="193"/>
      <c r="V294" s="193"/>
      <c r="W294" s="193"/>
      <c r="X294" s="193"/>
      <c r="Y294" s="193"/>
      <c r="Z294" s="193"/>
      <c r="AA294" s="193"/>
      <c r="AB294" s="193"/>
      <c r="AC294" s="199"/>
      <c r="AD294" s="199"/>
      <c r="AE294" s="199"/>
      <c r="AF294" s="193"/>
      <c r="AG294" s="193"/>
      <c r="AH294" s="193"/>
      <c r="AI294" s="193"/>
      <c r="AJ294" s="193"/>
      <c r="AK294" s="35"/>
      <c r="AM294" s="51" t="s">
        <v>45</v>
      </c>
      <c r="AN294" s="51">
        <f>VLOOKUP(E294+E295+Q294+Q295,'tab aparelhos'!$E$4:$F$35,2)</f>
        <v>0</v>
      </c>
      <c r="AO294" s="51"/>
      <c r="AP294" s="51"/>
      <c r="AQ294" s="51"/>
      <c r="AR294" s="51"/>
      <c r="AT294" s="27" t="s">
        <v>45</v>
      </c>
      <c r="AU294" s="83"/>
      <c r="AV294" s="202">
        <f t="shared" si="197"/>
        <v>0</v>
      </c>
      <c r="AW294" s="202">
        <f t="shared" si="198"/>
        <v>0</v>
      </c>
      <c r="AX294" s="199">
        <f t="shared" si="208"/>
        <v>0</v>
      </c>
      <c r="AY294" s="193"/>
      <c r="AZ294" s="199">
        <f t="shared" si="209"/>
        <v>0</v>
      </c>
      <c r="BA294" s="193"/>
      <c r="BB294" s="193"/>
      <c r="BC294" s="193"/>
      <c r="BD294" s="193"/>
      <c r="BE294" s="193"/>
      <c r="BF294" s="193"/>
      <c r="BG294" s="193"/>
      <c r="BH294" s="199">
        <f t="shared" si="199"/>
        <v>0</v>
      </c>
      <c r="BI294" s="199">
        <f t="shared" si="200"/>
        <v>0</v>
      </c>
      <c r="BJ294" s="199">
        <f t="shared" si="210"/>
        <v>0</v>
      </c>
      <c r="BK294" s="193"/>
      <c r="BL294" s="193"/>
      <c r="BM294" s="193"/>
      <c r="BN294" s="193"/>
      <c r="BO294" s="193"/>
      <c r="BP294" s="193"/>
      <c r="BQ294" s="193"/>
      <c r="BR294" s="193"/>
      <c r="BS294" s="193"/>
      <c r="BT294" s="199"/>
      <c r="BU294" s="199"/>
      <c r="BV294" s="199"/>
      <c r="BW294" s="193"/>
      <c r="BX294" s="193"/>
      <c r="BY294" s="193"/>
      <c r="BZ294" s="193"/>
      <c r="CA294" s="193"/>
      <c r="CB294" s="35"/>
      <c r="CC294"/>
      <c r="CD294" s="51" t="s">
        <v>45</v>
      </c>
      <c r="CE294" s="51">
        <f>VLOOKUP(AV294+AV295+BH294+BH295,'tab aparelhos'!$E$4:$F$35,2)</f>
        <v>0</v>
      </c>
      <c r="CF294" s="51"/>
      <c r="CG294" s="51"/>
      <c r="CH294" s="51"/>
      <c r="CI294" s="51"/>
      <c r="CK294" s="27" t="s">
        <v>45</v>
      </c>
      <c r="CL294" s="83"/>
      <c r="CM294" s="202">
        <f t="shared" si="201"/>
        <v>0</v>
      </c>
      <c r="CN294" s="202">
        <f t="shared" si="202"/>
        <v>0</v>
      </c>
      <c r="CO294" s="199">
        <f t="shared" si="211"/>
        <v>0</v>
      </c>
      <c r="CP294" s="193"/>
      <c r="CQ294" s="199">
        <f t="shared" si="212"/>
        <v>0</v>
      </c>
      <c r="CR294" s="193"/>
      <c r="CS294" s="193"/>
      <c r="CT294" s="193"/>
      <c r="CU294" s="193"/>
      <c r="CV294" s="193"/>
      <c r="CW294" s="193"/>
      <c r="CX294" s="193"/>
      <c r="CY294" s="199">
        <f t="shared" si="203"/>
        <v>0</v>
      </c>
      <c r="CZ294" s="199">
        <f t="shared" si="204"/>
        <v>0</v>
      </c>
      <c r="DA294" s="199">
        <f t="shared" si="213"/>
        <v>0</v>
      </c>
      <c r="DB294" s="193"/>
      <c r="DC294" s="193"/>
      <c r="DD294" s="193"/>
      <c r="DE294" s="193"/>
      <c r="DF294" s="193"/>
      <c r="DG294" s="193"/>
      <c r="DH294" s="193"/>
      <c r="DI294" s="193"/>
      <c r="DJ294" s="193"/>
      <c r="DK294" s="199"/>
      <c r="DL294" s="199"/>
      <c r="DM294" s="199"/>
      <c r="DN294" s="193"/>
      <c r="DO294" s="193"/>
      <c r="DP294" s="193"/>
      <c r="DQ294" s="193"/>
      <c r="DR294" s="193"/>
      <c r="DS294" s="35"/>
      <c r="DT294"/>
      <c r="DU294" s="51" t="s">
        <v>45</v>
      </c>
      <c r="DV294" s="51">
        <f>VLOOKUP(CM294+CM295+CY294+CY295,'tab aparelhos'!$E$4:$F$35,2)</f>
        <v>0</v>
      </c>
      <c r="DW294" s="51"/>
      <c r="DX294" s="51"/>
      <c r="DY294" s="51"/>
    </row>
    <row r="295" spans="1:129" x14ac:dyDescent="0.2">
      <c r="A295" s="51"/>
      <c r="B295"/>
      <c r="C295" s="27" t="s">
        <v>46</v>
      </c>
      <c r="D295" s="83"/>
      <c r="E295" s="202">
        <f t="shared" si="193"/>
        <v>0</v>
      </c>
      <c r="F295" s="202">
        <f t="shared" si="194"/>
        <v>0</v>
      </c>
      <c r="G295" s="199">
        <f t="shared" si="205"/>
        <v>0</v>
      </c>
      <c r="H295" s="193"/>
      <c r="I295" s="199">
        <f t="shared" si="206"/>
        <v>0</v>
      </c>
      <c r="J295" s="193"/>
      <c r="K295" s="193"/>
      <c r="L295" s="193"/>
      <c r="M295" s="193"/>
      <c r="N295" s="193"/>
      <c r="O295" s="193"/>
      <c r="P295" s="193"/>
      <c r="Q295" s="199">
        <f t="shared" si="195"/>
        <v>0</v>
      </c>
      <c r="R295" s="199">
        <f t="shared" si="196"/>
        <v>0</v>
      </c>
      <c r="S295" s="199">
        <f t="shared" si="207"/>
        <v>0</v>
      </c>
      <c r="T295" s="193"/>
      <c r="U295" s="193"/>
      <c r="V295" s="193"/>
      <c r="W295" s="193"/>
      <c r="X295" s="193"/>
      <c r="Y295" s="193"/>
      <c r="Z295" s="193"/>
      <c r="AA295" s="193"/>
      <c r="AB295" s="193"/>
      <c r="AC295" s="199"/>
      <c r="AD295" s="199"/>
      <c r="AE295" s="199"/>
      <c r="AF295" s="193"/>
      <c r="AG295" s="193"/>
      <c r="AH295" s="193"/>
      <c r="AI295" s="193"/>
      <c r="AJ295" s="193"/>
      <c r="AK295" s="35"/>
      <c r="AM295" s="51" t="s">
        <v>46</v>
      </c>
      <c r="AN295" s="51">
        <f>VLOOKUP(E295+E294+Q294+Q295,'tab aparelhos'!$E$4:$F$35,2)</f>
        <v>0</v>
      </c>
      <c r="AO295" s="51"/>
      <c r="AP295" s="51"/>
      <c r="AQ295" s="51"/>
      <c r="AR295" s="51"/>
      <c r="AT295" s="27" t="s">
        <v>46</v>
      </c>
      <c r="AU295" s="83"/>
      <c r="AV295" s="202">
        <f t="shared" si="197"/>
        <v>0</v>
      </c>
      <c r="AW295" s="202">
        <f t="shared" si="198"/>
        <v>0</v>
      </c>
      <c r="AX295" s="199">
        <f t="shared" si="208"/>
        <v>0</v>
      </c>
      <c r="AY295" s="193"/>
      <c r="AZ295" s="199">
        <f t="shared" si="209"/>
        <v>0</v>
      </c>
      <c r="BA295" s="193"/>
      <c r="BB295" s="193"/>
      <c r="BC295" s="193"/>
      <c r="BD295" s="193"/>
      <c r="BE295" s="193"/>
      <c r="BF295" s="193"/>
      <c r="BG295" s="193"/>
      <c r="BH295" s="199">
        <f t="shared" si="199"/>
        <v>0</v>
      </c>
      <c r="BI295" s="199">
        <f t="shared" si="200"/>
        <v>0</v>
      </c>
      <c r="BJ295" s="199">
        <f t="shared" si="210"/>
        <v>0</v>
      </c>
      <c r="BK295" s="193"/>
      <c r="BL295" s="193"/>
      <c r="BM295" s="193"/>
      <c r="BN295" s="193"/>
      <c r="BO295" s="193"/>
      <c r="BP295" s="193"/>
      <c r="BQ295" s="193"/>
      <c r="BR295" s="193"/>
      <c r="BS295" s="193"/>
      <c r="BT295" s="199"/>
      <c r="BU295" s="199"/>
      <c r="BV295" s="199"/>
      <c r="BW295" s="193"/>
      <c r="BX295" s="193"/>
      <c r="BY295" s="193"/>
      <c r="BZ295" s="193"/>
      <c r="CA295" s="193"/>
      <c r="CB295" s="35"/>
      <c r="CC295"/>
      <c r="CD295" s="51" t="s">
        <v>46</v>
      </c>
      <c r="CE295" s="51">
        <f>VLOOKUP(AV295+AV294+BH294+BH295,'tab aparelhos'!$E$4:$F$35,2)</f>
        <v>0</v>
      </c>
      <c r="CF295" s="51"/>
      <c r="CG295" s="51"/>
      <c r="CH295" s="51"/>
      <c r="CI295" s="51"/>
      <c r="CK295" s="27" t="s">
        <v>46</v>
      </c>
      <c r="CL295" s="83"/>
      <c r="CM295" s="202">
        <f t="shared" si="201"/>
        <v>0</v>
      </c>
      <c r="CN295" s="202">
        <f t="shared" si="202"/>
        <v>0</v>
      </c>
      <c r="CO295" s="199">
        <f t="shared" si="211"/>
        <v>0</v>
      </c>
      <c r="CP295" s="193"/>
      <c r="CQ295" s="199">
        <f t="shared" si="212"/>
        <v>0</v>
      </c>
      <c r="CR295" s="193"/>
      <c r="CS295" s="193"/>
      <c r="CT295" s="193"/>
      <c r="CU295" s="193"/>
      <c r="CV295" s="193"/>
      <c r="CW295" s="193"/>
      <c r="CX295" s="193"/>
      <c r="CY295" s="199">
        <f t="shared" si="203"/>
        <v>0</v>
      </c>
      <c r="CZ295" s="199">
        <f t="shared" si="204"/>
        <v>0</v>
      </c>
      <c r="DA295" s="199">
        <f t="shared" si="213"/>
        <v>0</v>
      </c>
      <c r="DB295" s="193"/>
      <c r="DC295" s="193"/>
      <c r="DD295" s="193"/>
      <c r="DE295" s="193"/>
      <c r="DF295" s="193"/>
      <c r="DG295" s="193"/>
      <c r="DH295" s="193"/>
      <c r="DI295" s="193"/>
      <c r="DJ295" s="193"/>
      <c r="DK295" s="199"/>
      <c r="DL295" s="199"/>
      <c r="DM295" s="199"/>
      <c r="DN295" s="193"/>
      <c r="DO295" s="193"/>
      <c r="DP295" s="193"/>
      <c r="DQ295" s="193"/>
      <c r="DR295" s="193"/>
      <c r="DS295" s="35"/>
      <c r="DT295"/>
      <c r="DU295" s="51" t="s">
        <v>46</v>
      </c>
      <c r="DV295" s="51">
        <f>VLOOKUP(CM295+CM294+CY294+CY295,'tab aparelhos'!$E$4:$F$35,2)</f>
        <v>0</v>
      </c>
      <c r="DW295" s="51"/>
      <c r="DX295" s="51"/>
      <c r="DY295" s="51"/>
    </row>
    <row r="296" spans="1:129" x14ac:dyDescent="0.2">
      <c r="A296" s="51"/>
      <c r="B296"/>
      <c r="C296" s="27" t="s">
        <v>47</v>
      </c>
      <c r="D296" s="83"/>
      <c r="E296" s="202">
        <f t="shared" si="193"/>
        <v>0</v>
      </c>
      <c r="F296" s="202">
        <f t="shared" si="194"/>
        <v>0</v>
      </c>
      <c r="G296" s="199">
        <f t="shared" si="205"/>
        <v>0</v>
      </c>
      <c r="H296" s="193"/>
      <c r="I296" s="199">
        <f t="shared" si="206"/>
        <v>0</v>
      </c>
      <c r="J296" s="193"/>
      <c r="K296" s="193"/>
      <c r="L296" s="193"/>
      <c r="M296" s="193"/>
      <c r="N296" s="193"/>
      <c r="O296" s="193"/>
      <c r="P296" s="193"/>
      <c r="Q296" s="199">
        <f t="shared" si="195"/>
        <v>0</v>
      </c>
      <c r="R296" s="199">
        <f t="shared" si="196"/>
        <v>0</v>
      </c>
      <c r="S296" s="199">
        <f t="shared" si="207"/>
        <v>0</v>
      </c>
      <c r="T296" s="193"/>
      <c r="U296" s="193"/>
      <c r="V296" s="193"/>
      <c r="W296" s="193"/>
      <c r="X296" s="193"/>
      <c r="Y296" s="193"/>
      <c r="Z296" s="193"/>
      <c r="AA296" s="193"/>
      <c r="AB296" s="193"/>
      <c r="AC296" s="199"/>
      <c r="AD296" s="199"/>
      <c r="AE296" s="199"/>
      <c r="AF296" s="193"/>
      <c r="AG296" s="193"/>
      <c r="AH296" s="193"/>
      <c r="AI296" s="193"/>
      <c r="AJ296" s="193"/>
      <c r="AK296" s="35"/>
      <c r="AM296" s="51" t="s">
        <v>47</v>
      </c>
      <c r="AN296" s="51">
        <f>VLOOKUP(E296+Q296,'tab aparelhos'!$K$4:$L$35,2)</f>
        <v>0</v>
      </c>
      <c r="AO296" s="51"/>
      <c r="AP296" s="51"/>
      <c r="AQ296" s="51"/>
      <c r="AR296" s="51"/>
      <c r="AT296" s="27" t="s">
        <v>47</v>
      </c>
      <c r="AU296" s="83"/>
      <c r="AV296" s="202">
        <f t="shared" si="197"/>
        <v>0</v>
      </c>
      <c r="AW296" s="202">
        <f t="shared" si="198"/>
        <v>0</v>
      </c>
      <c r="AX296" s="199">
        <f t="shared" si="208"/>
        <v>0</v>
      </c>
      <c r="AY296" s="193"/>
      <c r="AZ296" s="199">
        <f t="shared" si="209"/>
        <v>0</v>
      </c>
      <c r="BA296" s="193"/>
      <c r="BB296" s="193"/>
      <c r="BC296" s="193"/>
      <c r="BD296" s="193"/>
      <c r="BE296" s="193"/>
      <c r="BF296" s="193"/>
      <c r="BG296" s="193"/>
      <c r="BH296" s="199">
        <f t="shared" si="199"/>
        <v>0</v>
      </c>
      <c r="BI296" s="199">
        <f t="shared" si="200"/>
        <v>0</v>
      </c>
      <c r="BJ296" s="199">
        <f t="shared" si="210"/>
        <v>0</v>
      </c>
      <c r="BK296" s="193"/>
      <c r="BL296" s="193"/>
      <c r="BM296" s="193"/>
      <c r="BN296" s="193"/>
      <c r="BO296" s="193"/>
      <c r="BP296" s="193"/>
      <c r="BQ296" s="193"/>
      <c r="BR296" s="193"/>
      <c r="BS296" s="193"/>
      <c r="BT296" s="199"/>
      <c r="BU296" s="199"/>
      <c r="BV296" s="199"/>
      <c r="BW296" s="193"/>
      <c r="BX296" s="193"/>
      <c r="BY296" s="193"/>
      <c r="BZ296" s="193"/>
      <c r="CA296" s="193"/>
      <c r="CB296" s="35"/>
      <c r="CC296"/>
      <c r="CD296" s="51" t="s">
        <v>47</v>
      </c>
      <c r="CE296" s="51">
        <f>VLOOKUP(AV296+BH296,'tab aparelhos'!$K$4:$L$35,2)</f>
        <v>0</v>
      </c>
      <c r="CF296" s="51"/>
      <c r="CG296" s="51"/>
      <c r="CH296" s="51"/>
      <c r="CI296" s="51"/>
      <c r="CK296" s="27" t="s">
        <v>47</v>
      </c>
      <c r="CL296" s="83"/>
      <c r="CM296" s="202">
        <f t="shared" si="201"/>
        <v>0</v>
      </c>
      <c r="CN296" s="202">
        <f t="shared" si="202"/>
        <v>0</v>
      </c>
      <c r="CO296" s="199">
        <f t="shared" si="211"/>
        <v>0</v>
      </c>
      <c r="CP296" s="193"/>
      <c r="CQ296" s="199">
        <f t="shared" si="212"/>
        <v>0</v>
      </c>
      <c r="CR296" s="193"/>
      <c r="CS296" s="193"/>
      <c r="CT296" s="193"/>
      <c r="CU296" s="193"/>
      <c r="CV296" s="193"/>
      <c r="CW296" s="193"/>
      <c r="CX296" s="193"/>
      <c r="CY296" s="199">
        <f t="shared" si="203"/>
        <v>0</v>
      </c>
      <c r="CZ296" s="199">
        <f t="shared" si="204"/>
        <v>0</v>
      </c>
      <c r="DA296" s="199">
        <f t="shared" si="213"/>
        <v>0</v>
      </c>
      <c r="DB296" s="193"/>
      <c r="DC296" s="193"/>
      <c r="DD296" s="193"/>
      <c r="DE296" s="193"/>
      <c r="DF296" s="193"/>
      <c r="DG296" s="193"/>
      <c r="DH296" s="193"/>
      <c r="DI296" s="193"/>
      <c r="DJ296" s="193"/>
      <c r="DK296" s="199"/>
      <c r="DL296" s="199"/>
      <c r="DM296" s="199"/>
      <c r="DN296" s="193"/>
      <c r="DO296" s="193"/>
      <c r="DP296" s="193"/>
      <c r="DQ296" s="193"/>
      <c r="DR296" s="193"/>
      <c r="DS296" s="35"/>
      <c r="DT296"/>
      <c r="DU296" s="51" t="s">
        <v>47</v>
      </c>
      <c r="DV296" s="51">
        <f>VLOOKUP(CM296+CY296,'tab aparelhos'!$K$4:$L$35,2)</f>
        <v>0</v>
      </c>
      <c r="DW296" s="51"/>
      <c r="DX296" s="51"/>
      <c r="DY296" s="51"/>
    </row>
    <row r="297" spans="1:129" x14ac:dyDescent="0.2">
      <c r="A297" s="51"/>
      <c r="B297"/>
      <c r="C297" s="27" t="s">
        <v>48</v>
      </c>
      <c r="D297" s="83"/>
      <c r="E297" s="202">
        <f t="shared" si="193"/>
        <v>0</v>
      </c>
      <c r="F297" s="202">
        <f t="shared" si="194"/>
        <v>0</v>
      </c>
      <c r="G297" s="199">
        <f t="shared" si="205"/>
        <v>0</v>
      </c>
      <c r="H297" s="193"/>
      <c r="I297" s="199">
        <f t="shared" si="206"/>
        <v>0</v>
      </c>
      <c r="J297" s="193"/>
      <c r="K297" s="193"/>
      <c r="L297" s="193"/>
      <c r="M297" s="193"/>
      <c r="N297" s="193"/>
      <c r="O297" s="193"/>
      <c r="P297" s="193"/>
      <c r="Q297" s="199">
        <f t="shared" si="195"/>
        <v>0</v>
      </c>
      <c r="R297" s="199">
        <f t="shared" si="196"/>
        <v>0</v>
      </c>
      <c r="S297" s="199">
        <f t="shared" si="207"/>
        <v>0</v>
      </c>
      <c r="T297" s="193"/>
      <c r="U297" s="193"/>
      <c r="V297" s="193"/>
      <c r="W297" s="193"/>
      <c r="X297" s="193"/>
      <c r="Y297" s="193"/>
      <c r="Z297" s="193"/>
      <c r="AA297" s="193"/>
      <c r="AB297" s="193"/>
      <c r="AC297" s="199"/>
      <c r="AD297" s="199"/>
      <c r="AE297" s="199"/>
      <c r="AF297" s="193"/>
      <c r="AG297" s="193"/>
      <c r="AH297" s="193"/>
      <c r="AI297" s="193"/>
      <c r="AJ297" s="193"/>
      <c r="AK297" s="35"/>
      <c r="AM297" s="51" t="s">
        <v>48</v>
      </c>
      <c r="AN297" s="51">
        <f>VLOOKUP(E297+E298+Q297+Q298,'tab aparelhos'!$N$4:$O$35,2)</f>
        <v>0</v>
      </c>
      <c r="AO297" s="51"/>
      <c r="AP297" s="51"/>
      <c r="AQ297" s="51"/>
      <c r="AR297" s="51"/>
      <c r="AT297" s="27" t="s">
        <v>48</v>
      </c>
      <c r="AU297" s="83"/>
      <c r="AV297" s="202">
        <f t="shared" si="197"/>
        <v>0</v>
      </c>
      <c r="AW297" s="202">
        <f t="shared" si="198"/>
        <v>0</v>
      </c>
      <c r="AX297" s="199">
        <f t="shared" si="208"/>
        <v>0</v>
      </c>
      <c r="AY297" s="193"/>
      <c r="AZ297" s="199">
        <f t="shared" si="209"/>
        <v>0</v>
      </c>
      <c r="BA297" s="193"/>
      <c r="BB297" s="193"/>
      <c r="BC297" s="193"/>
      <c r="BD297" s="193"/>
      <c r="BE297" s="193"/>
      <c r="BF297" s="193"/>
      <c r="BG297" s="193"/>
      <c r="BH297" s="199">
        <f t="shared" si="199"/>
        <v>0</v>
      </c>
      <c r="BI297" s="199">
        <f t="shared" si="200"/>
        <v>0</v>
      </c>
      <c r="BJ297" s="199">
        <f t="shared" si="210"/>
        <v>0</v>
      </c>
      <c r="BK297" s="193"/>
      <c r="BL297" s="193"/>
      <c r="BM297" s="193"/>
      <c r="BN297" s="193"/>
      <c r="BO297" s="193"/>
      <c r="BP297" s="193"/>
      <c r="BQ297" s="193"/>
      <c r="BR297" s="193"/>
      <c r="BS297" s="193"/>
      <c r="BT297" s="199"/>
      <c r="BU297" s="199"/>
      <c r="BV297" s="199"/>
      <c r="BW297" s="193"/>
      <c r="BX297" s="193"/>
      <c r="BY297" s="193"/>
      <c r="BZ297" s="193"/>
      <c r="CA297" s="193"/>
      <c r="CB297" s="35"/>
      <c r="CC297"/>
      <c r="CD297" s="51" t="s">
        <v>48</v>
      </c>
      <c r="CE297" s="51">
        <f>VLOOKUP(AV297+AV298+BH297+BH298,'tab aparelhos'!$N$4:$O$35,2)</f>
        <v>0</v>
      </c>
      <c r="CF297" s="51"/>
      <c r="CG297" s="51"/>
      <c r="CH297" s="51"/>
      <c r="CI297" s="51"/>
      <c r="CK297" s="27" t="s">
        <v>48</v>
      </c>
      <c r="CL297" s="83"/>
      <c r="CM297" s="202">
        <f t="shared" si="201"/>
        <v>0</v>
      </c>
      <c r="CN297" s="202">
        <f t="shared" si="202"/>
        <v>0</v>
      </c>
      <c r="CO297" s="199">
        <f t="shared" si="211"/>
        <v>0</v>
      </c>
      <c r="CP297" s="193"/>
      <c r="CQ297" s="199">
        <f t="shared" si="212"/>
        <v>0</v>
      </c>
      <c r="CR297" s="193"/>
      <c r="CS297" s="193"/>
      <c r="CT297" s="193"/>
      <c r="CU297" s="193"/>
      <c r="CV297" s="193"/>
      <c r="CW297" s="193"/>
      <c r="CX297" s="193"/>
      <c r="CY297" s="199">
        <f t="shared" si="203"/>
        <v>0</v>
      </c>
      <c r="CZ297" s="199">
        <f t="shared" si="204"/>
        <v>0</v>
      </c>
      <c r="DA297" s="199">
        <f t="shared" si="213"/>
        <v>0</v>
      </c>
      <c r="DB297" s="193"/>
      <c r="DC297" s="193"/>
      <c r="DD297" s="193"/>
      <c r="DE297" s="193"/>
      <c r="DF297" s="193"/>
      <c r="DG297" s="193"/>
      <c r="DH297" s="193"/>
      <c r="DI297" s="193"/>
      <c r="DJ297" s="193"/>
      <c r="DK297" s="199"/>
      <c r="DL297" s="199"/>
      <c r="DM297" s="199"/>
      <c r="DN297" s="193"/>
      <c r="DO297" s="193"/>
      <c r="DP297" s="193"/>
      <c r="DQ297" s="193"/>
      <c r="DR297" s="193"/>
      <c r="DS297" s="35"/>
      <c r="DT297"/>
      <c r="DU297" s="51" t="s">
        <v>48</v>
      </c>
      <c r="DV297" s="51">
        <f>VLOOKUP(CM297+CM298+CY297+CY298,'tab aparelhos'!$N$4:$O$35,2)</f>
        <v>0</v>
      </c>
      <c r="DW297" s="51"/>
      <c r="DX297" s="51"/>
      <c r="DY297" s="51"/>
    </row>
    <row r="298" spans="1:129" x14ac:dyDescent="0.2">
      <c r="A298" s="51"/>
      <c r="B298"/>
      <c r="C298" s="27" t="s">
        <v>49</v>
      </c>
      <c r="D298" s="83"/>
      <c r="E298" s="202">
        <f t="shared" si="193"/>
        <v>0</v>
      </c>
      <c r="F298" s="202">
        <f t="shared" si="194"/>
        <v>0</v>
      </c>
      <c r="G298" s="199">
        <f t="shared" si="205"/>
        <v>0</v>
      </c>
      <c r="H298" s="193"/>
      <c r="I298" s="199">
        <f t="shared" si="206"/>
        <v>0</v>
      </c>
      <c r="J298" s="193"/>
      <c r="K298" s="193"/>
      <c r="L298" s="193"/>
      <c r="M298" s="193"/>
      <c r="N298" s="193"/>
      <c r="O298" s="193"/>
      <c r="P298" s="193"/>
      <c r="Q298" s="199">
        <f t="shared" si="195"/>
        <v>0</v>
      </c>
      <c r="R298" s="199">
        <f t="shared" si="196"/>
        <v>0</v>
      </c>
      <c r="S298" s="199">
        <f t="shared" si="207"/>
        <v>0</v>
      </c>
      <c r="T298" s="193"/>
      <c r="U298" s="193"/>
      <c r="V298" s="193"/>
      <c r="W298" s="193"/>
      <c r="X298" s="193"/>
      <c r="Y298" s="193"/>
      <c r="Z298" s="193"/>
      <c r="AA298" s="193"/>
      <c r="AB298" s="193"/>
      <c r="AC298" s="199"/>
      <c r="AD298" s="199"/>
      <c r="AE298" s="199"/>
      <c r="AF298" s="193"/>
      <c r="AG298" s="193"/>
      <c r="AH298" s="193"/>
      <c r="AI298" s="193"/>
      <c r="AJ298" s="193"/>
      <c r="AK298" s="35"/>
      <c r="AM298" s="51" t="s">
        <v>49</v>
      </c>
      <c r="AN298" s="51">
        <f>VLOOKUP(E298+E297+Q297+Q298,'tab aparelhos'!$N$4:$O$35,2)</f>
        <v>0</v>
      </c>
      <c r="AO298" s="51"/>
      <c r="AP298" s="51"/>
      <c r="AQ298" s="51"/>
      <c r="AR298" s="51"/>
      <c r="AT298" s="27" t="s">
        <v>49</v>
      </c>
      <c r="AU298" s="83"/>
      <c r="AV298" s="202">
        <f t="shared" si="197"/>
        <v>0</v>
      </c>
      <c r="AW298" s="202">
        <f t="shared" si="198"/>
        <v>0</v>
      </c>
      <c r="AX298" s="199">
        <f t="shared" si="208"/>
        <v>0</v>
      </c>
      <c r="AY298" s="193"/>
      <c r="AZ298" s="199">
        <f t="shared" si="209"/>
        <v>0</v>
      </c>
      <c r="BA298" s="193"/>
      <c r="BB298" s="193"/>
      <c r="BC298" s="193"/>
      <c r="BD298" s="193"/>
      <c r="BE298" s="193"/>
      <c r="BF298" s="193"/>
      <c r="BG298" s="193"/>
      <c r="BH298" s="199">
        <f t="shared" si="199"/>
        <v>0</v>
      </c>
      <c r="BI298" s="199">
        <f t="shared" si="200"/>
        <v>0</v>
      </c>
      <c r="BJ298" s="199">
        <f t="shared" si="210"/>
        <v>0</v>
      </c>
      <c r="BK298" s="193"/>
      <c r="BL298" s="193"/>
      <c r="BM298" s="193"/>
      <c r="BN298" s="193"/>
      <c r="BO298" s="193"/>
      <c r="BP298" s="193"/>
      <c r="BQ298" s="193"/>
      <c r="BR298" s="193"/>
      <c r="BS298" s="193"/>
      <c r="BT298" s="199"/>
      <c r="BU298" s="199"/>
      <c r="BV298" s="199"/>
      <c r="BW298" s="193"/>
      <c r="BX298" s="193"/>
      <c r="BY298" s="193"/>
      <c r="BZ298" s="193"/>
      <c r="CA298" s="193"/>
      <c r="CB298" s="35"/>
      <c r="CC298"/>
      <c r="CD298" s="51" t="s">
        <v>49</v>
      </c>
      <c r="CE298" s="51">
        <f>VLOOKUP(AV298+AV297+BH297+BH298,'tab aparelhos'!$N$4:$O$35,2)</f>
        <v>0</v>
      </c>
      <c r="CF298" s="51"/>
      <c r="CG298" s="51"/>
      <c r="CH298" s="51"/>
      <c r="CI298" s="51"/>
      <c r="CK298" s="27" t="s">
        <v>49</v>
      </c>
      <c r="CL298" s="83"/>
      <c r="CM298" s="202">
        <f t="shared" si="201"/>
        <v>0</v>
      </c>
      <c r="CN298" s="202">
        <f t="shared" si="202"/>
        <v>0</v>
      </c>
      <c r="CO298" s="199">
        <f t="shared" si="211"/>
        <v>0</v>
      </c>
      <c r="CP298" s="193"/>
      <c r="CQ298" s="199">
        <f t="shared" si="212"/>
        <v>0</v>
      </c>
      <c r="CR298" s="193"/>
      <c r="CS298" s="193"/>
      <c r="CT298" s="193"/>
      <c r="CU298" s="193"/>
      <c r="CV298" s="193"/>
      <c r="CW298" s="193"/>
      <c r="CX298" s="193"/>
      <c r="CY298" s="199">
        <f t="shared" si="203"/>
        <v>0</v>
      </c>
      <c r="CZ298" s="199">
        <f t="shared" si="204"/>
        <v>0</v>
      </c>
      <c r="DA298" s="199">
        <f t="shared" si="213"/>
        <v>0</v>
      </c>
      <c r="DB298" s="193"/>
      <c r="DC298" s="193"/>
      <c r="DD298" s="193"/>
      <c r="DE298" s="193"/>
      <c r="DF298" s="193"/>
      <c r="DG298" s="193"/>
      <c r="DH298" s="193"/>
      <c r="DI298" s="193"/>
      <c r="DJ298" s="193"/>
      <c r="DK298" s="199"/>
      <c r="DL298" s="199"/>
      <c r="DM298" s="199"/>
      <c r="DN298" s="193"/>
      <c r="DO298" s="193"/>
      <c r="DP298" s="193"/>
      <c r="DQ298" s="193"/>
      <c r="DR298" s="193"/>
      <c r="DS298" s="35"/>
      <c r="DT298"/>
      <c r="DU298" s="51" t="s">
        <v>49</v>
      </c>
      <c r="DV298" s="51">
        <f>VLOOKUP(CM298+CM297+CY297+CY298,'tab aparelhos'!$N$4:$O$35,2)</f>
        <v>0</v>
      </c>
      <c r="DW298" s="51"/>
      <c r="DX298" s="51"/>
      <c r="DY298" s="51"/>
    </row>
    <row r="299" spans="1:129" x14ac:dyDescent="0.2">
      <c r="A299" s="51"/>
      <c r="B299"/>
      <c r="C299" s="27" t="s">
        <v>50</v>
      </c>
      <c r="D299" s="83"/>
      <c r="E299" s="202">
        <f t="shared" si="193"/>
        <v>0</v>
      </c>
      <c r="F299" s="202">
        <f t="shared" si="194"/>
        <v>0</v>
      </c>
      <c r="G299" s="199">
        <f t="shared" si="205"/>
        <v>0</v>
      </c>
      <c r="H299" s="193"/>
      <c r="I299" s="199">
        <f t="shared" si="206"/>
        <v>0</v>
      </c>
      <c r="J299" s="193"/>
      <c r="K299" s="193"/>
      <c r="L299" s="193"/>
      <c r="M299" s="193"/>
      <c r="N299" s="193"/>
      <c r="O299" s="193"/>
      <c r="P299" s="193"/>
      <c r="Q299" s="199">
        <f t="shared" si="195"/>
        <v>0</v>
      </c>
      <c r="R299" s="199">
        <f t="shared" si="196"/>
        <v>0</v>
      </c>
      <c r="S299" s="199">
        <f t="shared" si="207"/>
        <v>0</v>
      </c>
      <c r="T299" s="193"/>
      <c r="U299" s="193"/>
      <c r="V299" s="193"/>
      <c r="W299" s="193"/>
      <c r="X299" s="193"/>
      <c r="Y299" s="193"/>
      <c r="Z299" s="193"/>
      <c r="AA299" s="193"/>
      <c r="AB299" s="193"/>
      <c r="AC299" s="199"/>
      <c r="AD299" s="199"/>
      <c r="AE299" s="199"/>
      <c r="AF299" s="193"/>
      <c r="AG299" s="193"/>
      <c r="AH299" s="193"/>
      <c r="AI299" s="193"/>
      <c r="AJ299" s="193"/>
      <c r="AK299" s="35"/>
      <c r="AM299" s="51" t="s">
        <v>50</v>
      </c>
      <c r="AN299" s="51">
        <f>VLOOKUP(SUM(E299:E302,Q299:Q302),'tab aparelhos'!$T$4:$U$35,2)</f>
        <v>0</v>
      </c>
      <c r="AO299" s="51"/>
      <c r="AP299" s="51"/>
      <c r="AQ299" s="51"/>
      <c r="AR299" s="51"/>
      <c r="AT299" s="27" t="s">
        <v>50</v>
      </c>
      <c r="AU299" s="83"/>
      <c r="AV299" s="202">
        <f t="shared" si="197"/>
        <v>0</v>
      </c>
      <c r="AW299" s="202">
        <f t="shared" si="198"/>
        <v>0</v>
      </c>
      <c r="AX299" s="199">
        <f t="shared" si="208"/>
        <v>0</v>
      </c>
      <c r="AY299" s="193"/>
      <c r="AZ299" s="199">
        <f t="shared" si="209"/>
        <v>0</v>
      </c>
      <c r="BA299" s="193"/>
      <c r="BB299" s="193"/>
      <c r="BC299" s="193"/>
      <c r="BD299" s="193"/>
      <c r="BE299" s="193"/>
      <c r="BF299" s="193"/>
      <c r="BG299" s="193"/>
      <c r="BH299" s="199">
        <f t="shared" si="199"/>
        <v>0</v>
      </c>
      <c r="BI299" s="199">
        <f t="shared" si="200"/>
        <v>0</v>
      </c>
      <c r="BJ299" s="199">
        <f t="shared" si="210"/>
        <v>0</v>
      </c>
      <c r="BK299" s="193"/>
      <c r="BL299" s="193"/>
      <c r="BM299" s="193"/>
      <c r="BN299" s="193"/>
      <c r="BO299" s="193"/>
      <c r="BP299" s="193"/>
      <c r="BQ299" s="193"/>
      <c r="BR299" s="193"/>
      <c r="BS299" s="193"/>
      <c r="BT299" s="199"/>
      <c r="BU299" s="199"/>
      <c r="BV299" s="199"/>
      <c r="BW299" s="193"/>
      <c r="BX299" s="193"/>
      <c r="BY299" s="193"/>
      <c r="BZ299" s="193"/>
      <c r="CA299" s="193"/>
      <c r="CB299" s="35"/>
      <c r="CC299"/>
      <c r="CD299" s="51" t="s">
        <v>50</v>
      </c>
      <c r="CE299" s="51">
        <f>VLOOKUP(SUM(AV299:AV302,BH299:BH302),'tab aparelhos'!$T$4:$U$35,2)</f>
        <v>0</v>
      </c>
      <c r="CF299" s="51"/>
      <c r="CG299" s="51"/>
      <c r="CH299" s="51"/>
      <c r="CI299" s="51"/>
      <c r="CK299" s="27" t="s">
        <v>50</v>
      </c>
      <c r="CL299" s="83"/>
      <c r="CM299" s="202">
        <f t="shared" si="201"/>
        <v>0</v>
      </c>
      <c r="CN299" s="202">
        <f t="shared" si="202"/>
        <v>0</v>
      </c>
      <c r="CO299" s="199">
        <f t="shared" si="211"/>
        <v>0</v>
      </c>
      <c r="CP299" s="193"/>
      <c r="CQ299" s="199">
        <f t="shared" si="212"/>
        <v>0</v>
      </c>
      <c r="CR299" s="193"/>
      <c r="CS299" s="193"/>
      <c r="CT299" s="193"/>
      <c r="CU299" s="193"/>
      <c r="CV299" s="193"/>
      <c r="CW299" s="193"/>
      <c r="CX299" s="193"/>
      <c r="CY299" s="199">
        <f t="shared" si="203"/>
        <v>0</v>
      </c>
      <c r="CZ299" s="199">
        <f t="shared" si="204"/>
        <v>0</v>
      </c>
      <c r="DA299" s="199">
        <f t="shared" si="213"/>
        <v>0</v>
      </c>
      <c r="DB299" s="193"/>
      <c r="DC299" s="193"/>
      <c r="DD299" s="193"/>
      <c r="DE299" s="193"/>
      <c r="DF299" s="193"/>
      <c r="DG299" s="193"/>
      <c r="DH299" s="193"/>
      <c r="DI299" s="193"/>
      <c r="DJ299" s="193"/>
      <c r="DK299" s="199"/>
      <c r="DL299" s="199"/>
      <c r="DM299" s="199"/>
      <c r="DN299" s="193"/>
      <c r="DO299" s="193"/>
      <c r="DP299" s="193"/>
      <c r="DQ299" s="193"/>
      <c r="DR299" s="193"/>
      <c r="DS299" s="35"/>
      <c r="DT299"/>
      <c r="DU299" s="51" t="s">
        <v>50</v>
      </c>
      <c r="DV299" s="51">
        <f>VLOOKUP(SUM(CM299:CM302,CY299:CY302),'tab aparelhos'!$T$4:$U$35,2)</f>
        <v>0</v>
      </c>
      <c r="DW299" s="51"/>
      <c r="DX299" s="51"/>
      <c r="DY299" s="51"/>
    </row>
    <row r="300" spans="1:129" x14ac:dyDescent="0.2">
      <c r="A300" s="51"/>
      <c r="B300"/>
      <c r="C300" s="27" t="s">
        <v>51</v>
      </c>
      <c r="D300" s="83"/>
      <c r="E300" s="202">
        <f t="shared" si="193"/>
        <v>0</v>
      </c>
      <c r="F300" s="202">
        <f t="shared" si="194"/>
        <v>0</v>
      </c>
      <c r="G300" s="199">
        <f t="shared" si="205"/>
        <v>0</v>
      </c>
      <c r="H300" s="193"/>
      <c r="I300" s="199">
        <f t="shared" si="206"/>
        <v>0</v>
      </c>
      <c r="J300" s="193"/>
      <c r="K300" s="193"/>
      <c r="L300" s="193"/>
      <c r="M300" s="193"/>
      <c r="N300" s="193"/>
      <c r="O300" s="193"/>
      <c r="P300" s="193"/>
      <c r="Q300" s="199">
        <f t="shared" si="195"/>
        <v>0</v>
      </c>
      <c r="R300" s="199">
        <f t="shared" si="196"/>
        <v>0</v>
      </c>
      <c r="S300" s="199">
        <f t="shared" si="207"/>
        <v>0</v>
      </c>
      <c r="T300" s="193"/>
      <c r="U300" s="193"/>
      <c r="V300" s="193"/>
      <c r="W300" s="193"/>
      <c r="X300" s="193"/>
      <c r="Y300" s="193"/>
      <c r="Z300" s="193"/>
      <c r="AA300" s="193"/>
      <c r="AB300" s="193"/>
      <c r="AC300" s="199"/>
      <c r="AD300" s="199"/>
      <c r="AE300" s="199"/>
      <c r="AF300" s="193"/>
      <c r="AG300" s="193"/>
      <c r="AH300" s="193"/>
      <c r="AI300" s="193"/>
      <c r="AJ300" s="193"/>
      <c r="AK300" s="35"/>
      <c r="AM300" s="51" t="s">
        <v>51</v>
      </c>
      <c r="AN300" s="51">
        <f>VLOOKUP(SUM(E299:E302,Q299:Q302),'tab aparelhos'!$T$4:$U$35,2)</f>
        <v>0</v>
      </c>
      <c r="AO300" s="51"/>
      <c r="AP300" s="51"/>
      <c r="AQ300" s="51"/>
      <c r="AR300" s="51"/>
      <c r="AT300" s="27" t="s">
        <v>51</v>
      </c>
      <c r="AU300" s="83"/>
      <c r="AV300" s="202">
        <f t="shared" si="197"/>
        <v>0</v>
      </c>
      <c r="AW300" s="202">
        <f t="shared" si="198"/>
        <v>0</v>
      </c>
      <c r="AX300" s="199">
        <f t="shared" si="208"/>
        <v>0</v>
      </c>
      <c r="AY300" s="193"/>
      <c r="AZ300" s="199">
        <f t="shared" si="209"/>
        <v>0</v>
      </c>
      <c r="BA300" s="193"/>
      <c r="BB300" s="193"/>
      <c r="BC300" s="193"/>
      <c r="BD300" s="193"/>
      <c r="BE300" s="193"/>
      <c r="BF300" s="193"/>
      <c r="BG300" s="193"/>
      <c r="BH300" s="199">
        <f t="shared" si="199"/>
        <v>0</v>
      </c>
      <c r="BI300" s="199">
        <f t="shared" si="200"/>
        <v>0</v>
      </c>
      <c r="BJ300" s="199">
        <f t="shared" si="210"/>
        <v>0</v>
      </c>
      <c r="BK300" s="193"/>
      <c r="BL300" s="193"/>
      <c r="BM300" s="193"/>
      <c r="BN300" s="193"/>
      <c r="BO300" s="193"/>
      <c r="BP300" s="193"/>
      <c r="BQ300" s="193"/>
      <c r="BR300" s="193"/>
      <c r="BS300" s="193"/>
      <c r="BT300" s="199"/>
      <c r="BU300" s="199"/>
      <c r="BV300" s="199"/>
      <c r="BW300" s="193"/>
      <c r="BX300" s="193"/>
      <c r="BY300" s="193"/>
      <c r="BZ300" s="193"/>
      <c r="CA300" s="193"/>
      <c r="CB300" s="35"/>
      <c r="CC300"/>
      <c r="CD300" s="51" t="s">
        <v>51</v>
      </c>
      <c r="CE300" s="51">
        <f>VLOOKUP(SUM(AV299:AV302,BH299:BH302),'tab aparelhos'!$T$4:$U$35,2)</f>
        <v>0</v>
      </c>
      <c r="CF300" s="51"/>
      <c r="CG300" s="51"/>
      <c r="CH300" s="51"/>
      <c r="CI300" s="51"/>
      <c r="CK300" s="27" t="s">
        <v>51</v>
      </c>
      <c r="CL300" s="83"/>
      <c r="CM300" s="202">
        <f t="shared" si="201"/>
        <v>0</v>
      </c>
      <c r="CN300" s="202">
        <f t="shared" si="202"/>
        <v>0</v>
      </c>
      <c r="CO300" s="199">
        <f t="shared" si="211"/>
        <v>0</v>
      </c>
      <c r="CP300" s="193"/>
      <c r="CQ300" s="199">
        <f t="shared" si="212"/>
        <v>0</v>
      </c>
      <c r="CR300" s="193"/>
      <c r="CS300" s="193"/>
      <c r="CT300" s="193"/>
      <c r="CU300" s="193"/>
      <c r="CV300" s="193"/>
      <c r="CW300" s="193"/>
      <c r="CX300" s="193"/>
      <c r="CY300" s="199">
        <f t="shared" si="203"/>
        <v>0</v>
      </c>
      <c r="CZ300" s="199">
        <f t="shared" si="204"/>
        <v>0</v>
      </c>
      <c r="DA300" s="199">
        <f t="shared" si="213"/>
        <v>0</v>
      </c>
      <c r="DB300" s="193"/>
      <c r="DC300" s="193"/>
      <c r="DD300" s="193"/>
      <c r="DE300" s="193"/>
      <c r="DF300" s="193"/>
      <c r="DG300" s="193"/>
      <c r="DH300" s="193"/>
      <c r="DI300" s="193"/>
      <c r="DJ300" s="193"/>
      <c r="DK300" s="199"/>
      <c r="DL300" s="199"/>
      <c r="DM300" s="199"/>
      <c r="DN300" s="193"/>
      <c r="DO300" s="193"/>
      <c r="DP300" s="193"/>
      <c r="DQ300" s="193"/>
      <c r="DR300" s="193"/>
      <c r="DS300" s="35"/>
      <c r="DT300"/>
      <c r="DU300" s="51" t="s">
        <v>51</v>
      </c>
      <c r="DV300" s="51">
        <f>VLOOKUP(SUM(CM299:CM302,CY299:CY302),'tab aparelhos'!$T$4:$U$35,2)</f>
        <v>0</v>
      </c>
      <c r="DW300" s="51"/>
      <c r="DX300" s="51"/>
      <c r="DY300" s="51"/>
    </row>
    <row r="301" spans="1:129" x14ac:dyDescent="0.2">
      <c r="A301" s="51"/>
      <c r="B301"/>
      <c r="C301" s="27" t="s">
        <v>52</v>
      </c>
      <c r="D301" s="83"/>
      <c r="E301" s="202">
        <f t="shared" si="193"/>
        <v>0</v>
      </c>
      <c r="F301" s="202">
        <f t="shared" si="194"/>
        <v>0</v>
      </c>
      <c r="G301" s="199">
        <f t="shared" si="205"/>
        <v>0</v>
      </c>
      <c r="H301" s="193"/>
      <c r="I301" s="199">
        <f t="shared" si="206"/>
        <v>0</v>
      </c>
      <c r="J301" s="193"/>
      <c r="K301" s="193"/>
      <c r="L301" s="193"/>
      <c r="M301" s="193"/>
      <c r="N301" s="193"/>
      <c r="O301" s="193"/>
      <c r="P301" s="193"/>
      <c r="Q301" s="199">
        <f t="shared" si="195"/>
        <v>0</v>
      </c>
      <c r="R301" s="199">
        <f t="shared" si="196"/>
        <v>0</v>
      </c>
      <c r="S301" s="199">
        <f t="shared" si="207"/>
        <v>0</v>
      </c>
      <c r="T301" s="193"/>
      <c r="U301" s="193"/>
      <c r="V301" s="193"/>
      <c r="W301" s="193"/>
      <c r="X301" s="193"/>
      <c r="Y301" s="193"/>
      <c r="Z301" s="193"/>
      <c r="AA301" s="193"/>
      <c r="AB301" s="193"/>
      <c r="AC301" s="199"/>
      <c r="AD301" s="199"/>
      <c r="AE301" s="199"/>
      <c r="AF301" s="193"/>
      <c r="AG301" s="193"/>
      <c r="AH301" s="193"/>
      <c r="AI301" s="193"/>
      <c r="AJ301" s="193"/>
      <c r="AK301" s="35"/>
      <c r="AM301" s="51" t="s">
        <v>52</v>
      </c>
      <c r="AN301" s="51">
        <f>VLOOKUP(SUM(E299:E302,Q299:Q302),'tab aparelhos'!$T$4:$U$35,2)</f>
        <v>0</v>
      </c>
      <c r="AO301" s="51"/>
      <c r="AP301" s="51"/>
      <c r="AQ301" s="51"/>
      <c r="AR301" s="51"/>
      <c r="AT301" s="27" t="s">
        <v>52</v>
      </c>
      <c r="AU301" s="83"/>
      <c r="AV301" s="202">
        <f t="shared" si="197"/>
        <v>0</v>
      </c>
      <c r="AW301" s="202">
        <f t="shared" si="198"/>
        <v>0</v>
      </c>
      <c r="AX301" s="199">
        <f t="shared" si="208"/>
        <v>0</v>
      </c>
      <c r="AY301" s="193"/>
      <c r="AZ301" s="199">
        <f t="shared" si="209"/>
        <v>0</v>
      </c>
      <c r="BA301" s="193"/>
      <c r="BB301" s="193"/>
      <c r="BC301" s="193"/>
      <c r="BD301" s="193"/>
      <c r="BE301" s="193"/>
      <c r="BF301" s="193"/>
      <c r="BG301" s="193"/>
      <c r="BH301" s="199">
        <f t="shared" si="199"/>
        <v>0</v>
      </c>
      <c r="BI301" s="199">
        <f t="shared" si="200"/>
        <v>0</v>
      </c>
      <c r="BJ301" s="199">
        <f t="shared" si="210"/>
        <v>0</v>
      </c>
      <c r="BK301" s="193"/>
      <c r="BL301" s="193"/>
      <c r="BM301" s="193"/>
      <c r="BN301" s="193"/>
      <c r="BO301" s="193"/>
      <c r="BP301" s="193"/>
      <c r="BQ301" s="193"/>
      <c r="BR301" s="193"/>
      <c r="BS301" s="193"/>
      <c r="BT301" s="199"/>
      <c r="BU301" s="199"/>
      <c r="BV301" s="199"/>
      <c r="BW301" s="193"/>
      <c r="BX301" s="193"/>
      <c r="BY301" s="193"/>
      <c r="BZ301" s="193"/>
      <c r="CA301" s="193"/>
      <c r="CB301" s="35"/>
      <c r="CC301"/>
      <c r="CD301" s="51" t="s">
        <v>52</v>
      </c>
      <c r="CE301" s="51">
        <f>VLOOKUP(SUM(AV299:AV302,BH299:BH302),'tab aparelhos'!$T$4:$U$35,2)</f>
        <v>0</v>
      </c>
      <c r="CF301" s="51"/>
      <c r="CG301" s="51"/>
      <c r="CH301" s="51"/>
      <c r="CI301" s="51"/>
      <c r="CK301" s="27" t="s">
        <v>52</v>
      </c>
      <c r="CL301" s="83"/>
      <c r="CM301" s="202">
        <f t="shared" si="201"/>
        <v>0</v>
      </c>
      <c r="CN301" s="202">
        <f t="shared" si="202"/>
        <v>0</v>
      </c>
      <c r="CO301" s="199">
        <f t="shared" si="211"/>
        <v>0</v>
      </c>
      <c r="CP301" s="193"/>
      <c r="CQ301" s="199">
        <f t="shared" si="212"/>
        <v>0</v>
      </c>
      <c r="CR301" s="193"/>
      <c r="CS301" s="193"/>
      <c r="CT301" s="193"/>
      <c r="CU301" s="193"/>
      <c r="CV301" s="193"/>
      <c r="CW301" s="193"/>
      <c r="CX301" s="193"/>
      <c r="CY301" s="199">
        <f t="shared" si="203"/>
        <v>0</v>
      </c>
      <c r="CZ301" s="199">
        <f t="shared" si="204"/>
        <v>0</v>
      </c>
      <c r="DA301" s="199">
        <f t="shared" si="213"/>
        <v>0</v>
      </c>
      <c r="DB301" s="193"/>
      <c r="DC301" s="193"/>
      <c r="DD301" s="193"/>
      <c r="DE301" s="193"/>
      <c r="DF301" s="193"/>
      <c r="DG301" s="193"/>
      <c r="DH301" s="193"/>
      <c r="DI301" s="193"/>
      <c r="DJ301" s="193"/>
      <c r="DK301" s="199"/>
      <c r="DL301" s="199"/>
      <c r="DM301" s="199"/>
      <c r="DN301" s="193"/>
      <c r="DO301" s="193"/>
      <c r="DP301" s="193"/>
      <c r="DQ301" s="193"/>
      <c r="DR301" s="193"/>
      <c r="DS301" s="35"/>
      <c r="DT301"/>
      <c r="DU301" s="51" t="s">
        <v>52</v>
      </c>
      <c r="DV301" s="51">
        <f>VLOOKUP(SUM(CM299:CM302,CY299:CY302),'tab aparelhos'!$T$4:$U$35,2)</f>
        <v>0</v>
      </c>
      <c r="DW301" s="51"/>
      <c r="DX301" s="51"/>
      <c r="DY301" s="51"/>
    </row>
    <row r="302" spans="1:129" x14ac:dyDescent="0.2">
      <c r="A302" s="51"/>
      <c r="B302"/>
      <c r="C302" s="27" t="s">
        <v>125</v>
      </c>
      <c r="D302" s="83"/>
      <c r="E302" s="202">
        <f t="shared" si="193"/>
        <v>0</v>
      </c>
      <c r="F302" s="202">
        <f t="shared" si="194"/>
        <v>0</v>
      </c>
      <c r="G302" s="199">
        <f t="shared" si="205"/>
        <v>0</v>
      </c>
      <c r="H302" s="193"/>
      <c r="I302" s="199">
        <f t="shared" si="206"/>
        <v>0</v>
      </c>
      <c r="J302" s="193"/>
      <c r="K302" s="193"/>
      <c r="L302" s="193"/>
      <c r="M302" s="193"/>
      <c r="N302" s="193"/>
      <c r="O302" s="193"/>
      <c r="P302" s="193"/>
      <c r="Q302" s="199">
        <f t="shared" si="195"/>
        <v>0</v>
      </c>
      <c r="R302" s="199">
        <f t="shared" si="196"/>
        <v>0</v>
      </c>
      <c r="S302" s="199">
        <f t="shared" si="207"/>
        <v>0</v>
      </c>
      <c r="T302" s="193"/>
      <c r="U302" s="193"/>
      <c r="V302" s="193"/>
      <c r="W302" s="193"/>
      <c r="X302" s="193"/>
      <c r="Y302" s="193"/>
      <c r="Z302" s="193"/>
      <c r="AA302" s="193"/>
      <c r="AB302" s="193"/>
      <c r="AC302" s="199"/>
      <c r="AD302" s="199"/>
      <c r="AE302" s="199"/>
      <c r="AF302" s="193"/>
      <c r="AG302" s="193"/>
      <c r="AH302" s="193"/>
      <c r="AI302" s="193"/>
      <c r="AJ302" s="193"/>
      <c r="AK302" s="35"/>
      <c r="AM302" s="51" t="s">
        <v>53</v>
      </c>
      <c r="AN302" s="51">
        <f>VLOOKUP(SUM(E299:E302,Q299:Q302),'tab aparelhos'!$T$4:$U$35,2)</f>
        <v>0</v>
      </c>
      <c r="AO302" s="51"/>
      <c r="AP302" s="51"/>
      <c r="AQ302" s="51"/>
      <c r="AR302" s="51"/>
      <c r="AT302" s="27" t="s">
        <v>125</v>
      </c>
      <c r="AU302" s="83"/>
      <c r="AV302" s="202">
        <f t="shared" si="197"/>
        <v>0</v>
      </c>
      <c r="AW302" s="202">
        <f t="shared" si="198"/>
        <v>0</v>
      </c>
      <c r="AX302" s="199">
        <f t="shared" si="208"/>
        <v>0</v>
      </c>
      <c r="AY302" s="193"/>
      <c r="AZ302" s="199">
        <f t="shared" si="209"/>
        <v>0</v>
      </c>
      <c r="BA302" s="193"/>
      <c r="BB302" s="193"/>
      <c r="BC302" s="193"/>
      <c r="BD302" s="193"/>
      <c r="BE302" s="193"/>
      <c r="BF302" s="193"/>
      <c r="BG302" s="193"/>
      <c r="BH302" s="199">
        <f t="shared" si="199"/>
        <v>0</v>
      </c>
      <c r="BI302" s="199">
        <f t="shared" si="200"/>
        <v>0</v>
      </c>
      <c r="BJ302" s="199">
        <f t="shared" si="210"/>
        <v>0</v>
      </c>
      <c r="BK302" s="193"/>
      <c r="BL302" s="193"/>
      <c r="BM302" s="193"/>
      <c r="BN302" s="193"/>
      <c r="BO302" s="193"/>
      <c r="BP302" s="193"/>
      <c r="BQ302" s="193"/>
      <c r="BR302" s="193"/>
      <c r="BS302" s="193"/>
      <c r="BT302" s="199"/>
      <c r="BU302" s="199"/>
      <c r="BV302" s="199"/>
      <c r="BW302" s="193"/>
      <c r="BX302" s="193"/>
      <c r="BY302" s="193"/>
      <c r="BZ302" s="193"/>
      <c r="CA302" s="193"/>
      <c r="CB302" s="35"/>
      <c r="CC302"/>
      <c r="CD302" s="51" t="s">
        <v>53</v>
      </c>
      <c r="CE302" s="51">
        <f>VLOOKUP(SUM(AV299:AV302,BH299:BH302),'tab aparelhos'!$T$4:$U$35,2)</f>
        <v>0</v>
      </c>
      <c r="CF302" s="51"/>
      <c r="CG302" s="51"/>
      <c r="CH302" s="51"/>
      <c r="CI302" s="51"/>
      <c r="CK302" s="27" t="s">
        <v>125</v>
      </c>
      <c r="CL302" s="83"/>
      <c r="CM302" s="202">
        <f t="shared" si="201"/>
        <v>0</v>
      </c>
      <c r="CN302" s="202">
        <f t="shared" si="202"/>
        <v>0</v>
      </c>
      <c r="CO302" s="199">
        <f t="shared" si="211"/>
        <v>0</v>
      </c>
      <c r="CP302" s="193"/>
      <c r="CQ302" s="199">
        <f t="shared" si="212"/>
        <v>0</v>
      </c>
      <c r="CR302" s="193"/>
      <c r="CS302" s="193"/>
      <c r="CT302" s="193"/>
      <c r="CU302" s="193"/>
      <c r="CV302" s="193"/>
      <c r="CW302" s="193"/>
      <c r="CX302" s="193"/>
      <c r="CY302" s="199">
        <f t="shared" si="203"/>
        <v>0</v>
      </c>
      <c r="CZ302" s="199">
        <f t="shared" si="204"/>
        <v>0</v>
      </c>
      <c r="DA302" s="199">
        <f t="shared" si="213"/>
        <v>0</v>
      </c>
      <c r="DB302" s="193"/>
      <c r="DC302" s="193"/>
      <c r="DD302" s="193"/>
      <c r="DE302" s="193"/>
      <c r="DF302" s="193"/>
      <c r="DG302" s="193"/>
      <c r="DH302" s="193"/>
      <c r="DI302" s="193"/>
      <c r="DJ302" s="193"/>
      <c r="DK302" s="199"/>
      <c r="DL302" s="199"/>
      <c r="DM302" s="199"/>
      <c r="DN302" s="193"/>
      <c r="DO302" s="193"/>
      <c r="DP302" s="193"/>
      <c r="DQ302" s="193"/>
      <c r="DR302" s="193"/>
      <c r="DS302" s="35"/>
      <c r="DT302"/>
      <c r="DU302" s="51" t="s">
        <v>53</v>
      </c>
      <c r="DV302" s="51">
        <f>VLOOKUP(SUM(CM299:CM302,CY299:CY302),'tab aparelhos'!$T$4:$U$35,2)</f>
        <v>0</v>
      </c>
      <c r="DW302" s="51"/>
      <c r="DX302" s="51"/>
      <c r="DY302" s="51"/>
    </row>
    <row r="303" spans="1:129" x14ac:dyDescent="0.2">
      <c r="A303" s="51"/>
      <c r="B303"/>
      <c r="C303" s="27" t="s">
        <v>54</v>
      </c>
      <c r="D303" s="83"/>
      <c r="E303" s="202">
        <f t="shared" si="193"/>
        <v>0</v>
      </c>
      <c r="F303" s="202">
        <f t="shared" si="194"/>
        <v>0</v>
      </c>
      <c r="G303" s="199">
        <f t="shared" si="205"/>
        <v>0</v>
      </c>
      <c r="H303" s="193"/>
      <c r="I303" s="199">
        <f t="shared" si="206"/>
        <v>0</v>
      </c>
      <c r="J303" s="193"/>
      <c r="K303" s="193"/>
      <c r="L303" s="193"/>
      <c r="M303" s="193"/>
      <c r="N303" s="193"/>
      <c r="O303" s="193"/>
      <c r="P303" s="193"/>
      <c r="Q303" s="199">
        <f t="shared" si="195"/>
        <v>0</v>
      </c>
      <c r="R303" s="199">
        <f t="shared" si="196"/>
        <v>0</v>
      </c>
      <c r="S303" s="199">
        <f t="shared" si="207"/>
        <v>0</v>
      </c>
      <c r="T303" s="193"/>
      <c r="U303" s="193"/>
      <c r="V303" s="193"/>
      <c r="W303" s="193"/>
      <c r="X303" s="193"/>
      <c r="Y303" s="193"/>
      <c r="Z303" s="193"/>
      <c r="AA303" s="193"/>
      <c r="AB303" s="193"/>
      <c r="AC303" s="199"/>
      <c r="AD303" s="199"/>
      <c r="AE303" s="199"/>
      <c r="AF303" s="193"/>
      <c r="AG303" s="193"/>
      <c r="AH303" s="193"/>
      <c r="AI303" s="193"/>
      <c r="AJ303" s="193"/>
      <c r="AK303" s="35"/>
      <c r="AM303" s="51" t="s">
        <v>54</v>
      </c>
      <c r="AN303" s="51">
        <f>VLOOKUP(E303+Q303,'tab aparelhos'!$AF$4:$AG$35,2)</f>
        <v>0</v>
      </c>
      <c r="AO303" s="51"/>
      <c r="AP303" s="51"/>
      <c r="AQ303" s="51"/>
      <c r="AR303" s="51"/>
      <c r="AT303" s="27" t="s">
        <v>54</v>
      </c>
      <c r="AU303" s="83"/>
      <c r="AV303" s="202">
        <f t="shared" si="197"/>
        <v>0</v>
      </c>
      <c r="AW303" s="202">
        <f t="shared" si="198"/>
        <v>0</v>
      </c>
      <c r="AX303" s="199">
        <f t="shared" si="208"/>
        <v>0</v>
      </c>
      <c r="AY303" s="193"/>
      <c r="AZ303" s="199">
        <f t="shared" si="209"/>
        <v>0</v>
      </c>
      <c r="BA303" s="193"/>
      <c r="BB303" s="193"/>
      <c r="BC303" s="193"/>
      <c r="BD303" s="193"/>
      <c r="BE303" s="193"/>
      <c r="BF303" s="193"/>
      <c r="BG303" s="193"/>
      <c r="BH303" s="199">
        <f t="shared" si="199"/>
        <v>0</v>
      </c>
      <c r="BI303" s="199">
        <f t="shared" si="200"/>
        <v>0</v>
      </c>
      <c r="BJ303" s="199">
        <f t="shared" si="210"/>
        <v>0</v>
      </c>
      <c r="BK303" s="193"/>
      <c r="BL303" s="193"/>
      <c r="BM303" s="193"/>
      <c r="BN303" s="193"/>
      <c r="BO303" s="193"/>
      <c r="BP303" s="193"/>
      <c r="BQ303" s="193"/>
      <c r="BR303" s="193"/>
      <c r="BS303" s="193"/>
      <c r="BT303" s="199"/>
      <c r="BU303" s="199"/>
      <c r="BV303" s="199"/>
      <c r="BW303" s="193"/>
      <c r="BX303" s="193"/>
      <c r="BY303" s="193"/>
      <c r="BZ303" s="193"/>
      <c r="CA303" s="193"/>
      <c r="CB303" s="35"/>
      <c r="CC303"/>
      <c r="CD303" s="51" t="s">
        <v>54</v>
      </c>
      <c r="CE303" s="51">
        <f>VLOOKUP(AV303+BH303,'tab aparelhos'!$AF$4:$AG$35,2)</f>
        <v>0</v>
      </c>
      <c r="CF303" s="51"/>
      <c r="CG303" s="51"/>
      <c r="CH303" s="51"/>
      <c r="CI303" s="51"/>
      <c r="CK303" s="27" t="s">
        <v>54</v>
      </c>
      <c r="CL303" s="83"/>
      <c r="CM303" s="202">
        <f t="shared" si="201"/>
        <v>0</v>
      </c>
      <c r="CN303" s="202">
        <f t="shared" si="202"/>
        <v>0</v>
      </c>
      <c r="CO303" s="199">
        <f t="shared" si="211"/>
        <v>0</v>
      </c>
      <c r="CP303" s="193"/>
      <c r="CQ303" s="199">
        <f t="shared" si="212"/>
        <v>0</v>
      </c>
      <c r="CR303" s="193"/>
      <c r="CS303" s="193"/>
      <c r="CT303" s="193"/>
      <c r="CU303" s="193"/>
      <c r="CV303" s="193"/>
      <c r="CW303" s="193"/>
      <c r="CX303" s="193"/>
      <c r="CY303" s="199">
        <f t="shared" si="203"/>
        <v>0</v>
      </c>
      <c r="CZ303" s="199">
        <f t="shared" si="204"/>
        <v>0</v>
      </c>
      <c r="DA303" s="199">
        <f t="shared" si="213"/>
        <v>0</v>
      </c>
      <c r="DB303" s="193"/>
      <c r="DC303" s="193"/>
      <c r="DD303" s="193"/>
      <c r="DE303" s="193"/>
      <c r="DF303" s="193"/>
      <c r="DG303" s="193"/>
      <c r="DH303" s="193"/>
      <c r="DI303" s="193"/>
      <c r="DJ303" s="193"/>
      <c r="DK303" s="199"/>
      <c r="DL303" s="199"/>
      <c r="DM303" s="199"/>
      <c r="DN303" s="193"/>
      <c r="DO303" s="193"/>
      <c r="DP303" s="193"/>
      <c r="DQ303" s="193"/>
      <c r="DR303" s="193"/>
      <c r="DS303" s="35"/>
      <c r="DT303"/>
      <c r="DU303" s="51" t="s">
        <v>54</v>
      </c>
      <c r="DV303" s="51">
        <f>VLOOKUP(CM303+CY303,'tab aparelhos'!$AF$4:$AG$35,2)</f>
        <v>0</v>
      </c>
      <c r="DW303" s="51"/>
      <c r="DX303" s="51"/>
      <c r="DY303" s="51"/>
    </row>
    <row r="304" spans="1:129" x14ac:dyDescent="0.2">
      <c r="A304" s="51"/>
      <c r="B304"/>
      <c r="C304" s="27" t="s">
        <v>55</v>
      </c>
      <c r="D304" s="83"/>
      <c r="E304" s="202">
        <f t="shared" si="193"/>
        <v>0</v>
      </c>
      <c r="F304" s="202">
        <f t="shared" si="194"/>
        <v>0</v>
      </c>
      <c r="G304" s="199">
        <f t="shared" si="205"/>
        <v>0</v>
      </c>
      <c r="H304" s="193"/>
      <c r="I304" s="199">
        <f t="shared" si="206"/>
        <v>0</v>
      </c>
      <c r="J304" s="193"/>
      <c r="K304" s="193"/>
      <c r="L304" s="193"/>
      <c r="M304" s="193"/>
      <c r="N304" s="193"/>
      <c r="O304" s="193"/>
      <c r="P304" s="193"/>
      <c r="Q304" s="199">
        <f t="shared" si="195"/>
        <v>0</v>
      </c>
      <c r="R304" s="199">
        <f t="shared" si="196"/>
        <v>0</v>
      </c>
      <c r="S304" s="199">
        <f t="shared" si="207"/>
        <v>0</v>
      </c>
      <c r="T304" s="193"/>
      <c r="U304" s="193"/>
      <c r="V304" s="193"/>
      <c r="W304" s="193"/>
      <c r="X304" s="193"/>
      <c r="Y304" s="193"/>
      <c r="Z304" s="193"/>
      <c r="AA304" s="193"/>
      <c r="AB304" s="193"/>
      <c r="AC304" s="199"/>
      <c r="AD304" s="199"/>
      <c r="AE304" s="199"/>
      <c r="AF304" s="193"/>
      <c r="AG304" s="193"/>
      <c r="AH304" s="193"/>
      <c r="AI304" s="193"/>
      <c r="AJ304" s="193"/>
      <c r="AK304" s="35"/>
      <c r="AM304" s="51" t="s">
        <v>55</v>
      </c>
      <c r="AN304" s="51">
        <v>1</v>
      </c>
      <c r="AO304" s="51"/>
      <c r="AP304" s="51"/>
      <c r="AQ304" s="51"/>
      <c r="AR304" s="51"/>
      <c r="AT304" s="27" t="s">
        <v>55</v>
      </c>
      <c r="AU304" s="83"/>
      <c r="AV304" s="202">
        <f t="shared" si="197"/>
        <v>0</v>
      </c>
      <c r="AW304" s="202">
        <f t="shared" si="198"/>
        <v>0</v>
      </c>
      <c r="AX304" s="199">
        <f t="shared" si="208"/>
        <v>0</v>
      </c>
      <c r="AY304" s="193"/>
      <c r="AZ304" s="199">
        <f t="shared" si="209"/>
        <v>0</v>
      </c>
      <c r="BA304" s="193"/>
      <c r="BB304" s="193"/>
      <c r="BC304" s="193"/>
      <c r="BD304" s="193"/>
      <c r="BE304" s="193"/>
      <c r="BF304" s="193"/>
      <c r="BG304" s="193"/>
      <c r="BH304" s="199">
        <f t="shared" si="199"/>
        <v>0</v>
      </c>
      <c r="BI304" s="199">
        <f t="shared" si="200"/>
        <v>0</v>
      </c>
      <c r="BJ304" s="199">
        <f t="shared" si="210"/>
        <v>0</v>
      </c>
      <c r="BK304" s="193"/>
      <c r="BL304" s="193"/>
      <c r="BM304" s="193"/>
      <c r="BN304" s="193"/>
      <c r="BO304" s="193"/>
      <c r="BP304" s="193"/>
      <c r="BQ304" s="193"/>
      <c r="BR304" s="193"/>
      <c r="BS304" s="193"/>
      <c r="BT304" s="199"/>
      <c r="BU304" s="199"/>
      <c r="BV304" s="199"/>
      <c r="BW304" s="193"/>
      <c r="BX304" s="193"/>
      <c r="BY304" s="193"/>
      <c r="BZ304" s="193"/>
      <c r="CA304" s="193"/>
      <c r="CB304" s="35"/>
      <c r="CC304"/>
      <c r="CD304" s="51" t="s">
        <v>55</v>
      </c>
      <c r="CE304" s="51">
        <v>1</v>
      </c>
      <c r="CF304" s="51"/>
      <c r="CG304" s="51"/>
      <c r="CH304" s="51"/>
      <c r="CI304" s="51"/>
      <c r="CK304" s="27" t="s">
        <v>55</v>
      </c>
      <c r="CL304" s="83"/>
      <c r="CM304" s="202">
        <f t="shared" si="201"/>
        <v>0</v>
      </c>
      <c r="CN304" s="202">
        <f t="shared" si="202"/>
        <v>0</v>
      </c>
      <c r="CO304" s="199">
        <f t="shared" si="211"/>
        <v>0</v>
      </c>
      <c r="CP304" s="193"/>
      <c r="CQ304" s="199">
        <f t="shared" si="212"/>
        <v>0</v>
      </c>
      <c r="CR304" s="193"/>
      <c r="CS304" s="193"/>
      <c r="CT304" s="193"/>
      <c r="CU304" s="193"/>
      <c r="CV304" s="193"/>
      <c r="CW304" s="193"/>
      <c r="CX304" s="193"/>
      <c r="CY304" s="199">
        <f t="shared" si="203"/>
        <v>0</v>
      </c>
      <c r="CZ304" s="199">
        <f t="shared" si="204"/>
        <v>0</v>
      </c>
      <c r="DA304" s="199">
        <f t="shared" si="213"/>
        <v>0</v>
      </c>
      <c r="DB304" s="193"/>
      <c r="DC304" s="193"/>
      <c r="DD304" s="193"/>
      <c r="DE304" s="193"/>
      <c r="DF304" s="193"/>
      <c r="DG304" s="193"/>
      <c r="DH304" s="193"/>
      <c r="DI304" s="193"/>
      <c r="DJ304" s="193"/>
      <c r="DK304" s="199"/>
      <c r="DL304" s="199"/>
      <c r="DM304" s="199"/>
      <c r="DN304" s="193"/>
      <c r="DO304" s="193"/>
      <c r="DP304" s="193"/>
      <c r="DQ304" s="193"/>
      <c r="DR304" s="193"/>
      <c r="DS304" s="35"/>
      <c r="DT304"/>
      <c r="DU304" s="51" t="s">
        <v>55</v>
      </c>
      <c r="DV304" s="51">
        <v>1</v>
      </c>
      <c r="DW304" s="51"/>
      <c r="DX304" s="51"/>
      <c r="DY304" s="51"/>
    </row>
    <row r="305" spans="1:129" x14ac:dyDescent="0.2">
      <c r="A305" s="51"/>
      <c r="B305"/>
      <c r="C305" s="27" t="s">
        <v>56</v>
      </c>
      <c r="D305" s="83"/>
      <c r="E305" s="202">
        <f t="shared" si="193"/>
        <v>0</v>
      </c>
      <c r="F305" s="202">
        <f t="shared" si="194"/>
        <v>0</v>
      </c>
      <c r="G305" s="199">
        <f t="shared" si="205"/>
        <v>0</v>
      </c>
      <c r="H305" s="193"/>
      <c r="I305" s="199">
        <f t="shared" si="206"/>
        <v>0</v>
      </c>
      <c r="J305" s="193"/>
      <c r="K305" s="193"/>
      <c r="L305" s="193"/>
      <c r="M305" s="193"/>
      <c r="N305" s="193"/>
      <c r="O305" s="193"/>
      <c r="P305" s="193"/>
      <c r="Q305" s="199">
        <f t="shared" si="195"/>
        <v>0</v>
      </c>
      <c r="R305" s="199">
        <f t="shared" si="196"/>
        <v>0</v>
      </c>
      <c r="S305" s="199">
        <f t="shared" si="207"/>
        <v>0</v>
      </c>
      <c r="T305" s="193"/>
      <c r="U305" s="193"/>
      <c r="V305" s="193"/>
      <c r="W305" s="193"/>
      <c r="X305" s="193"/>
      <c r="Y305" s="193"/>
      <c r="Z305" s="193"/>
      <c r="AA305" s="193"/>
      <c r="AB305" s="193"/>
      <c r="AC305" s="199"/>
      <c r="AD305" s="199"/>
      <c r="AE305" s="199"/>
      <c r="AF305" s="193"/>
      <c r="AG305" s="193"/>
      <c r="AH305" s="193"/>
      <c r="AI305" s="193"/>
      <c r="AJ305" s="193"/>
      <c r="AL305" s="51"/>
      <c r="AM305" s="51" t="s">
        <v>56</v>
      </c>
      <c r="AN305" s="51">
        <f>VLOOKUP(E305+Q305,'tab ar'!$A$1:$D$9,3,TRUE)</f>
        <v>1</v>
      </c>
      <c r="AO305" s="51"/>
      <c r="AP305" s="51"/>
      <c r="AQ305" s="51"/>
      <c r="AR305" s="51"/>
      <c r="AT305" s="27" t="s">
        <v>56</v>
      </c>
      <c r="AU305" s="83"/>
      <c r="AV305" s="202">
        <f t="shared" si="197"/>
        <v>0</v>
      </c>
      <c r="AW305" s="202">
        <f t="shared" si="198"/>
        <v>0</v>
      </c>
      <c r="AX305" s="199">
        <f t="shared" si="208"/>
        <v>0</v>
      </c>
      <c r="AY305" s="193"/>
      <c r="AZ305" s="199">
        <f t="shared" si="209"/>
        <v>0</v>
      </c>
      <c r="BA305" s="193"/>
      <c r="BB305" s="193"/>
      <c r="BC305" s="193"/>
      <c r="BD305" s="193"/>
      <c r="BE305" s="193"/>
      <c r="BF305" s="193"/>
      <c r="BG305" s="193"/>
      <c r="BH305" s="199">
        <f t="shared" si="199"/>
        <v>0</v>
      </c>
      <c r="BI305" s="199">
        <f t="shared" si="200"/>
        <v>0</v>
      </c>
      <c r="BJ305" s="199">
        <f t="shared" si="210"/>
        <v>0</v>
      </c>
      <c r="BK305" s="193"/>
      <c r="BL305" s="193"/>
      <c r="BM305" s="193"/>
      <c r="BN305" s="193"/>
      <c r="BO305" s="193"/>
      <c r="BP305" s="193"/>
      <c r="BQ305" s="193"/>
      <c r="BR305" s="193"/>
      <c r="BS305" s="193"/>
      <c r="BT305" s="199"/>
      <c r="BU305" s="199"/>
      <c r="BV305" s="199"/>
      <c r="BW305" s="193"/>
      <c r="BX305" s="193"/>
      <c r="BY305" s="193"/>
      <c r="BZ305" s="193"/>
      <c r="CA305" s="193"/>
      <c r="CB305"/>
      <c r="CC305" s="51"/>
      <c r="CD305" s="51" t="s">
        <v>56</v>
      </c>
      <c r="CE305" s="51">
        <f>VLOOKUP(AV305+BH305,'tab ar'!$A$1:$D$9,3,TRUE)</f>
        <v>1</v>
      </c>
      <c r="CF305" s="51"/>
      <c r="CG305" s="51"/>
      <c r="CH305" s="51"/>
      <c r="CI305" s="51"/>
      <c r="CK305" s="27" t="s">
        <v>56</v>
      </c>
      <c r="CL305" s="83"/>
      <c r="CM305" s="202">
        <f t="shared" si="201"/>
        <v>0</v>
      </c>
      <c r="CN305" s="202">
        <f t="shared" si="202"/>
        <v>0</v>
      </c>
      <c r="CO305" s="199">
        <f t="shared" si="211"/>
        <v>0</v>
      </c>
      <c r="CP305" s="193"/>
      <c r="CQ305" s="199">
        <f t="shared" si="212"/>
        <v>0</v>
      </c>
      <c r="CR305" s="193"/>
      <c r="CS305" s="193"/>
      <c r="CT305" s="193"/>
      <c r="CU305" s="193"/>
      <c r="CV305" s="193"/>
      <c r="CW305" s="193"/>
      <c r="CX305" s="193"/>
      <c r="CY305" s="199">
        <f t="shared" si="203"/>
        <v>0</v>
      </c>
      <c r="CZ305" s="199">
        <f t="shared" si="204"/>
        <v>0</v>
      </c>
      <c r="DA305" s="199">
        <f t="shared" si="213"/>
        <v>0</v>
      </c>
      <c r="DB305" s="193"/>
      <c r="DC305" s="193"/>
      <c r="DD305" s="193"/>
      <c r="DE305" s="193"/>
      <c r="DF305" s="193"/>
      <c r="DG305" s="193"/>
      <c r="DH305" s="193"/>
      <c r="DI305" s="193"/>
      <c r="DJ305" s="193"/>
      <c r="DK305" s="199"/>
      <c r="DL305" s="199"/>
      <c r="DM305" s="199"/>
      <c r="DN305" s="193"/>
      <c r="DO305" s="193"/>
      <c r="DP305" s="193"/>
      <c r="DQ305" s="193"/>
      <c r="DR305" s="193"/>
      <c r="DS305"/>
      <c r="DT305" s="51"/>
      <c r="DU305" s="51" t="s">
        <v>56</v>
      </c>
      <c r="DV305" s="51">
        <f>VLOOKUP(CM305+CY305,'tab ar'!$A$1:$D$9,3,TRUE)</f>
        <v>1</v>
      </c>
      <c r="DW305" s="51"/>
      <c r="DX305" s="51"/>
      <c r="DY305" s="51"/>
    </row>
    <row r="306" spans="1:129" x14ac:dyDescent="0.2">
      <c r="A306" s="51"/>
      <c r="B306"/>
      <c r="C306" s="29" t="s">
        <v>57</v>
      </c>
      <c r="D306" s="83"/>
      <c r="E306" s="202">
        <f t="shared" si="193"/>
        <v>0</v>
      </c>
      <c r="F306" s="202">
        <f t="shared" si="194"/>
        <v>0</v>
      </c>
      <c r="G306" s="199">
        <f t="shared" si="205"/>
        <v>0</v>
      </c>
      <c r="H306" s="193"/>
      <c r="I306" s="199">
        <f t="shared" si="206"/>
        <v>0</v>
      </c>
      <c r="J306" s="193"/>
      <c r="K306" s="193"/>
      <c r="L306" s="193"/>
      <c r="M306" s="193"/>
      <c r="N306" s="193"/>
      <c r="O306" s="193"/>
      <c r="P306" s="193"/>
      <c r="Q306" s="199">
        <f t="shared" si="195"/>
        <v>0</v>
      </c>
      <c r="R306" s="199">
        <f t="shared" si="196"/>
        <v>0</v>
      </c>
      <c r="S306" s="199">
        <f t="shared" si="207"/>
        <v>0</v>
      </c>
      <c r="T306" s="193"/>
      <c r="U306" s="193"/>
      <c r="V306" s="193"/>
      <c r="W306" s="193"/>
      <c r="X306" s="193"/>
      <c r="Y306" s="193"/>
      <c r="Z306" s="193"/>
      <c r="AA306" s="193"/>
      <c r="AB306" s="193"/>
      <c r="AC306" s="199"/>
      <c r="AD306" s="199"/>
      <c r="AE306" s="199"/>
      <c r="AF306" s="193"/>
      <c r="AG306" s="193"/>
      <c r="AH306" s="193"/>
      <c r="AI306" s="193"/>
      <c r="AJ306" s="193"/>
      <c r="AL306" s="51"/>
      <c r="AM306" s="51" t="s">
        <v>57</v>
      </c>
      <c r="AN306" s="51">
        <f>VLOOKUP(E306+Q306,'tab ar'!$A$1:$D$9,4,TRUE)</f>
        <v>1</v>
      </c>
      <c r="AO306" s="51"/>
      <c r="AP306" s="51"/>
      <c r="AQ306" s="51"/>
      <c r="AR306" s="51"/>
      <c r="AT306" s="29" t="s">
        <v>57</v>
      </c>
      <c r="AU306" s="83"/>
      <c r="AV306" s="202">
        <f t="shared" si="197"/>
        <v>0</v>
      </c>
      <c r="AW306" s="202">
        <f t="shared" si="198"/>
        <v>0</v>
      </c>
      <c r="AX306" s="199">
        <f t="shared" si="208"/>
        <v>0</v>
      </c>
      <c r="AY306" s="193"/>
      <c r="AZ306" s="199">
        <f t="shared" si="209"/>
        <v>0</v>
      </c>
      <c r="BA306" s="193"/>
      <c r="BB306" s="193"/>
      <c r="BC306" s="193"/>
      <c r="BD306" s="193"/>
      <c r="BE306" s="193"/>
      <c r="BF306" s="193"/>
      <c r="BG306" s="193"/>
      <c r="BH306" s="199">
        <f t="shared" si="199"/>
        <v>0</v>
      </c>
      <c r="BI306" s="199">
        <f t="shared" si="200"/>
        <v>0</v>
      </c>
      <c r="BJ306" s="199">
        <f t="shared" si="210"/>
        <v>0</v>
      </c>
      <c r="BK306" s="193"/>
      <c r="BL306" s="193"/>
      <c r="BM306" s="193"/>
      <c r="BN306" s="193"/>
      <c r="BO306" s="193"/>
      <c r="BP306" s="193"/>
      <c r="BQ306" s="193"/>
      <c r="BR306" s="193"/>
      <c r="BS306" s="193"/>
      <c r="BT306" s="199"/>
      <c r="BU306" s="199"/>
      <c r="BV306" s="199"/>
      <c r="BW306" s="193"/>
      <c r="BX306" s="193"/>
      <c r="BY306" s="193"/>
      <c r="BZ306" s="193"/>
      <c r="CA306" s="193"/>
      <c r="CB306"/>
      <c r="CC306" s="51"/>
      <c r="CD306" s="51" t="s">
        <v>57</v>
      </c>
      <c r="CE306" s="51">
        <f>VLOOKUP(AV306+BH306,'tab ar'!$A$1:$D$9,4,TRUE)</f>
        <v>1</v>
      </c>
      <c r="CF306" s="51"/>
      <c r="CG306" s="51"/>
      <c r="CH306" s="51"/>
      <c r="CI306" s="51"/>
      <c r="CK306" s="29" t="s">
        <v>57</v>
      </c>
      <c r="CL306" s="83"/>
      <c r="CM306" s="202">
        <f t="shared" si="201"/>
        <v>0</v>
      </c>
      <c r="CN306" s="202">
        <f t="shared" si="202"/>
        <v>0</v>
      </c>
      <c r="CO306" s="199">
        <f t="shared" si="211"/>
        <v>0</v>
      </c>
      <c r="CP306" s="193"/>
      <c r="CQ306" s="199">
        <f t="shared" si="212"/>
        <v>0</v>
      </c>
      <c r="CR306" s="193"/>
      <c r="CS306" s="193"/>
      <c r="CT306" s="193"/>
      <c r="CU306" s="193"/>
      <c r="CV306" s="193"/>
      <c r="CW306" s="193"/>
      <c r="CX306" s="193"/>
      <c r="CY306" s="199">
        <f t="shared" si="203"/>
        <v>0</v>
      </c>
      <c r="CZ306" s="199">
        <f t="shared" si="204"/>
        <v>0</v>
      </c>
      <c r="DA306" s="199">
        <f t="shared" si="213"/>
        <v>0</v>
      </c>
      <c r="DB306" s="193"/>
      <c r="DC306" s="193"/>
      <c r="DD306" s="193"/>
      <c r="DE306" s="193"/>
      <c r="DF306" s="193"/>
      <c r="DG306" s="193"/>
      <c r="DH306" s="193"/>
      <c r="DI306" s="193"/>
      <c r="DJ306" s="193"/>
      <c r="DK306" s="199"/>
      <c r="DL306" s="199"/>
      <c r="DM306" s="199"/>
      <c r="DN306" s="193"/>
      <c r="DO306" s="193"/>
      <c r="DP306" s="193"/>
      <c r="DQ306" s="193"/>
      <c r="DR306" s="193"/>
      <c r="DS306"/>
      <c r="DT306" s="51"/>
      <c r="DU306" s="51" t="s">
        <v>57</v>
      </c>
      <c r="DV306" s="51">
        <f>VLOOKUP(CM306+CY306,'tab ar'!$A$1:$D$9,4,TRUE)</f>
        <v>1</v>
      </c>
      <c r="DW306" s="51"/>
      <c r="DX306" s="51"/>
      <c r="DY306" s="51"/>
    </row>
    <row r="307" spans="1:129" x14ac:dyDescent="0.2">
      <c r="A307" s="51"/>
      <c r="B307"/>
      <c r="C307" s="29" t="s">
        <v>58</v>
      </c>
      <c r="D307" s="83"/>
      <c r="E307" s="202">
        <f t="shared" si="193"/>
        <v>0</v>
      </c>
      <c r="F307" s="202">
        <f t="shared" si="194"/>
        <v>0</v>
      </c>
      <c r="G307" s="199">
        <f>IF(E307=0,0,IF(E307=1,F307,((E307-1)*F307*0.6/E307)+F307/E307))</f>
        <v>0</v>
      </c>
      <c r="H307" s="193"/>
      <c r="I307" s="199">
        <f>SUM(F307*E307,R307*Q307)</f>
        <v>0</v>
      </c>
      <c r="J307" s="193"/>
      <c r="K307" s="193"/>
      <c r="L307" s="193"/>
      <c r="M307" s="193"/>
      <c r="N307" s="193"/>
      <c r="O307" s="193"/>
      <c r="P307" s="193"/>
      <c r="Q307" s="199">
        <f t="shared" si="195"/>
        <v>0</v>
      </c>
      <c r="R307" s="199">
        <f t="shared" si="196"/>
        <v>0</v>
      </c>
      <c r="S307" s="199">
        <f>IF(Q307=0,0,IF(Q307=1,R307,((Q307-1)*R307*0.6/Q307)+R307/Q307))</f>
        <v>0</v>
      </c>
      <c r="T307" s="193"/>
      <c r="U307" s="193"/>
      <c r="V307" s="193"/>
      <c r="W307" s="193"/>
      <c r="X307" s="193"/>
      <c r="Y307" s="193"/>
      <c r="Z307" s="193"/>
      <c r="AA307" s="193"/>
      <c r="AB307" s="193"/>
      <c r="AC307" s="199"/>
      <c r="AD307" s="199"/>
      <c r="AE307" s="199"/>
      <c r="AF307" s="193"/>
      <c r="AG307" s="193"/>
      <c r="AH307" s="193"/>
      <c r="AI307" s="193"/>
      <c r="AJ307" s="193"/>
      <c r="AL307" s="51"/>
      <c r="AM307" s="51" t="s">
        <v>58</v>
      </c>
      <c r="AN307" s="51">
        <f>IF(Q307=0,0,IF(Q307=1,R307,((Q307-1)*R307*0.6)+R307))</f>
        <v>0</v>
      </c>
      <c r="AO307" s="51"/>
      <c r="AP307" s="51"/>
      <c r="AQ307" s="51"/>
      <c r="AR307" s="51"/>
      <c r="AT307" s="29" t="s">
        <v>58</v>
      </c>
      <c r="AU307" s="83"/>
      <c r="AV307" s="202">
        <f t="shared" si="197"/>
        <v>0</v>
      </c>
      <c r="AW307" s="202">
        <f t="shared" si="198"/>
        <v>0</v>
      </c>
      <c r="AX307" s="199">
        <f>IF(AV307=0,0,IF(AV307=1,AW307,((AV307-1)*AW307*0.6/AV307)+AW307/AV307))</f>
        <v>0</v>
      </c>
      <c r="AY307" s="193"/>
      <c r="AZ307" s="199">
        <f>SUM(AW307*AV307,BI307*BH307)</f>
        <v>0</v>
      </c>
      <c r="BA307" s="193"/>
      <c r="BB307" s="193"/>
      <c r="BC307" s="193"/>
      <c r="BD307" s="193"/>
      <c r="BE307" s="193"/>
      <c r="BF307" s="193"/>
      <c r="BG307" s="193"/>
      <c r="BH307" s="199">
        <f t="shared" si="199"/>
        <v>0</v>
      </c>
      <c r="BI307" s="199">
        <f t="shared" si="200"/>
        <v>0</v>
      </c>
      <c r="BJ307" s="199">
        <f>IF(BH307=0,0,IF(BH307=1,BI307,((BH307-1)*BI307*0.6/BH307)+BI307/BH307))</f>
        <v>0</v>
      </c>
      <c r="BK307" s="193"/>
      <c r="BL307" s="193"/>
      <c r="BM307" s="193"/>
      <c r="BN307" s="193"/>
      <c r="BO307" s="193"/>
      <c r="BP307" s="193"/>
      <c r="BQ307" s="193"/>
      <c r="BR307" s="193"/>
      <c r="BS307" s="193"/>
      <c r="BT307" s="199"/>
      <c r="BU307" s="199"/>
      <c r="BV307" s="199"/>
      <c r="BW307" s="193"/>
      <c r="BX307" s="193"/>
      <c r="BY307" s="193"/>
      <c r="BZ307" s="193"/>
      <c r="CA307" s="193"/>
      <c r="CB307"/>
      <c r="CC307" s="51"/>
      <c r="CD307" s="51" t="s">
        <v>58</v>
      </c>
      <c r="CE307" s="51">
        <f>IF(BH307=0,0,IF(BH307=1,BI307,((BH307-1)*BI307*0.6)+BI307))</f>
        <v>0</v>
      </c>
      <c r="CF307" s="51"/>
      <c r="CG307" s="51"/>
      <c r="CH307" s="51"/>
      <c r="CI307" s="51"/>
      <c r="CK307" s="29" t="s">
        <v>58</v>
      </c>
      <c r="CL307" s="83"/>
      <c r="CM307" s="202">
        <f t="shared" si="201"/>
        <v>0</v>
      </c>
      <c r="CN307" s="202">
        <f t="shared" si="202"/>
        <v>0</v>
      </c>
      <c r="CO307" s="199">
        <f>IF(CM307=0,0,IF(CM307=1,CN307,((CM307-1)*CN307*0.6/CM307)+CN307/CM307))</f>
        <v>0</v>
      </c>
      <c r="CP307" s="193"/>
      <c r="CQ307" s="199">
        <f>SUM(CN307*CM307,CZ307*CY307)</f>
        <v>0</v>
      </c>
      <c r="CR307" s="193"/>
      <c r="CS307" s="193"/>
      <c r="CT307" s="193"/>
      <c r="CU307" s="193"/>
      <c r="CV307" s="193"/>
      <c r="CW307" s="193"/>
      <c r="CX307" s="193"/>
      <c r="CY307" s="199">
        <f t="shared" si="203"/>
        <v>0</v>
      </c>
      <c r="CZ307" s="199">
        <f t="shared" si="204"/>
        <v>0</v>
      </c>
      <c r="DA307" s="199">
        <f>IF(CY307=0,0,IF(CY307=1,CZ307,((CY307-1)*CZ307*0.6/CY307)+CZ307/CY307))</f>
        <v>0</v>
      </c>
      <c r="DB307" s="193"/>
      <c r="DC307" s="193"/>
      <c r="DD307" s="193"/>
      <c r="DE307" s="193"/>
      <c r="DF307" s="193"/>
      <c r="DG307" s="193"/>
      <c r="DH307" s="193"/>
      <c r="DI307" s="193"/>
      <c r="DJ307" s="193"/>
      <c r="DK307" s="199"/>
      <c r="DL307" s="199"/>
      <c r="DM307" s="199"/>
      <c r="DN307" s="193"/>
      <c r="DO307" s="193"/>
      <c r="DP307" s="193"/>
      <c r="DQ307" s="193"/>
      <c r="DR307" s="193"/>
      <c r="DS307"/>
      <c r="DT307" s="51"/>
      <c r="DU307" s="51" t="s">
        <v>58</v>
      </c>
      <c r="DV307" s="51">
        <f>IF(CY307=0,0,IF(CY307=1,CZ307,((CY307-1)*CZ307*0.6)+CZ307))</f>
        <v>0</v>
      </c>
      <c r="DW307" s="51"/>
      <c r="DX307" s="51"/>
      <c r="DY307" s="51"/>
    </row>
    <row r="308" spans="1:129" x14ac:dyDescent="0.2">
      <c r="A308" s="51"/>
      <c r="B308"/>
      <c r="C308" s="30" t="s">
        <v>59</v>
      </c>
      <c r="D308" s="83"/>
      <c r="E308" s="202">
        <f t="shared" si="193"/>
        <v>0</v>
      </c>
      <c r="F308" s="202">
        <f t="shared" si="194"/>
        <v>0</v>
      </c>
      <c r="G308" s="199">
        <f t="shared" si="205"/>
        <v>0</v>
      </c>
      <c r="H308" s="193"/>
      <c r="I308" s="199">
        <f t="shared" si="206"/>
        <v>0</v>
      </c>
      <c r="J308" s="193"/>
      <c r="K308" s="193"/>
      <c r="L308" s="193"/>
      <c r="M308" s="193"/>
      <c r="N308" s="193"/>
      <c r="O308" s="193"/>
      <c r="P308" s="193"/>
      <c r="Q308" s="199">
        <f t="shared" si="195"/>
        <v>0</v>
      </c>
      <c r="R308" s="199">
        <f t="shared" si="196"/>
        <v>0</v>
      </c>
      <c r="S308" s="199">
        <f t="shared" si="207"/>
        <v>0</v>
      </c>
      <c r="T308" s="193"/>
      <c r="U308" s="193"/>
      <c r="V308" s="193"/>
      <c r="W308" s="193"/>
      <c r="X308" s="193"/>
      <c r="Y308" s="193"/>
      <c r="Z308" s="193"/>
      <c r="AA308" s="193"/>
      <c r="AB308" s="193"/>
      <c r="AC308" s="199"/>
      <c r="AD308" s="199"/>
      <c r="AE308" s="199"/>
      <c r="AF308" s="193"/>
      <c r="AG308" s="193"/>
      <c r="AH308" s="193"/>
      <c r="AI308" s="193"/>
      <c r="AJ308" s="193"/>
      <c r="AL308" s="51"/>
      <c r="AM308" s="51" t="s">
        <v>59</v>
      </c>
      <c r="AN308" s="51">
        <v>1</v>
      </c>
      <c r="AO308" s="51"/>
      <c r="AP308" s="51"/>
      <c r="AQ308" s="51"/>
      <c r="AR308" s="51"/>
      <c r="AT308" s="30" t="s">
        <v>59</v>
      </c>
      <c r="AU308" s="83"/>
      <c r="AV308" s="202">
        <f t="shared" si="197"/>
        <v>0</v>
      </c>
      <c r="AW308" s="202">
        <f t="shared" si="198"/>
        <v>0</v>
      </c>
      <c r="AX308" s="199">
        <f t="shared" si="208"/>
        <v>0</v>
      </c>
      <c r="AY308" s="193"/>
      <c r="AZ308" s="199">
        <f t="shared" si="209"/>
        <v>0</v>
      </c>
      <c r="BA308" s="193"/>
      <c r="BB308" s="193"/>
      <c r="BC308" s="193"/>
      <c r="BD308" s="193"/>
      <c r="BE308" s="193"/>
      <c r="BF308" s="193"/>
      <c r="BG308" s="193"/>
      <c r="BH308" s="199">
        <f t="shared" si="199"/>
        <v>0</v>
      </c>
      <c r="BI308" s="199">
        <f t="shared" si="200"/>
        <v>0</v>
      </c>
      <c r="BJ308" s="199">
        <f t="shared" si="210"/>
        <v>0</v>
      </c>
      <c r="BK308" s="193"/>
      <c r="BL308" s="193"/>
      <c r="BM308" s="193"/>
      <c r="BN308" s="193"/>
      <c r="BO308" s="193"/>
      <c r="BP308" s="193"/>
      <c r="BQ308" s="193"/>
      <c r="BR308" s="193"/>
      <c r="BS308" s="193"/>
      <c r="BT308" s="199"/>
      <c r="BU308" s="199"/>
      <c r="BV308" s="199"/>
      <c r="BW308" s="193"/>
      <c r="BX308" s="193"/>
      <c r="BY308" s="193"/>
      <c r="BZ308" s="193"/>
      <c r="CA308" s="193"/>
      <c r="CB308"/>
      <c r="CC308" s="51"/>
      <c r="CD308" s="51" t="s">
        <v>59</v>
      </c>
      <c r="CE308" s="51">
        <v>1</v>
      </c>
      <c r="CF308" s="51"/>
      <c r="CG308" s="51"/>
      <c r="CH308" s="51"/>
      <c r="CI308" s="51"/>
      <c r="CK308" s="30" t="s">
        <v>59</v>
      </c>
      <c r="CL308" s="83"/>
      <c r="CM308" s="202">
        <f t="shared" si="201"/>
        <v>0</v>
      </c>
      <c r="CN308" s="202">
        <f t="shared" si="202"/>
        <v>0</v>
      </c>
      <c r="CO308" s="199">
        <f t="shared" si="211"/>
        <v>0</v>
      </c>
      <c r="CP308" s="193"/>
      <c r="CQ308" s="199">
        <f t="shared" si="212"/>
        <v>0</v>
      </c>
      <c r="CR308" s="193"/>
      <c r="CS308" s="193"/>
      <c r="CT308" s="193"/>
      <c r="CU308" s="193"/>
      <c r="CV308" s="193"/>
      <c r="CW308" s="193"/>
      <c r="CX308" s="193"/>
      <c r="CY308" s="199">
        <f t="shared" si="203"/>
        <v>0</v>
      </c>
      <c r="CZ308" s="199">
        <f t="shared" si="204"/>
        <v>0</v>
      </c>
      <c r="DA308" s="199">
        <f t="shared" si="213"/>
        <v>0</v>
      </c>
      <c r="DB308" s="193"/>
      <c r="DC308" s="193"/>
      <c r="DD308" s="193"/>
      <c r="DE308" s="193"/>
      <c r="DF308" s="193"/>
      <c r="DG308" s="193"/>
      <c r="DH308" s="193"/>
      <c r="DI308" s="193"/>
      <c r="DJ308" s="193"/>
      <c r="DK308" s="199"/>
      <c r="DL308" s="199"/>
      <c r="DM308" s="199"/>
      <c r="DN308" s="193"/>
      <c r="DO308" s="193"/>
      <c r="DP308" s="193"/>
      <c r="DQ308" s="193"/>
      <c r="DR308" s="193"/>
      <c r="DS308"/>
      <c r="DT308" s="51"/>
      <c r="DU308" s="51" t="s">
        <v>59</v>
      </c>
      <c r="DV308" s="51">
        <v>1</v>
      </c>
      <c r="DW308" s="51"/>
      <c r="DX308" s="51"/>
      <c r="DY308" s="51"/>
    </row>
    <row r="309" spans="1:129" ht="13.5" thickBot="1" x14ac:dyDescent="0.25">
      <c r="A309" s="51"/>
      <c r="B309"/>
      <c r="C309" s="31"/>
      <c r="D309" s="86"/>
      <c r="E309" s="203"/>
      <c r="F309" s="203"/>
      <c r="G309" s="91">
        <f>SUM(G291:G308)</f>
        <v>0</v>
      </c>
      <c r="H309" s="62"/>
      <c r="I309" s="297">
        <f>SUM(I291:I308)</f>
        <v>0</v>
      </c>
      <c r="J309" s="86"/>
      <c r="K309" s="61"/>
      <c r="L309" s="61"/>
      <c r="M309" s="86"/>
      <c r="N309" s="61"/>
      <c r="O309" s="61"/>
      <c r="P309" s="86"/>
      <c r="Q309" s="61"/>
      <c r="R309" s="61"/>
      <c r="S309" s="91">
        <f>SUM(S291:S308)</f>
        <v>0</v>
      </c>
      <c r="T309" s="61"/>
      <c r="U309" s="61"/>
      <c r="V309" s="86"/>
      <c r="W309" s="61"/>
      <c r="X309" s="61"/>
      <c r="Y309" s="86"/>
      <c r="Z309" s="61"/>
      <c r="AA309" s="61"/>
      <c r="AB309" s="86"/>
      <c r="AC309" s="203"/>
      <c r="AD309" s="203"/>
      <c r="AE309" s="86"/>
      <c r="AF309" s="61"/>
      <c r="AG309" s="61"/>
      <c r="AH309" s="91"/>
      <c r="AI309" s="62"/>
      <c r="AJ309" s="62"/>
      <c r="AL309" s="51"/>
      <c r="AR309" s="51"/>
      <c r="AT309" s="31"/>
      <c r="AU309" s="86"/>
      <c r="AV309" s="203"/>
      <c r="AW309" s="203"/>
      <c r="AX309" s="91">
        <f>SUM(AX291:AX308)</f>
        <v>0</v>
      </c>
      <c r="AY309" s="62"/>
      <c r="AZ309" s="297">
        <f>SUM(AZ291:AZ308)</f>
        <v>0</v>
      </c>
      <c r="BA309" s="86"/>
      <c r="BB309" s="61"/>
      <c r="BC309" s="61"/>
      <c r="BD309" s="86"/>
      <c r="BE309" s="61"/>
      <c r="BF309" s="61"/>
      <c r="BG309" s="86"/>
      <c r="BH309" s="61"/>
      <c r="BI309" s="61"/>
      <c r="BJ309" s="91">
        <f>SUM(BJ291:BJ308)</f>
        <v>0</v>
      </c>
      <c r="BK309" s="61"/>
      <c r="BL309" s="61"/>
      <c r="BM309" s="86"/>
      <c r="BN309" s="61"/>
      <c r="BO309" s="61"/>
      <c r="BP309" s="86"/>
      <c r="BQ309" s="61"/>
      <c r="BR309" s="61"/>
      <c r="BS309" s="86"/>
      <c r="BT309" s="203"/>
      <c r="BU309" s="203"/>
      <c r="BV309" s="86"/>
      <c r="BW309" s="61"/>
      <c r="BX309" s="61"/>
      <c r="BY309" s="91"/>
      <c r="BZ309" s="62"/>
      <c r="CA309" s="62"/>
      <c r="CB309"/>
      <c r="CC309" s="51"/>
      <c r="CD309"/>
      <c r="CG309"/>
      <c r="CI309" s="51"/>
      <c r="CK309" s="31"/>
      <c r="CL309" s="86"/>
      <c r="CM309" s="203"/>
      <c r="CN309" s="203"/>
      <c r="CO309" s="91">
        <f>SUM(CO291:CO308)</f>
        <v>0</v>
      </c>
      <c r="CP309" s="62"/>
      <c r="CQ309" s="297">
        <f>SUM(CQ291:CQ308)</f>
        <v>0</v>
      </c>
      <c r="CR309" s="86"/>
      <c r="CS309" s="61"/>
      <c r="CT309" s="61"/>
      <c r="CU309" s="86"/>
      <c r="CV309" s="61"/>
      <c r="CW309" s="61"/>
      <c r="CX309" s="86"/>
      <c r="CY309" s="61"/>
      <c r="CZ309" s="61"/>
      <c r="DA309" s="86">
        <f>SUM(DA291:DA308)</f>
        <v>0</v>
      </c>
      <c r="DB309" s="61"/>
      <c r="DC309" s="61"/>
      <c r="DD309" s="86"/>
      <c r="DE309" s="61"/>
      <c r="DF309" s="61"/>
      <c r="DG309" s="86"/>
      <c r="DH309" s="61"/>
      <c r="DI309" s="61"/>
      <c r="DJ309" s="86"/>
      <c r="DK309" s="203"/>
      <c r="DL309" s="203"/>
      <c r="DM309" s="86"/>
      <c r="DN309" s="61"/>
      <c r="DO309" s="61"/>
      <c r="DP309" s="91"/>
      <c r="DQ309" s="62"/>
      <c r="DR309" s="62"/>
      <c r="DS309"/>
      <c r="DT309" s="51"/>
      <c r="DV309"/>
      <c r="DW309"/>
      <c r="DX309"/>
      <c r="DY309"/>
    </row>
    <row r="310" spans="1:129" ht="13.5" thickBot="1" x14ac:dyDescent="0.25">
      <c r="A310" s="51"/>
      <c r="B310"/>
      <c r="C310" s="21" t="s">
        <v>60</v>
      </c>
      <c r="D310" s="85"/>
      <c r="E310" s="206"/>
      <c r="F310" s="204"/>
      <c r="G310" s="20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204"/>
      <c r="AD310" s="204"/>
      <c r="AE310" s="204"/>
      <c r="AF310" s="194"/>
      <c r="AG310" s="194"/>
      <c r="AH310" s="194"/>
      <c r="AI310" s="194"/>
      <c r="AJ310" s="194"/>
      <c r="AL310" s="51"/>
      <c r="AR310" s="51"/>
      <c r="AT310" s="21" t="s">
        <v>60</v>
      </c>
      <c r="AU310" s="85"/>
      <c r="AV310" s="206"/>
      <c r="AW310" s="204"/>
      <c r="AX310" s="204"/>
      <c r="AY310" s="194"/>
      <c r="AZ310" s="194"/>
      <c r="BA310" s="194"/>
      <c r="BB310" s="194"/>
      <c r="BC310" s="194"/>
      <c r="BD310" s="194"/>
      <c r="BE310" s="194"/>
      <c r="BF310" s="194"/>
      <c r="BG310" s="194"/>
      <c r="BH310" s="194"/>
      <c r="BI310" s="194"/>
      <c r="BJ310" s="194"/>
      <c r="BK310" s="194"/>
      <c r="BL310" s="194"/>
      <c r="BM310" s="194"/>
      <c r="BN310" s="194"/>
      <c r="BO310" s="194"/>
      <c r="BP310" s="194"/>
      <c r="BQ310" s="194"/>
      <c r="BR310" s="194"/>
      <c r="BS310" s="194"/>
      <c r="BT310" s="204"/>
      <c r="BU310" s="204"/>
      <c r="BV310" s="204"/>
      <c r="BW310" s="194"/>
      <c r="BX310" s="194"/>
      <c r="BY310" s="194"/>
      <c r="BZ310" s="194"/>
      <c r="CA310" s="194"/>
      <c r="CB310"/>
      <c r="CC310" s="51"/>
      <c r="CD310"/>
      <c r="CG310"/>
      <c r="CI310" s="51"/>
      <c r="CK310" s="21" t="s">
        <v>60</v>
      </c>
      <c r="CL310" s="85"/>
      <c r="CM310" s="206"/>
      <c r="CN310" s="204"/>
      <c r="CO310" s="204"/>
      <c r="CP310" s="194"/>
      <c r="CQ310" s="194"/>
      <c r="CR310" s="194"/>
      <c r="CS310" s="194"/>
      <c r="CT310" s="194"/>
      <c r="CU310" s="194"/>
      <c r="CV310" s="194"/>
      <c r="CW310" s="194"/>
      <c r="CX310" s="194"/>
      <c r="CY310" s="194"/>
      <c r="CZ310" s="194"/>
      <c r="DA310" s="194"/>
      <c r="DB310" s="194"/>
      <c r="DC310" s="194"/>
      <c r="DD310" s="194"/>
      <c r="DE310" s="194"/>
      <c r="DF310" s="194"/>
      <c r="DG310" s="194"/>
      <c r="DH310" s="194"/>
      <c r="DI310" s="194"/>
      <c r="DJ310" s="194"/>
      <c r="DK310" s="204"/>
      <c r="DL310" s="204"/>
      <c r="DM310" s="204"/>
      <c r="DN310" s="194"/>
      <c r="DO310" s="194"/>
      <c r="DP310" s="194"/>
      <c r="DQ310" s="194"/>
      <c r="DR310" s="194"/>
      <c r="DS310"/>
      <c r="DT310" s="51"/>
      <c r="DV310"/>
      <c r="DW310"/>
      <c r="DX310"/>
      <c r="DY310"/>
    </row>
    <row r="311" spans="1:129" ht="13.5" thickBot="1" x14ac:dyDescent="0.25">
      <c r="A311" s="51"/>
      <c r="B311"/>
      <c r="C311" s="22">
        <v>0.33333333333333298</v>
      </c>
      <c r="D311" s="83">
        <f>$B$33</f>
        <v>0.61</v>
      </c>
      <c r="E311" s="679">
        <f>SUM(IF($C$1="Residência",$C$33,0),IF($F$1="Residência",$F$33,0),IF($I$1="Residência",$I$33,0),IF($L$1="Residência",$L$33,0),IF($O$1="Residência",$O$33,0),IF($R$1="Residência",$R$33,0),IF($U$1="Residência",$U$33,0),IF($X$1="Residência",$X$33,0),IF($AA$1="Residência",$AA$33,0),IF($AD$1="Residência",$AD$33,0),IF($AG$1="Residência",$AG$33,0),IF($AJ$1="Residência",$AJ$33,0))</f>
        <v>0</v>
      </c>
      <c r="F311" s="680"/>
      <c r="G311" s="70">
        <f>IF($H$343=$DV$28,IF(E311&gt;0,((E311-1)*$BM$39*0.5)+$BM$39,E311*0.5*$BM$39),E311*0.5*$BM$39)</f>
        <v>0</v>
      </c>
      <c r="H311" s="70">
        <f>IF(E311&gt;0,1,0)*$A$33</f>
        <v>0</v>
      </c>
      <c r="I311" s="679">
        <f>E311*$BK$39</f>
        <v>0</v>
      </c>
      <c r="J311" s="680"/>
      <c r="K311" s="83"/>
      <c r="N311" s="116"/>
      <c r="O311" s="679">
        <f>SUM(IF($C$1="Residência",0,$C$33),IF($F$1="Residência",0,$F$33),IF($I$1="Residência",0,$I$33),IF($L$1="Residência",0,$L$33),IF($O$1="Residência",0,$O$33),IF($R$1="Residência",0,$R$33),IF($U$1="Residência",0,$U$33),IF($X$1="Residência",0,$X$33),IF($AA$1="Residência",0,$AA$33),IF($AD$1="Residência",0,$AD$33),IF($AG$1="Residência",0,$AG$33),IF($AJ$1="Residência",0,$AJ$33),IF($E$67="TRIFÁSICA",$C$67,0))</f>
        <v>0</v>
      </c>
      <c r="P311" s="680"/>
      <c r="Q311" s="70">
        <f>IF($H$343=$DV$28,IF(AND(O311&gt;0,E311&lt;1),((O311-1)*$BM$39*0.5)+$BM$39,O311*0.5*$BM$39),O311*0.5*$BM$39)</f>
        <v>0</v>
      </c>
      <c r="R311" s="70">
        <f>IF(O311&gt;0,1,0)*$A$33</f>
        <v>0</v>
      </c>
      <c r="S311" s="679">
        <f>O311*$BK$39</f>
        <v>0</v>
      </c>
      <c r="T311" s="680"/>
      <c r="U311" s="689"/>
      <c r="V311" s="690"/>
      <c r="W311" s="679">
        <f>SUM(IF($C$1="Residência",$C$33,0),IF($F$1="Residência",$F$33,0),IF($I$1="Residência",$I$33,0),IF($L$1="Residência",$L$33,0),IF($O$1="Residência",$O$33,0),IF($R$1="Residência",$R$33,0),IF($U$1="Residência",$U$33,0),IF($X$1="Residência",$X$33,0),IF($AA$1="Residência",$AA$33,0),IF($AD$1="Residência",$AD$33,0),IF($AG$1="Residência",$AG$33,0),IF($AJ$1="Residência",$AJ$33,0))</f>
        <v>0</v>
      </c>
      <c r="X311" s="680"/>
      <c r="Y311" s="70">
        <f>IF($H$343=$DV$28,IF(W311&gt;0,((W311-1)*$BM$39*0.5)+$BM$39,W311*0.5*$BM$39),W311*0.5*$BM$39)</f>
        <v>0</v>
      </c>
      <c r="Z311" s="70">
        <f>IF(W311&gt;0,1,0)*$A$33</f>
        <v>0</v>
      </c>
      <c r="AA311" s="679">
        <f>W311*$BK$39</f>
        <v>0</v>
      </c>
      <c r="AB311" s="680"/>
      <c r="AC311" s="83"/>
      <c r="AF311" s="116"/>
      <c r="AG311" s="679">
        <f>SUM(IF($C$1="Residência",0,$C$33),IF($F$1="Residência",0,$F$33),IF($I$1="Residência",0,$I$33),IF($L$1="Residência",0,$L$33),IF($O$1="Residência",0,$O$33),IF($R$1="Residência",0,$R$33),IF($U$1="Residência",0,$U$33),IF($X$1="Residência",0,$X$33),IF($AA$1="Residência",0,$AA$33),IF($AD$1="Residência",0,$AD$33),IF($AG$1="Residência",0,$AG$33),IF($AJ$1="Residência",0,$AJ$33))</f>
        <v>0</v>
      </c>
      <c r="AH311" s="680"/>
      <c r="AI311" s="70">
        <f>IF($H$343=$DV$28,IF(AND(AG311&gt;0,W311&lt;1),((AG311-1)*$BM$39*0.5)+$BM$39,AG311*0.5*$BM$39),AG311*0.5*$BM$39)</f>
        <v>0</v>
      </c>
      <c r="AJ311" s="70">
        <f>IF(AG311&gt;0,1,0)*$A$33</f>
        <v>0</v>
      </c>
      <c r="AK311" s="679">
        <f>AG311*$BK$39</f>
        <v>0</v>
      </c>
      <c r="AL311" s="680"/>
      <c r="AR311" s="51"/>
      <c r="AT311" s="22">
        <v>0.33333333333333298</v>
      </c>
      <c r="AU311" s="83">
        <f>$B$33</f>
        <v>0.61</v>
      </c>
      <c r="AV311" s="679">
        <f t="shared" ref="AV311:AV327" si="214">SUM(IF($U$1="Residência",U33,0),IF($AA$1="Residência",AA33,0),IF($X$1="Residência",X33,0))</f>
        <v>0</v>
      </c>
      <c r="AW311" s="680"/>
      <c r="AX311" s="70">
        <f>IF($H$343=$DV$28,IF(AV311&gt;0,((AV311-1)*$BM$39*0.5)+$BM$39,AV311*0.5*$BM$39),AV311*0.5*$BM$39)</f>
        <v>0</v>
      </c>
      <c r="AY311" s="70">
        <f>IF(AV311&gt;0,1,0)*$A$33</f>
        <v>0</v>
      </c>
      <c r="AZ311" s="679">
        <f>AV311*$BK$39</f>
        <v>0</v>
      </c>
      <c r="BA311" s="680"/>
      <c r="BB311" s="83"/>
      <c r="BE311" s="116"/>
      <c r="BF311" s="679">
        <f>SUM(IF($U$1="Residência",0,U33),IF($AA$1="Residência",0,AA33),IF($X$1="Residência",0,X33))</f>
        <v>0</v>
      </c>
      <c r="BG311" s="680"/>
      <c r="BH311" s="70">
        <f>IF($H$343=$DV$28,IF(AND(BF311&gt;0,AV311&lt;1),((BF311-1)*$BM$39*0.5)+$BM$39,BF311*0.5*$BM$39),BF311*0.5*$BM$39)</f>
        <v>0</v>
      </c>
      <c r="BI311" s="70">
        <f>IF(BF311&gt;0,1,0)*$A$33</f>
        <v>0</v>
      </c>
      <c r="BJ311" s="679">
        <f>BF311*$BK$39</f>
        <v>0</v>
      </c>
      <c r="BK311" s="680"/>
      <c r="BL311" s="689"/>
      <c r="BM311" s="690"/>
      <c r="BN311" s="83"/>
      <c r="BO311" s="395"/>
      <c r="BP311" s="396"/>
      <c r="BQ311" s="83"/>
      <c r="BR311" s="691"/>
      <c r="BS311" s="692"/>
      <c r="CB311"/>
      <c r="CC311" s="51"/>
      <c r="CD311"/>
      <c r="CG311"/>
      <c r="CI311" s="51"/>
      <c r="CK311" s="22">
        <v>0.33333333333333298</v>
      </c>
      <c r="CL311" s="83">
        <f>$B$33</f>
        <v>0.61</v>
      </c>
      <c r="CM311" s="679">
        <f t="shared" ref="CM311:CM327" si="215">SUM(IF($AG$1="Residência",AG33,0),IF($AD$1="Residência",AD33,0),IF($AJ$1="Residência",AJ33,0))</f>
        <v>0</v>
      </c>
      <c r="CN311" s="680"/>
      <c r="CO311" s="70">
        <f>IF($H$343=$DV$28,IF(CM311&gt;0,((CM311-1)*$BM$39*0.5)+$BM$39,CM311*0.5*$BM$39),CM311*0.5*$BM$39)</f>
        <v>0</v>
      </c>
      <c r="CP311" s="70">
        <f>IF(CM311&gt;0,1,0)*$A$33</f>
        <v>0</v>
      </c>
      <c r="CQ311" s="679">
        <f>CM311*$BK$39</f>
        <v>0</v>
      </c>
      <c r="CR311" s="680"/>
      <c r="CS311" s="83"/>
      <c r="CV311" s="116"/>
      <c r="CW311" s="679">
        <f t="shared" ref="CW311:CW327" si="216">SUM(IF($AG$1="Residência",0,AG33),IF($AD$1="Residência",0,AD33),IF($AJ$1="Residência",0,AJ33))</f>
        <v>0</v>
      </c>
      <c r="CX311" s="680"/>
      <c r="CY311" s="70">
        <f>IF($H$343=$DV$28,IF(AND(CW311&gt;0,CM311&lt;1),((CW311-1)*$BM$39*0.5)+$BM$39,CW311*0.5*$BM$39),CW311*0.5*$BM$39)</f>
        <v>0</v>
      </c>
      <c r="CZ311" s="70">
        <f>IF(CW311&gt;0,1,0)*$A$33</f>
        <v>0</v>
      </c>
      <c r="DA311" s="679">
        <f>CW311*$BK$39</f>
        <v>0</v>
      </c>
      <c r="DB311" s="680"/>
      <c r="DC311" s="689"/>
      <c r="DD311" s="690"/>
      <c r="DE311" s="83"/>
      <c r="DF311" s="691"/>
      <c r="DG311" s="692"/>
      <c r="DH311" s="83"/>
      <c r="DI311" s="691"/>
      <c r="DJ311" s="692"/>
      <c r="DP311"/>
      <c r="DQ311"/>
      <c r="DR311"/>
      <c r="DS311"/>
      <c r="DT311" s="51"/>
      <c r="DV311"/>
      <c r="DW311"/>
      <c r="DX311"/>
      <c r="DY311"/>
    </row>
    <row r="312" spans="1:129" ht="13.5" thickBot="1" x14ac:dyDescent="0.25">
      <c r="B312"/>
      <c r="C312" s="22">
        <v>0.5</v>
      </c>
      <c r="D312" s="83">
        <f>$B$34</f>
        <v>0.66</v>
      </c>
      <c r="E312" s="679">
        <f>SUM(IF($C$1="Residência",$C$34,0),IF($F$1="Residência",$F$34,0),IF($I$1="Residência",$I$34,0),IF($L$1="Residência",$L$34,0),IF($O$1="Residência",$O$34,0),IF($R$1="Residência",$R$34,0),IF($U$1="Residência",$U$34,0),IF($X$1="Residência",$X$34,0),IF($AA$1="Residência",$AA$34,0),IF($AD$1="Residência",$AD$34,0),IF($AG$1="Residência",$AG$34,0),IF($AJ$1="Residência",$AJ$34,0))</f>
        <v>0</v>
      </c>
      <c r="F312" s="680"/>
      <c r="G312" s="70">
        <f>IF($H$343=$DV$29,IF(E312&gt;0,((E312-1)*$BM$40*0.5)+$BM$40,E312*0.5*$BM$40),E312*0.5*$BM$40)</f>
        <v>0</v>
      </c>
      <c r="H312" s="70">
        <f>IF(E312&gt;0,1,0)*$A$34</f>
        <v>0</v>
      </c>
      <c r="I312" s="679">
        <f>E312*$BK$40</f>
        <v>0</v>
      </c>
      <c r="J312" s="680"/>
      <c r="K312" s="83"/>
      <c r="N312" s="116"/>
      <c r="O312" s="679">
        <f>SUM(IF($C$1="Residência",0,$C$34),IF($F$1="Residência",0,$F$34),IF($I$1="Residência",0,$I$34),IF($L$1="Residência",0,$L$34),IF($O$1="Residência",0,$O$34),IF($R$1="Residência",0,$R$34),IF($U$1="Residência",0,$U$34),IF($X$1="Residência",0,$X$34),IF($AA$1="Residência",0,$AA$34),IF($AD$1="Residência",0,$AD$34),IF($AG$1="Residência",0,$AG$34),IF($AJ$1="Residência",0,$AJ$34),IF($E$68="TRIFÁSICA",$C$68,0))</f>
        <v>0</v>
      </c>
      <c r="P312" s="680"/>
      <c r="Q312" s="70">
        <f>IF($H$343=$DV$29,IF(AND(O312&gt;0,E312&lt;1),((O312-1)*$BM$40*0.5)+$BM$40,0),O312*0.5*$BM$40)</f>
        <v>0</v>
      </c>
      <c r="R312" s="70">
        <f>IF(O312&gt;0,1,0)*$A$34</f>
        <v>0</v>
      </c>
      <c r="S312" s="679">
        <f>O312*$BK$40</f>
        <v>0</v>
      </c>
      <c r="T312" s="680"/>
      <c r="U312" s="689"/>
      <c r="V312" s="690"/>
      <c r="W312" s="679">
        <f>SUM(IF($C$1="Residência",$C$34,0),IF($F$1="Residência",$F$34,0),IF($I$1="Residência",$I$34,0),IF($L$1="Residência",$L$34,0),IF($O$1="Residência",$O$34,0),IF($R$1="Residência",$R$34,0),IF($U$1="Residência",$U$34,0),IF($X$1="Residência",$X$34,0),IF($AA$1="Residência",$AA$34,0),IF($AD$1="Residência",$AD$34,0),IF($AG$1="Residência",$AG$34,0),IF($AJ$1="Residência",$AJ$34,0))</f>
        <v>0</v>
      </c>
      <c r="X312" s="680"/>
      <c r="Y312" s="70">
        <f>IF($H$343=$DV$29,IF(W312&gt;0,((W312-1)*$BM$40*0.5)+$BM$40,W312*0.5*$BM$40),W312*0.5*$BM$40)</f>
        <v>0</v>
      </c>
      <c r="Z312" s="70">
        <f>IF(W312&gt;0,1,0)*$A$34</f>
        <v>0</v>
      </c>
      <c r="AA312" s="679">
        <f>W312*$BK$40</f>
        <v>0</v>
      </c>
      <c r="AB312" s="680"/>
      <c r="AC312" s="83"/>
      <c r="AF312" s="116"/>
      <c r="AG312" s="679">
        <f>SUM(IF($C$1="Residência",0,$C$34),IF($F$1="Residência",0,$F$34),IF($I$1="Residência",0,$I$34),IF($L$1="Residência",0,$L$34),IF($O$1="Residência",0,$O$34),IF($R$1="Residência",0,$R$34),IF($U$1="Residência",0,$U$34),IF($X$1="Residência",0,$X$34),IF($AA$1="Residência",0,$AA$34),IF($AD$1="Residência",0,$AD$34),IF($AG$1="Residência",0,$AG$34),IF($AJ$1="Residência",0,$AJ$34))</f>
        <v>0</v>
      </c>
      <c r="AH312" s="680"/>
      <c r="AI312" s="70">
        <f>IF($H$343=$DV$29,IF(AND(AG312&gt;0,W312&lt;1),((AG312-1)*$BM$40*0.5)+$BM$40,0),AG312*0.5*$BM$40)</f>
        <v>0</v>
      </c>
      <c r="AJ312" s="70">
        <f>IF(AG312&gt;0,1,0)*$A$34</f>
        <v>0</v>
      </c>
      <c r="AK312" s="679">
        <f>AG312*$BK$40</f>
        <v>0</v>
      </c>
      <c r="AL312" s="680"/>
      <c r="AT312" s="22">
        <v>0.5</v>
      </c>
      <c r="AU312" s="83">
        <f>$B$34</f>
        <v>0.66</v>
      </c>
      <c r="AV312" s="679">
        <f t="shared" si="214"/>
        <v>0</v>
      </c>
      <c r="AW312" s="680"/>
      <c r="AX312" s="70">
        <f>IF($H$343=$DV$29,IF(AV312&gt;0,((AV312-1)*$BM$40*0.5)+$BM$40,AV312*0.5*$BM$40),AV312*0.5*$BM$40)</f>
        <v>0</v>
      </c>
      <c r="AY312" s="70">
        <f>IF(AV312&gt;0,1,0)*$A$34</f>
        <v>0</v>
      </c>
      <c r="AZ312" s="679">
        <f>AV312*$BK$40</f>
        <v>0</v>
      </c>
      <c r="BA312" s="680"/>
      <c r="BB312" s="83"/>
      <c r="BE312" s="116"/>
      <c r="BF312" s="679">
        <f t="shared" ref="BF312:BF327" si="217">SUM(IF($U$1="Residência",0,U34),IF($AA$1="Residência",0,AA34),IF($X$1="Residência",0,X34))</f>
        <v>0</v>
      </c>
      <c r="BG312" s="680"/>
      <c r="BH312" s="70">
        <f>IF($H$343=$DV$29,IF(AND(BF312&gt;0,AV312&lt;1),((BF312-1)*$BM$40*0.5)+$BM$40,0),BF312*0.5*$BM$40)</f>
        <v>0</v>
      </c>
      <c r="BI312" s="70">
        <f>IF(BF312&gt;0,1,0)*$A$34</f>
        <v>0</v>
      </c>
      <c r="BJ312" s="679">
        <f>BF312*$BK$40</f>
        <v>0</v>
      </c>
      <c r="BK312" s="680"/>
      <c r="BL312" s="689"/>
      <c r="BM312" s="690"/>
      <c r="BN312" s="83"/>
      <c r="BO312" s="395"/>
      <c r="BP312" s="396"/>
      <c r="BQ312" s="83"/>
      <c r="BR312" s="691"/>
      <c r="BS312" s="692"/>
      <c r="CB312"/>
      <c r="CC312"/>
      <c r="CD312"/>
      <c r="CG312"/>
      <c r="CK312" s="22">
        <v>0.5</v>
      </c>
      <c r="CL312" s="83">
        <f>$B$34</f>
        <v>0.66</v>
      </c>
      <c r="CM312" s="679">
        <f t="shared" si="215"/>
        <v>0</v>
      </c>
      <c r="CN312" s="680"/>
      <c r="CO312" s="70">
        <f>IF($H$343=$DV$29,IF(CM312&gt;0,((CM312-1)*$BM$40*0.5)+$BM$40,CM312*0.5*$BM$40),CM312*0.5*$BM$40)</f>
        <v>0</v>
      </c>
      <c r="CP312" s="70">
        <f>IF(CM312&gt;0,1,0)*$A$34</f>
        <v>0</v>
      </c>
      <c r="CQ312" s="679">
        <f>CM312*$BK$40</f>
        <v>0</v>
      </c>
      <c r="CR312" s="680"/>
      <c r="CS312" s="83"/>
      <c r="CV312" s="116"/>
      <c r="CW312" s="679">
        <f t="shared" si="216"/>
        <v>0</v>
      </c>
      <c r="CX312" s="680"/>
      <c r="CY312" s="70">
        <f>IF($H$343=$DV$29,IF(AND(CW312&gt;0,CM312&lt;1),((CW312-1)*$BM$40*0.5)+$BM$40,0),CW312*0.5*$BM$40)</f>
        <v>0</v>
      </c>
      <c r="CZ312" s="70">
        <f>IF(CW312&gt;0,1,0)*$A$34</f>
        <v>0</v>
      </c>
      <c r="DA312" s="679">
        <f>CW312*$BK$40</f>
        <v>0</v>
      </c>
      <c r="DB312" s="680"/>
      <c r="DC312" s="689"/>
      <c r="DD312" s="690"/>
      <c r="DE312" s="83"/>
      <c r="DF312" s="691"/>
      <c r="DG312" s="692"/>
      <c r="DH312" s="83"/>
      <c r="DI312" s="691"/>
      <c r="DJ312" s="692"/>
      <c r="DP312"/>
      <c r="DQ312"/>
      <c r="DR312"/>
      <c r="DS312"/>
      <c r="DT312"/>
      <c r="DV312"/>
      <c r="DW312"/>
      <c r="DX312"/>
      <c r="DY312"/>
    </row>
    <row r="313" spans="1:129" ht="13.5" thickBot="1" x14ac:dyDescent="0.25">
      <c r="A313" s="51"/>
      <c r="B313"/>
      <c r="C313" s="22">
        <v>0.75</v>
      </c>
      <c r="D313" s="83">
        <f>$B$35</f>
        <v>0.66</v>
      </c>
      <c r="E313" s="679">
        <f>SUM(IF($C$1="Residência",$C$35,0),IF($F$1="Residência",$F$35,0),IF($I$1="Residência",$I$35,0),IF($L$1="Residência",$L$35,0),IF($O$1="Residência",$O$35,0),IF($R$1="Residência",$R$35,0),IF($U$1="Residência",$U$35,0),IF($X$1="Residência",$X$35,0),IF($AA$1="Residência",$AA$35,0),IF($AD$1="Residência",$AD$35,0),IF($AG$1="Residência",$AG$35,0),IF($AJ$1="Residência",$AJ$35,0))</f>
        <v>0</v>
      </c>
      <c r="F313" s="680"/>
      <c r="G313" s="70">
        <f>IF($H$343=$DV$30,IF(E313&gt;0,((E313-1)*$BM$41*0.5)+$BM$41,E313*0.5*$BM$41),E313*0.5*$BM$41)</f>
        <v>0</v>
      </c>
      <c r="H313" s="70">
        <f>IF(E313&gt;0,1,0)*$A$35</f>
        <v>0</v>
      </c>
      <c r="I313" s="679">
        <f>E313*$BK$41</f>
        <v>0</v>
      </c>
      <c r="J313" s="680"/>
      <c r="K313" s="83"/>
      <c r="N313" s="116"/>
      <c r="O313" s="679">
        <f>SUM(IF($C$1="Residência",0,$C$35),IF($F$1="Residência",0,$F$35),IF($I$1="Residência",0,$I$35),IF($L$1="Residência",0,$L$35),IF($O$1="Residência",0,$O$35),IF($R$1="Residência",0,$R$35),IF($U$1="Residência",0,$U$35),IF($X$1="Residência",0,$X$35),IF($AA$1="Residência",0,$AA$35),IF($AD$1="Residência",0,$AD$35),IF($AG$1="Residência",0,$AG$35),IF($AJ$1="Residência",0,$AJ$35),IF($E$69="TRIFÁSICA",$C$69,0))</f>
        <v>0</v>
      </c>
      <c r="P313" s="680"/>
      <c r="Q313" s="70">
        <f>IF($H$343=$DV$30,IF(AND(O313&gt;0,E313&lt;1),((O313-1)*$BM$41*0.5)+$BM$41,O313*0.5*$BM$41),O313*0.5*$BM$41)</f>
        <v>0</v>
      </c>
      <c r="R313" s="70">
        <f>IF(O313&gt;0,1,0)*$A$35</f>
        <v>0</v>
      </c>
      <c r="S313" s="679">
        <f>O313*$BK$41</f>
        <v>0</v>
      </c>
      <c r="T313" s="680"/>
      <c r="U313" s="689"/>
      <c r="V313" s="690"/>
      <c r="W313" s="679">
        <f>SUM(IF($C$1="Residência",$C$35,0),IF($F$1="Residência",$F$35,0),IF($I$1="Residência",$I$35,0),IF($L$1="Residência",$L$35,0),IF($O$1="Residência",$O$35,0),IF($R$1="Residência",$R$35,0),IF($U$1="Residência",$U$35,0),IF($X$1="Residência",$X$35,0),IF($AA$1="Residência",$AA$35,0),IF($AD$1="Residência",$AD$35,0),IF($AG$1="Residência",$AG$35,0),IF($AJ$1="Residência",$AJ$35,0))</f>
        <v>0</v>
      </c>
      <c r="X313" s="680"/>
      <c r="Y313" s="70">
        <f>IF($H$343=$DV$30,IF(W313&gt;0,((W313-1)*$BM$41*0.5)+$BM$41,W313*0.5*$BM$41),W313*0.5*$BM$41)</f>
        <v>0</v>
      </c>
      <c r="Z313" s="70">
        <f>IF(W313&gt;0,1,0)*$A$35</f>
        <v>0</v>
      </c>
      <c r="AA313" s="679">
        <f>W313*$BK$41</f>
        <v>0</v>
      </c>
      <c r="AB313" s="680"/>
      <c r="AC313" s="83"/>
      <c r="AF313" s="116"/>
      <c r="AG313" s="679">
        <f>SUM(IF($C$1="Residência",0,$C$35),IF($F$1="Residência",0,$F$35),IF($I$1="Residência",0,$I$35),IF($L$1="Residência",0,$L$35),IF($O$1="Residência",0,$O$35),IF($R$1="Residência",0,$R$35),IF($U$1="Residência",0,$U$35),IF($X$1="Residência",0,$X$35),IF($AA$1="Residência",0,$AA$35),IF($AD$1="Residência",0,$AD$35),IF($AG$1="Residência",0,$AG$35),IF($AJ$1="Residência",0,$AJ$35))</f>
        <v>0</v>
      </c>
      <c r="AH313" s="680"/>
      <c r="AI313" s="70">
        <f>IF($H$343=$DV$30,IF(AND(AG313&gt;0,W313&lt;1),((AG313-1)*$BM$41*0.5)+$BM$41,AG313*0.5*$BM$41),AG313*0.5*$BM$41)</f>
        <v>0</v>
      </c>
      <c r="AJ313" s="70">
        <f>IF(AG313&gt;0,1,0)*$A$35</f>
        <v>0</v>
      </c>
      <c r="AK313" s="679">
        <f>AG313*$BK$41</f>
        <v>0</v>
      </c>
      <c r="AL313" s="680"/>
      <c r="AR313" s="51"/>
      <c r="AT313" s="22">
        <v>0.75</v>
      </c>
      <c r="AU313" s="83">
        <f>$B$35</f>
        <v>0.66</v>
      </c>
      <c r="AV313" s="679">
        <f t="shared" si="214"/>
        <v>0</v>
      </c>
      <c r="AW313" s="680"/>
      <c r="AX313" s="70">
        <f>IF($H$343=$DV$30,IF(AV313&gt;0,((AV313-1)*$BM$41*0.5)+$BM$41,AV313*0.5*$BM$41),AV313*0.5*$BM$41)</f>
        <v>0</v>
      </c>
      <c r="AY313" s="70">
        <f>IF(AV313&gt;0,1,0)*$A$35</f>
        <v>0</v>
      </c>
      <c r="AZ313" s="679">
        <f>AV313*$BK$41</f>
        <v>0</v>
      </c>
      <c r="BA313" s="680"/>
      <c r="BB313" s="83"/>
      <c r="BE313" s="116"/>
      <c r="BF313" s="679">
        <f t="shared" si="217"/>
        <v>0</v>
      </c>
      <c r="BG313" s="680"/>
      <c r="BH313" s="70">
        <f>IF($H$343=$DV$30,IF(AND(BF313&gt;0,AV313&lt;1),((BF313-1)*$BM$41*0.5)+$BM$41,BF313*0.5*$BM$41),BF313*0.5*$BM$41)</f>
        <v>0</v>
      </c>
      <c r="BI313" s="70">
        <f>IF(BF313&gt;0,1,0)*$A$35</f>
        <v>0</v>
      </c>
      <c r="BJ313" s="679">
        <f>BF313*$BK$41</f>
        <v>0</v>
      </c>
      <c r="BK313" s="680"/>
      <c r="BL313" s="689"/>
      <c r="BM313" s="690"/>
      <c r="BN313" s="83"/>
      <c r="BO313" s="395"/>
      <c r="BP313" s="396"/>
      <c r="BQ313" s="83"/>
      <c r="BR313" s="691"/>
      <c r="BS313" s="692"/>
      <c r="CB313"/>
      <c r="CC313" s="51"/>
      <c r="CD313"/>
      <c r="CG313"/>
      <c r="CI313" s="51"/>
      <c r="CK313" s="22">
        <v>0.75</v>
      </c>
      <c r="CL313" s="83">
        <f>$B$35</f>
        <v>0.66</v>
      </c>
      <c r="CM313" s="679">
        <f t="shared" si="215"/>
        <v>0</v>
      </c>
      <c r="CN313" s="680"/>
      <c r="CO313" s="70">
        <f>IF($H$343=$DV$30,IF(CM313&gt;0,((CM313-1)*$BM$41*0.5)+$BM$41,CM313*0.5*$BM$41),CM313*0.5*$BM$41)</f>
        <v>0</v>
      </c>
      <c r="CP313" s="70">
        <f>IF(CM313&gt;0,1,0)*$A$35</f>
        <v>0</v>
      </c>
      <c r="CQ313" s="679">
        <f>CM313*$BK$41</f>
        <v>0</v>
      </c>
      <c r="CR313" s="680"/>
      <c r="CS313" s="83"/>
      <c r="CV313" s="116"/>
      <c r="CW313" s="679">
        <f t="shared" si="216"/>
        <v>0</v>
      </c>
      <c r="CX313" s="680"/>
      <c r="CY313" s="70">
        <f>IF($H$343=$DV$30,IF(AND(CW313&gt;0,CM313&lt;1),((CW313-1)*$BM$41*0.5)+$BM$41,CW313*0.5*$BM$41),CW313*0.5*$BM$41)</f>
        <v>0</v>
      </c>
      <c r="CZ313" s="70">
        <f>IF(CW313&gt;0,1,0)*$A$35</f>
        <v>0</v>
      </c>
      <c r="DA313" s="679">
        <f>CW313*$BK$41</f>
        <v>0</v>
      </c>
      <c r="DB313" s="680"/>
      <c r="DC313" s="689"/>
      <c r="DD313" s="690"/>
      <c r="DE313" s="83"/>
      <c r="DF313" s="691"/>
      <c r="DG313" s="692"/>
      <c r="DH313" s="83"/>
      <c r="DI313" s="691"/>
      <c r="DJ313" s="692"/>
      <c r="DP313"/>
      <c r="DQ313"/>
      <c r="DR313"/>
      <c r="DS313"/>
      <c r="DT313" s="51"/>
      <c r="DV313"/>
      <c r="DW313"/>
      <c r="DX313"/>
      <c r="DY313"/>
    </row>
    <row r="314" spans="1:129" ht="13.5" thickBot="1" x14ac:dyDescent="0.25">
      <c r="A314" s="51"/>
      <c r="B314"/>
      <c r="C314" s="22">
        <v>1</v>
      </c>
      <c r="D314" s="83">
        <f>$B$36</f>
        <v>0.69</v>
      </c>
      <c r="E314" s="679">
        <f>SUM(IF($C$1="Residência",$C$36,0),IF($F$1="Residência",$F$36,0),IF($I$1="Residência",$I$36,0),IF($L$1="Residência",$L$36,0),IF($O$1="Residência",$O$36,0),IF($R$1="Residência",$R$36,0),IF($U$1="Residência",$U$36,0),IF($X$1="Residência",$X$36,0),IF($AA$1="Residência",$AA$36,0),IF($AD$1="Residência",$AD$36,0),IF($AG$1="Residência",$AG$36,0),IF($AJ$1="Residência",$AJ$36,0))</f>
        <v>0</v>
      </c>
      <c r="F314" s="680"/>
      <c r="G314" s="70">
        <f>IF($H$343=$DV$31,IF(E314&gt;0,((E314-1)*$BM$42*0.5)+$BM$42,E314*0.5*$BM$42),E314*0.5*$BM$42)</f>
        <v>0</v>
      </c>
      <c r="H314" s="70">
        <f>IF(E314&gt;0,1,0)*$A$36</f>
        <v>0</v>
      </c>
      <c r="I314" s="679">
        <f>E314*$BK$42</f>
        <v>0</v>
      </c>
      <c r="J314" s="680"/>
      <c r="K314" s="83"/>
      <c r="N314" s="116"/>
      <c r="O314" s="679">
        <f>SUM(IF($C$1="Residência",0,$C$36),IF($F$1="Residência",0,$F$36),IF($I$1="Residência",0,$I$36),IF($L$1="Residência",0,$L$36),IF($O$1="Residência",0,$O$36),IF($R$1="Residência",0,$R$36),IF($U$1="Residência",0,$U$36),IF($X$1="Residência",0,$X$36),IF($AA$1="Residência",0,$AA$36),IF($AD$1="Residência",0,$AD$36),IF($AG$1="Residência",0,$AG$36),IF($AJ$1="Residência",0,$AJ$36),IF($E$70="TRIFÁSICA",$C$70,0))</f>
        <v>0</v>
      </c>
      <c r="P314" s="680"/>
      <c r="Q314" s="70">
        <f>IF($H$343=$DV$31,IF(AND(O314&gt;0,E314&lt;1),((O314-1)*$BM$42*0.5)+$BM$42,O314*0.5*$BM$42),O314*0.5*$BM$42)</f>
        <v>0</v>
      </c>
      <c r="R314" s="70">
        <f>IF(O314&gt;0,1,0)*$A$36</f>
        <v>0</v>
      </c>
      <c r="S314" s="679">
        <f>O314*$BK$42</f>
        <v>0</v>
      </c>
      <c r="T314" s="680"/>
      <c r="U314" s="689"/>
      <c r="V314" s="690"/>
      <c r="W314" s="679">
        <f>SUM(IF($C$1="Residência",$C$36,0),IF($F$1="Residência",$F$36,0),IF($I$1="Residência",$I$36,0),IF($L$1="Residência",$L$36,0),IF($O$1="Residência",$O$36,0),IF($R$1="Residência",$R$36,0),IF($U$1="Residência",$U$36,0),IF($X$1="Residência",$X$36,0),IF($AA$1="Residência",$AA$36,0),IF($AD$1="Residência",$AD$36,0),IF($AG$1="Residência",$AG$36,0),IF($AJ$1="Residência",$AJ$36,0))</f>
        <v>0</v>
      </c>
      <c r="X314" s="680"/>
      <c r="Y314" s="70">
        <f>IF($H$343=$DV$31,IF(W314&gt;0,((W314-1)*$BM$42*0.5)+$BM$42,W314*0.5*$BM$42),W314*0.5*$BM$42)</f>
        <v>0</v>
      </c>
      <c r="Z314" s="70">
        <f>IF(W314&gt;0,1,0)*$A$36</f>
        <v>0</v>
      </c>
      <c r="AA314" s="679">
        <f>W314*$BK$42</f>
        <v>0</v>
      </c>
      <c r="AB314" s="680"/>
      <c r="AC314" s="83"/>
      <c r="AF314" s="116"/>
      <c r="AG314" s="679">
        <f>SUM(IF($C$1="Residência",0,$C$36),IF($F$1="Residência",0,$F$36),IF($I$1="Residência",0,$I$36),IF($L$1="Residência",0,$L$36),IF($O$1="Residência",0,$O$36),IF($R$1="Residência",0,$R$36),IF($U$1="Residência",0,$U$36),IF($X$1="Residência",0,$X$36),IF($AA$1="Residência",0,$AA$36),IF($AD$1="Residência",0,$AD$36),IF($AG$1="Residência",0,$AG$36),IF($AJ$1="Residência",0,$AJ$36))</f>
        <v>0</v>
      </c>
      <c r="AH314" s="680"/>
      <c r="AI314" s="70">
        <f>IF($H$343=$DV$31,IF(AND(AG314&gt;0,W314&lt;1),((AG314-1)*$BM$42*0.5)+$BM$42,AG314*0.5*$BM$42),AG314*0.5*$BM$42)</f>
        <v>0</v>
      </c>
      <c r="AJ314" s="70">
        <f>IF(AG314&gt;0,1,0)*$A$36</f>
        <v>0</v>
      </c>
      <c r="AK314" s="679">
        <f>AG314*$BK$42</f>
        <v>0</v>
      </c>
      <c r="AL314" s="680"/>
      <c r="AR314" s="51"/>
      <c r="AT314" s="22">
        <v>1</v>
      </c>
      <c r="AU314" s="83">
        <f>$B$36</f>
        <v>0.69</v>
      </c>
      <c r="AV314" s="679">
        <f t="shared" si="214"/>
        <v>0</v>
      </c>
      <c r="AW314" s="680"/>
      <c r="AX314" s="70">
        <f>IF($H$343=$DV$31,IF(AV314&gt;0,((AV314-1)*$BM$42*0.5)+$BM$42,AV314*0.5*$BM$42),AV314*0.5*$BM$42)</f>
        <v>0</v>
      </c>
      <c r="AY314" s="70">
        <f>IF(AV314&gt;0,1,0)*$A$36</f>
        <v>0</v>
      </c>
      <c r="AZ314" s="679">
        <f>AV314*$BK$42</f>
        <v>0</v>
      </c>
      <c r="BA314" s="680"/>
      <c r="BB314" s="83"/>
      <c r="BE314" s="116"/>
      <c r="BF314" s="679">
        <f t="shared" si="217"/>
        <v>0</v>
      </c>
      <c r="BG314" s="680"/>
      <c r="BH314" s="70">
        <f>IF($H$343=$DV$31,IF(AND(BF314&gt;0,AV314&lt;1),((BF314-1)*$BM$42*0.5)+$BM$42,BF314*0.5*$BM$42),BF314*0.5*$BM$42)</f>
        <v>0</v>
      </c>
      <c r="BI314" s="70">
        <f>IF(BF314&gt;0,1,0)*$A$36</f>
        <v>0</v>
      </c>
      <c r="BJ314" s="679">
        <f>BF314*$BK$42</f>
        <v>0</v>
      </c>
      <c r="BK314" s="680"/>
      <c r="BL314" s="689"/>
      <c r="BM314" s="690"/>
      <c r="BN314" s="83"/>
      <c r="BO314" s="395"/>
      <c r="BP314" s="396"/>
      <c r="BQ314" s="83"/>
      <c r="BR314" s="691"/>
      <c r="BS314" s="692"/>
      <c r="CB314"/>
      <c r="CC314" s="51"/>
      <c r="CD314"/>
      <c r="CG314"/>
      <c r="CI314" s="51"/>
      <c r="CK314" s="22">
        <v>1</v>
      </c>
      <c r="CL314" s="83">
        <f>$B$36</f>
        <v>0.69</v>
      </c>
      <c r="CM314" s="679">
        <f t="shared" si="215"/>
        <v>0</v>
      </c>
      <c r="CN314" s="680"/>
      <c r="CO314" s="70">
        <f>IF($H$343=$DV$31,IF(CM314&gt;0,((CM314-1)*$BM$42*0.5)+$BM$42,CM314*0.5*$BM$42),CM314*0.5*$BM$42)</f>
        <v>0</v>
      </c>
      <c r="CP314" s="70">
        <f>IF(CM314&gt;0,1,0)*$A$36</f>
        <v>0</v>
      </c>
      <c r="CQ314" s="679">
        <f>CM314*$BK$42</f>
        <v>0</v>
      </c>
      <c r="CR314" s="680"/>
      <c r="CS314" s="83"/>
      <c r="CV314" s="116"/>
      <c r="CW314" s="679">
        <f t="shared" si="216"/>
        <v>0</v>
      </c>
      <c r="CX314" s="680"/>
      <c r="CY314" s="70">
        <f>IF($H$343=$DV$31,IF(AND(CW314&gt;0,CM314&lt;1),((CW314-1)*$BM$42*0.5)+$BM$42,CW314*0.5*$BM$42),CW314*0.5*$BM$42)</f>
        <v>0</v>
      </c>
      <c r="CZ314" s="70">
        <f>IF(CW314&gt;0,1,0)*$A$36</f>
        <v>0</v>
      </c>
      <c r="DA314" s="679">
        <f>CW314*$BK$42</f>
        <v>0</v>
      </c>
      <c r="DB314" s="680"/>
      <c r="DC314" s="689"/>
      <c r="DD314" s="690"/>
      <c r="DE314" s="83"/>
      <c r="DF314" s="691"/>
      <c r="DG314" s="692"/>
      <c r="DH314" s="83"/>
      <c r="DI314" s="691"/>
      <c r="DJ314" s="692"/>
      <c r="DP314"/>
      <c r="DQ314"/>
      <c r="DR314"/>
      <c r="DS314"/>
      <c r="DT314" s="51"/>
      <c r="DV314"/>
      <c r="DW314"/>
      <c r="DX314"/>
      <c r="DY314"/>
    </row>
    <row r="315" spans="1:129" ht="13.5" thickBot="1" x14ac:dyDescent="0.25">
      <c r="A315" s="51"/>
      <c r="B315"/>
      <c r="C315" s="22">
        <v>1.5</v>
      </c>
      <c r="D315" s="83">
        <f>$B$37</f>
        <v>0.71</v>
      </c>
      <c r="E315" s="679">
        <f>SUM(IF($C$1="Residência",$C$37,0),IF($F$1="Residência",$F$37,0),IF($I$1="Residência",$I$37,0),IF($L$1="Residência",$L$37,0),IF($O$1="Residência",$O$37,0),IF($R$1="Residência",$R$37,0),IF($U$1="Residência",$U$37,0),IF($X$1="Residência",$X$37,0),IF($AA$1="Residência",$AA$37,0),IF($AD$1="Residência",$AD$37,0),IF($AG$1="Residência",$AG$37,0),IF($AJ$1="Residência",$AJ$37,0))</f>
        <v>0</v>
      </c>
      <c r="F315" s="680"/>
      <c r="G315" s="70">
        <f>IF($H$343=$DV$32,IF(E315&gt;0,((E315-1)*$BM$43*0.5)+$BM$43,E315*0.5*$BM$43),E315*0.5*$BM$43)</f>
        <v>0</v>
      </c>
      <c r="H315" s="70">
        <f>IF(E315&gt;0,1,0)*$A$37</f>
        <v>0</v>
      </c>
      <c r="I315" s="679">
        <f>E315*$BK$43</f>
        <v>0</v>
      </c>
      <c r="J315" s="680"/>
      <c r="K315" s="83"/>
      <c r="N315" s="116"/>
      <c r="O315" s="679">
        <f>SUM(IF($C$1="Residência",0,$C$37),IF($F$1="Residência",0,$F$37),IF($I$1="Residência",0,$I$37),IF($L$1="Residência",0,$L$37),IF($O$1="Residência",0,$O$37),IF($R$1="Residência",0,$R$37),IF($U$1="Residência",0,$U$37),IF($X$1="Residência",0,$X$37),IF($AA$1="Residência",0,$AA$37),IF($AD$1="Residência",0,$AD$37),IF($AG$1="Residência",0,$AG$37),IF($AJ$1="Residência",0,$AJ$37),IF($E$71="TRIFÁSICA",$C$71,0))</f>
        <v>0</v>
      </c>
      <c r="P315" s="680"/>
      <c r="Q315" s="70">
        <f>IF($H$343=$DV$32,IF(AND(O315&gt;0,E315&lt;1),((O315-1)*$BM$43*0.5)+$BM$43,O315*0.5*$BM$43),O315*0.5*$BM$43)</f>
        <v>0</v>
      </c>
      <c r="R315" s="70">
        <f>IF(O315&gt;0,1,0)*$A$37</f>
        <v>0</v>
      </c>
      <c r="S315" s="679">
        <f>O315*$BK$43</f>
        <v>0</v>
      </c>
      <c r="T315" s="680"/>
      <c r="U315" s="689"/>
      <c r="V315" s="690"/>
      <c r="W315" s="679">
        <f>SUM(IF($C$1="Residência",$C$37,0),IF($F$1="Residência",$F$37,0),IF($I$1="Residência",$I$37,0),IF($L$1="Residência",$L$37,0),IF($O$1="Residência",$O$37,0),IF($R$1="Residência",$R$37,0),IF($U$1="Residência",$U$37,0),IF($X$1="Residência",$X$37,0),IF($AA$1="Residência",$AA$37,0),IF($AD$1="Residência",$AD$37,0),IF($AG$1="Residência",$AG$37,0),IF($AJ$1="Residência",$AJ$37,0))</f>
        <v>0</v>
      </c>
      <c r="X315" s="680"/>
      <c r="Y315" s="70">
        <f>IF($H$343=$DV$32,IF(W315&gt;0,((W315-1)*$BM$43*0.5)+$BM$43,W315*0.5*$BM$43),W315*0.5*$BM$43)</f>
        <v>0</v>
      </c>
      <c r="Z315" s="70">
        <f>IF(W315&gt;0,1,0)*$A$37</f>
        <v>0</v>
      </c>
      <c r="AA315" s="679">
        <f>W315*$BK$43</f>
        <v>0</v>
      </c>
      <c r="AB315" s="680"/>
      <c r="AC315" s="83"/>
      <c r="AF315" s="116"/>
      <c r="AG315" s="679">
        <f>SUM(IF($C$1="Residência",0,$C$37),IF($F$1="Residência",0,$F$37),IF($I$1="Residência",0,$I$37),IF($L$1="Residência",0,$L$37),IF($O$1="Residência",0,$O$37),IF($R$1="Residência",0,$R$37),IF($U$1="Residência",0,$U$37),IF($X$1="Residência",0,$X$37),IF($AA$1="Residência",0,$AA$37),IF($AD$1="Residência",0,$AD$37),IF($AG$1="Residência",0,$AG$37),IF($AJ$1="Residência",0,$AJ$37))</f>
        <v>0</v>
      </c>
      <c r="AH315" s="680"/>
      <c r="AI315" s="70">
        <f>IF($H$343=$DV$32,IF(AND(AG315&gt;0,W315&lt;1),((AG315-1)*$BM$43*0.5)+$BM$43,AG315*0.5*$BM$43),AG315*0.5*$BM$43)</f>
        <v>0</v>
      </c>
      <c r="AJ315" s="70">
        <f>IF(AG315&gt;0,1,0)*$A$37</f>
        <v>0</v>
      </c>
      <c r="AK315" s="679">
        <f>AG315*$BK$43</f>
        <v>0</v>
      </c>
      <c r="AL315" s="680"/>
      <c r="AR315" s="51"/>
      <c r="AT315" s="22">
        <v>1.5</v>
      </c>
      <c r="AU315" s="83">
        <f>$B$37</f>
        <v>0.71</v>
      </c>
      <c r="AV315" s="679">
        <f t="shared" si="214"/>
        <v>0</v>
      </c>
      <c r="AW315" s="680"/>
      <c r="AX315" s="70">
        <f>IF($H$343=$DV$32,IF(AV315&gt;0,((AV315-1)*$BM$43*0.5)+$BM$43,AV315*0.5*$BM$43),AV315*0.5*$BM$43)</f>
        <v>0</v>
      </c>
      <c r="AY315" s="70">
        <f>IF(AV315&gt;0,1,0)*$A$37</f>
        <v>0</v>
      </c>
      <c r="AZ315" s="679">
        <f>AV315*$BK$43</f>
        <v>0</v>
      </c>
      <c r="BA315" s="680"/>
      <c r="BB315" s="83"/>
      <c r="BE315" s="116"/>
      <c r="BF315" s="679">
        <f t="shared" si="217"/>
        <v>0</v>
      </c>
      <c r="BG315" s="680"/>
      <c r="BH315" s="70">
        <f>IF($H$343=$DV$32,IF(AND(BF315&gt;0,AV315&lt;1),((BF315-1)*$BM$43*0.5)+$BM$43,BF315*0.5*$BM$43),BF315*0.5*$BM$43)</f>
        <v>0</v>
      </c>
      <c r="BI315" s="70">
        <f>IF(BF315&gt;0,1,0)*$A$37</f>
        <v>0</v>
      </c>
      <c r="BJ315" s="679">
        <f>BF315*$BK$43</f>
        <v>0</v>
      </c>
      <c r="BK315" s="680"/>
      <c r="BL315" s="689"/>
      <c r="BM315" s="690"/>
      <c r="BN315" s="83"/>
      <c r="BO315" s="395"/>
      <c r="BP315" s="396"/>
      <c r="BQ315" s="83"/>
      <c r="BR315" s="691"/>
      <c r="BS315" s="692"/>
      <c r="CB315"/>
      <c r="CC315" s="51"/>
      <c r="CD315"/>
      <c r="CG315"/>
      <c r="CI315" s="51"/>
      <c r="CK315" s="22">
        <v>1.5</v>
      </c>
      <c r="CL315" s="83">
        <f>$B$37</f>
        <v>0.71</v>
      </c>
      <c r="CM315" s="679">
        <f t="shared" si="215"/>
        <v>0</v>
      </c>
      <c r="CN315" s="680"/>
      <c r="CO315" s="70">
        <f>IF($H$343=$DV$32,IF(CM315&gt;0,((CM315-1)*$BM$43*0.5)+$BM$43,CM315*0.5*$BM$43),CM315*0.5*$BM$43)</f>
        <v>0</v>
      </c>
      <c r="CP315" s="70">
        <f>IF(CM315&gt;0,1,0)*$A$37</f>
        <v>0</v>
      </c>
      <c r="CQ315" s="679">
        <f>CM315*$BK$43</f>
        <v>0</v>
      </c>
      <c r="CR315" s="680"/>
      <c r="CS315" s="83"/>
      <c r="CV315" s="116"/>
      <c r="CW315" s="679">
        <f t="shared" si="216"/>
        <v>0</v>
      </c>
      <c r="CX315" s="680"/>
      <c r="CY315" s="70">
        <f>IF($H$343=$DV$32,IF(AND(CW315&gt;0,CM315&lt;1),((CW315-1)*$BM$43*0.5)+$BM$43,CW315*0.5*$BM$43),CW315*0.5*$BM$43)</f>
        <v>0</v>
      </c>
      <c r="CZ315" s="70">
        <f>IF(CW315&gt;0,1,0)*$A$37</f>
        <v>0</v>
      </c>
      <c r="DA315" s="679">
        <f>CW315*$BK$43</f>
        <v>0</v>
      </c>
      <c r="DB315" s="680"/>
      <c r="DC315" s="689"/>
      <c r="DD315" s="690"/>
      <c r="DE315" s="83"/>
      <c r="DF315" s="691"/>
      <c r="DG315" s="692"/>
      <c r="DH315" s="83"/>
      <c r="DI315" s="691"/>
      <c r="DJ315" s="692"/>
      <c r="DP315"/>
      <c r="DQ315"/>
      <c r="DR315"/>
      <c r="DS315"/>
      <c r="DT315" s="51"/>
      <c r="DV315"/>
      <c r="DW315"/>
      <c r="DX315"/>
      <c r="DY315"/>
    </row>
    <row r="316" spans="1:129" ht="13.5" thickBot="1" x14ac:dyDescent="0.25">
      <c r="A316" s="51"/>
      <c r="B316"/>
      <c r="C316" s="22">
        <v>2</v>
      </c>
      <c r="D316" s="83">
        <f>$B$38</f>
        <v>0.72</v>
      </c>
      <c r="E316" s="679">
        <f>SUM(IF($C$1="Residência",$C$38,0),IF($F$1="Residência",$F$38,0),IF($I$1="Residência",$I$38,0),IF($L$1="Residência",$L$38,0),IF($O$1="Residência",$O$38,0),IF($R$1="Residência",$R$38,0),IF($U$1="Residência",$U$38,0),IF($X$1="Residência",$X$38,0),IF($AA$1="Residência",$AA$38,0),IF($AD$1="Residência",$AD$38,0),IF($AG$1="Residência",$AG$38,0),IF($AJ$1="Residência",$AJ$38,0))</f>
        <v>0</v>
      </c>
      <c r="F316" s="680"/>
      <c r="G316" s="70">
        <f>IF($H$343=$DV$33,IF(E316&gt;0,((E316-1)*$BM$44*0.5)+$BM$44,E316*0.5*$BM$44),E316*0.5*$BM$44)</f>
        <v>0</v>
      </c>
      <c r="H316" s="70">
        <f>IF(E316&gt;0,1,0)*$A$38</f>
        <v>0</v>
      </c>
      <c r="I316" s="679">
        <f>E316*$BK$44</f>
        <v>0</v>
      </c>
      <c r="J316" s="680"/>
      <c r="K316" s="83"/>
      <c r="N316" s="116"/>
      <c r="O316" s="679">
        <f>SUM(IF($C$1="Residência",0,$C$38),IF($F$1="Residência",0,$F$38),IF($I$1="Residência",0,$I$38),IF($L$1="Residência",0,$L$38),IF($O$1="Residência",0,$O$38),IF($R$1="Residência",0,$R$38),IF($U$1="Residência",0,$U$38),IF($X$1="Residência",0,$X$38),IF($AA$1="Residência",0,$AA$38),IF($AD$1="Residência",0,$AD$38),IF($AG$1="Residência",0,$AG$38),IF($AJ$1="Residência",0,$AJ$38),IF($E$72="TRIFÁSICA",$C$72,0))</f>
        <v>0</v>
      </c>
      <c r="P316" s="680"/>
      <c r="Q316" s="70">
        <f>IF($H$343=$DV$33,IF(AND(O316&gt;0,E316&lt;1),((O316-1)*$BM$44*0.5)+$BM$44,O316*0.5*$BM$44),O316*0.5*$BM$44)</f>
        <v>0</v>
      </c>
      <c r="R316" s="70">
        <f>IF(O316&gt;0,1,0)*$A$38</f>
        <v>0</v>
      </c>
      <c r="S316" s="679">
        <f>O316*$BK$44</f>
        <v>0</v>
      </c>
      <c r="T316" s="680"/>
      <c r="U316" s="689"/>
      <c r="V316" s="690"/>
      <c r="W316" s="679">
        <f>SUM(IF($C$1="Residência",$C$38,0),IF($F$1="Residência",$F$38,0),IF($I$1="Residência",$I$38,0),IF($L$1="Residência",$L$38,0),IF($O$1="Residência",$O$38,0),IF($R$1="Residência",$R$38,0),IF($U$1="Residência",$U$38,0),IF($X$1="Residência",$X$38,0),IF($AA$1="Residência",$AA$38,0),IF($AD$1="Residência",$AD$38,0),IF($AG$1="Residência",$AG$38,0),IF($AJ$1="Residência",$AJ$38,0))</f>
        <v>0</v>
      </c>
      <c r="X316" s="680"/>
      <c r="Y316" s="70">
        <f>IF($H$343=$DV$33,IF(W316&gt;0,((W316-1)*$BM$44*0.5)+$BM$44,W316*0.5*$BM$44),W316*0.5*$BM$44)</f>
        <v>0</v>
      </c>
      <c r="Z316" s="70">
        <f>IF(W316&gt;0,1,0)*$A$38</f>
        <v>0</v>
      </c>
      <c r="AA316" s="679">
        <f>W316*$BK$44</f>
        <v>0</v>
      </c>
      <c r="AB316" s="680"/>
      <c r="AC316" s="83"/>
      <c r="AF316" s="116"/>
      <c r="AG316" s="679">
        <f>SUM(IF($C$1="Residência",0,$C$38),IF($F$1="Residência",0,$F$38),IF($I$1="Residência",0,$I$38),IF($L$1="Residência",0,$L$38),IF($O$1="Residência",0,$O$38),IF($R$1="Residência",0,$R$38),IF($U$1="Residência",0,$U$38),IF($X$1="Residência",0,$X$38),IF($AA$1="Residência",0,$AA$38),IF($AD$1="Residência",0,$AD$38),IF($AG$1="Residência",0,$AG$38),IF($AJ$1="Residência",0,$AJ$38))</f>
        <v>0</v>
      </c>
      <c r="AH316" s="680"/>
      <c r="AI316" s="70">
        <f>IF($H$343=$DV$33,IF(AND(AG316&gt;0,W316&lt;1),((AG316-1)*$BM$44*0.5)+$BM$44,AG316*0.5*$BM$44),AG316*0.5*$BM$44)</f>
        <v>0</v>
      </c>
      <c r="AJ316" s="70">
        <f>IF(AG316&gt;0,1,0)*$A$38</f>
        <v>0</v>
      </c>
      <c r="AK316" s="679">
        <f>AG316*$BK$44</f>
        <v>0</v>
      </c>
      <c r="AL316" s="680"/>
      <c r="AR316" s="51"/>
      <c r="AT316" s="22">
        <v>2</v>
      </c>
      <c r="AU316" s="83">
        <f>$B$38</f>
        <v>0.72</v>
      </c>
      <c r="AV316" s="679">
        <f t="shared" si="214"/>
        <v>0</v>
      </c>
      <c r="AW316" s="680"/>
      <c r="AX316" s="70">
        <f>IF($H$343=$DV$33,IF(AV316&gt;0,((AV316-1)*$BM$44*0.5)+$BM$44,AV316*0.5*$BM$44),AV316*0.5*$BM$44)</f>
        <v>0</v>
      </c>
      <c r="AY316" s="70">
        <f>IF(AV316&gt;0,1,0)*$A$38</f>
        <v>0</v>
      </c>
      <c r="AZ316" s="679">
        <f>AV316*$BK$44</f>
        <v>0</v>
      </c>
      <c r="BA316" s="680"/>
      <c r="BB316" s="83"/>
      <c r="BE316" s="116"/>
      <c r="BF316" s="679">
        <f t="shared" si="217"/>
        <v>0</v>
      </c>
      <c r="BG316" s="680"/>
      <c r="BH316" s="70">
        <f>IF($H$343=$DV$33,IF(AND(BF316&gt;0,AV316&lt;1),((BF316-1)*$BM$44*0.5)+$BM$44,BF316*0.5*$BM$44),BF316*0.5*$BM$44)</f>
        <v>0</v>
      </c>
      <c r="BI316" s="70">
        <f>IF(BF316&gt;0,1,0)*$A$38</f>
        <v>0</v>
      </c>
      <c r="BJ316" s="679">
        <f>BF316*$BK$44</f>
        <v>0</v>
      </c>
      <c r="BK316" s="680"/>
      <c r="BL316" s="689"/>
      <c r="BM316" s="690"/>
      <c r="BN316" s="83"/>
      <c r="BO316" s="395"/>
      <c r="BP316" s="396"/>
      <c r="BQ316" s="83"/>
      <c r="BR316" s="691"/>
      <c r="BS316" s="692"/>
      <c r="CB316"/>
      <c r="CC316" s="51"/>
      <c r="CD316"/>
      <c r="CG316"/>
      <c r="CI316" s="51"/>
      <c r="CK316" s="22">
        <v>2</v>
      </c>
      <c r="CL316" s="83">
        <f>$B$38</f>
        <v>0.72</v>
      </c>
      <c r="CM316" s="679">
        <f t="shared" si="215"/>
        <v>0</v>
      </c>
      <c r="CN316" s="680"/>
      <c r="CO316" s="70">
        <f>IF($H$343=$DV$33,IF(CM316&gt;0,((CM316-1)*$BM$44*0.5)+$BM$44,CM316*0.5*$BM$44),CM316*0.5*$BM$44)</f>
        <v>0</v>
      </c>
      <c r="CP316" s="70">
        <f>IF(CM316&gt;0,1,0)*$A$38</f>
        <v>0</v>
      </c>
      <c r="CQ316" s="679">
        <f>CM316*$BK$44</f>
        <v>0</v>
      </c>
      <c r="CR316" s="680"/>
      <c r="CS316" s="83"/>
      <c r="CV316" s="116"/>
      <c r="CW316" s="679">
        <f t="shared" si="216"/>
        <v>0</v>
      </c>
      <c r="CX316" s="680"/>
      <c r="CY316" s="70">
        <f>IF($H$343=$DV$33,IF(AND(CW316&gt;0,CM316&lt;1),((CW316-1)*$BM$44*0.5)+$BM$44,CW316*0.5*$BM$44),CW316*0.5*$BM$44)</f>
        <v>0</v>
      </c>
      <c r="CZ316" s="70">
        <f>IF(CW316&gt;0,1,0)*$A$38</f>
        <v>0</v>
      </c>
      <c r="DA316" s="679">
        <f>CW316*$BK$44</f>
        <v>0</v>
      </c>
      <c r="DB316" s="680"/>
      <c r="DC316" s="689"/>
      <c r="DD316" s="690"/>
      <c r="DE316" s="83"/>
      <c r="DF316" s="691"/>
      <c r="DG316" s="692"/>
      <c r="DH316" s="83"/>
      <c r="DI316" s="691"/>
      <c r="DJ316" s="692"/>
      <c r="DP316"/>
      <c r="DQ316"/>
      <c r="DR316"/>
      <c r="DS316"/>
      <c r="DT316" s="51"/>
      <c r="DV316"/>
      <c r="DW316"/>
      <c r="DX316"/>
      <c r="DY316"/>
    </row>
    <row r="317" spans="1:129" ht="13.5" thickBot="1" x14ac:dyDescent="0.25">
      <c r="A317" s="51"/>
      <c r="B317"/>
      <c r="C317" s="22">
        <v>3</v>
      </c>
      <c r="D317" s="83">
        <f>$B$39</f>
        <v>0.73</v>
      </c>
      <c r="E317" s="679">
        <f>SUM(IF($C$1="Residência",$C$39,0),IF($F$1="Residência",$F$39,0),IF($I$1="Residência",$I$39,0),IF($L$1="Residência",$L$39,0),IF($O$1="Residência",$O$39,0),IF($R$1="Residência",$R$39,0),IF($U$1="Residência",$U$39,0),IF($X$1="Residência",$X$39,0),IF($AA$1="Residência",$AA$39,0),IF($AD$1="Residência",$AD$39,0),IF($AG$1="Residência",$AG$39,0),IF($AJ$1="Residência",$AJ$39,0))</f>
        <v>0</v>
      </c>
      <c r="F317" s="680"/>
      <c r="G317" s="70">
        <f>IF($H$343=$DV$34,IF(E317&gt;0,((E317-1)*$BM$45*0.5)+$BM$45,E317*0.5*$BM$45),E317*0.5*$BM$45)</f>
        <v>0</v>
      </c>
      <c r="H317" s="70">
        <f>IF(E317&gt;0,1,0)*$A$39</f>
        <v>0</v>
      </c>
      <c r="I317" s="679">
        <f>E317*$BK$45</f>
        <v>0</v>
      </c>
      <c r="J317" s="680"/>
      <c r="K317" s="83"/>
      <c r="N317" s="116"/>
      <c r="O317" s="679">
        <f>SUM(IF($C$1="Residência",0,$C$39),IF($F$1="Residência",0,$F$39),IF($I$1="Residência",0,$I$39),IF($L$1="Residência",0,$L$39),IF($O$1="Residência",0,$O$39),IF($R$1="Residência",0,$R$39),IF($U$1="Residência",0,$U$39),IF($X$1="Residência",0,$X$39),IF($AA$1="Residência",0,$AA$39),IF($AD$1="Residência",0,$AD$39),IF($AG$1="Residência",0,$AG$39),IF($AJ$1="Residência",0,$AJ$39),IF($E$73="TRIFÁSICA",$C$73,0))</f>
        <v>0</v>
      </c>
      <c r="P317" s="680"/>
      <c r="Q317" s="70">
        <f>IF($H$343=$DV$34,IF(AND(O317&gt;0,E317&lt;1),((O317-1)*$BM$45*0.5)+$BM$45,O317*0.5*$BM$45),O317*0.5*$BM$45)</f>
        <v>0</v>
      </c>
      <c r="R317" s="70">
        <f>IF(O317&gt;0,1,0)*$A$39</f>
        <v>0</v>
      </c>
      <c r="S317" s="679">
        <f>O317*$BK$45</f>
        <v>0</v>
      </c>
      <c r="T317" s="680"/>
      <c r="U317" s="689"/>
      <c r="V317" s="690"/>
      <c r="W317" s="679">
        <f>SUM(IF($C$1="Residência",$C$39,0),IF($F$1="Residência",$F$39,0),IF($I$1="Residência",$I$39,0),IF($L$1="Residência",$L$39,0),IF($O$1="Residência",$O$39,0),IF($R$1="Residência",$R$39,0),IF($U$1="Residência",$U$39,0),IF($X$1="Residência",$X$39,0),IF($AA$1="Residência",$AA$39,0),IF($AD$1="Residência",$AD$39,0),IF($AG$1="Residência",$AG$39,0),IF($AJ$1="Residência",$AJ$39,0))</f>
        <v>0</v>
      </c>
      <c r="X317" s="680"/>
      <c r="Y317" s="70">
        <f>IF($H$343=$DV$34,IF(W317&gt;0,((W317-1)*$BM$45*0.5)+$BM$45,W317*0.5*$BM$45),W317*0.5*$BM$45)</f>
        <v>0</v>
      </c>
      <c r="Z317" s="70">
        <f>IF(W317&gt;0,1,0)*$A$39</f>
        <v>0</v>
      </c>
      <c r="AA317" s="679">
        <f>W317*$BK$45</f>
        <v>0</v>
      </c>
      <c r="AB317" s="680"/>
      <c r="AC317" s="83"/>
      <c r="AF317" s="116"/>
      <c r="AG317" s="679">
        <f>SUM(IF($C$1="Residência",0,$C$39),IF($F$1="Residência",0,$F$39),IF($I$1="Residência",0,$I$39),IF($L$1="Residência",0,$L$39),IF($O$1="Residência",0,$O$39),IF($R$1="Residência",0,$R$39),IF($U$1="Residência",0,$U$39),IF($X$1="Residência",0,$X$39),IF($AA$1="Residência",0,$AA$39),IF($AD$1="Residência",0,$AD$39),IF($AG$1="Residência",0,$AG$39),IF($AJ$1="Residência",0,$AJ$39))</f>
        <v>0</v>
      </c>
      <c r="AH317" s="680"/>
      <c r="AI317" s="70">
        <f>IF($H$343=$DV$34,IF(AND(AG317&gt;0,W317&lt;1),((AG317-1)*$BM$45*0.5)+$BM$45,AG317*0.5*$BM$45),AG317*0.5*$BM$45)</f>
        <v>0</v>
      </c>
      <c r="AJ317" s="70">
        <f>IF(AG317&gt;0,1,0)*$A$39</f>
        <v>0</v>
      </c>
      <c r="AK317" s="679">
        <f>AG317*$BK$45</f>
        <v>0</v>
      </c>
      <c r="AL317" s="680"/>
      <c r="AR317" s="51"/>
      <c r="AT317" s="22">
        <v>3</v>
      </c>
      <c r="AU317" s="83">
        <f>$B$39</f>
        <v>0.73</v>
      </c>
      <c r="AV317" s="679">
        <f t="shared" si="214"/>
        <v>0</v>
      </c>
      <c r="AW317" s="680"/>
      <c r="AX317" s="70">
        <f>IF($H$343=$DV$34,IF(AV317&gt;0,((AV317-1)*$BM$45*0.5)+$BM$45,AV317*0.5*$BM$45),AV317*0.5*$BM$45)</f>
        <v>0</v>
      </c>
      <c r="AY317" s="70">
        <f>IF(AV317&gt;0,1,0)*$A$39</f>
        <v>0</v>
      </c>
      <c r="AZ317" s="679">
        <f>AV317*$BK$45</f>
        <v>0</v>
      </c>
      <c r="BA317" s="680"/>
      <c r="BB317" s="83"/>
      <c r="BE317" s="116"/>
      <c r="BF317" s="679">
        <f t="shared" si="217"/>
        <v>0</v>
      </c>
      <c r="BG317" s="680"/>
      <c r="BH317" s="70">
        <f>IF($H$343=$DV$34,IF(AND(BF317&gt;0,AV317&lt;1),((BF317-1)*$BM$45*0.5)+$BM$45,BF317*0.5*$BM$45),BF317*0.5*$BM$45)</f>
        <v>0</v>
      </c>
      <c r="BI317" s="70">
        <f>IF(BF317&gt;0,1,0)*$A$39</f>
        <v>0</v>
      </c>
      <c r="BJ317" s="679">
        <f>BF317*$BK$45</f>
        <v>0</v>
      </c>
      <c r="BK317" s="680"/>
      <c r="BL317" s="689"/>
      <c r="BM317" s="690"/>
      <c r="BN317" s="83"/>
      <c r="BO317" s="395"/>
      <c r="BP317" s="396"/>
      <c r="BQ317" s="83"/>
      <c r="BR317" s="691"/>
      <c r="BS317" s="692"/>
      <c r="CB317"/>
      <c r="CC317" s="51"/>
      <c r="CD317"/>
      <c r="CG317"/>
      <c r="CI317" s="51"/>
      <c r="CK317" s="22">
        <v>3</v>
      </c>
      <c r="CL317" s="83">
        <f>$B$39</f>
        <v>0.73</v>
      </c>
      <c r="CM317" s="679">
        <f t="shared" si="215"/>
        <v>0</v>
      </c>
      <c r="CN317" s="680"/>
      <c r="CO317" s="70">
        <f>IF($H$343=$DV$34,IF(CM317&gt;0,((CM317-1)*$BM$45*0.5)+$BM$45,CM317*0.5*$BM$45),CM317*0.5*$BM$45)</f>
        <v>0</v>
      </c>
      <c r="CP317" s="70">
        <f>IF(CM317&gt;0,1,0)*$A$39</f>
        <v>0</v>
      </c>
      <c r="CQ317" s="679">
        <f>CM317*$BK$45</f>
        <v>0</v>
      </c>
      <c r="CR317" s="680"/>
      <c r="CS317" s="83"/>
      <c r="CV317" s="116"/>
      <c r="CW317" s="679">
        <f t="shared" si="216"/>
        <v>0</v>
      </c>
      <c r="CX317" s="680"/>
      <c r="CY317" s="70">
        <f>IF($H$343=$DV$34,IF(AND(CW317&gt;0,CM317&lt;1),((CW317-1)*$BM$45*0.5)+$BM$45,CW317*0.5*$BM$45),CW317*0.5*$BM$45)</f>
        <v>0</v>
      </c>
      <c r="CZ317" s="70">
        <f>IF(CW317&gt;0,1,0)*$A$39</f>
        <v>0</v>
      </c>
      <c r="DA317" s="679">
        <f>CW317*$BK$45</f>
        <v>0</v>
      </c>
      <c r="DB317" s="680"/>
      <c r="DC317" s="689"/>
      <c r="DD317" s="690"/>
      <c r="DE317" s="83"/>
      <c r="DF317" s="691"/>
      <c r="DG317" s="692"/>
      <c r="DH317" s="83"/>
      <c r="DI317" s="691"/>
      <c r="DJ317" s="692"/>
      <c r="DP317"/>
      <c r="DQ317"/>
      <c r="DR317"/>
      <c r="DS317"/>
      <c r="DT317" s="51"/>
      <c r="DV317"/>
      <c r="DW317"/>
      <c r="DX317"/>
      <c r="DY317"/>
    </row>
    <row r="318" spans="1:129" ht="13.5" thickBot="1" x14ac:dyDescent="0.25">
      <c r="A318" s="51"/>
      <c r="B318"/>
      <c r="C318" s="22">
        <v>4</v>
      </c>
      <c r="D318" s="83">
        <f>$B$40</f>
        <v>0.13</v>
      </c>
      <c r="E318" s="679">
        <f>SUM(IF($C$1="Residência",$C$40,0),IF($F$1="Residência",$F$40,0),IF($I$1="Residência",$I$40,0),IF($L$1="Residência",$L$40,0),IF($O$1="Residência",$O$40,0),IF($R$1="Residência",$R$40,0),IF($U$1="Residência",$U$40,0),IF($X$1="Residência",$X$40,0),IF($AA$1="Residência",$AA$40,0),IF($AD$1="Residência",$AD$40,0),IF($AG$1="Residência",$AG$40,0),IF($AJ$1="Residência",$AJ$40,0))</f>
        <v>0</v>
      </c>
      <c r="F318" s="680"/>
      <c r="G318" s="70">
        <f>IF($H$343=$DV$35,IF(E318&gt;0,((E318-1)*$BM$46*0.5)+$BM$46,E318*0.5*$BM$46),E318*0.5*$BM$46)</f>
        <v>0</v>
      </c>
      <c r="H318" s="70">
        <f>IF(E318&gt;0,1,0)*$A$40</f>
        <v>0</v>
      </c>
      <c r="I318" s="679">
        <f>E318*$BK$46</f>
        <v>0</v>
      </c>
      <c r="J318" s="680"/>
      <c r="K318" s="83"/>
      <c r="N318" s="116"/>
      <c r="O318" s="679">
        <f>SUM(IF($C$1="Residência",0,$C$40),IF($F$1="Residência",0,$F$40),IF($I$1="Residência",0,$I$40),IF($L$1="Residência",0,$L$40),IF($O$1="Residência",0,$O$40),IF($R$1="Residência",0,$R$40),IF($U$1="Residência",0,$U$40),IF($X$1="Residência",0,$X$40),IF($AA$1="Residência",0,$AA$40),IF($AD$1="Residência",0,$AD$40),IF($AG$1="Residência",0,$AG$40),IF($AJ$1="Residência",0,$AJ$40))</f>
        <v>0</v>
      </c>
      <c r="P318" s="680"/>
      <c r="Q318" s="70">
        <f>IF($H$343=$DV$35,IF(AND(O318&gt;0,E318&lt;1),((O318-1)*$BM$46*0.5)+$BM$46,O318*0.5*$BM$46),O318*0.5*$BM$46)</f>
        <v>0</v>
      </c>
      <c r="R318" s="70">
        <f>IF(O318&gt;0,1,0)*$A$40</f>
        <v>0</v>
      </c>
      <c r="S318" s="679">
        <f>O318*$BK$46</f>
        <v>0</v>
      </c>
      <c r="T318" s="680"/>
      <c r="U318" s="689"/>
      <c r="V318" s="690"/>
      <c r="W318" s="679">
        <f>SUM(IF($C$1="Residência",$C$40,0),IF($F$1="Residência",$F$40,0),IF($I$1="Residência",$I$40,0),IF($L$1="Residência",$L$40,0),IF($O$1="Residência",$O$40,0),IF($R$1="Residência",$R$40,0),IF($U$1="Residência",$U$40,0),IF($X$1="Residência",$X$40,0),IF($AA$1="Residência",$AA$40,0),IF($AD$1="Residência",$AD$40,0),IF($AG$1="Residência",$AG$40,0),IF($AJ$1="Residência",$AJ$40,0))</f>
        <v>0</v>
      </c>
      <c r="X318" s="680"/>
      <c r="Y318" s="70">
        <f>IF($H$343=$DV$35,IF(W318&gt;0,((W318-1)*$BM$46*0.5)+$BM$46,W318*0.5*$BM$46),W318*0.5*$BM$46)</f>
        <v>0</v>
      </c>
      <c r="Z318" s="70">
        <f>IF(W318&gt;0,1,0)*$A$40</f>
        <v>0</v>
      </c>
      <c r="AA318" s="679">
        <f>W318*$BK$46</f>
        <v>0</v>
      </c>
      <c r="AB318" s="680"/>
      <c r="AC318" s="83"/>
      <c r="AF318" s="116"/>
      <c r="AG318" s="679">
        <f>SUM(IF($C$1="Residência",0,$C$40),IF($F$1="Residência",0,$F$40),IF($I$1="Residência",0,$I$40),IF($L$1="Residência",0,$L$40),IF($O$1="Residência",0,$O$40),IF($R$1="Residência",0,$R$40),IF($U$1="Residência",0,$U$40),IF($X$1="Residência",0,$X$40),IF($AA$1="Residência",0,$AA$40),IF($AD$1="Residência",0,$AD$40),IF($AG$1="Residência",0,$AG$40),IF($AJ$1="Residência",0,$AJ$40))</f>
        <v>0</v>
      </c>
      <c r="AH318" s="680"/>
      <c r="AI318" s="70">
        <f>IF($H$343=$DV$35,IF(AND(AG318&gt;0,W318&lt;1),((AG318-1)*$BM$46*0.5)+$BM$46,AG318*0.5*$BM$46),AG318*0.5*$BM$46)</f>
        <v>0</v>
      </c>
      <c r="AJ318" s="70">
        <f>IF(AG318&gt;0,1,0)*$A$40</f>
        <v>0</v>
      </c>
      <c r="AK318" s="679">
        <f>AG318*$BK$46</f>
        <v>0</v>
      </c>
      <c r="AL318" s="680"/>
      <c r="AR318" s="51"/>
      <c r="AT318" s="22">
        <v>4</v>
      </c>
      <c r="AU318" s="83">
        <f>$B$40</f>
        <v>0.13</v>
      </c>
      <c r="AV318" s="679">
        <f t="shared" si="214"/>
        <v>0</v>
      </c>
      <c r="AW318" s="680"/>
      <c r="AX318" s="70">
        <f>IF($H$343=$DV$35,IF(AV318&gt;0,((AV318-1)*$BM$46*0.5)+$BM$46,AV318*0.5*$BM$46),AV318*0.5*$BM$46)</f>
        <v>0</v>
      </c>
      <c r="AY318" s="70">
        <f>IF(AV318&gt;0,1,0)*$A$40</f>
        <v>0</v>
      </c>
      <c r="AZ318" s="679">
        <f>AV318*$BK$46</f>
        <v>0</v>
      </c>
      <c r="BA318" s="680"/>
      <c r="BB318" s="83"/>
      <c r="BE318" s="116"/>
      <c r="BF318" s="679">
        <f t="shared" si="217"/>
        <v>0</v>
      </c>
      <c r="BG318" s="680"/>
      <c r="BH318" s="70">
        <f>IF($H$343=$DV$35,IF(AND(BF318&gt;0,AV318&lt;1),((BF318-1)*$BM$46*0.5)+$BM$46,BF318*0.5*$BM$46),BF318*0.5*$BM$46)</f>
        <v>0</v>
      </c>
      <c r="BI318" s="70">
        <f>IF(BF318&gt;0,1,0)*$A$40</f>
        <v>0</v>
      </c>
      <c r="BJ318" s="679">
        <f>BF318*$BK$46</f>
        <v>0</v>
      </c>
      <c r="BK318" s="680"/>
      <c r="BL318" s="689"/>
      <c r="BM318" s="690"/>
      <c r="BN318" s="83"/>
      <c r="BO318" s="395"/>
      <c r="BP318" s="396"/>
      <c r="BQ318" s="83"/>
      <c r="BR318" s="691"/>
      <c r="BS318" s="692"/>
      <c r="CB318"/>
      <c r="CC318" s="51"/>
      <c r="CD318"/>
      <c r="CG318"/>
      <c r="CI318" s="51"/>
      <c r="CK318" s="22">
        <v>4</v>
      </c>
      <c r="CL318" s="83">
        <f>$B$40</f>
        <v>0.13</v>
      </c>
      <c r="CM318" s="679">
        <f t="shared" si="215"/>
        <v>0</v>
      </c>
      <c r="CN318" s="680"/>
      <c r="CO318" s="70">
        <f>IF($H$343=$DV$35,IF(CM318&gt;0,((CM318-1)*$BM$46*0.5)+$BM$46,CM318*0.5*$BM$46),CM318*0.5*$BM$46)</f>
        <v>0</v>
      </c>
      <c r="CP318" s="70">
        <f>IF(CM318&gt;0,1,0)*$A$40</f>
        <v>0</v>
      </c>
      <c r="CQ318" s="679">
        <f>CM318*$BK$46</f>
        <v>0</v>
      </c>
      <c r="CR318" s="680"/>
      <c r="CS318" s="83"/>
      <c r="CV318" s="116"/>
      <c r="CW318" s="679">
        <f t="shared" si="216"/>
        <v>0</v>
      </c>
      <c r="CX318" s="680"/>
      <c r="CY318" s="70">
        <f>IF($H$343=$DV$35,IF(AND(CW318&gt;0,CM318&lt;1),((CW318-1)*$BM$46*0.5)+$BM$46,CW318*0.5*$BM$46),CW318*0.5*$BM$46)</f>
        <v>0</v>
      </c>
      <c r="CZ318" s="70">
        <f>IF(CW318&gt;0,1,0)*$A$40</f>
        <v>0</v>
      </c>
      <c r="DA318" s="679">
        <f>CW318*$BK$46</f>
        <v>0</v>
      </c>
      <c r="DB318" s="680"/>
      <c r="DC318" s="689"/>
      <c r="DD318" s="690"/>
      <c r="DE318" s="83"/>
      <c r="DF318" s="691"/>
      <c r="DG318" s="692"/>
      <c r="DH318" s="83"/>
      <c r="DI318" s="691"/>
      <c r="DJ318" s="692"/>
      <c r="DP318"/>
      <c r="DQ318"/>
      <c r="DR318"/>
      <c r="DS318"/>
      <c r="DT318" s="51"/>
      <c r="DV318"/>
      <c r="DW318"/>
      <c r="DX318"/>
      <c r="DY318"/>
    </row>
    <row r="319" spans="1:129" ht="13.5" thickBot="1" x14ac:dyDescent="0.25">
      <c r="A319" s="51"/>
      <c r="B319"/>
      <c r="C319" s="22">
        <v>5</v>
      </c>
      <c r="D319" s="83">
        <f>$B$41</f>
        <v>0.75</v>
      </c>
      <c r="E319" s="679">
        <f>SUM(IF($C$1="Residência",$C$41,0),IF($F$1="Residência",$F$41,0),IF($I$1="Residência",$I$41,0),IF($L$1="Residência",$L$41,0),IF($O$1="Residência",$O$41,0),IF($R$1="Residência",$R$41,0),IF($U$1="Residência",$U$41,0),IF($X$1="Residência",$X$41,0),IF($AA$1="Residência",$AA$41,0),IF($AD$1="Residência",$AD$41,0),IF($AG$1="Residência",$AG$41,0),IF($AJ$1="Residência",$AJ$41,0))</f>
        <v>0</v>
      </c>
      <c r="F319" s="680"/>
      <c r="G319" s="70">
        <f>IF($H$343=$DV$36,IF(E319&gt;0,((E319-1)*$BM$47*0.5)+$BM$47,E319*0.5*$BM$47),E319*0.5*$BM$47)</f>
        <v>0</v>
      </c>
      <c r="H319" s="70">
        <f>IF(E319&gt;0,1,0)*$A$41</f>
        <v>0</v>
      </c>
      <c r="I319" s="679">
        <f>E319*$BK$47</f>
        <v>0</v>
      </c>
      <c r="J319" s="680"/>
      <c r="K319" s="83"/>
      <c r="N319" s="116"/>
      <c r="O319" s="679">
        <f>SUM(IF($C$1="Residência",0,$C$41),IF($F$1="Residência",0,$F$41),IF($I$1="Residência",0,$I$41),IF($L$1="Residência",0,$L$41),IF($O$1="Residência",0,$O$41),IF($R$1="Residência",0,$R$41),IF($U$1="Residência",0,$U$41),IF($X$1="Residência",0,$X$41),IF($AA$1="Residência",0,$AA$41),IF($AD$1="Residência",0,$AD$41),IF($AG$1="Residência",0,$AG$41),IF($AJ$1="Residência",0,$AJ$41),IF($E$74="TRIFÁSICA",$C$74,0))</f>
        <v>0</v>
      </c>
      <c r="P319" s="680"/>
      <c r="Q319" s="70">
        <f>IF($H$343=$DV$36,IF(AND(O319&gt;0,E319&lt;1),((O319-1)*$BM$47*0.5)+$BM$47,O319*0.5*$BM$47),O319*0.5*$BM$47)</f>
        <v>0</v>
      </c>
      <c r="R319" s="70">
        <f>IF(O319&gt;0,1,0)*$A$41</f>
        <v>0</v>
      </c>
      <c r="S319" s="679">
        <f>O319*$BK$47</f>
        <v>0</v>
      </c>
      <c r="T319" s="680"/>
      <c r="U319" s="689"/>
      <c r="V319" s="690"/>
      <c r="W319" s="679">
        <f>SUM(IF($C$1="Residência",$C$41,0),IF($F$1="Residência",$F$41,0),IF($I$1="Residência",$I$41,0),IF($L$1="Residência",$L$41,0),IF($O$1="Residência",$O$41,0),IF($R$1="Residência",$R$41,0),IF($U$1="Residência",$U$41,0),IF($X$1="Residência",$X$41,0),IF($AA$1="Residência",$AA$41,0),IF($AD$1="Residência",$AD$41,0),IF($AG$1="Residência",$AG$41,0),IF($AJ$1="Residência",$AJ$41,0))</f>
        <v>0</v>
      </c>
      <c r="X319" s="680"/>
      <c r="Y319" s="70">
        <f>IF($H$343=$DV$36,IF(W319&gt;0,((W319-1)*$BM$47*0.5)+$BM$47,W319*0.5*$BM$47),W319*0.5*$BM$47)</f>
        <v>0</v>
      </c>
      <c r="Z319" s="70">
        <f>IF(W319&gt;0,1,0)*$A$41</f>
        <v>0</v>
      </c>
      <c r="AA319" s="679">
        <f>W319*$BK$47</f>
        <v>0</v>
      </c>
      <c r="AB319" s="680"/>
      <c r="AC319" s="83"/>
      <c r="AF319" s="116"/>
      <c r="AG319" s="679">
        <f>SUM(IF($C$1="Residência",0,$C$41),IF($F$1="Residência",0,$F$41),IF($I$1="Residência",0,$I$41),IF($L$1="Residência",0,$L$41),IF($O$1="Residência",0,$O$41),IF($R$1="Residência",0,$R$41),IF($U$1="Residência",0,$U$41),IF($X$1="Residência",0,$X$41),IF($AA$1="Residência",0,$AA$41),IF($AD$1="Residência",0,$AD$41),IF($AG$1="Residência",0,$AG$41),IF($AJ$1="Residência",0,$AJ$41))</f>
        <v>0</v>
      </c>
      <c r="AH319" s="680"/>
      <c r="AI319" s="70">
        <f>IF($H$343=$DV$36,IF(AND(AG319&gt;0,W319&lt;1),((AG319-1)*$BM$47*0.5)+$BM$47,AG319*0.5*$BM$47),AG319*0.5*$BM$47)</f>
        <v>0</v>
      </c>
      <c r="AJ319" s="70">
        <f>IF(AG319&gt;0,1,0)*$A$41</f>
        <v>0</v>
      </c>
      <c r="AK319" s="679">
        <f>AG319*$BK$47</f>
        <v>0</v>
      </c>
      <c r="AL319" s="680"/>
      <c r="AR319" s="51"/>
      <c r="AT319" s="22">
        <v>5</v>
      </c>
      <c r="AU319" s="83">
        <f>$B$41</f>
        <v>0.75</v>
      </c>
      <c r="AV319" s="679">
        <f t="shared" si="214"/>
        <v>0</v>
      </c>
      <c r="AW319" s="680"/>
      <c r="AX319" s="70">
        <f>IF($H$343=$DV$36,IF(AV319&gt;0,((AV319-1)*$BM$47*0.5)+$BM$47,AV319*0.5*$BM$47),AV319*0.5*$BM$47)</f>
        <v>0</v>
      </c>
      <c r="AY319" s="70">
        <f>IF(AV319&gt;0,1,0)*$A$41</f>
        <v>0</v>
      </c>
      <c r="AZ319" s="679">
        <f>AV319*$BK$47</f>
        <v>0</v>
      </c>
      <c r="BA319" s="680"/>
      <c r="BB319" s="83"/>
      <c r="BE319" s="116"/>
      <c r="BF319" s="679">
        <f t="shared" si="217"/>
        <v>0</v>
      </c>
      <c r="BG319" s="680"/>
      <c r="BH319" s="70">
        <f>IF($H$343=$DV$36,IF(AND(BF319&gt;0,AV319&lt;1),((BF319-1)*$BM$47*0.5)+$BM$47,BF319*0.5*$BM$47),BF319*0.5*$BM$47)</f>
        <v>0</v>
      </c>
      <c r="BI319" s="70">
        <f>IF(BF319&gt;0,1,0)*$A$41</f>
        <v>0</v>
      </c>
      <c r="BJ319" s="679">
        <f>BF319*$BK$47</f>
        <v>0</v>
      </c>
      <c r="BK319" s="680"/>
      <c r="BL319" s="689"/>
      <c r="BM319" s="690"/>
      <c r="BN319" s="83"/>
      <c r="BO319" s="395"/>
      <c r="BP319" s="396"/>
      <c r="BQ319" s="83"/>
      <c r="BR319" s="691"/>
      <c r="BS319" s="692"/>
      <c r="CB319"/>
      <c r="CC319" s="51"/>
      <c r="CD319"/>
      <c r="CG319"/>
      <c r="CI319" s="51"/>
      <c r="CK319" s="22">
        <v>5</v>
      </c>
      <c r="CL319" s="83">
        <f>$B$41</f>
        <v>0.75</v>
      </c>
      <c r="CM319" s="679">
        <f t="shared" si="215"/>
        <v>0</v>
      </c>
      <c r="CN319" s="680"/>
      <c r="CO319" s="70">
        <f>IF($H$343=$DV$36,IF(CM319&gt;0,((CM319-1)*$BM$47*0.5)+$BM$47,CM319*0.5*$BM$47),CM319*0.5*$BM$47)</f>
        <v>0</v>
      </c>
      <c r="CP319" s="70">
        <f>IF(CM319&gt;0,1,0)*$A$41</f>
        <v>0</v>
      </c>
      <c r="CQ319" s="679">
        <f>CM319*$BK$47</f>
        <v>0</v>
      </c>
      <c r="CR319" s="680"/>
      <c r="CS319" s="83"/>
      <c r="CV319" s="116"/>
      <c r="CW319" s="679">
        <f t="shared" si="216"/>
        <v>0</v>
      </c>
      <c r="CX319" s="680"/>
      <c r="CY319" s="70">
        <f>IF($H$343=$DV$36,IF(AND(CW319&gt;0,CM319&lt;1),((CW319-1)*$BM$47*0.5)+$BM$47,CW319*0.5*$BM$47),CW319*0.5*$BM$47)</f>
        <v>0</v>
      </c>
      <c r="CZ319" s="70">
        <f>IF(CW319&gt;0,1,0)*$A$41</f>
        <v>0</v>
      </c>
      <c r="DA319" s="679">
        <f>CW319*$BK$47</f>
        <v>0</v>
      </c>
      <c r="DB319" s="680"/>
      <c r="DC319" s="689"/>
      <c r="DD319" s="690"/>
      <c r="DE319" s="83"/>
      <c r="DF319" s="691"/>
      <c r="DG319" s="692"/>
      <c r="DH319" s="83"/>
      <c r="DI319" s="691"/>
      <c r="DJ319" s="692"/>
      <c r="DP319"/>
      <c r="DQ319"/>
      <c r="DR319"/>
      <c r="DS319"/>
      <c r="DT319" s="51"/>
      <c r="DV319"/>
      <c r="DW319"/>
      <c r="DX319"/>
      <c r="DY319"/>
    </row>
    <row r="320" spans="1:129" ht="13.5" thickBot="1" x14ac:dyDescent="0.25">
      <c r="A320" s="51"/>
      <c r="B320"/>
      <c r="C320" s="22">
        <v>7</v>
      </c>
      <c r="D320" s="83">
        <f>$B$42</f>
        <v>0.76</v>
      </c>
      <c r="E320" s="679">
        <f>SUM(IF($C$1="Residência",C$42,0),IF($F$1="Residência",$F$42,0),IF($I$1="Residência",$I$42,0),IF($L$1="Residência",$L$42,0),IF($O$1="Residência",$O$42,0),IF($R$1="Residência",$R$42,0),IF($U$1="Residência",$U$42,0),IF($X$1="Residência",$X$42,0),IF($AA$1="Residência",$AA$42,0),IF($AD$1="Residência",$AD$42,0),IF($AG$1="Residência",$AG$42,0),IF($AJ$1="Residência",$AJ$42,0))</f>
        <v>0</v>
      </c>
      <c r="F320" s="680"/>
      <c r="G320" s="70">
        <f>IF($H$343=$DV$37,IF(E320&gt;0,((E320-1)*$BM$48*0.5)+$BM$48,E320*0.5*$BM$48),E320*0.5*$BM$48)</f>
        <v>0</v>
      </c>
      <c r="H320" s="70">
        <f>IF(E320&gt;0,1,0)*$A$42</f>
        <v>0</v>
      </c>
      <c r="I320" s="679">
        <f>E320*$BK$48</f>
        <v>0</v>
      </c>
      <c r="J320" s="680"/>
      <c r="K320" s="83"/>
      <c r="N320" s="116"/>
      <c r="O320" s="679">
        <f>SUM(IF($C$1="Residência",0,$C$42),IF($F$1="Residência",0,$F$42),IF($I$1="Residência",0,$I$42),IF($L$1="Residência",0,$L$42),IF($O$1="Residência",0,$O$42),IF($R$1="Residência",0,$R$42),IF($U$1="Residência",0,$U$42),IF($X$1="Residência",0,$X$42),IF($AA$1="Residência",0,$AA$42),IF($AD$1="Residência",0,$AD$42),IF($AG$1="Residência",0,$AG$42),IF($AJ$1="Residência",0,$AJ$42))</f>
        <v>0</v>
      </c>
      <c r="P320" s="680"/>
      <c r="Q320" s="70">
        <f>IF($H$343=$DV$37,IF(AND(O320&gt;0,E320&lt;1),((O320-1)*$BM$48*0.5)+$BM$48,O320*0.5*$BM$48),O320*0.5*$BM$48)</f>
        <v>0</v>
      </c>
      <c r="R320" s="70">
        <f>IF(O320&gt;0,1,0)*$A$42</f>
        <v>0</v>
      </c>
      <c r="S320" s="679">
        <f>O320*$BK$48</f>
        <v>0</v>
      </c>
      <c r="T320" s="680"/>
      <c r="U320" s="689"/>
      <c r="V320" s="690"/>
      <c r="W320" s="679">
        <f>SUM(IF($C$1="Residência",U$42,0),IF($F$1="Residência",$F$42,0),IF($I$1="Residência",$I$42,0),IF($L$1="Residência",$L$42,0),IF($O$1="Residência",$O$42,0),IF($R$1="Residência",$R$42,0),IF($U$1="Residência",$U$42,0),IF($X$1="Residência",$X$42,0),IF($AA$1="Residência",$AA$42,0),IF($AD$1="Residência",$AD$42,0),IF($AG$1="Residência",$AG$42,0),IF($AJ$1="Residência",$AJ$42,0))</f>
        <v>0</v>
      </c>
      <c r="X320" s="680"/>
      <c r="Y320" s="70">
        <f>IF($H$343=$DV$37,IF(W320&gt;0,((W320-1)*$BM$48*0.5)+$BM$48,W320*0.5*$BM$48),W320*0.5*$BM$48)</f>
        <v>0</v>
      </c>
      <c r="Z320" s="70">
        <f>IF(W320&gt;0,1,0)*$A$42</f>
        <v>0</v>
      </c>
      <c r="AA320" s="679">
        <f>W320*$BK$48</f>
        <v>0</v>
      </c>
      <c r="AB320" s="680"/>
      <c r="AC320" s="83"/>
      <c r="AF320" s="116"/>
      <c r="AG320" s="679">
        <f>SUM(IF($C$1="Residência",0,$C$42),IF($F$1="Residência",0,$F$42),IF($I$1="Residência",0,$I$42),IF($L$1="Residência",0,$L$42),IF($O$1="Residência",0,$O$42),IF($R$1="Residência",0,$R$42),IF($U$1="Residência",0,$U$42),IF($X$1="Residência",0,$X$42),IF($AA$1="Residência",0,$AA$42),IF($AD$1="Residência",0,$AD$42),IF($AG$1="Residência",0,$AG$42),IF($AJ$1="Residência",0,$AJ$42))</f>
        <v>0</v>
      </c>
      <c r="AH320" s="680"/>
      <c r="AI320" s="70">
        <f>IF($H$343=$DV$37,IF(AND(AG320&gt;0,W320&lt;1),((AG320-1)*$BM$48*0.5)+$BM$48,AG320*0.5*$BM$48),AG320*0.5*$BM$48)</f>
        <v>0</v>
      </c>
      <c r="AJ320" s="70">
        <f>IF(AG320&gt;0,1,0)*$A$42</f>
        <v>0</v>
      </c>
      <c r="AK320" s="679">
        <f>AG320*$BK$48</f>
        <v>0</v>
      </c>
      <c r="AL320" s="680"/>
      <c r="AR320" s="51"/>
      <c r="AT320" s="22">
        <v>7</v>
      </c>
      <c r="AU320" s="83">
        <f>$B$42</f>
        <v>0.76</v>
      </c>
      <c r="AV320" s="679">
        <f t="shared" si="214"/>
        <v>0</v>
      </c>
      <c r="AW320" s="680"/>
      <c r="AX320" s="70">
        <f>IF($H$343=$DV$37,IF(AV320&gt;0,((AV320-1)*$BM$48*0.5)+$BM$48,AV320*0.5*$BM$48),AV320*0.5*$BM$48)</f>
        <v>0</v>
      </c>
      <c r="AY320" s="70">
        <f>IF(AV320&gt;0,1,0)*$A$42</f>
        <v>0</v>
      </c>
      <c r="AZ320" s="679">
        <f>AV320*$BK$48</f>
        <v>0</v>
      </c>
      <c r="BA320" s="680"/>
      <c r="BB320" s="83"/>
      <c r="BE320" s="116"/>
      <c r="BF320" s="679">
        <f t="shared" si="217"/>
        <v>0</v>
      </c>
      <c r="BG320" s="680"/>
      <c r="BH320" s="70">
        <f>IF($H$343=$DV$37,IF(AND(BF320&gt;0,AV320&lt;1),((BF320-1)*$BM$48*0.5)+$BM$48,BF320*0.5*$BM$48),BF320*0.5*$BM$48)</f>
        <v>0</v>
      </c>
      <c r="BI320" s="70">
        <f>IF(BF320&gt;0,1,0)*$A$42</f>
        <v>0</v>
      </c>
      <c r="BJ320" s="679">
        <f>BF320*$BK$48</f>
        <v>0</v>
      </c>
      <c r="BK320" s="680"/>
      <c r="BL320" s="689"/>
      <c r="BM320" s="690"/>
      <c r="BN320" s="83"/>
      <c r="BO320" s="395"/>
      <c r="BP320" s="396"/>
      <c r="BQ320" s="83"/>
      <c r="BR320" s="691"/>
      <c r="BS320" s="692"/>
      <c r="BU320" s="20"/>
      <c r="BV320" s="20"/>
      <c r="BW320" s="72"/>
      <c r="BX320" s="72"/>
      <c r="CB320"/>
      <c r="CC320"/>
      <c r="CD320"/>
      <c r="CG320"/>
      <c r="CI320" s="51"/>
      <c r="CK320" s="22">
        <v>7</v>
      </c>
      <c r="CL320" s="83">
        <f>$B$42</f>
        <v>0.76</v>
      </c>
      <c r="CM320" s="679">
        <f t="shared" si="215"/>
        <v>0</v>
      </c>
      <c r="CN320" s="680"/>
      <c r="CO320" s="70">
        <f>IF($H$343=$DV$37,IF(CM320&gt;0,((CM320-1)*$BM$48*0.5)+$BM$48,CM320*0.5*$BM$48),CM320*0.5*$BM$48)</f>
        <v>0</v>
      </c>
      <c r="CP320" s="70">
        <f>IF(CM320&gt;0,1,0)*$A$42</f>
        <v>0</v>
      </c>
      <c r="CQ320" s="679">
        <f>CM320*$BK$48</f>
        <v>0</v>
      </c>
      <c r="CR320" s="680"/>
      <c r="CS320" s="83"/>
      <c r="CV320" s="116"/>
      <c r="CW320" s="679">
        <f t="shared" si="216"/>
        <v>0</v>
      </c>
      <c r="CX320" s="680"/>
      <c r="CY320" s="70">
        <f>IF($H$343=$DV$37,IF(AND(CW320&gt;0,CM320&lt;1),((CW320-1)*$BM$48*0.5)+$BM$48,CW320*0.5*$BM$48),CW320*0.5*$BM$48)</f>
        <v>0</v>
      </c>
      <c r="CZ320" s="70">
        <f>IF(CW320&gt;0,1,0)*$A$42</f>
        <v>0</v>
      </c>
      <c r="DA320" s="679">
        <f>CW320*$BK$48</f>
        <v>0</v>
      </c>
      <c r="DB320" s="680"/>
      <c r="DC320" s="689"/>
      <c r="DD320" s="690"/>
      <c r="DE320" s="83"/>
      <c r="DF320" s="691"/>
      <c r="DG320" s="692"/>
      <c r="DH320" s="83"/>
      <c r="DI320" s="691"/>
      <c r="DJ320" s="692"/>
      <c r="DL320" s="20"/>
      <c r="DM320" s="20"/>
      <c r="DN320" s="72"/>
      <c r="DO320" s="72"/>
      <c r="DP320"/>
      <c r="DQ320"/>
      <c r="DR320"/>
      <c r="DS320"/>
      <c r="DT320"/>
      <c r="DV320"/>
      <c r="DW320"/>
      <c r="DX320"/>
      <c r="DY320"/>
    </row>
    <row r="321" spans="2:129" ht="13.5" thickBot="1" x14ac:dyDescent="0.25">
      <c r="B321"/>
      <c r="C321" s="22">
        <v>7.5</v>
      </c>
      <c r="D321" s="83">
        <f>$B$43</f>
        <v>0.76</v>
      </c>
      <c r="E321" s="679">
        <f>SUM(IF($C$1="Residência",$C$43,0),IF($F$1="Residência",$F$43,0),IF($I$1="Residência",$I$43,0),IF($L$1="Residência",$L$43,0),IF($O$1="Residência",$O$43,0),IF($R$1="Residência",$R$43,0),IF($U$1="Residência",$U$43,0),IF($X$1="Residência",$X$43,0),IF($AA$1="Residência",$AA$43,0),IF($AD$1="Residência",$AD$43,0),IF($AG$1="Residência",$AG$43,0),IF($AJ$1="Residência",$AJ$43,0))</f>
        <v>0</v>
      </c>
      <c r="F321" s="680"/>
      <c r="G321" s="70">
        <f>IF($H$343=$DV$38,IF(E321&gt;0,((E321-1)*$BM$49*0.5)+$BM$49,E321*0.5*$BM$49),E321*0.5*$BM$49)</f>
        <v>0</v>
      </c>
      <c r="H321" s="70">
        <f>IF(E321&gt;0,1,0)*$A$43</f>
        <v>0</v>
      </c>
      <c r="I321" s="679">
        <f>E321*$BK$49</f>
        <v>0</v>
      </c>
      <c r="J321" s="680"/>
      <c r="K321" s="83"/>
      <c r="N321" s="116"/>
      <c r="O321" s="679">
        <f>SUM(IF($C$1="Residência",0,$C$43),IF($F$1="Residência",0,$F$43),IF($I$1="Residência",0,$I$43),IF($L$1="Residência",0,$L$43),IF($O$1="Residência",0,$O$43),IF($R$1="Residência",0,$R$43),IF($U$1="Residência",0,$U$43),IF($X$1="Residência",0,$X$43),IF($AA$1="Residência",0,$AA$43),IF($AD$1="Residência",0,$AD$43),IF($AG$1="Residência",0,$AG$43),IF($AJ$1="Residência",0,$AJ$43))</f>
        <v>0</v>
      </c>
      <c r="P321" s="680"/>
      <c r="Q321" s="70">
        <f>IF($H$343=$DV$38,IF(AND(O321&gt;0,E321&lt;1),((O321-1)*$BM$49*0.5)+$BM$49,O321*0.5*$BM$49),O321*0.5*$BM$49)</f>
        <v>0</v>
      </c>
      <c r="R321" s="70">
        <f>IF(O321&gt;0,1,0)*$A$43</f>
        <v>0</v>
      </c>
      <c r="S321" s="679">
        <f>O321*$BK$49</f>
        <v>0</v>
      </c>
      <c r="T321" s="680"/>
      <c r="U321" s="689"/>
      <c r="V321" s="690"/>
      <c r="W321" s="679">
        <f>SUM(IF($C$1="Residência",$C$43,0),IF($F$1="Residência",$F$43,0),IF($I$1="Residência",$I$43,0),IF($L$1="Residência",$L$43,0),IF($O$1="Residência",$O$43,0),IF($R$1="Residência",$R$43,0),IF($U$1="Residência",$U$43,0),IF($X$1="Residência",$X$43,0),IF($AA$1="Residência",$AA$43,0),IF($AD$1="Residência",$AD$43,0),IF($AG$1="Residência",$AG$43,0),IF($AJ$1="Residência",$AJ$43,0))</f>
        <v>0</v>
      </c>
      <c r="X321" s="680"/>
      <c r="Y321" s="70">
        <f>IF($H$343=$DV$38,IF(W321&gt;0,((W321-1)*$BM$49*0.5)+$BM$49,W321*0.5*$BM$49),W321*0.5*$BM$49)</f>
        <v>0</v>
      </c>
      <c r="Z321" s="70">
        <f>IF(W321&gt;0,1,0)*$A$43</f>
        <v>0</v>
      </c>
      <c r="AA321" s="679">
        <f>W321*$BK$49</f>
        <v>0</v>
      </c>
      <c r="AB321" s="680"/>
      <c r="AC321" s="83"/>
      <c r="AF321" s="116"/>
      <c r="AG321" s="679">
        <f>SUM(IF($C$1="Residência",0,$C$43),IF($F$1="Residência",0,$F$43),IF($I$1="Residência",0,$I$43),IF($L$1="Residência",0,$L$43),IF($O$1="Residência",0,$O$43),IF($R$1="Residência",0,$R$43),IF($U$1="Residência",0,$U$43),IF($X$1="Residência",0,$X$43),IF($AA$1="Residência",0,$AA$43),IF($AD$1="Residência",0,$AD$43),IF($AG$1="Residência",0,$AG$43),IF($AJ$1="Residência",0,$AJ$43))</f>
        <v>0</v>
      </c>
      <c r="AH321" s="680"/>
      <c r="AI321" s="70">
        <f>IF($H$343=$DV$38,IF(AND(AG321&gt;0,W321&lt;1),((AG321-1)*$BM$49*0.5)+$BM$49,AG321*0.5*$BM$49),AG321*0.5*$BM$49)</f>
        <v>0</v>
      </c>
      <c r="AJ321" s="70">
        <f>IF(AG321&gt;0,1,0)*$A$43</f>
        <v>0</v>
      </c>
      <c r="AK321" s="679">
        <f>AG321*$BK$49</f>
        <v>0</v>
      </c>
      <c r="AL321" s="680"/>
      <c r="AT321" s="22">
        <v>7.5</v>
      </c>
      <c r="AU321" s="83">
        <f>$B$43</f>
        <v>0.76</v>
      </c>
      <c r="AV321" s="679">
        <f t="shared" si="214"/>
        <v>0</v>
      </c>
      <c r="AW321" s="680"/>
      <c r="AX321" s="70">
        <f>IF($H$343=$DV$38,IF(AV321&gt;0,((AV321-1)*$BM$49*0.5)+$BM$49,AV321*0.5*$BM$49),AV321*0.5*$BM$49)</f>
        <v>0</v>
      </c>
      <c r="AY321" s="70">
        <f>IF(AV321&gt;0,1,0)*$A$43</f>
        <v>0</v>
      </c>
      <c r="AZ321" s="679">
        <f>AV321*$BK$49</f>
        <v>0</v>
      </c>
      <c r="BA321" s="680"/>
      <c r="BB321" s="83"/>
      <c r="BE321" s="116"/>
      <c r="BF321" s="679">
        <f t="shared" si="217"/>
        <v>0</v>
      </c>
      <c r="BG321" s="680"/>
      <c r="BH321" s="70">
        <f>IF($H$343=$DV$38,IF(AND(BF321&gt;0,AV321&lt;1),((BF321-1)*$BM$49*0.5)+$BM$49,BF321*0.5*$BM$49),BF321*0.5*$BM$49)</f>
        <v>0</v>
      </c>
      <c r="BI321" s="70">
        <f>IF(BF321&gt;0,1,0)*$A$43</f>
        <v>0</v>
      </c>
      <c r="BJ321" s="679">
        <f>BF321*$BK$49</f>
        <v>0</v>
      </c>
      <c r="BK321" s="680"/>
      <c r="BL321" s="689"/>
      <c r="BM321" s="690"/>
      <c r="BN321" s="83"/>
      <c r="BO321" s="395"/>
      <c r="BP321" s="396"/>
      <c r="BQ321" s="83"/>
      <c r="BR321" s="691"/>
      <c r="BS321" s="692"/>
      <c r="BU321" s="696"/>
      <c r="BV321" s="696"/>
      <c r="BW321" s="696"/>
      <c r="BX321" s="696"/>
      <c r="BY321" s="51"/>
      <c r="BZ321" s="20"/>
      <c r="CB321"/>
      <c r="CC321"/>
      <c r="CD321"/>
      <c r="CG321"/>
      <c r="CK321" s="22">
        <v>7.5</v>
      </c>
      <c r="CL321" s="83">
        <f>$B$43</f>
        <v>0.76</v>
      </c>
      <c r="CM321" s="679">
        <f t="shared" si="215"/>
        <v>0</v>
      </c>
      <c r="CN321" s="680"/>
      <c r="CO321" s="70">
        <f>IF($H$343=$DV$38,IF(CM321&gt;0,((CM321-1)*$BM$49*0.5)+$BM$49,CM321*0.5*$BM$49),CM321*0.5*$BM$49)</f>
        <v>0</v>
      </c>
      <c r="CP321" s="70">
        <f>IF(CM321&gt;0,1,0)*$A$43</f>
        <v>0</v>
      </c>
      <c r="CQ321" s="679">
        <f>CM321*$BK$49</f>
        <v>0</v>
      </c>
      <c r="CR321" s="680"/>
      <c r="CS321" s="83"/>
      <c r="CV321" s="116"/>
      <c r="CW321" s="679">
        <f t="shared" si="216"/>
        <v>0</v>
      </c>
      <c r="CX321" s="680"/>
      <c r="CY321" s="70">
        <f>IF($H$343=$DV$38,IF(AND(CW321&gt;0,CM321&lt;1),((CW321-1)*$BM$49*0.5)+$BM$49,CW321*0.5*$BM$49),CW321*0.5*$BM$49)</f>
        <v>0</v>
      </c>
      <c r="CZ321" s="70">
        <f>IF(CW321&gt;0,1,0)*$A$43</f>
        <v>0</v>
      </c>
      <c r="DA321" s="679">
        <f>CW321*$BK$49</f>
        <v>0</v>
      </c>
      <c r="DB321" s="680"/>
      <c r="DC321" s="689"/>
      <c r="DD321" s="690"/>
      <c r="DE321" s="83"/>
      <c r="DF321" s="691"/>
      <c r="DG321" s="692"/>
      <c r="DH321" s="83"/>
      <c r="DI321" s="691"/>
      <c r="DJ321" s="692"/>
      <c r="DL321" s="696"/>
      <c r="DM321" s="696"/>
      <c r="DN321" s="696"/>
      <c r="DO321" s="696"/>
      <c r="DP321" s="51"/>
      <c r="DQ321" s="20"/>
      <c r="DR321"/>
      <c r="DS321"/>
      <c r="DT321"/>
      <c r="DV321"/>
      <c r="DW321"/>
      <c r="DX321"/>
      <c r="DY321"/>
    </row>
    <row r="322" spans="2:129" ht="13.5" thickBot="1" x14ac:dyDescent="0.25">
      <c r="B322"/>
      <c r="C322" s="22">
        <v>10</v>
      </c>
      <c r="D322" s="83">
        <f>$B$44</f>
        <v>0.77</v>
      </c>
      <c r="E322" s="679">
        <f>SUM(IF($C$1="Residência",$C$44,0),IF($F$1="Residência",$F$44,0),IF($I$1="Residência",$I$44,0),IF($L$1="Residência",$L$44,0),IF($O$1="Residência",$O$44,0),IF($R$1="Residência",$R$44,0),IF($U$1="Residência",$U$44,0),IF($X$1="Residência",$X$44,0),IF($AA$1="Residência",$AA$44,0),IF($AD$1="Residência",$AD$44,0),IF($AG$1="Residência",$AG$44,0),IF($AJ$1="Residência",$AJ$44,0))</f>
        <v>0</v>
      </c>
      <c r="F322" s="680"/>
      <c r="G322" s="70">
        <f>IF($H$343=$DV$39,IF(E322&gt;0,((E322-1)*$BM$50*0.5)+$BM$50,E322*0.5*$BM$50),E322*0.5*$BM$50)</f>
        <v>0</v>
      </c>
      <c r="H322" s="70">
        <f>IF(E322&gt;0,1,0)*$A$44</f>
        <v>0</v>
      </c>
      <c r="I322" s="679">
        <f>E322*$BK$50</f>
        <v>0</v>
      </c>
      <c r="J322" s="680"/>
      <c r="K322" s="83"/>
      <c r="N322" s="116"/>
      <c r="O322" s="679">
        <f>SUM(IF($C$1="Residência",0,$C$44),IF($F$1="Residência",0,$F$44),IF($I$1="Residência",0,$I$44),IF($L$1="Residência",0,$L$44),IF($O$1="Residência",0,$O$44),IF($R$1="Residência",0,$R$44),IF($U$1="Residência",0,$U$44),IF($X$1="Residência",0,$X$44),IF($AA$1="Residência",0,$AA$44),IF($AD$1="Residência",0,$AD$44),IF($AG$1="Residência",0,$AG$44),IF($AJ$1="Residência",0,$AJ$44))</f>
        <v>0</v>
      </c>
      <c r="P322" s="680"/>
      <c r="Q322" s="70">
        <f>IF($H$343=$DV$39,IF(AND(O322&gt;0,E322&lt;1),((O322-1)*$BM$50*0.5)+$BM$50,O322*0.5*$BM$50),O322*0.5*$BM$50)</f>
        <v>0</v>
      </c>
      <c r="R322" s="70">
        <f>IF(O322&gt;0,1,0)*$A$44</f>
        <v>0</v>
      </c>
      <c r="S322" s="679">
        <f>O322*$BK$50</f>
        <v>0</v>
      </c>
      <c r="T322" s="680"/>
      <c r="U322" s="689"/>
      <c r="V322" s="690"/>
      <c r="W322" s="679">
        <f>SUM(IF($C$1="Residência",$C$44,0),IF($F$1="Residência",$F$44,0),IF($I$1="Residência",$I$44,0),IF($L$1="Residência",$L$44,0),IF($O$1="Residência",$O$44,0),IF($R$1="Residência",$R$44,0),IF($U$1="Residência",$U$44,0),IF($X$1="Residência",$X$44,0),IF($AA$1="Residência",$AA$44,0),IF($AD$1="Residência",$AD$44,0),IF($AG$1="Residência",$AG$44,0),IF($AJ$1="Residência",$AJ$44,0))</f>
        <v>0</v>
      </c>
      <c r="X322" s="680"/>
      <c r="Y322" s="70">
        <f>IF($H$343=$DV$39,IF(W322&gt;0,((W322-1)*$BM$50*0.5)+$BM$50,W322*0.5*$BM$50),W322*0.5*$BM$50)</f>
        <v>0</v>
      </c>
      <c r="Z322" s="70">
        <f>IF(W322&gt;0,1,0)*$A$44</f>
        <v>0</v>
      </c>
      <c r="AA322" s="679">
        <f>W322*$BK$50</f>
        <v>0</v>
      </c>
      <c r="AB322" s="680"/>
      <c r="AC322" s="83"/>
      <c r="AF322" s="116"/>
      <c r="AG322" s="679">
        <f>SUM(IF($C$1="Residência",0,$C$44),IF($F$1="Residência",0,$F$44),IF($I$1="Residência",0,$I$44),IF($L$1="Residência",0,$L$44),IF($O$1="Residência",0,$O$44),IF($R$1="Residência",0,$R$44),IF($U$1="Residência",0,$U$44),IF($X$1="Residência",0,$X$44),IF($AA$1="Residência",0,$AA$44),IF($AD$1="Residência",0,$AD$44),IF($AG$1="Residência",0,$AG$44),IF($AJ$1="Residência",0,$AJ$44))</f>
        <v>0</v>
      </c>
      <c r="AH322" s="680"/>
      <c r="AI322" s="70">
        <f>IF($H$343=$DV$39,IF(AND(AG322&gt;0,W322&lt;1),((AG322-1)*$BM$50*0.5)+$BM$50,AG322*0.5*$BM$50),AG322*0.5*$BM$50)</f>
        <v>0</v>
      </c>
      <c r="AJ322" s="70">
        <f>IF(AG322&gt;0,1,0)*$A$44</f>
        <v>0</v>
      </c>
      <c r="AK322" s="679">
        <f>AG322*$BK$50</f>
        <v>0</v>
      </c>
      <c r="AL322" s="680"/>
      <c r="AT322" s="22">
        <v>10</v>
      </c>
      <c r="AU322" s="83">
        <f>$B$44</f>
        <v>0.77</v>
      </c>
      <c r="AV322" s="679">
        <f t="shared" si="214"/>
        <v>0</v>
      </c>
      <c r="AW322" s="680"/>
      <c r="AX322" s="70">
        <f>IF($H$343=$DV$39,IF(AV322&gt;0,((AV322-1)*$BM$50*0.5)+$BM$50,AV322*0.5*$BM$50),AV322*0.5*$BM$50)</f>
        <v>0</v>
      </c>
      <c r="AY322" s="70">
        <f>IF(AV322&gt;0,1,0)*$A$44</f>
        <v>0</v>
      </c>
      <c r="AZ322" s="679">
        <f>AV322*$BK$50</f>
        <v>0</v>
      </c>
      <c r="BA322" s="680"/>
      <c r="BB322" s="83"/>
      <c r="BE322" s="116"/>
      <c r="BF322" s="679">
        <f t="shared" si="217"/>
        <v>0</v>
      </c>
      <c r="BG322" s="680"/>
      <c r="BH322" s="70">
        <f>IF($H$343=$DV$39,IF(AND(BF322&gt;0,AV322&lt;1),((BF322-1)*$BM$50*0.5)+$BM$50,BF322*0.5*$BM$50),BF322*0.5*$BM$50)</f>
        <v>0</v>
      </c>
      <c r="BI322" s="70">
        <f>IF(BF322&gt;0,1,0)*$A$44</f>
        <v>0</v>
      </c>
      <c r="BJ322" s="679">
        <f>BF322*$BK$50</f>
        <v>0</v>
      </c>
      <c r="BK322" s="680"/>
      <c r="BL322" s="689"/>
      <c r="BM322" s="690"/>
      <c r="BN322" s="83"/>
      <c r="BO322" s="395"/>
      <c r="BP322" s="396"/>
      <c r="BQ322" s="83"/>
      <c r="BR322" s="691"/>
      <c r="BS322" s="692"/>
      <c r="BY322" s="116"/>
      <c r="BZ322" s="51"/>
      <c r="CB322"/>
      <c r="CC322"/>
      <c r="CD322"/>
      <c r="CG322"/>
      <c r="CK322" s="22">
        <v>10</v>
      </c>
      <c r="CL322" s="83">
        <f>$B$44</f>
        <v>0.77</v>
      </c>
      <c r="CM322" s="679">
        <f t="shared" si="215"/>
        <v>0</v>
      </c>
      <c r="CN322" s="680"/>
      <c r="CO322" s="70">
        <f>IF($H$343=$DV$39,IF(CM322&gt;0,((CM322-1)*$BM$50*0.5)+$BM$50,CM322*0.5*$BM$50),CM322*0.5*$BM$50)</f>
        <v>0</v>
      </c>
      <c r="CP322" s="70">
        <f>IF(CM322&gt;0,1,0)*$A$44</f>
        <v>0</v>
      </c>
      <c r="CQ322" s="679">
        <f>CM322*$BK$50</f>
        <v>0</v>
      </c>
      <c r="CR322" s="680"/>
      <c r="CS322" s="83"/>
      <c r="CV322" s="116"/>
      <c r="CW322" s="679">
        <f t="shared" si="216"/>
        <v>0</v>
      </c>
      <c r="CX322" s="680"/>
      <c r="CY322" s="70">
        <f>IF($H$343=$DV$39,IF(AND(CW322&gt;0,CM322&lt;1),((CW322-1)*$BM$50*0.5)+$BM$50,CW322*0.5*$BM$50),CW322*0.5*$BM$50)</f>
        <v>0</v>
      </c>
      <c r="CZ322" s="70">
        <f>IF(CW322&gt;0,1,0)*$A$44</f>
        <v>0</v>
      </c>
      <c r="DA322" s="679">
        <f>CW322*$BK$50</f>
        <v>0</v>
      </c>
      <c r="DB322" s="680"/>
      <c r="DC322" s="689"/>
      <c r="DD322" s="690"/>
      <c r="DE322" s="83"/>
      <c r="DF322" s="691"/>
      <c r="DG322" s="692"/>
      <c r="DH322" s="83"/>
      <c r="DI322" s="691"/>
      <c r="DJ322" s="692"/>
      <c r="DP322" s="116"/>
      <c r="DQ322" s="51"/>
      <c r="DR322"/>
      <c r="DS322"/>
      <c r="DT322"/>
      <c r="DV322"/>
      <c r="DW322"/>
      <c r="DX322"/>
      <c r="DY322"/>
    </row>
    <row r="323" spans="2:129" ht="13.5" thickBot="1" x14ac:dyDescent="0.25">
      <c r="B323"/>
      <c r="C323" s="22">
        <v>12.5</v>
      </c>
      <c r="D323" s="83">
        <f>$B$45</f>
        <v>0.77</v>
      </c>
      <c r="E323" s="679">
        <f>SUM(IF($C$1="Residência",$C$45,0),IF($F$1="Residência",$F$45,0),IF($I$1="Residência",$I$45,0),IF($L$1="Residência",$L$45,0),IF($O$1="Residência",$O$45,0),IF($R$1="Residência",$R$45,0),IF($U$1="Residência",$U$45,0),IF($X$1="Residência",$X$45,0),IF($AA$1="Residência",$AA$45,0),IF($AD$1="Residência",$AD$45,0),IF($AG$1="Residência",$AG$45,0),IF($AJ$1="Residência",$AJ$45,0))</f>
        <v>0</v>
      </c>
      <c r="F323" s="680"/>
      <c r="G323" s="70">
        <f>IF($H$343=$DV$40,IF(E323&gt;0,((E323-1)*$BM$51*0.5)+$BM$51,E323*0.5*$BM$51),E323*0.5*$BM$51)</f>
        <v>0</v>
      </c>
      <c r="H323" s="70">
        <f>IF(E323&gt;0,1,0)*$A$45</f>
        <v>0</v>
      </c>
      <c r="I323" s="679">
        <f>E323*$BK$51</f>
        <v>0</v>
      </c>
      <c r="J323" s="680"/>
      <c r="K323" s="83"/>
      <c r="N323" s="116"/>
      <c r="O323" s="679">
        <f>SUM(IF($C$1="Residência",0,$C$45),IF($F$1="Residência",0,$F$45),IF($I$1="Residência",0,$I$45),IF($L$1="Residência",0,$L$45),IF($O$1="Residência",0,$O$45),IF($R$1="Residência",0,$R$45),IF($U$1="Residência",0,$U$45),IF($X$1="Residência",0,$X$45),IF($AA$1="Residência",0,$AA$45),IF($AD$1="Residência",0,$AD$45),IF($AG$1="Residência",0,$AG$45),IF($AJ$1="Residência",0,$AJ$45))</f>
        <v>0</v>
      </c>
      <c r="P323" s="680"/>
      <c r="Q323" s="70">
        <f>IF($H$343=$DV$40,IF(AND(O323&gt;0,E323&lt;1),((O323-1)*$BM$51*0.5)+$BM$51,O323*0.5*$BM$51),O323*0.5*$BM$51)</f>
        <v>0</v>
      </c>
      <c r="R323" s="70">
        <f>IF(O323&gt;0,1,0)*$A$45</f>
        <v>0</v>
      </c>
      <c r="S323" s="679">
        <f>O323*$BK$51</f>
        <v>0</v>
      </c>
      <c r="T323" s="680"/>
      <c r="U323" s="689"/>
      <c r="V323" s="690"/>
      <c r="W323" s="679">
        <f>SUM(IF($C$1="Residência",$C$45,0),IF($F$1="Residência",$F$45,0),IF($I$1="Residência",$I$45,0),IF($L$1="Residência",$L$45,0),IF($O$1="Residência",$O$45,0),IF($R$1="Residência",$R$45,0),IF($U$1="Residência",$U$45,0),IF($X$1="Residência",$X$45,0),IF($AA$1="Residência",$AA$45,0),IF($AD$1="Residência",$AD$45,0),IF($AG$1="Residência",$AG$45,0),IF($AJ$1="Residência",$AJ$45,0))</f>
        <v>0</v>
      </c>
      <c r="X323" s="680"/>
      <c r="Y323" s="70">
        <f>IF($H$343=$DV$40,IF(W323&gt;0,((W323-1)*$BM$51*0.5)+$BM$51,W323*0.5*$BM$51),W323*0.5*$BM$51)</f>
        <v>0</v>
      </c>
      <c r="Z323" s="70">
        <f>IF(W323&gt;0,1,0)*$A$45</f>
        <v>0</v>
      </c>
      <c r="AA323" s="679">
        <f>W323*$BK$51</f>
        <v>0</v>
      </c>
      <c r="AB323" s="680"/>
      <c r="AC323" s="83"/>
      <c r="AF323" s="116"/>
      <c r="AG323" s="679">
        <f>SUM(IF($C$1="Residência",0,$C$45),IF($F$1="Residência",0,$F$45),IF($I$1="Residência",0,$I$45),IF($L$1="Residência",0,$L$45),IF($O$1="Residência",0,$O$45),IF($R$1="Residência",0,$R$45),IF($U$1="Residência",0,$U$45),IF($X$1="Residência",0,$X$45),IF($AA$1="Residência",0,$AA$45),IF($AD$1="Residência",0,$AD$45),IF($AG$1="Residência",0,$AG$45),IF($AJ$1="Residência",0,$AJ$45))</f>
        <v>0</v>
      </c>
      <c r="AH323" s="680"/>
      <c r="AI323" s="70">
        <f>IF($H$343=$DV$40,IF(AND(AG323&gt;0,W323&lt;1),((AG323-1)*$BM$51*0.5)+$BM$51,AG323*0.5*$BM$51),AG323*0.5*$BM$51)</f>
        <v>0</v>
      </c>
      <c r="AJ323" s="70">
        <f>IF(AG323&gt;0,1,0)*$A$45</f>
        <v>0</v>
      </c>
      <c r="AK323" s="679">
        <f>AG323*$BK$51</f>
        <v>0</v>
      </c>
      <c r="AL323" s="680"/>
      <c r="AT323" s="22">
        <v>12.5</v>
      </c>
      <c r="AU323" s="83">
        <f>$B$45</f>
        <v>0.77</v>
      </c>
      <c r="AV323" s="679">
        <f t="shared" si="214"/>
        <v>0</v>
      </c>
      <c r="AW323" s="680"/>
      <c r="AX323" s="70">
        <f>IF($H$343=$DV$40,IF(AV323&gt;0,((AV323-1)*$BM$51*0.5)+$BM$51,AV323*0.5*$BM$51),AV323*0.5*$BM$51)</f>
        <v>0</v>
      </c>
      <c r="AY323" s="70">
        <f>IF(AV323&gt;0,1,0)*$A$45</f>
        <v>0</v>
      </c>
      <c r="AZ323" s="679">
        <f>AV323*$BK$51</f>
        <v>0</v>
      </c>
      <c r="BA323" s="680"/>
      <c r="BB323" s="83"/>
      <c r="BE323" s="116"/>
      <c r="BF323" s="679">
        <f t="shared" si="217"/>
        <v>0</v>
      </c>
      <c r="BG323" s="680"/>
      <c r="BH323" s="70">
        <f>IF($H$343=$DV$40,IF(AND(BF323&gt;0,AV323&lt;1),((BF323-1)*$BM$51*0.5)+$BM$51,BF323*0.5*$BM$51),BF323*0.5*$BM$51)</f>
        <v>0</v>
      </c>
      <c r="BI323" s="70">
        <f>IF(BF323&gt;0,1,0)*$A$45</f>
        <v>0</v>
      </c>
      <c r="BJ323" s="679">
        <f>BF323*$BK$51</f>
        <v>0</v>
      </c>
      <c r="BK323" s="680"/>
      <c r="BL323" s="689"/>
      <c r="BM323" s="690"/>
      <c r="BN323" s="83"/>
      <c r="BO323" s="395"/>
      <c r="BP323" s="396"/>
      <c r="BQ323" s="83"/>
      <c r="BR323" s="691"/>
      <c r="BS323" s="692"/>
      <c r="BY323" s="116"/>
      <c r="BZ323" s="51"/>
      <c r="CB323"/>
      <c r="CC323"/>
      <c r="CD323"/>
      <c r="CG323"/>
      <c r="CK323" s="22">
        <v>12.5</v>
      </c>
      <c r="CL323" s="83">
        <f>$B$45</f>
        <v>0.77</v>
      </c>
      <c r="CM323" s="679">
        <f t="shared" si="215"/>
        <v>0</v>
      </c>
      <c r="CN323" s="680"/>
      <c r="CO323" s="70">
        <f>IF($H$343=$DV$40,IF(CM323&gt;0,((CM323-1)*$BM$51*0.5)+$BM$51,CM323*0.5*$BM$51),CM323*0.5*$BM$51)</f>
        <v>0</v>
      </c>
      <c r="CP323" s="70">
        <f>IF(CM323&gt;0,1,0)*$A$45</f>
        <v>0</v>
      </c>
      <c r="CQ323" s="679">
        <f>CM323*$BK$51</f>
        <v>0</v>
      </c>
      <c r="CR323" s="680"/>
      <c r="CS323" s="83"/>
      <c r="CV323" s="116"/>
      <c r="CW323" s="679">
        <f t="shared" si="216"/>
        <v>0</v>
      </c>
      <c r="CX323" s="680"/>
      <c r="CY323" s="70">
        <f>IF($H$343=$DV$40,IF(AND(CW323&gt;0,CM323&lt;1),((CW323-1)*$BM$51*0.5)+$BM$51,CW323*0.5*$BM$51),CW323*0.5*$BM$51)</f>
        <v>0</v>
      </c>
      <c r="CZ323" s="70">
        <f>IF(CW323&gt;0,1,0)*$A$45</f>
        <v>0</v>
      </c>
      <c r="DA323" s="679">
        <f>CW323*$BK$51</f>
        <v>0</v>
      </c>
      <c r="DB323" s="680"/>
      <c r="DC323" s="689"/>
      <c r="DD323" s="690"/>
      <c r="DE323" s="83"/>
      <c r="DF323" s="691"/>
      <c r="DG323" s="692"/>
      <c r="DH323" s="83"/>
      <c r="DI323" s="691"/>
      <c r="DJ323" s="692"/>
      <c r="DP323" s="116"/>
      <c r="DQ323" s="51"/>
      <c r="DR323"/>
      <c r="DS323"/>
      <c r="DT323"/>
      <c r="DV323"/>
      <c r="DW323"/>
      <c r="DX323"/>
      <c r="DY323"/>
    </row>
    <row r="324" spans="2:129" ht="13.5" thickBot="1" x14ac:dyDescent="0.25">
      <c r="B324"/>
      <c r="C324" s="22">
        <v>15</v>
      </c>
      <c r="D324" s="83">
        <f>$B$46</f>
        <v>0.77</v>
      </c>
      <c r="E324" s="679">
        <f>SUM(IF($C$1="Residência",$C$46,0),IF($F$1="Residência",$F$46,0),IF($I$1="Residência",$I$46,0),IF($L$1="Residência",$L$46,0),IF($O$1="Residência",$O$46,0),IF($R$1="Residência",$R$46,0),IF($U$1="Residência",$U$46,0),IF($X$1="Residência",$X$46,0),IF($AA$1="Residência",$AA$46,0),IF($AD$1="Residência",$AD$46,0),IF($AG$1="Residência",$AG$46,0),IF($AJ$1="Residência",$AJ$46,0))</f>
        <v>0</v>
      </c>
      <c r="F324" s="680"/>
      <c r="G324" s="70">
        <f>IF($H$343=$DV$41,IF(E324&gt;0,((E324-1)*$BM$52*0.5)+$BM$52,E324*0.5*$BM$52),E324*0.5*$BM$52)</f>
        <v>0</v>
      </c>
      <c r="H324" s="70">
        <f>IF(E324&gt;0,1,0)*$A$46</f>
        <v>0</v>
      </c>
      <c r="I324" s="679">
        <f>E324*$BK$52</f>
        <v>0</v>
      </c>
      <c r="J324" s="680"/>
      <c r="K324" s="83"/>
      <c r="N324" s="116"/>
      <c r="O324" s="679">
        <f>SUM(IF($C$1="Residência",0,$C$46),IF($F$1="Residência",0,$F$46),IF($I$1="Residência",0,$I$46),IF($L$1="Residência",0,$L$46),IF($O$1="Residência",0,$O$46),IF($R$1="Residência",0,$R$46),IF($U$1="Residência",0,$U$46),IF($X$1="Residência",0,$X$46),IF($AA$1="Residência",0,$AA$46),IF($AD$1="Residência",0,$AD$46),IF($AG$1="Residência",0,$AG$46),IF($AJ$1="Residência",0,$AJ$46))</f>
        <v>0</v>
      </c>
      <c r="P324" s="680"/>
      <c r="Q324" s="70">
        <f>IF($H$343=$DV$41,IF(AND(O324&gt;0,E324&lt;1),((O324-1)*$BM$52*0.5)+$BM$52,O324*0.5*$BM$52),O324*0.5*$BM$52)</f>
        <v>0</v>
      </c>
      <c r="R324" s="70">
        <f>IF(O324&gt;0,1,0)*$A$46</f>
        <v>0</v>
      </c>
      <c r="S324" s="679">
        <f>O324*$BK$52</f>
        <v>0</v>
      </c>
      <c r="T324" s="680"/>
      <c r="U324" s="689"/>
      <c r="V324" s="690"/>
      <c r="W324" s="679">
        <f>SUM(IF($C$1="Residência",$C$46,0),IF($F$1="Residência",$F$46,0),IF($I$1="Residência",$I$46,0),IF($L$1="Residência",$L$46,0),IF($O$1="Residência",$O$46,0),IF($R$1="Residência",$R$46,0),IF($U$1="Residência",$U$46,0),IF($X$1="Residência",$X$46,0),IF($AA$1="Residência",$AA$46,0),IF($AD$1="Residência",$AD$46,0),IF($AG$1="Residência",$AG$46,0),IF($AJ$1="Residência",$AJ$46,0))</f>
        <v>0</v>
      </c>
      <c r="X324" s="680"/>
      <c r="Y324" s="70">
        <f>IF($H$343=$DV$41,IF(W324&gt;0,((W324-1)*$BM$52*0.5)+$BM$52,W324*0.5*$BM$52),W324*0.5*$BM$52)</f>
        <v>0</v>
      </c>
      <c r="Z324" s="70">
        <f>IF(W324&gt;0,1,0)*$A$46</f>
        <v>0</v>
      </c>
      <c r="AA324" s="679">
        <f>W324*$BK$52</f>
        <v>0</v>
      </c>
      <c r="AB324" s="680"/>
      <c r="AC324" s="83"/>
      <c r="AF324" s="116"/>
      <c r="AG324" s="679">
        <f>SUM(IF($C$1="Residência",0,$C$46),IF($F$1="Residência",0,$F$46),IF($I$1="Residência",0,$I$46),IF($L$1="Residência",0,$L$46),IF($O$1="Residência",0,$O$46),IF($R$1="Residência",0,$R$46),IF($U$1="Residência",0,$U$46),IF($X$1="Residência",0,$X$46),IF($AA$1="Residência",0,$AA$46),IF($AD$1="Residência",0,$AD$46),IF($AG$1="Residência",0,$AG$46),IF($AJ$1="Residência",0,$AJ$46))</f>
        <v>0</v>
      </c>
      <c r="AH324" s="680"/>
      <c r="AI324" s="70">
        <f>IF($H$343=$DV$41,IF(AND(AG324&gt;0,W324&lt;1),((AG324-1)*$BM$52*0.5)+$BM$52,AG324*0.5*$BM$52),AG324*0.5*$BM$52)</f>
        <v>0</v>
      </c>
      <c r="AJ324" s="70">
        <f>IF(AG324&gt;0,1,0)*$A$46</f>
        <v>0</v>
      </c>
      <c r="AK324" s="679">
        <f>AG324*$BK$52</f>
        <v>0</v>
      </c>
      <c r="AL324" s="680"/>
      <c r="AT324" s="22">
        <v>15</v>
      </c>
      <c r="AU324" s="83">
        <f>$B$46</f>
        <v>0.77</v>
      </c>
      <c r="AV324" s="679">
        <f t="shared" si="214"/>
        <v>0</v>
      </c>
      <c r="AW324" s="680"/>
      <c r="AX324" s="70">
        <f>IF($H$343=$DV$41,IF(AV324&gt;0,((AV324-1)*$BM$52*0.5)+$BM$52,AV324*0.5*$BM$52),AV324*0.5*$BM$52)</f>
        <v>0</v>
      </c>
      <c r="AY324" s="70">
        <f>IF(AV324&gt;0,1,0)*$A$46</f>
        <v>0</v>
      </c>
      <c r="AZ324" s="679">
        <f>AV324*$BK$52</f>
        <v>0</v>
      </c>
      <c r="BA324" s="680"/>
      <c r="BB324" s="83"/>
      <c r="BE324" s="116"/>
      <c r="BF324" s="679">
        <f t="shared" si="217"/>
        <v>0</v>
      </c>
      <c r="BG324" s="680"/>
      <c r="BH324" s="70">
        <f>IF($H$343=$DV$41,IF(AND(BF324&gt;0,AV324&lt;1),((BF324-1)*$BM$52*0.5)+$BM$52,BF324*0.5*$BM$52),BF324*0.5*$BM$52)</f>
        <v>0</v>
      </c>
      <c r="BI324" s="70">
        <f>IF(BF324&gt;0,1,0)*$A$46</f>
        <v>0</v>
      </c>
      <c r="BJ324" s="679">
        <f>BF324*$BK$52</f>
        <v>0</v>
      </c>
      <c r="BK324" s="680"/>
      <c r="BL324" s="689"/>
      <c r="BM324" s="690"/>
      <c r="BN324" s="83"/>
      <c r="BO324" s="395"/>
      <c r="BP324" s="396"/>
      <c r="BQ324" s="83"/>
      <c r="BR324" s="691"/>
      <c r="BS324" s="692"/>
      <c r="BY324" s="117"/>
      <c r="BZ324" s="51"/>
      <c r="CB324"/>
      <c r="CC324"/>
      <c r="CD324"/>
      <c r="CG324"/>
      <c r="CK324" s="22">
        <v>15</v>
      </c>
      <c r="CL324" s="83">
        <f>$B$46</f>
        <v>0.77</v>
      </c>
      <c r="CM324" s="679">
        <f t="shared" si="215"/>
        <v>0</v>
      </c>
      <c r="CN324" s="680"/>
      <c r="CO324" s="70">
        <f>IF($H$343=$DV$41,IF(CM324&gt;0,((CM324-1)*$BM$52*0.5)+$BM$52,CM324*0.5*$BM$52),CM324*0.5*$BM$52)</f>
        <v>0</v>
      </c>
      <c r="CP324" s="70">
        <f>IF(CM324&gt;0,1,0)*$A$46</f>
        <v>0</v>
      </c>
      <c r="CQ324" s="679">
        <f>CM324*$BK$52</f>
        <v>0</v>
      </c>
      <c r="CR324" s="680"/>
      <c r="CS324" s="83"/>
      <c r="CV324" s="116"/>
      <c r="CW324" s="679">
        <f t="shared" si="216"/>
        <v>0</v>
      </c>
      <c r="CX324" s="680"/>
      <c r="CY324" s="70">
        <f>IF($H$343=$DV$41,IF(AND(CW324&gt;0,CM324&lt;1),((CW324-1)*$BM$52*0.5)+$BM$52,CW324*0.5*$BM$52),CW324*0.5*$BM$52)</f>
        <v>0</v>
      </c>
      <c r="CZ324" s="70">
        <f>IF(CW324&gt;0,1,0)*$A$46</f>
        <v>0</v>
      </c>
      <c r="DA324" s="679">
        <f>CW324*$BK$52</f>
        <v>0</v>
      </c>
      <c r="DB324" s="680"/>
      <c r="DC324" s="689"/>
      <c r="DD324" s="690"/>
      <c r="DE324" s="83"/>
      <c r="DF324" s="691"/>
      <c r="DG324" s="692"/>
      <c r="DH324" s="83"/>
      <c r="DI324" s="691"/>
      <c r="DJ324" s="692"/>
      <c r="DP324" s="117"/>
      <c r="DQ324" s="51"/>
      <c r="DR324"/>
      <c r="DS324"/>
      <c r="DT324"/>
      <c r="DV324"/>
      <c r="DW324"/>
      <c r="DX324"/>
      <c r="DY324"/>
    </row>
    <row r="325" spans="2:129" ht="13.5" thickBot="1" x14ac:dyDescent="0.25">
      <c r="B325"/>
      <c r="C325" s="22">
        <v>20</v>
      </c>
      <c r="D325" s="83">
        <f>$B$47</f>
        <v>0.77</v>
      </c>
      <c r="E325" s="679">
        <f>SUM(IF($C$1="Residência",$C$47,0),IF($F$1="Residência",$F$47,0),IF($I$1="Residência",$I$47,0),IF($L$1="Residência",$L$47,0),IF($O$1="Residência",$O$47,0),IF($R$1="Residência",$R$47,0),IF($U$1="Residência",$U$47,0),IF($X$1="Residência",$X$47,0),IF($AA$1="Residência",$AA$47,0),IF($AD$1="Residência",$AD$47,0),IF($AG$1="Residência",$AG$47,0),IF($AJ$1="Residência",$AJ$47,0))</f>
        <v>0</v>
      </c>
      <c r="F325" s="680"/>
      <c r="G325" s="70">
        <f>IF($H$343=$DV$42,IF(E325&gt;0,((E325-1)*$BM$53*0.5)+$BM$53,E325*0.5*$BM$53),E325*0.5*$BM$53)</f>
        <v>0</v>
      </c>
      <c r="H325" s="70">
        <f>IF(E325&gt;0,1,0)*$A$47</f>
        <v>0</v>
      </c>
      <c r="I325" s="679">
        <f>E325*$BK$53</f>
        <v>0</v>
      </c>
      <c r="J325" s="680"/>
      <c r="K325" s="83"/>
      <c r="N325" s="116"/>
      <c r="O325" s="679">
        <f>SUM(IF($C$1="Residência",0,$C$47),IF($F$1="Residência",0,$F$47),IF($I$1="Residência",0,$I$47),IF($L$1="Residência",0,$L$47),IF($O$1="Residência",0,$O$47),IF($R$1="Residência",0,$R$47),IF($U$1="Residência",0,$U$47),IF($X$1="Residência",0,$X$47),IF($AA$1="Residência",0,$AA$47),IF($AD$1="Residência",0,$AD$47),IF($AG$1="Residência",0,$AG$47),IF($AJ$1="Residência",0,$AJ$47))</f>
        <v>0</v>
      </c>
      <c r="P325" s="680"/>
      <c r="Q325" s="70">
        <f>IF($H$343=$DV$42,IF(AND(O325&gt;0,E325&lt;1),((O325-1)*$BM$53*0.5)+$BM$53,O325*0.5*$BM$53),O325*0.5*$BM$53)</f>
        <v>0</v>
      </c>
      <c r="R325" s="70">
        <f>IF(O325&gt;0,1,0)*$A$47</f>
        <v>0</v>
      </c>
      <c r="S325" s="679">
        <f>O325*$BK$53</f>
        <v>0</v>
      </c>
      <c r="T325" s="680"/>
      <c r="U325" s="689"/>
      <c r="V325" s="690"/>
      <c r="W325" s="679">
        <f>SUM(IF($C$1="Residência",$C$47,0),IF($F$1="Residência",$F$47,0),IF($I$1="Residência",$I$47,0),IF($L$1="Residência",$L$47,0),IF($O$1="Residência",$O$47,0),IF($R$1="Residência",$R$47,0),IF($U$1="Residência",$U$47,0),IF($X$1="Residência",$X$47,0),IF($AA$1="Residência",$AA$47,0),IF($AD$1="Residência",$AD$47,0),IF($AG$1="Residência",$AG$47,0),IF($AJ$1="Residência",$AJ$47,0))</f>
        <v>0</v>
      </c>
      <c r="X325" s="680"/>
      <c r="Y325" s="70">
        <f>IF($H$343=$DV$42,IF(W325&gt;0,((W325-1)*$BM$53*0.5)+$BM$53,W325*0.5*$BM$53),W325*0.5*$BM$53)</f>
        <v>0</v>
      </c>
      <c r="Z325" s="70">
        <f>IF(W325&gt;0,1,0)*$A$47</f>
        <v>0</v>
      </c>
      <c r="AA325" s="679">
        <f>W325*$BK$53</f>
        <v>0</v>
      </c>
      <c r="AB325" s="680"/>
      <c r="AC325" s="83"/>
      <c r="AF325" s="116"/>
      <c r="AG325" s="679">
        <f>SUM(IF($C$1="Residência",0,$C$47),IF($F$1="Residência",0,$F$47),IF($I$1="Residência",0,$I$47),IF($L$1="Residência",0,$L$47),IF($O$1="Residência",0,$O$47),IF($R$1="Residência",0,$R$47),IF($U$1="Residência",0,$U$47),IF($X$1="Residência",0,$X$47),IF($AA$1="Residência",0,$AA$47),IF($AD$1="Residência",0,$AD$47),IF($AG$1="Residência",0,$AG$47),IF($AJ$1="Residência",0,$AJ$47))</f>
        <v>0</v>
      </c>
      <c r="AH325" s="680"/>
      <c r="AI325" s="70">
        <f>IF($H$343=$DV$42,IF(AND(AG325&gt;0,W325&lt;1),((AG325-1)*$BM$53*0.5)+$BM$53,AG325*0.5*$BM$53),AG325*0.5*$BM$53)</f>
        <v>0</v>
      </c>
      <c r="AJ325" s="70">
        <f>IF(AG325&gt;0,1,0)*$A$47</f>
        <v>0</v>
      </c>
      <c r="AK325" s="679">
        <f>AG325*$BK$53</f>
        <v>0</v>
      </c>
      <c r="AL325" s="680"/>
      <c r="AT325" s="22">
        <v>20</v>
      </c>
      <c r="AU325" s="83">
        <f>$B$47</f>
        <v>0.77</v>
      </c>
      <c r="AV325" s="679">
        <f t="shared" si="214"/>
        <v>0</v>
      </c>
      <c r="AW325" s="680"/>
      <c r="AX325" s="70">
        <f>IF($H$343=$DV$42,IF(AV325&gt;0,((AV325-1)*$BM$53*0.5)+$BM$53,AV325*0.5*$BM$53),AV325*0.5*$BM$53)</f>
        <v>0</v>
      </c>
      <c r="AY325" s="70">
        <f>IF(AV325&gt;0,1,0)*$A$47</f>
        <v>0</v>
      </c>
      <c r="AZ325" s="679">
        <f>AV325*$BK$53</f>
        <v>0</v>
      </c>
      <c r="BA325" s="680"/>
      <c r="BB325" s="83"/>
      <c r="BE325" s="116"/>
      <c r="BF325" s="679">
        <f t="shared" si="217"/>
        <v>0</v>
      </c>
      <c r="BG325" s="680"/>
      <c r="BH325" s="70">
        <f>IF($H$343=$DV$42,IF(AND(BF325&gt;0,AV325&lt;1),((BF325-1)*$BM$53*0.5)+$BM$53,BF325*0.5*$BM$53),BF325*0.5*$BM$53)</f>
        <v>0</v>
      </c>
      <c r="BI325" s="70">
        <f>IF(BF325&gt;0,1,0)*$A$47</f>
        <v>0</v>
      </c>
      <c r="BJ325" s="679">
        <f>BF325*$BK$53</f>
        <v>0</v>
      </c>
      <c r="BK325" s="680"/>
      <c r="BL325" s="689"/>
      <c r="BM325" s="690"/>
      <c r="BN325" s="83"/>
      <c r="BO325" s="395"/>
      <c r="BP325" s="396"/>
      <c r="BQ325" s="83"/>
      <c r="BR325" s="691"/>
      <c r="BS325" s="692"/>
      <c r="BY325" s="116"/>
      <c r="BZ325" s="51"/>
      <c r="CB325"/>
      <c r="CC325"/>
      <c r="CD325"/>
      <c r="CG325"/>
      <c r="CK325" s="22">
        <v>20</v>
      </c>
      <c r="CL325" s="83">
        <f>$B$47</f>
        <v>0.77</v>
      </c>
      <c r="CM325" s="679">
        <f t="shared" si="215"/>
        <v>0</v>
      </c>
      <c r="CN325" s="680"/>
      <c r="CO325" s="70">
        <f>IF($H$343=$DV$42,IF(CM325&gt;0,((CM325-1)*$BM$53*0.5)+$BM$53,CM325*0.5*$BM$53),CM325*0.5*$BM$53)</f>
        <v>0</v>
      </c>
      <c r="CP325" s="70">
        <f>IF(CM325&gt;0,1,0)*$A$47</f>
        <v>0</v>
      </c>
      <c r="CQ325" s="679">
        <f>CM325*$BK$53</f>
        <v>0</v>
      </c>
      <c r="CR325" s="680"/>
      <c r="CS325" s="83"/>
      <c r="CV325" s="116"/>
      <c r="CW325" s="679">
        <f t="shared" si="216"/>
        <v>0</v>
      </c>
      <c r="CX325" s="680"/>
      <c r="CY325" s="70">
        <f>IF($H$343=$DV$42,IF(AND(CW325&gt;0,CM325&lt;1),((CW325-1)*$BM$53*0.5)+$BM$53,CW325*0.5*$BM$53),CW325*0.5*$BM$53)</f>
        <v>0</v>
      </c>
      <c r="CZ325" s="70">
        <f>IF(CW325&gt;0,1,0)*$A$47</f>
        <v>0</v>
      </c>
      <c r="DA325" s="679">
        <f>CW325*$BK$53</f>
        <v>0</v>
      </c>
      <c r="DB325" s="680"/>
      <c r="DC325" s="689"/>
      <c r="DD325" s="690"/>
      <c r="DE325" s="83"/>
      <c r="DF325" s="691"/>
      <c r="DG325" s="692"/>
      <c r="DH325" s="83"/>
      <c r="DI325" s="691"/>
      <c r="DJ325" s="692"/>
      <c r="DP325" s="116"/>
      <c r="DQ325" s="51"/>
      <c r="DR325"/>
      <c r="DS325"/>
      <c r="DT325"/>
      <c r="DV325"/>
      <c r="DW325"/>
      <c r="DX325"/>
      <c r="DY325"/>
    </row>
    <row r="326" spans="2:129" ht="13.5" thickBot="1" x14ac:dyDescent="0.25">
      <c r="B326"/>
      <c r="C326" s="22">
        <v>25</v>
      </c>
      <c r="D326" s="83">
        <f>$B$48</f>
        <v>0.81</v>
      </c>
      <c r="E326" s="679">
        <f>SUM(IF($C$1="Residência",$C$48,0),IF($F$1="Residência",$F$48,0),IF($I$1="Residência",$I$48,0),IF($L$1="Residência",$L$48,0),IF($O$1="Residência",$O$48,0),IF($R$1="Residência",$R$48,0),IF($U$1="Residência",$U$48,0),IF($X$1="Residência",$X$48,0),IF($AA$1="Residência",$AA$48,0),IF($AD$1="Residência",$AD$48,0),IF($AG$1="Residência",$AG$48,0),IF($AJ$1="Residência",$AJ$48,0))</f>
        <v>0</v>
      </c>
      <c r="F326" s="680"/>
      <c r="G326" s="70">
        <f>IF($H$343=$DV$43,IF(E326&gt;0,((E326-1)*$BM$54*0.5)+$BM$54,E326*0.5*$BM$54),E326*0.5*$BM$54)</f>
        <v>0</v>
      </c>
      <c r="H326" s="70">
        <f>IF(E326&gt;0,1,0)*$A$48</f>
        <v>0</v>
      </c>
      <c r="I326" s="679">
        <f>E326*$BK$54</f>
        <v>0</v>
      </c>
      <c r="J326" s="680"/>
      <c r="K326" s="83"/>
      <c r="N326" s="116"/>
      <c r="O326" s="679">
        <f>SUM(IF($C$1="Residência",0,$C$48),IF($F$1="Residência",0,$F$48),IF($I$1="Residência",0,$I$48),IF($L$1="Residência",0,$L$48),IF($O$1="Residência",0,$O$48),IF($R$1="Residência",0,$R$48),IF($U$1="Residência",0,$U$48),IF($X$1="Residência",0,$X$48),IF($AA$1="Residência",0,$AA$48),IF($AD$1="Residência",0,$AD$48),IF($AG$1="Residência",0,$AG$48),IF($AJ$1="Residência",0,$AJ$48))</f>
        <v>0</v>
      </c>
      <c r="P326" s="680"/>
      <c r="Q326" s="70">
        <f>IF($H$343=$DV$43,IF(AND(O326&gt;0,E326&lt;1),((O326-1)*$BM$54*0.5)+$BM$54,O326*0.5*$BM$54),O326*0.5*$BM$54)</f>
        <v>0</v>
      </c>
      <c r="R326" s="70">
        <f>IF(O326&gt;0,1,0)*$A$48</f>
        <v>0</v>
      </c>
      <c r="S326" s="679">
        <f>O326*$BK$54</f>
        <v>0</v>
      </c>
      <c r="T326" s="680"/>
      <c r="U326" s="689"/>
      <c r="V326" s="690"/>
      <c r="W326" s="679">
        <f>SUM(IF($C$1="Residência",$C$48,0),IF($F$1="Residência",$F$48,0),IF($I$1="Residência",$I$48,0),IF($L$1="Residência",$L$48,0),IF($O$1="Residência",$O$48,0),IF($R$1="Residência",$R$48,0),IF($U$1="Residência",$U$48,0),IF($X$1="Residência",$X$48,0),IF($AA$1="Residência",$AA$48,0),IF($AD$1="Residência",$AD$48,0),IF($AG$1="Residência",$AG$48,0),IF($AJ$1="Residência",$AJ$48,0))</f>
        <v>0</v>
      </c>
      <c r="X326" s="680"/>
      <c r="Y326" s="70">
        <f>IF($H$343=$DV$43,IF(W326&gt;0,((W326-1)*$BM$54*0.5)+$BM$54,W326*0.5*$BM$54),W326*0.5*$BM$54)</f>
        <v>0</v>
      </c>
      <c r="Z326" s="70">
        <f>IF(W326&gt;0,1,0)*$A$48</f>
        <v>0</v>
      </c>
      <c r="AA326" s="679">
        <f>W326*$BK$54</f>
        <v>0</v>
      </c>
      <c r="AB326" s="680"/>
      <c r="AC326" s="83"/>
      <c r="AF326" s="116"/>
      <c r="AG326" s="679">
        <f>SUM(IF($C$1="Residência",0,$C$48),IF($F$1="Residência",0,$F$48),IF($I$1="Residência",0,$I$48),IF($L$1="Residência",0,$L$48),IF($O$1="Residência",0,$O$48),IF($R$1="Residência",0,$R$48),IF($U$1="Residência",0,$U$48),IF($X$1="Residência",0,$X$48),IF($AA$1="Residência",0,$AA$48),IF($AD$1="Residência",0,$AD$48),IF($AG$1="Residência",0,$AG$48),IF($AJ$1="Residência",0,$AJ$48))</f>
        <v>0</v>
      </c>
      <c r="AH326" s="680"/>
      <c r="AI326" s="70">
        <f>IF($H$343=$DV$43,IF(AND(AG326&gt;0,W326&lt;1),((AG326-1)*$BM$54*0.5)+$BM$54,AG326*0.5*$BM$54),AG326*0.5*$BM$54)</f>
        <v>0</v>
      </c>
      <c r="AJ326" s="70">
        <f>IF(AG326&gt;0,1,0)*$A$48</f>
        <v>0</v>
      </c>
      <c r="AK326" s="679">
        <f>AG326*$BK$54</f>
        <v>0</v>
      </c>
      <c r="AL326" s="680"/>
      <c r="AT326" s="22">
        <v>25</v>
      </c>
      <c r="AU326" s="83">
        <f>$B$48</f>
        <v>0.81</v>
      </c>
      <c r="AV326" s="679">
        <f t="shared" si="214"/>
        <v>0</v>
      </c>
      <c r="AW326" s="680"/>
      <c r="AX326" s="70">
        <f>IF($H$343=$DV$43,IF(AV326&gt;0,((AV326-1)*$BM$54*0.5)+$BM$54,AV326*0.5*$BM$54),AV326*0.5*$BM$54)</f>
        <v>0</v>
      </c>
      <c r="AY326" s="70">
        <f>IF(AV326&gt;0,1,0)*$A$48</f>
        <v>0</v>
      </c>
      <c r="AZ326" s="679">
        <f>AV326*$BK$54</f>
        <v>0</v>
      </c>
      <c r="BA326" s="680"/>
      <c r="BB326" s="83"/>
      <c r="BE326" s="116"/>
      <c r="BF326" s="679">
        <f t="shared" si="217"/>
        <v>0</v>
      </c>
      <c r="BG326" s="680"/>
      <c r="BH326" s="70">
        <f>IF($H$343=$DV$43,IF(AND(BF326&gt;0,AV326&lt;1),((BF326-1)*$BM$54*0.5)+$BM$54,BF326*0.5*$BM$54),BF326*0.5*$BM$54)</f>
        <v>0</v>
      </c>
      <c r="BI326" s="70">
        <f>IF(BF326&gt;0,1,0)*$A$48</f>
        <v>0</v>
      </c>
      <c r="BJ326" s="679">
        <f>BF326*$BK$54</f>
        <v>0</v>
      </c>
      <c r="BK326" s="680"/>
      <c r="BL326" s="689"/>
      <c r="BM326" s="690"/>
      <c r="BN326" s="83"/>
      <c r="BO326" s="395"/>
      <c r="BP326" s="396"/>
      <c r="BQ326" s="83"/>
      <c r="BR326" s="691"/>
      <c r="BS326" s="692"/>
      <c r="BY326" s="116"/>
      <c r="BZ326" s="51"/>
      <c r="CB326"/>
      <c r="CC326"/>
      <c r="CD326"/>
      <c r="CG326"/>
      <c r="CK326" s="22">
        <v>25</v>
      </c>
      <c r="CL326" s="83">
        <f>$B$48</f>
        <v>0.81</v>
      </c>
      <c r="CM326" s="679">
        <f t="shared" si="215"/>
        <v>0</v>
      </c>
      <c r="CN326" s="680"/>
      <c r="CO326" s="70">
        <f>IF($H$343=$DV$43,IF(CM326&gt;0,((CM326-1)*$BM$54*0.5)+$BM$54,CM326*0.5*$BM$54),CM326*0.5*$BM$54)</f>
        <v>0</v>
      </c>
      <c r="CP326" s="70">
        <f>IF(CM326&gt;0,1,0)*$A$48</f>
        <v>0</v>
      </c>
      <c r="CQ326" s="679">
        <f>CM326*$BK$54</f>
        <v>0</v>
      </c>
      <c r="CR326" s="680"/>
      <c r="CS326" s="83"/>
      <c r="CV326" s="116"/>
      <c r="CW326" s="679">
        <f t="shared" si="216"/>
        <v>0</v>
      </c>
      <c r="CX326" s="680"/>
      <c r="CY326" s="70">
        <f>IF($H$343=$DV$43,IF(AND(CW326&gt;0,CM326&lt;1),((CW326-1)*$BM$54*0.5)+$BM$54,CW326*0.5*$BM$54),CW326*0.5*$BM$54)</f>
        <v>0</v>
      </c>
      <c r="CZ326" s="70">
        <f>IF(CW326&gt;0,1,0)*$A$48</f>
        <v>0</v>
      </c>
      <c r="DA326" s="679">
        <f>CW326*$BK$54</f>
        <v>0</v>
      </c>
      <c r="DB326" s="680"/>
      <c r="DC326" s="689"/>
      <c r="DD326" s="690"/>
      <c r="DE326" s="83"/>
      <c r="DF326" s="691"/>
      <c r="DG326" s="692"/>
      <c r="DH326" s="83"/>
      <c r="DI326" s="691"/>
      <c r="DJ326" s="692"/>
      <c r="DP326" s="116"/>
      <c r="DQ326" s="51"/>
      <c r="DR326"/>
      <c r="DS326"/>
      <c r="DT326"/>
      <c r="DV326"/>
      <c r="DW326"/>
      <c r="DX326"/>
      <c r="DY326"/>
    </row>
    <row r="327" spans="2:129" ht="13.5" thickBot="1" x14ac:dyDescent="0.25">
      <c r="B327"/>
      <c r="C327" s="23">
        <v>30</v>
      </c>
      <c r="D327" s="83">
        <f>$B$49</f>
        <v>0.82</v>
      </c>
      <c r="E327" s="679">
        <f>SUM(IF($C$1="Residência",$C$49,0),IF($F$1="Residência",$F$49,0),IF($I$1="Residência",$I$49,0),IF($L$1="Residência",$L$49,0),IF($O$1="Residência",$O$49,0),IF($R$1="Residência",$R$49,0),IF($U$1="Residência",$U$49,0),IF($X$1="Residência",$X$49,0),IF($AA$1="Residência",$AA$49,0),IF($AD$1="Residência",$AD$49,0),IF($AG$1="Residência",$AG$49,0),IF($AJ$1="Residência",$AJ$49,0))</f>
        <v>0</v>
      </c>
      <c r="F327" s="680"/>
      <c r="G327" s="70">
        <f>IF($H$343=$DV$44,IF(E327&gt;0,((E327-1)*$BM$55*0.5)+$BM$55,E327*0.5*$BM$55),E327*0.5*$BM$55)</f>
        <v>0</v>
      </c>
      <c r="H327" s="70">
        <f>IF(E327&gt;0,1,0)*$A$49</f>
        <v>0</v>
      </c>
      <c r="I327" s="679">
        <f>E327*$BK$55</f>
        <v>0</v>
      </c>
      <c r="J327" s="680"/>
      <c r="K327" s="83"/>
      <c r="N327" s="116"/>
      <c r="O327" s="679">
        <f>SUM(IF($C$1="Residência",0,$C$49),IF($F$1="Residência",0,$F$49),IF($I$1="Residência",0,$I$49),IF($L$1="Residência",0,$L$49),IF($O$1="Residência",0,$O$49),IF($R$1="Residência",0,$R$49),IF($U$1="Residência",0,$U$49),IF($X$1="Residência",0,$X$49),IF($AA$1="Residência",0,$AA$49),IF($AD$1="Residência",0,$AD$49),IF($AG$1="Residência",0,$AG$49),IF($AJ$1="Residência",0,$AJ$49))</f>
        <v>0</v>
      </c>
      <c r="P327" s="680"/>
      <c r="Q327" s="70">
        <f>IF($H$343=$DV$44,IF(AND(O327&gt;0,E327&lt;1),((O327-1)*$BM$55*0.5)+$BM$55,O327*0.5*$BM$55),O327*0.5*$BM$55)</f>
        <v>0</v>
      </c>
      <c r="R327" s="70">
        <f>IF(O327&gt;0,1,0)*$A$49</f>
        <v>0</v>
      </c>
      <c r="S327" s="679">
        <f>O327*$BK$55</f>
        <v>0</v>
      </c>
      <c r="T327" s="680"/>
      <c r="U327" s="689"/>
      <c r="V327" s="690"/>
      <c r="W327" s="679">
        <f>SUM(IF($C$1="Residência",$C$49,0),IF($F$1="Residência",$F$49,0),IF($I$1="Residência",$I$49,0),IF($L$1="Residência",$L$49,0),IF($O$1="Residência",$O$49,0),IF($R$1="Residência",$R$49,0),IF($U$1="Residência",$U$49,0),IF($X$1="Residência",$X$49,0),IF($AA$1="Residência",$AA$49,0),IF($AD$1="Residência",$AD$49,0),IF($AG$1="Residência",$AG$49,0),IF($AJ$1="Residência",$AJ$49,0))</f>
        <v>0</v>
      </c>
      <c r="X327" s="680"/>
      <c r="Y327" s="70">
        <f>IF($H$343=$DV$44,IF(W327&gt;0,((W327-1)*$BM$55*0.5)+$BM$55,W327*0.5*$BM$55),W327*0.5*$BM$55)</f>
        <v>0</v>
      </c>
      <c r="Z327" s="70">
        <f>IF(W327&gt;0,1,0)*$A$49</f>
        <v>0</v>
      </c>
      <c r="AA327" s="679">
        <f>W327*$BK$55</f>
        <v>0</v>
      </c>
      <c r="AB327" s="680"/>
      <c r="AC327" s="83"/>
      <c r="AF327" s="116"/>
      <c r="AG327" s="679">
        <f>SUM(IF($C$1="Residência",0,$C$49),IF($F$1="Residência",0,$F$49),IF($I$1="Residência",0,$I$49),IF($L$1="Residência",0,$L$49),IF($O$1="Residência",0,$O$49),IF($R$1="Residência",0,$R$49),IF($U$1="Residência",0,$U$49),IF($X$1="Residência",0,$X$49),IF($AA$1="Residência",0,$AA$49),IF($AD$1="Residência",0,$AD$49),IF($AG$1="Residência",0,$AG$49),IF($AJ$1="Residência",0,$AJ$49))</f>
        <v>0</v>
      </c>
      <c r="AH327" s="680"/>
      <c r="AI327" s="70">
        <f>IF($H$343=$DV$44,IF(AND(AG327&gt;0,W327&lt;1),((AG327-1)*$BM$55*0.5)+$BM$55,AG327*0.5*$BM$55),AG327*0.5*$BM$55)</f>
        <v>0</v>
      </c>
      <c r="AJ327" s="70">
        <f>IF(AG327&gt;0,1,0)*$A$49</f>
        <v>0</v>
      </c>
      <c r="AK327" s="679">
        <f>AG327*$BK$55</f>
        <v>0</v>
      </c>
      <c r="AL327" s="680"/>
      <c r="AT327" s="23">
        <v>30</v>
      </c>
      <c r="AU327" s="83">
        <f>$B$49</f>
        <v>0.82</v>
      </c>
      <c r="AV327" s="679">
        <f t="shared" si="214"/>
        <v>0</v>
      </c>
      <c r="AW327" s="680"/>
      <c r="AX327" s="70">
        <f>IF($H$343=$DV$44,IF(AV327&gt;0,((AV327-1)*$BM$55*0.5)+$BM$55,AV327*0.5*$BM$55),AV327*0.5*$BM$55)</f>
        <v>0</v>
      </c>
      <c r="AY327" s="70">
        <f>IF(AV327&gt;0,1,0)*$A$49</f>
        <v>0</v>
      </c>
      <c r="AZ327" s="679">
        <f>AV327*$BK$55</f>
        <v>0</v>
      </c>
      <c r="BA327" s="680"/>
      <c r="BB327" s="83"/>
      <c r="BE327" s="116"/>
      <c r="BF327" s="679">
        <f t="shared" si="217"/>
        <v>0</v>
      </c>
      <c r="BG327" s="680"/>
      <c r="BH327" s="70">
        <f>IF($H$343=$DV$44,IF(AND(BF327&gt;0,AV327&lt;1),((BF327-1)*$BM$55*0.5)+$BM$55,BF327*0.5*$BM$55),BF327*0.5*$BM$55)</f>
        <v>0</v>
      </c>
      <c r="BI327" s="70">
        <f>IF(BF327&gt;0,1,0)*$A$49</f>
        <v>0</v>
      </c>
      <c r="BJ327" s="679">
        <f>BF327*$BK$55</f>
        <v>0</v>
      </c>
      <c r="BK327" s="680"/>
      <c r="BL327" s="689"/>
      <c r="BM327" s="690"/>
      <c r="BN327" s="83"/>
      <c r="BO327" s="395"/>
      <c r="BP327" s="396"/>
      <c r="BQ327" s="83"/>
      <c r="BR327" s="691"/>
      <c r="BS327" s="692"/>
      <c r="BY327" s="116"/>
      <c r="BZ327" s="51"/>
      <c r="CB327"/>
      <c r="CC327"/>
      <c r="CD327"/>
      <c r="CG327"/>
      <c r="CK327" s="23">
        <v>30</v>
      </c>
      <c r="CL327" s="83">
        <f>$B$49</f>
        <v>0.82</v>
      </c>
      <c r="CM327" s="679">
        <f t="shared" si="215"/>
        <v>0</v>
      </c>
      <c r="CN327" s="680"/>
      <c r="CO327" s="70">
        <f>IF($H$343=$DV$44,IF(CM327&gt;0,((CM327-1)*$BM$55*0.5)+$BM$55,CM327*0.5*$BM$55),CM327*0.5*$BM$55)</f>
        <v>0</v>
      </c>
      <c r="CP327" s="70">
        <f>IF(CM327&gt;0,1,0)*$A$49</f>
        <v>0</v>
      </c>
      <c r="CQ327" s="679">
        <f>CM327*$BK$55</f>
        <v>0</v>
      </c>
      <c r="CR327" s="680"/>
      <c r="CS327" s="83"/>
      <c r="CV327" s="116"/>
      <c r="CW327" s="679">
        <f t="shared" si="216"/>
        <v>0</v>
      </c>
      <c r="CX327" s="680"/>
      <c r="CY327" s="70">
        <f>IF($H$343=$DV$44,IF(AND(CW327&gt;0,CM327&lt;1),((CW327-1)*$BM$55*0.5)+$BM$55,CW327*0.5*$BM$55),CW327*0.5*$BM$55)</f>
        <v>0</v>
      </c>
      <c r="CZ327" s="70">
        <f>IF(CW327&gt;0,1,0)*$A$49</f>
        <v>0</v>
      </c>
      <c r="DA327" s="679">
        <f>CW327*$BK$55</f>
        <v>0</v>
      </c>
      <c r="DB327" s="680"/>
      <c r="DC327" s="689"/>
      <c r="DD327" s="690"/>
      <c r="DE327" s="83"/>
      <c r="DF327" s="691"/>
      <c r="DG327" s="692"/>
      <c r="DH327" s="83"/>
      <c r="DI327" s="691"/>
      <c r="DJ327" s="692"/>
      <c r="DP327" s="116"/>
      <c r="DQ327" s="51"/>
      <c r="DR327"/>
      <c r="DS327"/>
      <c r="DT327"/>
      <c r="DV327"/>
      <c r="DW327"/>
      <c r="DX327"/>
      <c r="DY327"/>
    </row>
    <row r="328" spans="2:129" ht="13.5" thickBot="1" x14ac:dyDescent="0.25">
      <c r="B328"/>
      <c r="C328" s="32"/>
      <c r="D328" s="84"/>
      <c r="E328" s="205"/>
      <c r="F328" s="205"/>
      <c r="G328" s="89"/>
      <c r="H328" s="70"/>
      <c r="I328" s="205"/>
      <c r="J328" s="205"/>
      <c r="K328" s="84"/>
      <c r="L328" s="53"/>
      <c r="M328" s="53"/>
      <c r="N328" s="51"/>
      <c r="O328" s="53"/>
      <c r="P328" s="53"/>
      <c r="Q328" s="84"/>
      <c r="R328" s="205"/>
      <c r="S328" s="53"/>
      <c r="T328" s="84"/>
      <c r="U328" s="205"/>
      <c r="V328" s="205"/>
      <c r="W328" s="205"/>
      <c r="X328" s="205"/>
      <c r="Y328" s="89"/>
      <c r="Z328" s="70"/>
      <c r="AA328" s="205"/>
      <c r="AB328" s="205"/>
      <c r="AC328" s="84"/>
      <c r="AD328" s="53"/>
      <c r="AE328" s="53"/>
      <c r="AF328" s="51"/>
      <c r="AG328" s="53"/>
      <c r="AH328" s="53"/>
      <c r="AI328" s="84"/>
      <c r="AJ328" s="205"/>
      <c r="AK328" s="53"/>
      <c r="AL328" s="84"/>
      <c r="AT328" s="32"/>
      <c r="AU328" s="84"/>
      <c r="AV328" s="205"/>
      <c r="AW328" s="205"/>
      <c r="AX328" s="89"/>
      <c r="AY328" s="70"/>
      <c r="AZ328" s="205"/>
      <c r="BA328" s="205"/>
      <c r="BB328" s="84"/>
      <c r="BC328" s="53"/>
      <c r="BD328" s="53"/>
      <c r="BE328" s="51"/>
      <c r="BF328" s="53"/>
      <c r="BG328" s="53"/>
      <c r="BH328" s="84"/>
      <c r="BI328" s="205"/>
      <c r="BJ328" s="53"/>
      <c r="BK328" s="84"/>
      <c r="BL328" s="205"/>
      <c r="BM328" s="205"/>
      <c r="BN328" s="84"/>
      <c r="BO328" s="53"/>
      <c r="BP328" s="53"/>
      <c r="BQ328" s="89"/>
      <c r="BR328" s="54"/>
      <c r="BS328" s="54"/>
      <c r="BY328" s="116"/>
      <c r="BZ328" s="51"/>
      <c r="CB328"/>
      <c r="CC328"/>
      <c r="CD328"/>
      <c r="CG328"/>
      <c r="CK328" s="32"/>
      <c r="CL328" s="84"/>
      <c r="CM328" s="205"/>
      <c r="CN328" s="205"/>
      <c r="CO328" s="89"/>
      <c r="CP328" s="70"/>
      <c r="CQ328" s="205"/>
      <c r="CR328" s="205"/>
      <c r="CS328" s="84"/>
      <c r="CT328" s="53"/>
      <c r="CU328" s="53"/>
      <c r="CV328" s="51"/>
      <c r="CW328" s="53"/>
      <c r="CX328" s="53"/>
      <c r="CY328" s="84"/>
      <c r="CZ328" s="205"/>
      <c r="DA328" s="53"/>
      <c r="DB328" s="84"/>
      <c r="DC328" s="205"/>
      <c r="DD328" s="205"/>
      <c r="DE328" s="84"/>
      <c r="DF328" s="53"/>
      <c r="DG328" s="53"/>
      <c r="DH328" s="89"/>
      <c r="DI328" s="54"/>
      <c r="DJ328" s="54"/>
      <c r="DP328" s="116"/>
      <c r="DQ328" s="51"/>
      <c r="DR328"/>
      <c r="DS328"/>
      <c r="DT328"/>
      <c r="DV328"/>
      <c r="DW328"/>
      <c r="DX328"/>
      <c r="DY328"/>
    </row>
    <row r="329" spans="2:129" ht="13.5" thickBot="1" x14ac:dyDescent="0.25">
      <c r="B329"/>
      <c r="C329" s="24" t="s">
        <v>60</v>
      </c>
      <c r="D329" s="85"/>
      <c r="E329" s="206"/>
      <c r="F329" s="204"/>
      <c r="G329" s="204"/>
      <c r="H329" s="70"/>
      <c r="I329" s="204"/>
      <c r="J329" s="204"/>
      <c r="K329" s="194"/>
      <c r="L329" s="194"/>
      <c r="M329" s="194"/>
      <c r="N329" s="51"/>
      <c r="O329" s="194"/>
      <c r="P329" s="194"/>
      <c r="Q329" s="204"/>
      <c r="R329" s="204"/>
      <c r="S329" s="194"/>
      <c r="T329" s="194"/>
      <c r="U329" s="204"/>
      <c r="V329" s="204"/>
      <c r="W329" s="206"/>
      <c r="X329" s="204"/>
      <c r="Y329" s="204"/>
      <c r="Z329" s="70"/>
      <c r="AA329" s="204"/>
      <c r="AB329" s="204"/>
      <c r="AC329" s="194"/>
      <c r="AD329" s="194"/>
      <c r="AE329" s="194"/>
      <c r="AF329" s="51"/>
      <c r="AG329" s="194"/>
      <c r="AH329" s="194"/>
      <c r="AI329" s="204"/>
      <c r="AJ329" s="204"/>
      <c r="AK329" s="194"/>
      <c r="AL329" s="194"/>
      <c r="AT329" s="24" t="s">
        <v>60</v>
      </c>
      <c r="AU329" s="85"/>
      <c r="AV329" s="206"/>
      <c r="AW329" s="204"/>
      <c r="AX329" s="204"/>
      <c r="AY329" s="70"/>
      <c r="AZ329" s="204"/>
      <c r="BA329" s="204"/>
      <c r="BB329" s="194"/>
      <c r="BC329" s="194"/>
      <c r="BD329" s="194"/>
      <c r="BE329" s="51"/>
      <c r="BF329" s="194"/>
      <c r="BG329" s="194"/>
      <c r="BH329" s="204"/>
      <c r="BI329" s="204"/>
      <c r="BJ329" s="194"/>
      <c r="BK329" s="194"/>
      <c r="BL329" s="204"/>
      <c r="BM329" s="204"/>
      <c r="BN329" s="204"/>
      <c r="BO329" s="194"/>
      <c r="BP329" s="194"/>
      <c r="BQ329" s="194"/>
      <c r="BR329" s="194"/>
      <c r="BS329" s="194"/>
      <c r="BY329" s="118"/>
      <c r="BZ329" s="51"/>
      <c r="CB329"/>
      <c r="CC329"/>
      <c r="CD329"/>
      <c r="CG329"/>
      <c r="CK329" s="24" t="s">
        <v>60</v>
      </c>
      <c r="CL329" s="85"/>
      <c r="CM329" s="206"/>
      <c r="CN329" s="204"/>
      <c r="CO329" s="204"/>
      <c r="CP329" s="70"/>
      <c r="CQ329" s="204"/>
      <c r="CR329" s="204"/>
      <c r="CS329" s="194"/>
      <c r="CT329" s="194"/>
      <c r="CU329" s="194"/>
      <c r="CV329" s="51"/>
      <c r="CW329" s="194"/>
      <c r="CX329" s="194"/>
      <c r="CY329" s="204"/>
      <c r="CZ329" s="204"/>
      <c r="DA329" s="194"/>
      <c r="DB329" s="194"/>
      <c r="DC329" s="204"/>
      <c r="DD329" s="204"/>
      <c r="DE329" s="204"/>
      <c r="DF329" s="194"/>
      <c r="DG329" s="194"/>
      <c r="DH329" s="194"/>
      <c r="DI329" s="194"/>
      <c r="DJ329" s="194"/>
      <c r="DP329" s="118"/>
      <c r="DQ329" s="51"/>
      <c r="DR329"/>
      <c r="DS329"/>
      <c r="DT329"/>
      <c r="DV329"/>
      <c r="DW329"/>
      <c r="DX329"/>
      <c r="DY329"/>
    </row>
    <row r="330" spans="2:129" ht="13.5" thickBot="1" x14ac:dyDescent="0.25">
      <c r="B330"/>
      <c r="C330" s="22">
        <v>0.25</v>
      </c>
      <c r="D330" s="83">
        <f>$B$52</f>
        <v>0.63</v>
      </c>
      <c r="E330" s="679">
        <f>SUM(IF($C$1="Residência",$C$52,0),IF($F$1="Residência",$F$52,0),IF($I$1="Residência",$I$52,0),IF($L$1="Residência",$L$52,0),IF($O$1="Residência",$O$52,0),IF($R$1="Residência",$R$52,0),IF($U$1="Residência",$U$52,0),IF($X$1="Residência",$X$52,0),IF($AA$1="Residência",$AA$52,0),IF($AD$1="Residência",$AD$52,0),IF($AG$1="Residência",$AG$52,0),IF($AJ$1="Residência",$AJ$52,0))</f>
        <v>0</v>
      </c>
      <c r="F330" s="680"/>
      <c r="G330" s="70">
        <f>IF($H$343=$DV$47,IF(E330&gt;0,((E330-1)*$BM$58*0.5)+$BM$58,E330*0.5*$BM$58),E330*0.5*$BM$58)</f>
        <v>0</v>
      </c>
      <c r="H330" s="70">
        <f>IF(E330&gt;0,1,0)*$A$52</f>
        <v>0</v>
      </c>
      <c r="I330" s="679">
        <f>E330*$BK$58</f>
        <v>0</v>
      </c>
      <c r="J330" s="680"/>
      <c r="K330" s="83"/>
      <c r="L330" s="691"/>
      <c r="M330" s="692"/>
      <c r="N330" s="51"/>
      <c r="O330" s="679">
        <f>SUM(IF($C$1="Residência",0,$C$52),IF($F$1="Residência",0,$F$52),IF($I$1="Residência",0,$I$52),IF($L$1="Residência",0,$L$52),IF($O$1="Residência",0,$O$52),IF($R$1="Residência",0,$R$52),IF($U$1="Residência",0,$U$52),IF($X$1="Residência",0,$X$52),IF($AA$1="Residência",0,$AA$52),IF($AD$1="Residência",0,$AD$52),IF($AG$1="Residência",0,$AG$52),IF($AJ$1="Residência",0,$AJ$52))</f>
        <v>0</v>
      </c>
      <c r="P330" s="680"/>
      <c r="Q330" s="70">
        <f>IF($H$343=$DV$47,IF(AND(O330&gt;0,E330&lt;1),((O330-1)*$BM$58*0.5)+$BM$58,O330*0.5*$BM$58),O330*0.5*$BM$58)</f>
        <v>0</v>
      </c>
      <c r="R330" s="70">
        <f>IF(O330&gt;0,1,0)*$A$52</f>
        <v>0</v>
      </c>
      <c r="S330" s="679">
        <f>O330*$BK$58</f>
        <v>0</v>
      </c>
      <c r="T330" s="680"/>
      <c r="U330" s="689"/>
      <c r="V330" s="690"/>
      <c r="W330" s="679">
        <f>SUM(IF($C$1="Residência",$C$52,0),IF($F$1="Residência",$F$52,0),IF($I$1="Residência",$I$52,0),IF($L$1="Residência",$L$52,0),IF($O$1="Residência",$O$52,0),IF($R$1="Residência",$R$52,0),IF($U$1="Residência",$U$52,0),IF($X$1="Residência",$X$52,0),IF($AA$1="Residência",$AA$52,0),IF($AD$1="Residência",$AD$52,0),IF($AG$1="Residência",$AG$52,0),IF($AJ$1="Residência",$AJ$52,0))</f>
        <v>0</v>
      </c>
      <c r="X330" s="680"/>
      <c r="Y330" s="70">
        <f>IF($H$343=$DV$47,IF(W330&gt;0,((W330-1)*$BM$58*0.5)+$BM$58,W330*0.5*$BM$58),W330*0.5*$BM$58)</f>
        <v>0</v>
      </c>
      <c r="Z330" s="70">
        <f>IF(W330&gt;0,1,0)*$A$52</f>
        <v>0</v>
      </c>
      <c r="AA330" s="679">
        <f>W330*$BK$58</f>
        <v>0</v>
      </c>
      <c r="AB330" s="680"/>
      <c r="AC330" s="83"/>
      <c r="AD330" s="691"/>
      <c r="AE330" s="692"/>
      <c r="AF330" s="51"/>
      <c r="AG330" s="679">
        <f>SUM(IF($C$1="Residência",0,$C$52),IF($F$1="Residência",0,$F$52),IF($I$1="Residência",0,$I$52),IF($L$1="Residência",0,$L$52),IF($O$1="Residência",0,$O$52),IF($R$1="Residência",0,$R$52),IF($U$1="Residência",0,$U$52),IF($X$1="Residência",0,$X$52),IF($AA$1="Residência",0,$AA$52),IF($AD$1="Residência",0,$AD$52),IF($AG$1="Residência",0,$AG$52),IF($AJ$1="Residência",0,$AJ$52))</f>
        <v>0</v>
      </c>
      <c r="AH330" s="680"/>
      <c r="AI330" s="70">
        <f>IF($H$343=$DV$47,IF(AND(AG330&gt;0,W330&lt;1),((AG330-1)*$BM$58*0.5)+$BM$58,AG330*0.5*$BM$58),AG330*0.5*$BM$58)</f>
        <v>0</v>
      </c>
      <c r="AJ330" s="70">
        <f>IF(AG330&gt;0,1,0)*$A$52</f>
        <v>0</v>
      </c>
      <c r="AK330" s="679">
        <f>AG330*$BK$58</f>
        <v>0</v>
      </c>
      <c r="AL330" s="680"/>
      <c r="AT330" s="22">
        <v>0.25</v>
      </c>
      <c r="AU330" s="83">
        <f>$B$52</f>
        <v>0.63</v>
      </c>
      <c r="AV330" s="679">
        <f t="shared" ref="AV330:AV342" si="218">SUM(IF($U$1="Residência",U52,0),IF($AA$1="Residência",AA52,0),IF($X$1="Residência",X52,0))</f>
        <v>0</v>
      </c>
      <c r="AW330" s="680"/>
      <c r="AX330" s="70">
        <f>IF($H$343=$DV$47,IF(AV330&gt;0,((AV330-1)*$BM$58*0.5)+$BM$58,AV330*0.5*$BM$58),AV330*0.5*$BM$58)</f>
        <v>0</v>
      </c>
      <c r="AY330" s="70">
        <f>IF(AV330&gt;0,1,0)*$A$52</f>
        <v>0</v>
      </c>
      <c r="AZ330" s="679">
        <f>AV330*$BK$58</f>
        <v>0</v>
      </c>
      <c r="BA330" s="680"/>
      <c r="BB330" s="83"/>
      <c r="BC330" s="691"/>
      <c r="BD330" s="692"/>
      <c r="BE330" s="51"/>
      <c r="BF330" s="679">
        <f t="shared" ref="BF330:BF342" si="219">SUM(IF($U$1="Residência",0,U52),IF($AA$1="Residência",0,AA52),IF($X$1="Residência",0,X52))</f>
        <v>0</v>
      </c>
      <c r="BG330" s="680"/>
      <c r="BH330" s="70">
        <f>IF($H$343=$DV$47,IF(AND(BF330&gt;0,AV330&lt;1),((BF330-1)*$BM$58*0.5)+$BM$58,BF330*0.5*$BM$58),BF330*0.5*$BM$58)</f>
        <v>0</v>
      </c>
      <c r="BI330" s="70">
        <f>IF(BF330&gt;0,1,0)*$A$52</f>
        <v>0</v>
      </c>
      <c r="BJ330" s="679">
        <f>BF330*$BK$58</f>
        <v>0</v>
      </c>
      <c r="BK330" s="680"/>
      <c r="BL330" s="689"/>
      <c r="BM330" s="690"/>
      <c r="BN330" s="83"/>
      <c r="BO330" s="395"/>
      <c r="BP330" s="396"/>
      <c r="BQ330" s="83"/>
      <c r="BR330" s="691"/>
      <c r="BS330" s="692"/>
      <c r="BY330" s="119"/>
      <c r="BZ330" s="51"/>
      <c r="CB330"/>
      <c r="CC330"/>
      <c r="CD330"/>
      <c r="CG330"/>
      <c r="CK330" s="22">
        <v>0.25</v>
      </c>
      <c r="CL330" s="83">
        <f>$B$52</f>
        <v>0.63</v>
      </c>
      <c r="CM330" s="679">
        <f t="shared" ref="CM330:CM342" si="220">SUM(IF($AG$1="Residência",AG52,0),IF($AD$1="Residência",AD52,0),IF($AJ$1="Residência",AJ52,0))</f>
        <v>0</v>
      </c>
      <c r="CN330" s="680"/>
      <c r="CO330" s="70">
        <f>IF($H$343=$DV$47,IF(CM330&gt;0,((CM330-1)*$BM$58*0.5)+$BM$58,CM330*0.5*$BM$58),CM330*0.5*$BM$58)</f>
        <v>0</v>
      </c>
      <c r="CP330" s="70">
        <f>IF(CM330&gt;0,1,0)*$A$52</f>
        <v>0</v>
      </c>
      <c r="CQ330" s="679">
        <f>CM330*$BK$58</f>
        <v>0</v>
      </c>
      <c r="CR330" s="680"/>
      <c r="CS330" s="83"/>
      <c r="CT330" s="691"/>
      <c r="CU330" s="692"/>
      <c r="CV330" s="51"/>
      <c r="CW330" s="679">
        <f t="shared" ref="CW330:CW342" si="221">SUM(IF($AG$1="Residência",0,AG52),IF($AD$1="Residência",0,AD52),IF($AJ$1="Residência",0,AJ52))</f>
        <v>0</v>
      </c>
      <c r="CX330" s="680"/>
      <c r="CY330" s="70">
        <f>IF($H$343=$DV$47,IF(AND(CW330&gt;0,CM330&lt;1),((CW330-1)*$BM$58*0.5)+$BM$58,CW330*0.5*$BM$58),CW330*0.5*$BM$58)</f>
        <v>0</v>
      </c>
      <c r="CZ330" s="70">
        <f>IF(CW330&gt;0,1,0)*$A$52</f>
        <v>0</v>
      </c>
      <c r="DA330" s="679">
        <f>CW330*$BK$58</f>
        <v>0</v>
      </c>
      <c r="DB330" s="680"/>
      <c r="DC330" s="689"/>
      <c r="DD330" s="690"/>
      <c r="DE330" s="83"/>
      <c r="DF330" s="691"/>
      <c r="DG330" s="692"/>
      <c r="DH330" s="83"/>
      <c r="DI330" s="691"/>
      <c r="DJ330" s="692"/>
      <c r="DP330" s="119"/>
      <c r="DQ330" s="51"/>
      <c r="DR330"/>
      <c r="DS330"/>
      <c r="DT330"/>
      <c r="DV330"/>
      <c r="DW330"/>
      <c r="DX330"/>
      <c r="DY330"/>
    </row>
    <row r="331" spans="2:129" ht="13.5" thickBot="1" x14ac:dyDescent="0.25">
      <c r="B331"/>
      <c r="C331" s="22">
        <v>0.33333333333333298</v>
      </c>
      <c r="D331" s="83">
        <f>$B$53</f>
        <v>0.66</v>
      </c>
      <c r="E331" s="679">
        <f>SUM(IF($C$1="Residência",$C$53,0),IF($F$1="Residência",$F$53,0),IF($I$1="Residência",$I$53,0),IF($L$1="Residência",$L$53,0),IF($O$1="Residência",$O$53,0),IF($R$1="Residência",$R$53,0),IF($U$1="Residência",$U$53,0),IF($X$1="Residência",$X$53,0),IF($AA$1="Residência",$AA$53,0),IF($AD$1="Residência",$AD$53,0),IF($AG$1="Residência",$AG$53,0),IF($AJ$1="Residência",$AJ$53,0))</f>
        <v>0</v>
      </c>
      <c r="F331" s="680"/>
      <c r="G331" s="70">
        <f>IF($H$343=$DV$48,IF(AND(E311&lt;1,O311&lt;1,E331&gt;0),((E331-1)*$BM$59*0.5)+$BM$59,E331*0.5*$BM$59),E331*0.5*$BM$59)</f>
        <v>0</v>
      </c>
      <c r="H331" s="70">
        <f>IF(E331&gt;0,1,0)*$A$53</f>
        <v>0</v>
      </c>
      <c r="I331" s="679">
        <f>E331*$BK$59</f>
        <v>0</v>
      </c>
      <c r="J331" s="680"/>
      <c r="K331" s="83"/>
      <c r="L331" s="691"/>
      <c r="M331" s="692"/>
      <c r="N331" s="51"/>
      <c r="O331" s="679">
        <f>SUM(IF($C$1="Residência",0,$C$53),IF($F$1="Residência",0,$F$53),IF($I$1="Residência",0,$I$53),IF($L$1="Residência",0,$L$53),IF($O$1="Residência",0,$O$53),IF($R$1="Residência",0,$R$53),IF($U$1="Residência",0,$U$53),IF($X$1="Residência",0,$X$53),IF($AA$1="Residência",0,$AA$53),IF($AD$1="Residência",0,$AD$53),IF($AG$1="Residência",0,$AG$53),IF($AJ$1="Residência",0,$AJ$53),IF($E$67="BIFÁSICA",$C$67,0))</f>
        <v>0</v>
      </c>
      <c r="P331" s="680"/>
      <c r="Q331" s="70">
        <f>IF($H$343=$DV$48,IF(AND(O311&lt;1,E311&lt;1,O331&gt;0,E331&lt;1),((O331-1)*$BM$59*0.5)+$BM$59,O331*0.5*$BM$59),O331*0.5*$BM$59)</f>
        <v>0</v>
      </c>
      <c r="R331" s="70">
        <f>IF(O331&gt;0,1,0)*$A$53</f>
        <v>0</v>
      </c>
      <c r="S331" s="679">
        <f>O331*$BK$59</f>
        <v>0</v>
      </c>
      <c r="T331" s="680"/>
      <c r="U331" s="689"/>
      <c r="V331" s="690"/>
      <c r="W331" s="679">
        <f>SUM(IF($C$1="Residência",$C$53,0),IF($F$1="Residência",$F$53,0),IF($I$1="Residência",$I$53,0),IF($L$1="Residência",$L$53,0),IF($O$1="Residência",$O$53,0),IF($R$1="Residência",$R$53,0),IF($U$1="Residência",$U$53,0),IF($X$1="Residência",$X$53,0),IF($AA$1="Residência",$AA$53,0),IF($AD$1="Residência",$AD$53,0),IF($AG$1="Residência",$AG$53,0),IF($AJ$1="Residência",$AJ$53,0))</f>
        <v>0</v>
      </c>
      <c r="X331" s="680"/>
      <c r="Y331" s="70">
        <f>IF($H$343=$DV$48,IF(AND(W311&lt;1,AG311&lt;1,W331&gt;0),((W331-1)*$BM$59*0.5)+$BM$59,W331*0.5*$BM$59),W331*0.5*$BM$59)</f>
        <v>0</v>
      </c>
      <c r="Z331" s="70">
        <f>IF(W331&gt;0,1,0)*$A$53</f>
        <v>0</v>
      </c>
      <c r="AA331" s="679">
        <f>W331*$BK$59</f>
        <v>0</v>
      </c>
      <c r="AB331" s="680"/>
      <c r="AC331" s="83"/>
      <c r="AD331" s="691"/>
      <c r="AE331" s="692"/>
      <c r="AF331" s="51"/>
      <c r="AG331" s="679">
        <f>SUM(IF($C$1="Residência",0,$C$53),IF($F$1="Residência",0,$F$53),IF($I$1="Residência",0,$I$53),IF($L$1="Residência",0,$L$53),IF($O$1="Residência",0,$O$53),IF($R$1="Residência",0,$R$53),IF($U$1="Residência",0,$U$53),IF($X$1="Residência",0,$X$53),IF($AA$1="Residência",0,$AA$53),IF($AD$1="Residência",0,$AD$53),IF($AG$1="Residência",0,$AG$53),IF($AJ$1="Residência",0,$AJ$53))</f>
        <v>0</v>
      </c>
      <c r="AH331" s="680"/>
      <c r="AI331" s="70">
        <f>IF($H$343=$DV$48,IF(AND(AG311&lt;1,W311&lt;1,AG331&gt;0,W331&lt;1),((AG331-1)*$BM$59*0.5)+$BM$59,AG331*0.5*$BM$59),AG331*0.5*$BM$59)</f>
        <v>0</v>
      </c>
      <c r="AJ331" s="70">
        <f>IF(AG331&gt;0,1,0)*$A$53</f>
        <v>0</v>
      </c>
      <c r="AK331" s="679">
        <f>AG331*$BK$59</f>
        <v>0</v>
      </c>
      <c r="AL331" s="680"/>
      <c r="AT331" s="22">
        <v>0.33333333333333298</v>
      </c>
      <c r="AU331" s="83">
        <f>$B$53</f>
        <v>0.66</v>
      </c>
      <c r="AV331" s="679">
        <f t="shared" si="218"/>
        <v>0</v>
      </c>
      <c r="AW331" s="680"/>
      <c r="AX331" s="70">
        <f>IF($H$343=$DV$48,IF(AND(AV311&lt;1,BF311&lt;1,AV331&gt;0),((AV331-1)*$BM$59*0.5)+$BM$59,AV331*0.5*$BM$59),AV331*0.5*$BM$59)</f>
        <v>0</v>
      </c>
      <c r="AY331" s="70">
        <f>IF(AV331&gt;0,1,0)*$A$53</f>
        <v>0</v>
      </c>
      <c r="AZ331" s="679">
        <f>AV331*$BK$59</f>
        <v>0</v>
      </c>
      <c r="BA331" s="680"/>
      <c r="BB331" s="83"/>
      <c r="BC331" s="691"/>
      <c r="BD331" s="692"/>
      <c r="BE331" s="51"/>
      <c r="BF331" s="679">
        <f t="shared" si="219"/>
        <v>0</v>
      </c>
      <c r="BG331" s="680"/>
      <c r="BH331" s="70">
        <f>IF($H$343=$DV$48,IF(AND(BF311&lt;1,AV311&lt;1,BF331&gt;0,AV331&lt;1),((BF331-1)*$BM$59*0.5)+$BM$59,BF331*0.5*$BM$59),BF331*0.5*$BM$59)</f>
        <v>0</v>
      </c>
      <c r="BI331" s="70">
        <f>IF(BF331&gt;0,1,0)*$A$53</f>
        <v>0</v>
      </c>
      <c r="BJ331" s="679">
        <f>BF331*$BK$59</f>
        <v>0</v>
      </c>
      <c r="BK331" s="680"/>
      <c r="BL331" s="689"/>
      <c r="BM331" s="690"/>
      <c r="BN331" s="83"/>
      <c r="BO331" s="395"/>
      <c r="BP331" s="396"/>
      <c r="BQ331" s="83"/>
      <c r="BR331" s="691"/>
      <c r="BS331" s="692"/>
      <c r="BY331" s="120"/>
      <c r="BZ331" s="51"/>
      <c r="CB331"/>
      <c r="CC331"/>
      <c r="CD331"/>
      <c r="CG331"/>
      <c r="CK331" s="22">
        <v>0.33333333333333298</v>
      </c>
      <c r="CL331" s="83">
        <f>$B$53</f>
        <v>0.66</v>
      </c>
      <c r="CM331" s="679">
        <f t="shared" si="220"/>
        <v>0</v>
      </c>
      <c r="CN331" s="680"/>
      <c r="CO331" s="70">
        <f>IF($H$343=$DV$48,IF(AND(CM311&lt;1,CW311&lt;1,CM331&gt;0),((CM331-1)*$BM$59*0.5)+$BM$59,CM331*0.5*$BM$59),CM331*0.5*$BM$59)</f>
        <v>0</v>
      </c>
      <c r="CP331" s="70">
        <f>IF(CM331&gt;0,1,0)*$A$53</f>
        <v>0</v>
      </c>
      <c r="CQ331" s="679">
        <f>CM331*$BK$59</f>
        <v>0</v>
      </c>
      <c r="CR331" s="680"/>
      <c r="CS331" s="83"/>
      <c r="CT331" s="691"/>
      <c r="CU331" s="692"/>
      <c r="CV331" s="51"/>
      <c r="CW331" s="679">
        <f t="shared" si="221"/>
        <v>0</v>
      </c>
      <c r="CX331" s="680"/>
      <c r="CY331" s="70">
        <f>IF($H$343=$DV$48,IF(AND(CW311&lt;1,CM311&lt;1,CW331&gt;0,CM331&lt;1),((CW331-1)*$BM$59*0.5)+$BM$59,CW331*0.5*$BM$59),CW331*0.5*$BM$59)</f>
        <v>0</v>
      </c>
      <c r="CZ331" s="70">
        <f>IF(CW331&gt;0,1,0)*$A$53</f>
        <v>0</v>
      </c>
      <c r="DA331" s="679">
        <f>CW331*$BK$59</f>
        <v>0</v>
      </c>
      <c r="DB331" s="680"/>
      <c r="DC331" s="689"/>
      <c r="DD331" s="690"/>
      <c r="DE331" s="83"/>
      <c r="DF331" s="691"/>
      <c r="DG331" s="692"/>
      <c r="DH331" s="83"/>
      <c r="DI331" s="691"/>
      <c r="DJ331" s="692"/>
      <c r="DP331" s="120"/>
      <c r="DQ331" s="51"/>
      <c r="DR331"/>
      <c r="DS331"/>
      <c r="DT331"/>
      <c r="DV331"/>
      <c r="DW331"/>
      <c r="DX331"/>
      <c r="DY331"/>
    </row>
    <row r="332" spans="2:129" ht="13.5" thickBot="1" x14ac:dyDescent="0.25">
      <c r="B332"/>
      <c r="C332" s="22">
        <v>0.5</v>
      </c>
      <c r="D332" s="83">
        <f>$B$54</f>
        <v>0.67</v>
      </c>
      <c r="E332" s="679">
        <f>SUM(IF($C$1="Residência",$C$54,0),IF($F$1="Residência",$F$54,0),IF($I$1="Residência",$I$54,0),IF($L$1="Residência",$L$54,0),IF($O$1="Residência",$O$54,0),IF($R$1="Residência",$R$54,0),IF($U$1="Residência",$U$54,0),IF($X$1="Residência",$X$54,0),IF($AA$1="Residência",$AA$54,0),IF($AD$1="Residência",$AD$54,0),IF($AG$1="Residência",$AG$54,0),IF($AJ$1="Residência",$AJ$54,0))</f>
        <v>0</v>
      </c>
      <c r="F332" s="680"/>
      <c r="G332" s="70">
        <f>IF($H$343=$DV$49,IF(AND(E312&lt;1,O312&lt;1,E332&gt;0),((E332-1)*$BM$60*0.5)+$BM$60,E332*0.5*$BM$60),E332*0.5*$BM$60)</f>
        <v>0</v>
      </c>
      <c r="H332" s="70">
        <f>IF(E332&gt;0,1,0)*$A$54</f>
        <v>0</v>
      </c>
      <c r="I332" s="679">
        <f>E332*$BK$60</f>
        <v>0</v>
      </c>
      <c r="J332" s="680"/>
      <c r="K332" s="83"/>
      <c r="L332" s="691"/>
      <c r="M332" s="692"/>
      <c r="N332" s="51"/>
      <c r="O332" s="679">
        <f>SUM(IF($C$1="Residência",0,$C$54),IF($F$1="Residência",0,$F$54),IF($I$1="Residência",0,$I$54),IF($L$1="Residência",0,$L$54),IF($O$1="Residência",0,$O$54),IF($R$1="Residência",0,$R$54),IF($U$1="Residência",0,$U$54),IF($X$1="Residência",0,$X$54),IF($AA$1="Residência",0,$AA$54),IF($AD$1="Residência",0,$AD$54),IF($AG$1="Residência",0,$AG$54),IF($AJ$1="Residência",0,$AJ$54),IF($E$68="BIFÁSICA",$C$68,0))</f>
        <v>0</v>
      </c>
      <c r="P332" s="680"/>
      <c r="Q332" s="70">
        <f>IF($H$343=$DV$49,IF(AND(O312&lt;1,E312&lt;1,O332&gt;0,E332&lt;1),((O332-1)*$BM$60*0.5)+$BM$60,O332*0.5*$BM$60),O332*0.5*$BM$60)</f>
        <v>0</v>
      </c>
      <c r="R332" s="70">
        <f>IF(O332&gt;0,1,0)*$A$54</f>
        <v>0</v>
      </c>
      <c r="S332" s="679">
        <f>O332*$BK$60</f>
        <v>0</v>
      </c>
      <c r="T332" s="680"/>
      <c r="U332" s="689"/>
      <c r="V332" s="690"/>
      <c r="W332" s="679">
        <f>SUM(IF($C$1="Residência",$C$54,0),IF($F$1="Residência",$F$54,0),IF($I$1="Residência",$I$54,0),IF($L$1="Residência",$L$54,0),IF($O$1="Residência",$O$54,0),IF($R$1="Residência",$R$54,0),IF($U$1="Residência",$U$54,0),IF($X$1="Residência",$X$54,0),IF($AA$1="Residência",$AA$54,0),IF($AD$1="Residência",$AD$54,0),IF($AG$1="Residência",$AG$54,0),IF($AJ$1="Residência",$AJ$54,0))</f>
        <v>0</v>
      </c>
      <c r="X332" s="680"/>
      <c r="Y332" s="70">
        <f>IF($H$343=$DV$49,IF(AND(W312&lt;1,AG312&lt;1,W332&gt;0),((W332-1)*$BM$60*0.5)+$BM$60,W332*0.5*$BM$60),W332*0.5*$BM$60)</f>
        <v>0</v>
      </c>
      <c r="Z332" s="70">
        <f>IF(W332&gt;0,1,0)*$A$54</f>
        <v>0</v>
      </c>
      <c r="AA332" s="679">
        <f>W332*$BK$60</f>
        <v>0</v>
      </c>
      <c r="AB332" s="680"/>
      <c r="AC332" s="83"/>
      <c r="AD332" s="691"/>
      <c r="AE332" s="692"/>
      <c r="AF332" s="51"/>
      <c r="AG332" s="679">
        <f>SUM(IF($C$1="Residência",0,$C$54),IF($F$1="Residência",0,$F$54),IF($I$1="Residência",0,$I$54),IF($L$1="Residência",0,$L$54),IF($O$1="Residência",0,$O$54),IF($R$1="Residência",0,$R$54),IF($U$1="Residência",0,$U$54),IF($X$1="Residência",0,$X$54),IF($AA$1="Residência",0,$AA$54),IF($AD$1="Residência",0,$AD$54),IF($AG$1="Residência",0,$AG$54),IF($AJ$1="Residência",0,$AJ$54))</f>
        <v>0</v>
      </c>
      <c r="AH332" s="680"/>
      <c r="AI332" s="70">
        <f>IF($H$343=$DV$49,IF(AND(AG312&lt;1,W312&lt;1,AG332&gt;0,W332&lt;1),((AG332-1)*$BM$60*0.5)+$BM$60,AG332*0.5*$BM$60),AG332*0.5*$BM$60)</f>
        <v>0</v>
      </c>
      <c r="AJ332" s="70">
        <f>IF(AG332&gt;0,1,0)*$A$54</f>
        <v>0</v>
      </c>
      <c r="AK332" s="679">
        <f>AG332*$BK$60</f>
        <v>0</v>
      </c>
      <c r="AL332" s="680"/>
      <c r="AT332" s="22">
        <v>0.5</v>
      </c>
      <c r="AU332" s="83">
        <f>$B$54</f>
        <v>0.67</v>
      </c>
      <c r="AV332" s="679">
        <f t="shared" si="218"/>
        <v>0</v>
      </c>
      <c r="AW332" s="680"/>
      <c r="AX332" s="70">
        <f>IF($H$343=$DV$49,IF(AND(AV312&lt;1,BF312&lt;1,AV332&gt;0),((AV332-1)*$BM$60*0.5)+$BM$60,AV332*0.5*$BM$60),AV332*0.5*$BM$60)</f>
        <v>0</v>
      </c>
      <c r="AY332" s="70">
        <f>IF(AV332&gt;0,1,0)*$A$54</f>
        <v>0</v>
      </c>
      <c r="AZ332" s="679">
        <f>AV332*$BK$60</f>
        <v>0</v>
      </c>
      <c r="BA332" s="680"/>
      <c r="BB332" s="83"/>
      <c r="BC332" s="691"/>
      <c r="BD332" s="692"/>
      <c r="BE332" s="51"/>
      <c r="BF332" s="679">
        <f t="shared" si="219"/>
        <v>0</v>
      </c>
      <c r="BG332" s="680"/>
      <c r="BH332" s="70">
        <f>IF($BI$343=$DV$49,IF(AND(BF312&lt;1,AV312&lt;1,BF332&gt;0,AV332&lt;1),((BF332-1)*$BM$60*0.5)+$BM$60,BF332*0.5*$BM$60),BF332*0.5*$BM$60)</f>
        <v>0</v>
      </c>
      <c r="BI332" s="70">
        <f>IF(BF332&gt;0,1,0)*$A$54</f>
        <v>0</v>
      </c>
      <c r="BJ332" s="679">
        <f>BF332*$BK$60</f>
        <v>0</v>
      </c>
      <c r="BK332" s="680"/>
      <c r="BL332" s="689"/>
      <c r="BM332" s="690"/>
      <c r="BN332" s="83"/>
      <c r="BO332" s="395"/>
      <c r="BP332" s="396"/>
      <c r="BQ332" s="83"/>
      <c r="BR332" s="691"/>
      <c r="BS332" s="692"/>
      <c r="BY332" s="116"/>
      <c r="BZ332" s="51"/>
      <c r="CB332"/>
      <c r="CC332"/>
      <c r="CD332"/>
      <c r="CG332"/>
      <c r="CK332" s="22">
        <v>0.5</v>
      </c>
      <c r="CL332" s="83">
        <f>$B$54</f>
        <v>0.67</v>
      </c>
      <c r="CM332" s="679">
        <f t="shared" si="220"/>
        <v>0</v>
      </c>
      <c r="CN332" s="680"/>
      <c r="CO332" s="70">
        <f>IF($H$343=$DV$49,IF(AND(CM312&lt;1,CW312&lt;1,CM332&gt;0),((CM332-1)*$BM$60*0.5)+$BM$60,CM332*0.5*$BM$60),CM332*0.5*$BM$60)</f>
        <v>0</v>
      </c>
      <c r="CP332" s="70">
        <f>IF(CM332&gt;0,1,0)*$A$54</f>
        <v>0</v>
      </c>
      <c r="CQ332" s="679">
        <f>CM332*$BK$60</f>
        <v>0</v>
      </c>
      <c r="CR332" s="680"/>
      <c r="CS332" s="83"/>
      <c r="CT332" s="691"/>
      <c r="CU332" s="692"/>
      <c r="CV332" s="51"/>
      <c r="CW332" s="679">
        <f t="shared" si="221"/>
        <v>0</v>
      </c>
      <c r="CX332" s="680"/>
      <c r="CY332" s="70">
        <f>IF($H$343=$DV$49,IF(AND(CW312&lt;1,CM312&lt;1,CW332&gt;0,CM332&lt;1),((CW332-1)*$BM$60*0.5)+$BM$60,CW332*0.5*$BM$60),CW332*0.5*$BM$60)</f>
        <v>0</v>
      </c>
      <c r="CZ332" s="70">
        <f>IF(CW332&gt;0,1,0)*$A$54</f>
        <v>0</v>
      </c>
      <c r="DA332" s="679">
        <f>CW332*$BK$60</f>
        <v>0</v>
      </c>
      <c r="DB332" s="680"/>
      <c r="DC332" s="689"/>
      <c r="DD332" s="690"/>
      <c r="DE332" s="83"/>
      <c r="DF332" s="691"/>
      <c r="DG332" s="692"/>
      <c r="DH332" s="83"/>
      <c r="DI332" s="691"/>
      <c r="DJ332" s="692"/>
      <c r="DP332" s="116"/>
      <c r="DQ332" s="51"/>
      <c r="DR332"/>
      <c r="DS332"/>
      <c r="DT332"/>
      <c r="DV332"/>
      <c r="DW332"/>
      <c r="DX332"/>
      <c r="DY332"/>
    </row>
    <row r="333" spans="2:129" ht="13.5" thickBot="1" x14ac:dyDescent="0.25">
      <c r="B333"/>
      <c r="C333" s="22">
        <v>0.75</v>
      </c>
      <c r="D333" s="83">
        <f>$B$55</f>
        <v>0.67</v>
      </c>
      <c r="E333" s="679">
        <f>SUM(IF($C$1="Residência",$C$55,0),IF($F$1="Residência",$F$55,0),IF($I$1="Residência",$I$55,0),IF($L$1="Residência",$L$55,0),IF($O$1="Residência",$O$55,0),IF($R$1="Residência",$R$55,0),IF($U$1="Residência",$U$55,0),IF($X$1="Residência",$X$55,0),IF($AA$1="Residência",$AA$55,0),IF($AD$1="Residência",$AD$55,0),IF($AG$1="Residência",$AG$55,0),IF($AJ$1="Residência",$AJ$55,0))</f>
        <v>0</v>
      </c>
      <c r="F333" s="680"/>
      <c r="G333" s="70">
        <f>IF($H$343=$DV$50,IF(AND(E313&lt;1,O313&lt;1,E333&gt;0),((E333-1)*$BM$61*0.5)+$BM$61,E333*0.5*$BM$61),E333*0.5*$BM$61)</f>
        <v>0</v>
      </c>
      <c r="H333" s="70">
        <f>IF(E333&gt;0,1,0)*$A$55</f>
        <v>0</v>
      </c>
      <c r="I333" s="679">
        <f>E333*$BK$61</f>
        <v>0</v>
      </c>
      <c r="J333" s="680"/>
      <c r="K333" s="83"/>
      <c r="L333" s="691"/>
      <c r="M333" s="692"/>
      <c r="N333" s="51"/>
      <c r="O333" s="679">
        <f>SUM(IF($C$1="Residência",0,$C$55),IF($F$1="Residência",0,$F$55),IF($I$1="Residência",0,$I$55),IF($L$1="Residência",0,$L$55),IF($O$1="Residência",0,$O$55),IF($R$1="Residência",0,$R$55),IF($U$1="Residência",0,$U$55),IF($X$1="Residência",0,$X$55),IF($AA$1="Residência",0,$AA$55),IF($AD$1="Residência",0,$AD$55),IF($AG$1="Residência",0,$AG$55),IF($AJ$1="Residência",0,$AJ$55),IF($E$69="BIFÁSICA",$C$69,0))</f>
        <v>0</v>
      </c>
      <c r="P333" s="680"/>
      <c r="Q333" s="70">
        <f>IF($H$343=$DV$50,IF(AND(O313&lt;1,E313&lt;1,O333&gt;0,E333&lt;1),((O333-1)*$BM$61*0.5)+$BM$61,O333*0.5*$BM$61),O333*0.5*$BM$61)</f>
        <v>0</v>
      </c>
      <c r="R333" s="70">
        <f>IF(O333&gt;0,1,0)*$A$55</f>
        <v>0</v>
      </c>
      <c r="S333" s="679">
        <f>O333*$BK$61</f>
        <v>0</v>
      </c>
      <c r="T333" s="680"/>
      <c r="U333" s="689"/>
      <c r="V333" s="690"/>
      <c r="W333" s="679">
        <f>SUM(IF($C$1="Residência",$C$55,0),IF($F$1="Residência",$F$55,0),IF($I$1="Residência",$I$55,0),IF($L$1="Residência",$L$55,0),IF($O$1="Residência",$O$55,0),IF($R$1="Residência",$R$55,0),IF($U$1="Residência",$U$55,0),IF($X$1="Residência",$X$55,0),IF($AA$1="Residência",$AA$55,0),IF($AD$1="Residência",$AD$55,0),IF($AG$1="Residência",$AG$55,0),IF($AJ$1="Residência",$AJ$55,0))</f>
        <v>0</v>
      </c>
      <c r="X333" s="680"/>
      <c r="Y333" s="70">
        <f>IF($H$343=$DV$50,IF(AND(W313&lt;1,AG313&lt;1,W333&gt;0),((W333-1)*$BM$61*0.5)+$BM$61,W333*0.5*$BM$61),W333*0.5*$BM$61)</f>
        <v>0</v>
      </c>
      <c r="Z333" s="70">
        <f>IF(W333&gt;0,1,0)*$A$55</f>
        <v>0</v>
      </c>
      <c r="AA333" s="679">
        <f>W333*$BK$61</f>
        <v>0</v>
      </c>
      <c r="AB333" s="680"/>
      <c r="AC333" s="83"/>
      <c r="AD333" s="691"/>
      <c r="AE333" s="692"/>
      <c r="AF333" s="51"/>
      <c r="AG333" s="679">
        <f>SUM(IF($C$1="Residência",0,$C$55),IF($F$1="Residência",0,$F$55),IF($I$1="Residência",0,$I$55),IF($L$1="Residência",0,$L$55),IF($O$1="Residência",0,$O$55),IF($R$1="Residência",0,$R$55),IF($U$1="Residência",0,$U$55),IF($X$1="Residência",0,$X$55),IF($AA$1="Residência",0,$AA$55),IF($AD$1="Residência",0,$AD$55),IF($AG$1="Residência",0,$AG$55),IF($AJ$1="Residência",0,$AJ$55))</f>
        <v>0</v>
      </c>
      <c r="AH333" s="680"/>
      <c r="AI333" s="70">
        <f>IF($H$343=$DV$50,IF(AND(AG313&lt;1,W313&lt;1,AG333&gt;0,W333&lt;1),((AG333-1)*$BM$61*0.5)+$BM$61,AG333*0.5*$BM$61),AG333*0.5*$BM$61)</f>
        <v>0</v>
      </c>
      <c r="AJ333" s="70">
        <f>IF(AG333&gt;0,1,0)*$A$55</f>
        <v>0</v>
      </c>
      <c r="AK333" s="679">
        <f>AG333*$BK$61</f>
        <v>0</v>
      </c>
      <c r="AL333" s="680"/>
      <c r="AT333" s="22">
        <v>0.75</v>
      </c>
      <c r="AU333" s="83">
        <f>$B$55</f>
        <v>0.67</v>
      </c>
      <c r="AV333" s="679">
        <f t="shared" si="218"/>
        <v>0</v>
      </c>
      <c r="AW333" s="680"/>
      <c r="AX333" s="70">
        <f>IF($H$343=$DV$50,IF(AND(AV313&lt;1,BF313&lt;1,AV333&gt;0),((AV333-1)*$BM$61*0.5)+$BM$61,AV333*0.5*$BM$61),AV333*0.5*$BM$61)</f>
        <v>0</v>
      </c>
      <c r="AY333" s="70">
        <f>IF(AV333&gt;0,1,0)*$A$55</f>
        <v>0</v>
      </c>
      <c r="AZ333" s="679">
        <f>AV333*$BK$61</f>
        <v>0</v>
      </c>
      <c r="BA333" s="680"/>
      <c r="BB333" s="83"/>
      <c r="BC333" s="691"/>
      <c r="BD333" s="692"/>
      <c r="BE333" s="51"/>
      <c r="BF333" s="679">
        <f t="shared" si="219"/>
        <v>0</v>
      </c>
      <c r="BG333" s="680"/>
      <c r="BH333" s="70">
        <f>IF($H$343=$DV$50,IF(AND(BF313&lt;1,AV313&lt;1,BF333&gt;0,AV333&lt;1),((BF333-1)*$BM$61*0.5)+$BM$61,BF333*0.5*$BM$61),BF333*0.5*$BM$61)</f>
        <v>0</v>
      </c>
      <c r="BI333" s="70">
        <f>IF(BF333&gt;0,1,0)*$A$55</f>
        <v>0</v>
      </c>
      <c r="BJ333" s="679">
        <f>BF333*$BK$61</f>
        <v>0</v>
      </c>
      <c r="BK333" s="680"/>
      <c r="BL333" s="689"/>
      <c r="BM333" s="690"/>
      <c r="BN333" s="83"/>
      <c r="BO333" s="395"/>
      <c r="BP333" s="396"/>
      <c r="BQ333" s="83"/>
      <c r="BR333" s="691"/>
      <c r="BS333" s="692"/>
      <c r="BY333" s="116"/>
      <c r="BZ333" s="51"/>
      <c r="CB333"/>
      <c r="CC333"/>
      <c r="CD333"/>
      <c r="CG333"/>
      <c r="CK333" s="22">
        <v>0.75</v>
      </c>
      <c r="CL333" s="83">
        <f>$B$55</f>
        <v>0.67</v>
      </c>
      <c r="CM333" s="679">
        <f t="shared" si="220"/>
        <v>0</v>
      </c>
      <c r="CN333" s="680"/>
      <c r="CO333" s="70">
        <f>IF($H$343=$DV$50,IF(AND(CM313&lt;1,CW313&lt;1,CM333&gt;0),((CM333-1)*$BM$61*0.5)+$BM$61,CM333*0.5*$BM$61),CM333*0.5*$BM$61)</f>
        <v>0</v>
      </c>
      <c r="CP333" s="70">
        <f>IF(CM333&gt;0,1,0)*$A$55</f>
        <v>0</v>
      </c>
      <c r="CQ333" s="679">
        <f>CM333*$BK$61</f>
        <v>0</v>
      </c>
      <c r="CR333" s="680"/>
      <c r="CS333" s="83"/>
      <c r="CT333" s="691"/>
      <c r="CU333" s="692"/>
      <c r="CV333" s="51"/>
      <c r="CW333" s="679">
        <f t="shared" si="221"/>
        <v>0</v>
      </c>
      <c r="CX333" s="680"/>
      <c r="CY333" s="70">
        <f>IF($H$343=$DV$50,IF(AND(CW313&lt;1,CM313&lt;1,CW333&gt;0,CM333&lt;1),((CW333-1)*$BM$61*0.5)+$BM$61,CW333*0.5*$BM$61),CW333*0.5*$BM$61)</f>
        <v>0</v>
      </c>
      <c r="CZ333" s="70">
        <f>IF(CW333&gt;0,1,0)*$A$55</f>
        <v>0</v>
      </c>
      <c r="DA333" s="679">
        <f>CW333*$BK$61</f>
        <v>0</v>
      </c>
      <c r="DB333" s="680"/>
      <c r="DC333" s="689"/>
      <c r="DD333" s="690"/>
      <c r="DE333" s="83"/>
      <c r="DF333" s="691"/>
      <c r="DG333" s="692"/>
      <c r="DH333" s="83"/>
      <c r="DI333" s="691"/>
      <c r="DJ333" s="692"/>
      <c r="DP333" s="116"/>
      <c r="DQ333" s="51"/>
      <c r="DR333"/>
      <c r="DS333"/>
      <c r="DT333"/>
      <c r="DV333"/>
      <c r="DW333"/>
      <c r="DX333"/>
      <c r="DY333"/>
    </row>
    <row r="334" spans="2:129" ht="13.5" thickBot="1" x14ac:dyDescent="0.25">
      <c r="B334"/>
      <c r="C334" s="22">
        <v>1</v>
      </c>
      <c r="D334" s="83">
        <f>$B$56</f>
        <v>0.73</v>
      </c>
      <c r="E334" s="679">
        <f>SUM(IF($C$1="Residência",$C$56,0),IF($F$1="Residência",$F$56,0),IF($I$1="Residência",$I$56,0),IF($L$1="Residência",$L$56,0),IF($O$1="Residência",$O$56,0),IF($R$1="Residência",$R$56,0),IF($U$1="Residência",$U$56,0),IF($X$1="Residência",$X$56,0),IF($AA$1="Residência",$AA$56,0),IF($AD$1="Residência",$AD$56,0),IF($AG$1="Residência",$AG$56,0),IF($AJ$1="Residência",$AJ$56,0))</f>
        <v>0</v>
      </c>
      <c r="F334" s="680"/>
      <c r="G334" s="70">
        <f>IF($H$343=$DV$51,IF(AND(E314&lt;1,O314&lt;1,E334&gt;0),((E334-1)*$BM$62*0.5)+$BM$62,E334*0.5*$BM$62),E334*0.5*$BM$62)</f>
        <v>0</v>
      </c>
      <c r="H334" s="70">
        <f>IF(E334&gt;0,1,0)*$A$56</f>
        <v>0</v>
      </c>
      <c r="I334" s="679">
        <f>E334*$BK$62</f>
        <v>0</v>
      </c>
      <c r="J334" s="680"/>
      <c r="K334" s="83"/>
      <c r="L334" s="691"/>
      <c r="M334" s="692"/>
      <c r="N334" s="51"/>
      <c r="O334" s="679">
        <f>SUM(IF($C$1="Residência",0,$C$56),IF($F$1="Residência",0,$F$56),IF($I$1="Residência",0,$I$56),IF($L$1="Residência",0,$L$56),IF($O$1="Residência",0,$O$56),IF($R$1="Residência",0,$R$56),IF($U$1="Residência",0,$U$56),IF($X$1="Residência",0,$X$56),IF($AA$1="Residência",0,$AA$56),IF($AD$1="Residência",0,$AD$56),IF($AG$1="Residência",0,$AG$56),IF($AJ$1="Residência",0,$AJ$56),IF($E$70="BIFÁSICA",$C$70,0))</f>
        <v>0</v>
      </c>
      <c r="P334" s="680"/>
      <c r="Q334" s="70">
        <f>IF($H$343=$DV$51,IF(AND(O314&lt;1,E314&lt;1,O334&gt;0,E334&lt;1),((O334-1)*$BM$62*0.5)+$BM$62,O334*0.5*$BM$62),O334*0.5*$BM$62)</f>
        <v>0</v>
      </c>
      <c r="R334" s="70">
        <f>IF(O334&gt;0,1,0)*$A$56</f>
        <v>0</v>
      </c>
      <c r="S334" s="679">
        <f>O334*$BK$62</f>
        <v>0</v>
      </c>
      <c r="T334" s="680"/>
      <c r="U334" s="689"/>
      <c r="V334" s="690"/>
      <c r="W334" s="679">
        <f>SUM(IF($C$1="Residência",$C$56,0),IF($F$1="Residência",$F$56,0),IF($I$1="Residência",$I$56,0),IF($L$1="Residência",$L$56,0),IF($O$1="Residência",$O$56,0),IF($R$1="Residência",$R$56,0),IF($U$1="Residência",$U$56,0),IF($X$1="Residência",$X$56,0),IF($AA$1="Residência",$AA$56,0),IF($AD$1="Residência",$AD$56,0),IF($AG$1="Residência",$AG$56,0),IF($AJ$1="Residência",$AJ$56,0))</f>
        <v>0</v>
      </c>
      <c r="X334" s="680"/>
      <c r="Y334" s="70">
        <f>IF($H$343=$DV$51,IF(AND(W314&lt;1,AG314&lt;1,W334&gt;0),((W334-1)*$BM$62*0.5)+$BM$62,W334*0.5*$BM$62),W334*0.5*$BM$62)</f>
        <v>0</v>
      </c>
      <c r="Z334" s="70">
        <f>IF(W334&gt;0,1,0)*$A$56</f>
        <v>0</v>
      </c>
      <c r="AA334" s="679">
        <f>W334*$BK$62</f>
        <v>0</v>
      </c>
      <c r="AB334" s="680"/>
      <c r="AC334" s="83"/>
      <c r="AD334" s="691"/>
      <c r="AE334" s="692"/>
      <c r="AF334" s="51"/>
      <c r="AG334" s="679">
        <f>SUM(IF($C$1="Residência",0,$C$56),IF($F$1="Residência",0,$F$56),IF($I$1="Residência",0,$I$56),IF($L$1="Residência",0,$L$56),IF($O$1="Residência",0,$O$56),IF($R$1="Residência",0,$R$56),IF($U$1="Residência",0,$U$56),IF($X$1="Residência",0,$X$56),IF($AA$1="Residência",0,$AA$56),IF($AD$1="Residência",0,$AD$56),IF($AG$1="Residência",0,$AG$56),IF($AJ$1="Residência",0,$AJ$56))</f>
        <v>0</v>
      </c>
      <c r="AH334" s="680"/>
      <c r="AI334" s="70">
        <f>IF($H$343=$DV$51,IF(AND(AG314&lt;1,W314&lt;1,AG334&gt;0,W334&lt;1),((AG334-1)*$BM$62*0.5)+$BM$62,AG334*0.5*$BM$62),AG334*0.5*$BM$62)</f>
        <v>0</v>
      </c>
      <c r="AJ334" s="70">
        <f>IF(AG334&gt;0,1,0)*$A$56</f>
        <v>0</v>
      </c>
      <c r="AK334" s="679">
        <f>AG334*$BK$62</f>
        <v>0</v>
      </c>
      <c r="AL334" s="680"/>
      <c r="AT334" s="22">
        <v>1</v>
      </c>
      <c r="AU334" s="83">
        <f>$B$56</f>
        <v>0.73</v>
      </c>
      <c r="AV334" s="679">
        <f t="shared" si="218"/>
        <v>0</v>
      </c>
      <c r="AW334" s="680"/>
      <c r="AX334" s="70">
        <f>IF($H$343=$DV$51,IF(AND(AV314&lt;1,BF314&lt;1,AV334&gt;0),((AV334-1)*$BM$62*0.5)+$BM$62,AV334*0.5*$BM$62),AV334*0.5*$BM$62)</f>
        <v>0</v>
      </c>
      <c r="AY334" s="70">
        <f>IF(AV334&gt;0,1,0)*$A$56</f>
        <v>0</v>
      </c>
      <c r="AZ334" s="679">
        <f>AV334*$BK$62</f>
        <v>0</v>
      </c>
      <c r="BA334" s="680"/>
      <c r="BB334" s="83"/>
      <c r="BC334" s="691"/>
      <c r="BD334" s="692"/>
      <c r="BE334" s="51"/>
      <c r="BF334" s="679">
        <f t="shared" si="219"/>
        <v>0</v>
      </c>
      <c r="BG334" s="680"/>
      <c r="BH334" s="70">
        <f>IF($H$343=$DV$51,IF(AND(BF314&lt;1,AV314&lt;1,BF334&gt;0,AV334&lt;1),((BF334-1)*$BM$62*0.5)+$BM$62,BF334*0.5*$BM$62),BF334*0.5*$BM$62)</f>
        <v>0</v>
      </c>
      <c r="BI334" s="70">
        <f>IF(BF334&gt;0,1,0)*$A$56</f>
        <v>0</v>
      </c>
      <c r="BJ334" s="679">
        <f>BF334*$BK$62</f>
        <v>0</v>
      </c>
      <c r="BK334" s="680"/>
      <c r="BL334" s="689"/>
      <c r="BM334" s="690"/>
      <c r="BN334" s="83"/>
      <c r="BO334" s="395"/>
      <c r="BP334" s="396"/>
      <c r="BQ334" s="83"/>
      <c r="BR334" s="691"/>
      <c r="BS334" s="692"/>
      <c r="BY334" s="116"/>
      <c r="BZ334" s="51"/>
      <c r="CB334"/>
      <c r="CC334"/>
      <c r="CD334"/>
      <c r="CG334"/>
      <c r="CK334" s="22">
        <v>1</v>
      </c>
      <c r="CL334" s="83">
        <f>$B$56</f>
        <v>0.73</v>
      </c>
      <c r="CM334" s="679">
        <f t="shared" si="220"/>
        <v>0</v>
      </c>
      <c r="CN334" s="680"/>
      <c r="CO334" s="70">
        <f>IF($H$343=$DV$51,IF(AND(CM314&lt;1,CW314&lt;1,CM334&gt;0),((CM334-1)*$BM$62*0.5)+$BM$62,CM334*0.5*$BM$62),CM334*0.5*$BM$62)</f>
        <v>0</v>
      </c>
      <c r="CP334" s="70">
        <f>IF(CM334&gt;0,1,0)*$A$56</f>
        <v>0</v>
      </c>
      <c r="CQ334" s="679">
        <f>CM334*$BK$62</f>
        <v>0</v>
      </c>
      <c r="CR334" s="680"/>
      <c r="CS334" s="83"/>
      <c r="CT334" s="691"/>
      <c r="CU334" s="692"/>
      <c r="CV334" s="51"/>
      <c r="CW334" s="679">
        <f t="shared" si="221"/>
        <v>0</v>
      </c>
      <c r="CX334" s="680"/>
      <c r="CY334" s="70">
        <f>IF($H$343=$DV$51,IF(AND(CW314&lt;1,CM314&lt;1,CW334&gt;0,CM334&lt;1),((CW334-1)*$BM$62*0.5)+$BM$62,CW334*0.5*$BM$62),CW334*0.5*$BM$62)</f>
        <v>0</v>
      </c>
      <c r="CZ334" s="70">
        <f>IF(CW334&gt;0,1,0)*$A$56</f>
        <v>0</v>
      </c>
      <c r="DA334" s="679">
        <f>CW334*$BK$62</f>
        <v>0</v>
      </c>
      <c r="DB334" s="680"/>
      <c r="DC334" s="689"/>
      <c r="DD334" s="690"/>
      <c r="DE334" s="83"/>
      <c r="DF334" s="691"/>
      <c r="DG334" s="692"/>
      <c r="DH334" s="83"/>
      <c r="DI334" s="691"/>
      <c r="DJ334" s="692"/>
      <c r="DP334" s="116"/>
      <c r="DQ334" s="51"/>
      <c r="DR334"/>
      <c r="DS334"/>
      <c r="DT334"/>
      <c r="DV334"/>
      <c r="DW334"/>
      <c r="DX334"/>
      <c r="DY334"/>
    </row>
    <row r="335" spans="2:129" ht="13.5" thickBot="1" x14ac:dyDescent="0.25">
      <c r="B335"/>
      <c r="C335" s="22">
        <v>1.5</v>
      </c>
      <c r="D335" s="83">
        <f>$B$57</f>
        <v>0.71</v>
      </c>
      <c r="E335" s="679">
        <f>SUM(IF($C$1="Residência",$C$57,0),IF($F$1="Residência",$F$57,0),IF($I$1="Residência",$I$57,0),IF($L$1="Residência",$L$57,0),IF($O$1="Residência",$O$57,0),IF($R$1="Residência",$R$57,0),IF($U$1="Residência",$U$57,0),IF($X$1="Residência",$X$57,0),IF($AA$1="Residência",$AA$57,0),IF($AD$1="Residência",$AD$57,0),IF($AG$1="Residência",$AG$57,0),IF($AJ$1="Residência",$AJ$57,0))</f>
        <v>0</v>
      </c>
      <c r="F335" s="680"/>
      <c r="G335" s="70">
        <f>IF($H$343=$DV$52,IF(AND(E315&lt;1,O315&lt;1,E335&gt;0),((E335-1)*$BM$63*0.5)+$BM$63,E335*0.5*$BM$63),E335*0.5*$BM$63)</f>
        <v>0</v>
      </c>
      <c r="H335" s="70">
        <f>IF(E335&gt;0,1,0)*$A$57</f>
        <v>0</v>
      </c>
      <c r="I335" s="679">
        <f>E335*$BK$63</f>
        <v>0</v>
      </c>
      <c r="J335" s="680"/>
      <c r="K335" s="83"/>
      <c r="L335" s="691"/>
      <c r="M335" s="692"/>
      <c r="N335" s="51"/>
      <c r="O335" s="679">
        <f>SUM(IF($C$1="Residência",0,$C$57),IF($F$1="Residência",0,$F$57),IF($I$1="Residência",0,$I$57),IF($L$1="Residência",0,$L$57),IF($O$1="Residência",0,$O$57),IF($R$1="Residência",0,$R$57),IF($U$1="Residência",0,$U$57),IF($X$1="Residência",0,$X$57),IF($AA$1="Residência",0,$AA$57),IF($AD$1="Residência",0,$AD$57),IF($AG$1="Residência",0,$AG$57),IF($AJ$1="Residência",0,$AJ$57),IF($E$71="BIFÁSICA",$C$71,0))</f>
        <v>0</v>
      </c>
      <c r="P335" s="680"/>
      <c r="Q335" s="70">
        <f>IF($H$343=$DV$52,IF(AND(O315&lt;1,E315&lt;1,O335&gt;0,E335&lt;1),((O335-1)*$BM$63*0.5)+$BM$63,O335*0.5*$BM$63),O335*0.5*$BM$63)</f>
        <v>0</v>
      </c>
      <c r="R335" s="70">
        <f>IF(O335&gt;0,1,0)*$A$57</f>
        <v>0</v>
      </c>
      <c r="S335" s="679">
        <f>O335*$BK$63</f>
        <v>0</v>
      </c>
      <c r="T335" s="680"/>
      <c r="U335" s="689"/>
      <c r="V335" s="690"/>
      <c r="W335" s="679">
        <f>SUM(IF($C$1="Residência",$C$57,0),IF($F$1="Residência",$F$57,0),IF($I$1="Residência",$I$57,0),IF($L$1="Residência",$L$57,0),IF($O$1="Residência",$O$57,0),IF($R$1="Residência",$R$57,0),IF($U$1="Residência",$U$57,0),IF($X$1="Residência",$X$57,0),IF($AA$1="Residência",$AA$57,0),IF($AD$1="Residência",$AD$57,0),IF($AG$1="Residência",$AG$57,0),IF($AJ$1="Residência",$AJ$57,0))</f>
        <v>0</v>
      </c>
      <c r="X335" s="680"/>
      <c r="Y335" s="70">
        <f>IF($H$343=$DV$52,IF(AND(W315&lt;1,AG315&lt;1,W335&gt;0),((W335-1)*$BM$63*0.5)+$BM$63,W335*0.5*$BM$63),W335*0.5*$BM$63)</f>
        <v>0</v>
      </c>
      <c r="Z335" s="70">
        <f>IF(W335&gt;0,1,0)*$A$57</f>
        <v>0</v>
      </c>
      <c r="AA335" s="679">
        <f>W335*$BK$63</f>
        <v>0</v>
      </c>
      <c r="AB335" s="680"/>
      <c r="AC335" s="83"/>
      <c r="AD335" s="691"/>
      <c r="AE335" s="692"/>
      <c r="AF335" s="51"/>
      <c r="AG335" s="679">
        <f>SUM(IF($C$1="Residência",0,$C$57),IF($F$1="Residência",0,$F$57),IF($I$1="Residência",0,$I$57),IF($L$1="Residência",0,$L$57),IF($O$1="Residência",0,$O$57),IF($R$1="Residência",0,$R$57),IF($U$1="Residência",0,$U$57),IF($X$1="Residência",0,$X$57),IF($AA$1="Residência",0,$AA$57),IF($AD$1="Residência",0,$AD$57),IF($AG$1="Residência",0,$AG$57),IF($AJ$1="Residência",0,$AJ$57))</f>
        <v>0</v>
      </c>
      <c r="AH335" s="680"/>
      <c r="AI335" s="70">
        <f>IF($H$343=$DV$52,IF(AND(AG315&lt;1,W315&lt;1,AG335&gt;0,W335&lt;1),((AG335-1)*$BM$63*0.5)+$BM$63,AG335*0.5*$BM$63),AG335*0.5*$BM$63)</f>
        <v>0</v>
      </c>
      <c r="AJ335" s="70">
        <f>IF(AG335&gt;0,1,0)*$A$57</f>
        <v>0</v>
      </c>
      <c r="AK335" s="679">
        <f>AG335*$BK$63</f>
        <v>0</v>
      </c>
      <c r="AL335" s="680"/>
      <c r="AT335" s="22">
        <v>1.5</v>
      </c>
      <c r="AU335" s="83">
        <f>$B$57</f>
        <v>0.71</v>
      </c>
      <c r="AV335" s="679">
        <f t="shared" si="218"/>
        <v>0</v>
      </c>
      <c r="AW335" s="680"/>
      <c r="AX335" s="70">
        <f>IF($H$343=$DV$52,IF(AND(AV315&lt;1,BF315&lt;1,AV335&gt;0),((AV335-1)*$BM$63*0.5)+$BM$63,AV335*0.5*$BM$63),AV335*0.5*$BM$63)</f>
        <v>0</v>
      </c>
      <c r="AY335" s="70">
        <f>IF(AV335&gt;0,1,0)*$A$57</f>
        <v>0</v>
      </c>
      <c r="AZ335" s="679">
        <f>AV335*$BK$63</f>
        <v>0</v>
      </c>
      <c r="BA335" s="680"/>
      <c r="BB335" s="83"/>
      <c r="BC335" s="691"/>
      <c r="BD335" s="692"/>
      <c r="BE335" s="51"/>
      <c r="BF335" s="679">
        <f t="shared" si="219"/>
        <v>0</v>
      </c>
      <c r="BG335" s="680"/>
      <c r="BH335" s="70">
        <f>IF($H$343=$DV$52,IF(AND(BF315&lt;1,AV315&lt;1,BF335&gt;0,AV335&lt;1),((BF335-1)*$BM$63*0.5)+$BM$63,BF335*0.5*$BM$63),BF335*0.5*$BM$63)</f>
        <v>0</v>
      </c>
      <c r="BI335" s="70">
        <f>IF(BF335&gt;0,1,0)*$A$57</f>
        <v>0</v>
      </c>
      <c r="BJ335" s="679">
        <f>BF335*$BK$63</f>
        <v>0</v>
      </c>
      <c r="BK335" s="680"/>
      <c r="BL335" s="689"/>
      <c r="BM335" s="690"/>
      <c r="BN335" s="83"/>
      <c r="BO335" s="395"/>
      <c r="BP335" s="396"/>
      <c r="BQ335" s="83"/>
      <c r="BR335" s="691"/>
      <c r="BS335" s="692"/>
      <c r="BY335" s="116"/>
      <c r="BZ335" s="51"/>
      <c r="CB335"/>
      <c r="CC335"/>
      <c r="CD335"/>
      <c r="CG335"/>
      <c r="CK335" s="22">
        <v>1.5</v>
      </c>
      <c r="CL335" s="83">
        <f>$B$57</f>
        <v>0.71</v>
      </c>
      <c r="CM335" s="679">
        <f t="shared" si="220"/>
        <v>0</v>
      </c>
      <c r="CN335" s="680"/>
      <c r="CO335" s="70">
        <f>IF($H$343=$DV$52,IF(AND(CM315&lt;1,CW315&lt;1,CM335&gt;0),((CM335-1)*$BM$63*0.5)+$BM$63,CM335*0.5*$BM$63),CM335*0.5*$BM$63)</f>
        <v>0</v>
      </c>
      <c r="CP335" s="70">
        <f>IF(CM335&gt;0,1,0)*$A$57</f>
        <v>0</v>
      </c>
      <c r="CQ335" s="679">
        <f>CM335*$BK$63</f>
        <v>0</v>
      </c>
      <c r="CR335" s="680"/>
      <c r="CS335" s="83"/>
      <c r="CT335" s="691"/>
      <c r="CU335" s="692"/>
      <c r="CV335" s="51"/>
      <c r="CW335" s="679">
        <f t="shared" si="221"/>
        <v>0</v>
      </c>
      <c r="CX335" s="680"/>
      <c r="CY335" s="70">
        <f>IF($H$343=$DV$52,IF(AND(CW315&lt;1,CM315&lt;1,CW335&gt;0,CM335&lt;1),((CW335-1)*$BM$63*0.5)+$BM$63,CW335*0.5*$BM$63),CW335*0.5*$BM$63)</f>
        <v>0</v>
      </c>
      <c r="CZ335" s="70">
        <f>IF(CW335&gt;0,1,0)*$A$57</f>
        <v>0</v>
      </c>
      <c r="DA335" s="679">
        <f>CW335*$BK$63</f>
        <v>0</v>
      </c>
      <c r="DB335" s="680"/>
      <c r="DC335" s="689"/>
      <c r="DD335" s="690"/>
      <c r="DE335" s="83"/>
      <c r="DF335" s="691"/>
      <c r="DG335" s="692"/>
      <c r="DH335" s="83"/>
      <c r="DI335" s="691"/>
      <c r="DJ335" s="692"/>
      <c r="DP335" s="116"/>
      <c r="DQ335" s="51"/>
      <c r="DR335"/>
      <c r="DS335"/>
      <c r="DT335"/>
      <c r="DV335"/>
      <c r="DW335"/>
      <c r="DX335"/>
      <c r="DY335"/>
    </row>
    <row r="336" spans="2:129" ht="13.5" thickBot="1" x14ac:dyDescent="0.25">
      <c r="B336"/>
      <c r="C336" s="22">
        <v>2</v>
      </c>
      <c r="D336" s="83">
        <f>$B$58</f>
        <v>0.73</v>
      </c>
      <c r="E336" s="679">
        <f>SUM(IF($C$1="Residência",$C$58,0),IF($F$1="Residência",$F$58,0),IF($I$1="Residência",$I$58,0),IF($L$1="Residência",$L$58,0),IF($O$1="Residência",$O$58,0),IF($R$1="Residência",$R$58,0),IF($U$1="Residência",$U$58,0),IF($X$1="Residência",$X$58,0),IF($AA$1="Residência",$AA$58,0),IF($AD$1="Residência",$AD$58,0),IF($AG$1="Residência",$AG$58,0),IF($AJ$1="Residência",$AJ$58,0))</f>
        <v>0</v>
      </c>
      <c r="F336" s="680"/>
      <c r="G336" s="70">
        <f>IF($H$343=$DV$53,IF(AND(E316&lt;1,O316&lt;1,E336&gt;0),((E336-1)*$BM$64*0.5)+$BM$64,E336*0.5*$BM$64),E336*0.5*$BM$64)</f>
        <v>0</v>
      </c>
      <c r="H336" s="70">
        <f>IF(E336&gt;0,1,0)*$A$58</f>
        <v>0</v>
      </c>
      <c r="I336" s="679">
        <f>E336*$BK$64</f>
        <v>0</v>
      </c>
      <c r="J336" s="680"/>
      <c r="K336" s="83"/>
      <c r="L336" s="691"/>
      <c r="M336" s="692"/>
      <c r="N336" s="51"/>
      <c r="O336" s="679">
        <f>SUM(IF($C$1="Residência",0,$C$58),IF($F$1="Residência",0,$F$58),IF($I$1="Residência",0,$I$58),IF($L$1="Residência",0,$L$58),IF($O$1="Residência",0,$O$58),IF($R$1="Residência",0,$R$58),IF($U$1="Residência",0,$U$58),IF($X$1="Residência",0,$X$58),IF($AA$1="Residência",0,$AA$58),IF($AD$1="Residência",0,$AD$58),IF($AG$1="Residência",0,$AG$58),IF($AJ$1="Residência",0,$AJ$58),IF($E$72="BIFÁSICA",$C$72,0))</f>
        <v>0</v>
      </c>
      <c r="P336" s="680"/>
      <c r="Q336" s="70">
        <f>IF($H$343=$DV$53,IF(AND(O316&lt;1,E316&lt;1,O336&gt;0,E336&lt;1),((O336-1)*$BM$64*0.5)+$BM$64,O336*0.5*$BM$64),O336*0.5*$BM$64)</f>
        <v>0</v>
      </c>
      <c r="R336" s="70">
        <f>IF(O336&gt;0,1,0)*$A$58</f>
        <v>0</v>
      </c>
      <c r="S336" s="679">
        <f>O336*$BK$64</f>
        <v>0</v>
      </c>
      <c r="T336" s="680"/>
      <c r="U336" s="689"/>
      <c r="V336" s="690"/>
      <c r="W336" s="679">
        <f>SUM(IF($C$1="Residência",$C$58,0),IF($F$1="Residência",$F$58,0),IF($I$1="Residência",$I$58,0),IF($L$1="Residência",$L$58,0),IF($O$1="Residência",$O$58,0),IF($R$1="Residência",$R$58,0),IF($U$1="Residência",$U$58,0),IF($X$1="Residência",$X$58,0),IF($AA$1="Residência",$AA$58,0),IF($AD$1="Residência",$AD$58,0),IF($AG$1="Residência",$AG$58,0),IF($AJ$1="Residência",$AJ$58,0))</f>
        <v>0</v>
      </c>
      <c r="X336" s="680"/>
      <c r="Y336" s="70">
        <f>IF($H$343=$DV$53,IF(AND(W316&lt;1,AG316&lt;1,W336&gt;0),((W336-1)*$BM$64*0.5)+$BM$64,W336*0.5*$BM$64),W336*0.5*$BM$64)</f>
        <v>0</v>
      </c>
      <c r="Z336" s="70">
        <f>IF(W336&gt;0,1,0)*$A$58</f>
        <v>0</v>
      </c>
      <c r="AA336" s="679">
        <f>W336*$BK$64</f>
        <v>0</v>
      </c>
      <c r="AB336" s="680"/>
      <c r="AC336" s="83"/>
      <c r="AD336" s="691"/>
      <c r="AE336" s="692"/>
      <c r="AF336" s="51"/>
      <c r="AG336" s="679">
        <f>SUM(IF($C$1="Residência",0,$C$58),IF($F$1="Residência",0,$F$58),IF($I$1="Residência",0,$I$58),IF($L$1="Residência",0,$L$58),IF($O$1="Residência",0,$O$58),IF($R$1="Residência",0,$R$58),IF($U$1="Residência",0,$U$58),IF($X$1="Residência",0,$X$58),IF($AA$1="Residência",0,$AA$58),IF($AD$1="Residência",0,$AD$58),IF($AG$1="Residência",0,$AG$58),IF($AJ$1="Residência",0,$AJ$58))</f>
        <v>0</v>
      </c>
      <c r="AH336" s="680"/>
      <c r="AI336" s="70">
        <f>IF($H$343=$DV$53,IF(AND(AG316&lt;1,W316&lt;1,AG336&gt;0,W336&lt;1),((AG336-1)*$BM$64*0.5)+$BM$64,AG336*0.5*$BM$64),AG336*0.5*$BM$64)</f>
        <v>0</v>
      </c>
      <c r="AJ336" s="70">
        <f>IF(AG336&gt;0,1,0)*$A$58</f>
        <v>0</v>
      </c>
      <c r="AK336" s="679">
        <f>AG336*$BK$64</f>
        <v>0</v>
      </c>
      <c r="AL336" s="680"/>
      <c r="AT336" s="22">
        <v>2</v>
      </c>
      <c r="AU336" s="83">
        <f>$B$58</f>
        <v>0.73</v>
      </c>
      <c r="AV336" s="679">
        <f t="shared" si="218"/>
        <v>0</v>
      </c>
      <c r="AW336" s="680"/>
      <c r="AX336" s="70">
        <f>IF($H$343=$DV$53,IF(AND(AV316&lt;1,BF316&lt;1,AV336&gt;0),((AV336-1)*$BM$64*0.5)+$BM$64,AV336*0.5*$BM$64),AV336*0.5*$BM$64)</f>
        <v>0</v>
      </c>
      <c r="AY336" s="70">
        <f>IF(AV336&gt;0,1,0)*$A$58</f>
        <v>0</v>
      </c>
      <c r="AZ336" s="679">
        <f>AV336*$BK$64</f>
        <v>0</v>
      </c>
      <c r="BA336" s="680"/>
      <c r="BB336" s="83"/>
      <c r="BC336" s="691"/>
      <c r="BD336" s="692"/>
      <c r="BE336" s="51"/>
      <c r="BF336" s="679">
        <f t="shared" si="219"/>
        <v>0</v>
      </c>
      <c r="BG336" s="680"/>
      <c r="BH336" s="70">
        <f>IF($H$343=$DV$53,IF(AND(BF316&lt;1,AV316&lt;1,BF336&gt;0,AV336&lt;1),((BF336-1)*$BM$64*0.5)+$BM$64,BF336*0.5*$BM$64),BF336*0.5*$BM$64)</f>
        <v>0</v>
      </c>
      <c r="BI336" s="70">
        <f>IF(BF336&gt;0,1,0)*$A$58</f>
        <v>0</v>
      </c>
      <c r="BJ336" s="679">
        <f>BF336*$BK$64</f>
        <v>0</v>
      </c>
      <c r="BK336" s="680"/>
      <c r="BL336" s="689"/>
      <c r="BM336" s="690"/>
      <c r="BN336" s="83"/>
      <c r="BO336" s="395"/>
      <c r="BP336" s="396"/>
      <c r="BQ336" s="83"/>
      <c r="BR336" s="691"/>
      <c r="BS336" s="692"/>
      <c r="BY336" s="116"/>
      <c r="BZ336" s="51"/>
      <c r="CB336"/>
      <c r="CC336"/>
      <c r="CD336"/>
      <c r="CG336"/>
      <c r="CK336" s="22">
        <v>2</v>
      </c>
      <c r="CL336" s="83">
        <f>$B$58</f>
        <v>0.73</v>
      </c>
      <c r="CM336" s="679">
        <f t="shared" si="220"/>
        <v>0</v>
      </c>
      <c r="CN336" s="680"/>
      <c r="CO336" s="70">
        <f>IF($H$343=$DV$53,IF(AND(CM316&lt;1,CW316&lt;1,CM336&gt;0),((CM336-1)*$BM$64*0.5)+$BM$64,CM336*0.5*$BM$64),CM336*0.5*$BM$64)</f>
        <v>0</v>
      </c>
      <c r="CP336" s="70">
        <f>IF(CM336&gt;0,1,0)*$A$58</f>
        <v>0</v>
      </c>
      <c r="CQ336" s="679">
        <f>CM336*$BK$64</f>
        <v>0</v>
      </c>
      <c r="CR336" s="680"/>
      <c r="CS336" s="83"/>
      <c r="CT336" s="691"/>
      <c r="CU336" s="692"/>
      <c r="CV336" s="51"/>
      <c r="CW336" s="679">
        <f t="shared" si="221"/>
        <v>0</v>
      </c>
      <c r="CX336" s="680"/>
      <c r="CY336" s="70">
        <f>IF($H$343=$DV$53,IF(AND(CW316&lt;1,CM316&lt;1,CW336&gt;0,CM336&lt;1),((CW336-1)*$BM$64*0.5)+$BM$64,CW336*0.5*$BM$64),CW336*0.5*$BM$64)</f>
        <v>0</v>
      </c>
      <c r="CZ336" s="70">
        <f>IF(CW336&gt;0,1,0)*$A$58</f>
        <v>0</v>
      </c>
      <c r="DA336" s="679">
        <f>CW336*$BK$64</f>
        <v>0</v>
      </c>
      <c r="DB336" s="680"/>
      <c r="DC336" s="689"/>
      <c r="DD336" s="690"/>
      <c r="DE336" s="83"/>
      <c r="DF336" s="691"/>
      <c r="DG336" s="692"/>
      <c r="DH336" s="83"/>
      <c r="DI336" s="691"/>
      <c r="DJ336" s="692"/>
      <c r="DP336" s="116"/>
      <c r="DQ336" s="51"/>
      <c r="DR336"/>
      <c r="DS336"/>
      <c r="DT336"/>
      <c r="DV336"/>
      <c r="DW336"/>
      <c r="DX336"/>
      <c r="DY336"/>
    </row>
    <row r="337" spans="1:129" ht="13.5" thickBot="1" x14ac:dyDescent="0.25">
      <c r="B337"/>
      <c r="C337" s="22">
        <v>3</v>
      </c>
      <c r="D337" s="83">
        <f>$B$59</f>
        <v>0.79</v>
      </c>
      <c r="E337" s="679">
        <f>SUM(IF($C$1="Residência",$C$59,0),IF($F$1="Residência",$F$59,0),IF($I$1="Residência",$I$59,0),IF($L$1="Residência",$L$59,0),IF($O$1="Residência",$O$59,0),IF($R$1="Residência",$R$59,0),IF($U$1="Residência",$U$59,0),IF($X$1="Residência",$X$59,0),IF($AA$1="Residência",$AA$59,0),IF($AD$1="Residência",$AD$59,0),IF($AG$1="Residência",$AG$59,0),IF($AJ$1="Residência",$AJ$59,0))</f>
        <v>0</v>
      </c>
      <c r="F337" s="680"/>
      <c r="G337" s="70">
        <f>IF($H$343=$DV$54,IF(AND(E317&lt;1,O317&lt;1,E337&gt;0),((E337-1)*$BM$65*0.5)+$BM$65,E337*0.5*$BM$65),E337*0.5*$BM$65)</f>
        <v>0</v>
      </c>
      <c r="H337" s="70">
        <f>IF(E337&gt;0,1,0)*$A$59</f>
        <v>0</v>
      </c>
      <c r="I337" s="679">
        <f>E337*$BK$65</f>
        <v>0</v>
      </c>
      <c r="J337" s="680"/>
      <c r="K337" s="83"/>
      <c r="L337" s="691"/>
      <c r="M337" s="692"/>
      <c r="N337" s="51"/>
      <c r="O337" s="679">
        <f>SUM(IF($C$1="Residência",0,$C$59),IF($F$1="Residência",0,$F$59),IF($I$1="Residência",0,$I$59),IF($L$1="Residência",0,$L$59),IF($O$1="Residência",0,$O$59),IF($R$1="Residência",0,$R$59),IF($U$1="Residência",0,$U$59),IF($X$1="Residência",0,$X$59),IF($AA$1="Residência",0,$AA$59),IF($AD$1="Residência",0,$AD$59),IF($AG$1="Residência",0,$AG$59),IF($AJ$1="Residência",0,$AJ$59),IF($E$73="BIFÁSICA",$C$73,0))</f>
        <v>0</v>
      </c>
      <c r="P337" s="680"/>
      <c r="Q337" s="70">
        <f>IF($H$343=$DV$54,IF(AND(O317&lt;1,E317&lt;1,O337&gt;0,E337&lt;1),((O337-1)*$BM$65*0.5)+$BM$65,O337*0.5*$BM$65),O337*0.5*$BM$65)</f>
        <v>0</v>
      </c>
      <c r="R337" s="70">
        <f>IF(O337&gt;0,1,0)*$A$59</f>
        <v>0</v>
      </c>
      <c r="S337" s="679">
        <f>O337*$BK$65</f>
        <v>0</v>
      </c>
      <c r="T337" s="680"/>
      <c r="U337" s="689"/>
      <c r="V337" s="690"/>
      <c r="W337" s="679">
        <f>SUM(IF($C$1="Residência",$C$59,0),IF($F$1="Residência",$F$59,0),IF($I$1="Residência",$I$59,0),IF($L$1="Residência",$L$59,0),IF($O$1="Residência",$O$59,0),IF($R$1="Residência",$R$59,0),IF($U$1="Residência",$U$59,0),IF($X$1="Residência",$X$59,0),IF($AA$1="Residência",$AA$59,0),IF($AD$1="Residência",$AD$59,0),IF($AG$1="Residência",$AG$59,0),IF($AJ$1="Residência",$AJ$59,0))</f>
        <v>0</v>
      </c>
      <c r="X337" s="680"/>
      <c r="Y337" s="70">
        <f>IF($H$343=$DV$54,IF(AND(W317&lt;1,AG317&lt;1,W337&gt;0),((W337-1)*$BM$65*0.5)+$BM$65,W337*0.5*$BM$65),W337*0.5*$BM$65)</f>
        <v>0</v>
      </c>
      <c r="Z337" s="70">
        <f>IF(W337&gt;0,1,0)*$A$59</f>
        <v>0</v>
      </c>
      <c r="AA337" s="679">
        <f>W337*$BK$65</f>
        <v>0</v>
      </c>
      <c r="AB337" s="680"/>
      <c r="AC337" s="83"/>
      <c r="AD337" s="691"/>
      <c r="AE337" s="692"/>
      <c r="AF337" s="51"/>
      <c r="AG337" s="679">
        <f>SUM(IF($C$1="Residência",0,$C$59),IF($F$1="Residência",0,$F$59),IF($I$1="Residência",0,$I$59),IF($L$1="Residência",0,$L$59),IF($O$1="Residência",0,$O$59),IF($R$1="Residência",0,$R$59),IF($U$1="Residência",0,$U$59),IF($X$1="Residência",0,$X$59),IF($AA$1="Residência",0,$AA$59),IF($AD$1="Residência",0,$AD$59),IF($AG$1="Residência",0,$AG$59),IF($AJ$1="Residência",0,$AJ$59))</f>
        <v>0</v>
      </c>
      <c r="AH337" s="680"/>
      <c r="AI337" s="70">
        <f>IF($H$343=$DV$54,IF(AND(AG317&lt;1,W317&lt;1,AG337&gt;0,W337&lt;1),((AG337-1)*$BM$65*0.5)+$BM$65,AG337*0.5*$BM$65),AG337*0.5*$BM$65)</f>
        <v>0</v>
      </c>
      <c r="AJ337" s="70">
        <f>IF(AG337&gt;0,1,0)*$A$59</f>
        <v>0</v>
      </c>
      <c r="AK337" s="679">
        <f>AG337*$BK$65</f>
        <v>0</v>
      </c>
      <c r="AL337" s="680"/>
      <c r="AT337" s="22">
        <v>3</v>
      </c>
      <c r="AU337" s="83">
        <f>$B$59</f>
        <v>0.79</v>
      </c>
      <c r="AV337" s="679">
        <f t="shared" si="218"/>
        <v>0</v>
      </c>
      <c r="AW337" s="680"/>
      <c r="AX337" s="70">
        <f>IF($H$343=$DV$54,IF(AND(AV317&lt;1,BF317&lt;1,AV337&gt;0),((AV337-1)*$BM$65*0.5)+$BM$65,AV337*0.5*$BM$65),AV337*0.5*$BM$65)</f>
        <v>0</v>
      </c>
      <c r="AY337" s="70">
        <f>IF(AV337&gt;0,1,0)*$A$59</f>
        <v>0</v>
      </c>
      <c r="AZ337" s="679">
        <f>AV337*$BK$65</f>
        <v>0</v>
      </c>
      <c r="BA337" s="680"/>
      <c r="BB337" s="83"/>
      <c r="BC337" s="691"/>
      <c r="BD337" s="692"/>
      <c r="BE337" s="51"/>
      <c r="BF337" s="679">
        <f t="shared" si="219"/>
        <v>0</v>
      </c>
      <c r="BG337" s="680"/>
      <c r="BH337" s="70">
        <f>IF($H$343=$DV$54,IF(AND(BF317&lt;1,AV317&lt;1,BF337&gt;0,AV337&lt;1),((BF337-1)*$BM$65*0.5)+$BM$65,BF337*0.5*$BM$65),BF337*0.5*$BM$65)</f>
        <v>0</v>
      </c>
      <c r="BI337" s="70">
        <f>IF(BF337&gt;0,1,0)*$A$59</f>
        <v>0</v>
      </c>
      <c r="BJ337" s="679">
        <f>BF337*$BK$65</f>
        <v>0</v>
      </c>
      <c r="BK337" s="680"/>
      <c r="BL337" s="689"/>
      <c r="BM337" s="690"/>
      <c r="BN337" s="83"/>
      <c r="BO337" s="395"/>
      <c r="BP337" s="396"/>
      <c r="BQ337" s="83"/>
      <c r="BR337" s="691"/>
      <c r="BS337" s="692"/>
      <c r="BY337" s="116"/>
      <c r="BZ337" s="51"/>
      <c r="CB337"/>
      <c r="CC337"/>
      <c r="CD337"/>
      <c r="CG337"/>
      <c r="CK337" s="22">
        <v>3</v>
      </c>
      <c r="CL337" s="83">
        <f>$B$59</f>
        <v>0.79</v>
      </c>
      <c r="CM337" s="679">
        <f t="shared" si="220"/>
        <v>0</v>
      </c>
      <c r="CN337" s="680"/>
      <c r="CO337" s="70">
        <f>IF($H$343=$DV$54,IF(AND(CM317&lt;1,CW317&lt;1,CM337&gt;0),((CM337-1)*$BM$65*0.5)+$BM$65,CM337*0.5*$BM$65),CM337*0.5*$BM$65)</f>
        <v>0</v>
      </c>
      <c r="CP337" s="70">
        <f>IF(CM337&gt;0,1,0)*$A$59</f>
        <v>0</v>
      </c>
      <c r="CQ337" s="679">
        <f>CM337*$BK$65</f>
        <v>0</v>
      </c>
      <c r="CR337" s="680"/>
      <c r="CS337" s="83"/>
      <c r="CT337" s="691"/>
      <c r="CU337" s="692"/>
      <c r="CV337" s="51"/>
      <c r="CW337" s="679">
        <f t="shared" si="221"/>
        <v>0</v>
      </c>
      <c r="CX337" s="680"/>
      <c r="CY337" s="70">
        <f>IF($H$343=$DV$54,IF(AND(CW317&lt;1,CM317&lt;1,CW337&gt;0,CM337&lt;1),((CW337-1)*$BM$65*0.5)+$BM$65,CW337*0.5*$BM$65),CW337*0.5*$BM$65)</f>
        <v>0</v>
      </c>
      <c r="CZ337" s="70">
        <f>IF(CW337&gt;0,1,0)*$A$59</f>
        <v>0</v>
      </c>
      <c r="DA337" s="679">
        <f>CW337*$BK$65</f>
        <v>0</v>
      </c>
      <c r="DB337" s="680"/>
      <c r="DC337" s="689"/>
      <c r="DD337" s="690"/>
      <c r="DE337" s="83"/>
      <c r="DF337" s="691"/>
      <c r="DG337" s="692"/>
      <c r="DH337" s="83"/>
      <c r="DI337" s="691"/>
      <c r="DJ337" s="692"/>
      <c r="DP337" s="116"/>
      <c r="DQ337" s="51"/>
      <c r="DR337"/>
      <c r="DS337"/>
      <c r="DT337"/>
      <c r="DV337"/>
      <c r="DW337"/>
      <c r="DX337"/>
      <c r="DY337"/>
    </row>
    <row r="338" spans="1:129" ht="13.5" thickBot="1" x14ac:dyDescent="0.25">
      <c r="B338"/>
      <c r="C338" s="22">
        <v>5</v>
      </c>
      <c r="D338" s="83">
        <f>$B$60</f>
        <v>0.83</v>
      </c>
      <c r="E338" s="679">
        <f>SUM(IF($C$1="Residência",$C$60,0),IF($F$1="Residência",$F$60,0),IF($I$1="Residência",$I$60,0),IF($L$1="Residência",$L$60,0),IF($O$1="Residência",$O$60,0),IF($R$1="Residência",$R$60,0),IF($U$1="Residência",$U$60,0),IF($X$1="Residência",$X$60,0),IF($AA$1="Residência",$AA$60,0),IF($AD$1="Residência",$AD$60,0),IF($AG$1="Residência",$AG$60,0),IF($AJ$1="Residência",$AJ$60,0))</f>
        <v>0</v>
      </c>
      <c r="F338" s="680"/>
      <c r="G338" s="70">
        <f>IF($H$343=$DV$55,IF(AND(E319&lt;1,O319&lt;1,E338&gt;0),((E338-1)*$BM$66*0.5)+$BM$66,E338*0.5*$BM$66),E338*0.5*$BM$66)</f>
        <v>0</v>
      </c>
      <c r="H338" s="70">
        <f>IF(E338&gt;0,1,0)*$A$60</f>
        <v>0</v>
      </c>
      <c r="I338" s="679">
        <f>E338*$BK$66</f>
        <v>0</v>
      </c>
      <c r="J338" s="680"/>
      <c r="K338" s="83"/>
      <c r="L338" s="691"/>
      <c r="M338" s="692"/>
      <c r="N338" s="51"/>
      <c r="O338" s="679">
        <f>SUM(IF($C$1="Residência",0,$C$60),IF($F$1="Residência",0,$F$60),IF($I$1="Residência",0,$I$60),IF($L$1="Residência",0,$L$60),IF($O$1="Residência",0,$O$60),IF($R$1="Residência",0,$R$60),IF($U$1="Residência",0,$U$60),IF($X$1="Residência",0,$X$60),IF($AA$1="Residência",0,$AA$60),IF($AD$1="Residência",0,$AD$60),IF($AG$1="Residência",0,$AG$60),IF($AJ$1="Residência",0,$AJ$60),IF($E$74="BIFÁSICA",$C$74,0))</f>
        <v>0</v>
      </c>
      <c r="P338" s="680"/>
      <c r="Q338" s="70">
        <f>IF($H$343=$DV$55,IF(AND(O319&lt;1,E319&lt;1,O338&gt;0,E338&lt;1),((O338-1)*$BM$66*0.5)+$BM$66,O338*0.5*$BM$66),O338*0.5*$BM$66)</f>
        <v>0</v>
      </c>
      <c r="R338" s="70">
        <f>IF(O338&gt;0,1,0)*$A$60</f>
        <v>0</v>
      </c>
      <c r="S338" s="679">
        <f>O338*$BK$66</f>
        <v>0</v>
      </c>
      <c r="T338" s="680"/>
      <c r="U338" s="689"/>
      <c r="V338" s="690"/>
      <c r="W338" s="679">
        <f>SUM(IF($C$1="Residência",$C$60,0),IF($F$1="Residência",$F$60,0),IF($I$1="Residência",$I$60,0),IF($L$1="Residência",$L$60,0),IF($O$1="Residência",$O$60,0),IF($R$1="Residência",$R$60,0),IF($U$1="Residência",$U$60,0),IF($X$1="Residência",$X$60,0),IF($AA$1="Residência",$AA$60,0),IF($AD$1="Residência",$AD$60,0),IF($AG$1="Residência",$AG$60,0),IF($AJ$1="Residência",$AJ$60,0))</f>
        <v>0</v>
      </c>
      <c r="X338" s="680"/>
      <c r="Y338" s="70">
        <f>IF($H$343=$DV$55,IF(AND(W319&lt;1,AG319&lt;1,W338&gt;0),((W338-1)*$BM$66*0.5)+$BM$66,W338*0.5*$BM$66),W338*0.5*$BM$66)</f>
        <v>0</v>
      </c>
      <c r="Z338" s="70">
        <f>IF(W338&gt;0,1,0)*$A$60</f>
        <v>0</v>
      </c>
      <c r="AA338" s="679">
        <f>W338*$BK$66</f>
        <v>0</v>
      </c>
      <c r="AB338" s="680"/>
      <c r="AC338" s="83"/>
      <c r="AD338" s="691"/>
      <c r="AE338" s="692"/>
      <c r="AF338" s="51"/>
      <c r="AG338" s="679">
        <f>SUM(IF($C$1="Residência",0,$C$60),IF($F$1="Residência",0,$F$60),IF($I$1="Residência",0,$I$60),IF($L$1="Residência",0,$L$60),IF($O$1="Residência",0,$O$60),IF($R$1="Residência",0,$R$60),IF($U$1="Residência",0,$U$60),IF($X$1="Residência",0,$X$60),IF($AA$1="Residência",0,$AA$60),IF($AD$1="Residência",0,$AD$60),IF($AG$1="Residência",0,$AG$60),IF($AJ$1="Residência",0,$AJ$60))</f>
        <v>0</v>
      </c>
      <c r="AH338" s="680"/>
      <c r="AI338" s="70">
        <f>IF($H$343=$DV$55,IF(AND(AG319&lt;1,W319&lt;1,AG338&gt;0,W338&lt;1),((AG338-1)*$BM$66*0.5)+$BM$66,AG338*0.5*$BM$66),AG338*0.5*$BM$66)</f>
        <v>0</v>
      </c>
      <c r="AJ338" s="70">
        <f>IF(AG338&gt;0,1,0)*$A$60</f>
        <v>0</v>
      </c>
      <c r="AK338" s="679">
        <f>AG338*$BK$66</f>
        <v>0</v>
      </c>
      <c r="AL338" s="680"/>
      <c r="AT338" s="22">
        <v>5</v>
      </c>
      <c r="AU338" s="83">
        <f>$B$60</f>
        <v>0.83</v>
      </c>
      <c r="AV338" s="679">
        <f t="shared" si="218"/>
        <v>0</v>
      </c>
      <c r="AW338" s="680"/>
      <c r="AX338" s="70">
        <f>IF($H$343=$DV$55,IF(AND(AV319&lt;1,BF319&lt;1,AV338&gt;0),((AV338-1)*$BM$66*0.5)+$BM$66,AV338*0.5*$BM$66),AV338*0.5*$BM$66)</f>
        <v>0</v>
      </c>
      <c r="AY338" s="70">
        <f>IF(AV338&gt;0,1,0)*$A$60</f>
        <v>0</v>
      </c>
      <c r="AZ338" s="679">
        <f>AV338*$BK$66</f>
        <v>0</v>
      </c>
      <c r="BA338" s="680"/>
      <c r="BB338" s="83"/>
      <c r="BC338" s="691"/>
      <c r="BD338" s="692"/>
      <c r="BE338" s="51"/>
      <c r="BF338" s="679">
        <f t="shared" si="219"/>
        <v>0</v>
      </c>
      <c r="BG338" s="680"/>
      <c r="BH338" s="70">
        <f>IF($H$343=$DV$55,IF(AND(BF319&lt;1,AV319&lt;1,BF338&gt;0,AV338&lt;1),((BF338-1)*$BM$66*0.5)+$BM$66,BF338*0.5*$BM$66),BF338*0.5*$BM$66)</f>
        <v>0</v>
      </c>
      <c r="BI338" s="70">
        <f>IF(BF338&gt;0,1,0)*$A$60</f>
        <v>0</v>
      </c>
      <c r="BJ338" s="679">
        <f>BF338*$BK$66</f>
        <v>0</v>
      </c>
      <c r="BK338" s="680"/>
      <c r="BL338" s="689"/>
      <c r="BM338" s="690"/>
      <c r="BN338" s="83"/>
      <c r="BO338" s="395"/>
      <c r="BP338" s="396"/>
      <c r="BQ338" s="83"/>
      <c r="BR338" s="691"/>
      <c r="BS338" s="692"/>
      <c r="BY338" s="116"/>
      <c r="BZ338" s="51"/>
      <c r="CB338"/>
      <c r="CC338"/>
      <c r="CD338"/>
      <c r="CG338"/>
      <c r="CK338" s="22">
        <v>5</v>
      </c>
      <c r="CL338" s="83">
        <f>$B$60</f>
        <v>0.83</v>
      </c>
      <c r="CM338" s="679">
        <f t="shared" si="220"/>
        <v>0</v>
      </c>
      <c r="CN338" s="680"/>
      <c r="CO338" s="70">
        <f>IF($H$343=$DV$55,IF(AND(CM319&lt;1,CW319&lt;1,CM338&gt;0),((CM338-1)*$BM$66*0.5)+$BM$66,CM338*0.5*$BM$66),CM338*0.5*$BM$66)</f>
        <v>0</v>
      </c>
      <c r="CP338" s="70">
        <f>IF(CM338&gt;0,1,0)*$A$60</f>
        <v>0</v>
      </c>
      <c r="CQ338" s="679">
        <f>CM338*$BK$66</f>
        <v>0</v>
      </c>
      <c r="CR338" s="680"/>
      <c r="CS338" s="83"/>
      <c r="CT338" s="691"/>
      <c r="CU338" s="692"/>
      <c r="CV338" s="51"/>
      <c r="CW338" s="679">
        <f t="shared" si="221"/>
        <v>0</v>
      </c>
      <c r="CX338" s="680"/>
      <c r="CY338" s="70">
        <f>IF($H$343=$DV$55,IF(AND(CW319&lt;1,CM319&lt;1,CW338&gt;0,CM338&lt;1),((CW338-1)*$BM$66*0.5)+$BM$66,CW338*0.5*$BM$66),CW338*0.5*$BM$66)</f>
        <v>0</v>
      </c>
      <c r="CZ338" s="70">
        <f>IF(CW338&gt;0,1,0)*$A$60</f>
        <v>0</v>
      </c>
      <c r="DA338" s="679">
        <f>CW338*$BK$66</f>
        <v>0</v>
      </c>
      <c r="DB338" s="680"/>
      <c r="DC338" s="689"/>
      <c r="DD338" s="690"/>
      <c r="DE338" s="83"/>
      <c r="DF338" s="691"/>
      <c r="DG338" s="692"/>
      <c r="DH338" s="83"/>
      <c r="DI338" s="691"/>
      <c r="DJ338" s="692"/>
      <c r="DP338" s="116"/>
      <c r="DQ338" s="51"/>
      <c r="DR338"/>
      <c r="DS338"/>
      <c r="DT338"/>
      <c r="DV338"/>
      <c r="DW338"/>
      <c r="DX338"/>
      <c r="DY338"/>
    </row>
    <row r="339" spans="1:129" ht="13.5" thickBot="1" x14ac:dyDescent="0.25">
      <c r="A339" s="51"/>
      <c r="B339"/>
      <c r="C339" s="22">
        <v>7.5</v>
      </c>
      <c r="D339" s="83">
        <f>$B$61</f>
        <v>0.8</v>
      </c>
      <c r="E339" s="679">
        <f>SUM(IF($C$1="Residência",$C$61,0),IF($F$1="Residência",$F$61,0),IF($I$1="Residência",$I$61,0),IF($L$1="Residência",$L$61,0),IF($O$1="Residência",$O$61,0),IF($R$1="Residência",$R$61,0),IF($U$1="Residência",$U$61,0),IF($X$1="Residência",$X$61,0),IF($AA$1="Residência",$AA$61,0),IF($AD$1="Residência",$AD$61,0),IF($AG$1="Residência",$AG$61,0),IF($AJ$1="Residência",$AJ$61,0))</f>
        <v>0</v>
      </c>
      <c r="F339" s="680"/>
      <c r="G339" s="70">
        <f>IF($H$343=$DV$56,IF(AND(E320&lt;1,O320&lt;1,E339&gt;0),((E339-1)*$BM$67*0.5)+$BM$67,E339*0.5*$BM$67),E339*0.5*$BM$67)</f>
        <v>0</v>
      </c>
      <c r="H339" s="70">
        <f>IF(E339&gt;0,1,0)*$A$61</f>
        <v>0</v>
      </c>
      <c r="I339" s="679">
        <f>E339*$BK$67</f>
        <v>0</v>
      </c>
      <c r="J339" s="680"/>
      <c r="K339" s="83"/>
      <c r="L339" s="691"/>
      <c r="M339" s="692"/>
      <c r="N339" s="51"/>
      <c r="O339" s="679">
        <f>SUM(IF($C$1="Residência",0,$C$61),IF($F$1="Residência",0,$F$61),IF($I$1="Residência",0,$I$61),IF($L$1="Residência",0,$L$61),IF($O$1="Residência",0,$O$61),IF($R$1="Residência",0,$R$61),IF($U$1="Residência",0,$U$61),IF($X$1="Residência",0,$X$61),IF($AA$1="Residência",0,$AA$61),IF($AD$1="Residência",0,$AD$61),IF($AG$1="Residência",0,$AG$61),IF($AJ$1="Residência",0,$AJ$61))</f>
        <v>0</v>
      </c>
      <c r="P339" s="680"/>
      <c r="Q339" s="70">
        <f>IF($H$343=$DV$56,IF(AND(O320&lt;1,E320&lt;1,O339&gt;0,E339&lt;1),((O339-1)*$BM$67*0.5)+$BM$67,O339*0.5*$BM$67),O339*0.5*$BM$67)</f>
        <v>0</v>
      </c>
      <c r="R339" s="70">
        <f>IF(O339&gt;0,1,0)*$A$61</f>
        <v>0</v>
      </c>
      <c r="S339" s="679">
        <f>O339*$BK$67</f>
        <v>0</v>
      </c>
      <c r="T339" s="680"/>
      <c r="U339" s="689"/>
      <c r="V339" s="690"/>
      <c r="W339" s="679">
        <f>SUM(IF($C$1="Residência",$C$61,0),IF($F$1="Residência",$F$61,0),IF($I$1="Residência",$I$61,0),IF($L$1="Residência",$L$61,0),IF($O$1="Residência",$O$61,0),IF($R$1="Residência",$R$61,0),IF($U$1="Residência",$U$61,0),IF($X$1="Residência",$X$61,0),IF($AA$1="Residência",$AA$61,0),IF($AD$1="Residência",$AD$61,0),IF($AG$1="Residência",$AG$61,0),IF($AJ$1="Residência",$AJ$61,0))</f>
        <v>0</v>
      </c>
      <c r="X339" s="680"/>
      <c r="Y339" s="70">
        <f>IF($H$343=$DV$56,IF(AND(W320&lt;1,AG320&lt;1,W339&gt;0),((W339-1)*$BM$67*0.5)+$BM$67,W339*0.5*$BM$67),W339*0.5*$BM$67)</f>
        <v>0</v>
      </c>
      <c r="Z339" s="70">
        <f>IF(W339&gt;0,1,0)*$A$61</f>
        <v>0</v>
      </c>
      <c r="AA339" s="679">
        <f>W339*$BK$67</f>
        <v>0</v>
      </c>
      <c r="AB339" s="680"/>
      <c r="AC339" s="83"/>
      <c r="AD339" s="691"/>
      <c r="AE339" s="692"/>
      <c r="AF339" s="51"/>
      <c r="AG339" s="679">
        <f>SUM(IF($C$1="Residência",0,$C$61),IF($F$1="Residência",0,$F$61),IF($I$1="Residência",0,$I$61),IF($L$1="Residência",0,$L$61),IF($O$1="Residência",0,$O$61),IF($R$1="Residência",0,$R$61),IF($U$1="Residência",0,$U$61),IF($X$1="Residência",0,$X$61),IF($AA$1="Residência",0,$AA$61),IF($AD$1="Residência",0,$AD$61),IF($AG$1="Residência",0,$AG$61),IF($AJ$1="Residência",0,$AJ$61))</f>
        <v>0</v>
      </c>
      <c r="AH339" s="680"/>
      <c r="AI339" s="70">
        <f>IF($H$343=$DV$56,IF(AND(AG320&lt;1,W320&lt;1,AG339&gt;0,W339&lt;1),((AG339-1)*$BM$67*0.5)+$BM$67,AG339*0.5*$BM$67),AG339*0.5*$BM$67)</f>
        <v>0</v>
      </c>
      <c r="AJ339" s="70">
        <f>IF(AG339&gt;0,1,0)*$A$61</f>
        <v>0</v>
      </c>
      <c r="AK339" s="679">
        <f>AG339*$BK$67</f>
        <v>0</v>
      </c>
      <c r="AL339" s="680"/>
      <c r="AR339" s="51"/>
      <c r="AT339" s="22">
        <v>7.5</v>
      </c>
      <c r="AU339" s="83">
        <f>$B$61</f>
        <v>0.8</v>
      </c>
      <c r="AV339" s="679">
        <f t="shared" si="218"/>
        <v>0</v>
      </c>
      <c r="AW339" s="680"/>
      <c r="AX339" s="70">
        <f>IF($H$343=$DV$56,IF(AND(AV320&lt;1,BF320&lt;1,AV339&gt;0),((AV339-1)*$BM$67*0.5)+$BM$67,AV339*0.5*$BM$67),AV339*0.5*$BM$67)</f>
        <v>0</v>
      </c>
      <c r="AY339" s="70">
        <f>IF(AV339&gt;0,1,0)*$A$61</f>
        <v>0</v>
      </c>
      <c r="AZ339" s="679">
        <f>AV339*$BK$67</f>
        <v>0</v>
      </c>
      <c r="BA339" s="680"/>
      <c r="BB339" s="83"/>
      <c r="BC339" s="691"/>
      <c r="BD339" s="692"/>
      <c r="BE339" s="51"/>
      <c r="BF339" s="679">
        <f t="shared" si="219"/>
        <v>0</v>
      </c>
      <c r="BG339" s="680"/>
      <c r="BH339" s="70">
        <f>IF($H$343=$DV$56,IF(AND(BF320&lt;1,AV320&lt;1,BF339&gt;0,AV339&lt;1),((BF339-1)*$BM$67*0.5)+$BM$67,BF339*0.5*$BM$67),BF339*0.5*$BM$67)</f>
        <v>0</v>
      </c>
      <c r="BI339" s="70">
        <f>IF(BF339&gt;0,1,0)*$A$61</f>
        <v>0</v>
      </c>
      <c r="BJ339" s="679">
        <f>BF339*$BK$67</f>
        <v>0</v>
      </c>
      <c r="BK339" s="680"/>
      <c r="BL339" s="689"/>
      <c r="BM339" s="690"/>
      <c r="BN339" s="83"/>
      <c r="BO339" s="395"/>
      <c r="BP339" s="396"/>
      <c r="BQ339" s="83"/>
      <c r="BR339" s="691"/>
      <c r="BS339" s="692"/>
      <c r="BU339" s="20"/>
      <c r="BV339" s="20"/>
      <c r="BW339" s="72"/>
      <c r="BX339" s="72"/>
      <c r="CB339"/>
      <c r="CC339"/>
      <c r="CD339"/>
      <c r="CG339"/>
      <c r="CI339" s="51"/>
      <c r="CK339" s="22">
        <v>7.5</v>
      </c>
      <c r="CL339" s="83">
        <f>$B$61</f>
        <v>0.8</v>
      </c>
      <c r="CM339" s="679">
        <f t="shared" si="220"/>
        <v>0</v>
      </c>
      <c r="CN339" s="680"/>
      <c r="CO339" s="70">
        <f>IF($H$343=$DV$56,IF(AND(CM320&lt;1,CW320&lt;1,CM339&gt;0),((CM339-1)*$BM$67*0.5)+$BM$67,CM339*0.5*$BM$67),CM339*0.5*$BM$67)</f>
        <v>0</v>
      </c>
      <c r="CP339" s="70">
        <f>IF(CM339&gt;0,1,0)*$A$61</f>
        <v>0</v>
      </c>
      <c r="CQ339" s="679">
        <f>CM339*$BK$67</f>
        <v>0</v>
      </c>
      <c r="CR339" s="680"/>
      <c r="CS339" s="83"/>
      <c r="CT339" s="691"/>
      <c r="CU339" s="692"/>
      <c r="CV339" s="51"/>
      <c r="CW339" s="679">
        <f t="shared" si="221"/>
        <v>0</v>
      </c>
      <c r="CX339" s="680"/>
      <c r="CY339" s="70">
        <f>IF($H$343=$DV$56,IF(AND(CW320&lt;1,CM320&lt;1,CW339&gt;0,CM339&lt;1),((CW339-1)*$BM$67*0.5)+$BM$67,CW339*0.5*$BM$67),CW339*0.5*$BM$67)</f>
        <v>0</v>
      </c>
      <c r="CZ339" s="70">
        <f>IF(CW339&gt;0,1,0)*$A$61</f>
        <v>0</v>
      </c>
      <c r="DA339" s="679">
        <f>CW339*$BK$67</f>
        <v>0</v>
      </c>
      <c r="DB339" s="680"/>
      <c r="DC339" s="689"/>
      <c r="DD339" s="690"/>
      <c r="DE339" s="83"/>
      <c r="DF339" s="691"/>
      <c r="DG339" s="692"/>
      <c r="DH339" s="83"/>
      <c r="DI339" s="691"/>
      <c r="DJ339" s="692"/>
      <c r="DL339" s="20"/>
      <c r="DM339" s="20"/>
      <c r="DN339" s="72"/>
      <c r="DO339" s="72"/>
      <c r="DP339"/>
      <c r="DQ339"/>
      <c r="DR339"/>
      <c r="DS339"/>
      <c r="DT339"/>
      <c r="DV339"/>
      <c r="DW339"/>
      <c r="DX339"/>
      <c r="DY339"/>
    </row>
    <row r="340" spans="1:129" ht="13.5" thickBot="1" x14ac:dyDescent="0.25">
      <c r="B340"/>
      <c r="C340" s="22">
        <v>10</v>
      </c>
      <c r="D340" s="83">
        <f>$B$62</f>
        <v>0.8</v>
      </c>
      <c r="E340" s="679">
        <f>SUM(IF($C$1="Residência",$C$62,0),IF($F$1="Residência",$F$62,0),IF($I$1="Residência",$I$62,0),IF($L$1="Residência",$L$62,0),IF($O$1="Residência",$O$62,0),IF($R$1="Residência",$R$62,0),IF($U$1="Residência",$U$62,0),IF($X$1="Residência",$X$62,0),IF($AA$1="Residência",$AA$62,0),IF($AD$1="Residência",$AD$62,0),IF($AG$1="Residência",$AG$62,0),IF($AJ$1="Residência",$AJ$62,0))</f>
        <v>0</v>
      </c>
      <c r="F340" s="680"/>
      <c r="G340" s="70">
        <f>IF($H$343=$DV$57,IF(AND(E322&lt;1,O322&lt;1,E340&gt;0),((E340-1)*$BM$68*0.5)+$BM$68,E340*0.5*$BM$68),E340*0.5*$BM$68)</f>
        <v>0</v>
      </c>
      <c r="H340" s="70">
        <f>IF(E340&gt;0,1,0)*$A$62</f>
        <v>0</v>
      </c>
      <c r="I340" s="679">
        <f>E340*$BK$68</f>
        <v>0</v>
      </c>
      <c r="J340" s="680"/>
      <c r="K340" s="83"/>
      <c r="L340" s="691"/>
      <c r="M340" s="692"/>
      <c r="N340" s="51"/>
      <c r="O340" s="679">
        <f>SUM(IF($C$1="Residência",0,$C$62),IF($F$1="Residência",0,$F$62),IF($I$1="Residência",0,$I$62),IF($L$1="Residência",0,$L$62),IF($O$1="Residência",0,$O$62),IF($R$1="Residência",0,$R$62),IF($U$1="Residência",0,$U$62),IF($X$1="Residência",0,$X$62),IF($AA$1="Residência",0,$AA$62),IF($AD$1="Residência",0,$AD$62),IF($AG$1="Residência",0,$AG$62),IF($AJ$1="Residência",0,$AJ$62))</f>
        <v>0</v>
      </c>
      <c r="P340" s="680"/>
      <c r="Q340" s="70">
        <f>IF($H$343=$DV$57,IF(AND(O322&lt;1,E322&lt;1,O340&gt;0,E340&lt;1),((O340-1)*$BM$68*0.5)+$BM$68,O340*0.5*$BM$68),O340*0.5*$BM$68)</f>
        <v>0</v>
      </c>
      <c r="R340" s="70">
        <f>IF(O340&gt;0,1,0)*$A$62</f>
        <v>0</v>
      </c>
      <c r="S340" s="679">
        <f>O340*$BK$68</f>
        <v>0</v>
      </c>
      <c r="T340" s="680"/>
      <c r="U340" s="689"/>
      <c r="V340" s="690"/>
      <c r="W340" s="679">
        <f>SUM(IF($C$1="Residência",$C$62,0),IF($F$1="Residência",$F$62,0),IF($I$1="Residência",$I$62,0),IF($L$1="Residência",$L$62,0),IF($O$1="Residência",$O$62,0),IF($R$1="Residência",$R$62,0),IF($U$1="Residência",$U$62,0),IF($X$1="Residência",$X$62,0),IF($AA$1="Residência",$AA$62,0),IF($AD$1="Residência",$AD$62,0),IF($AG$1="Residência",$AG$62,0),IF($AJ$1="Residência",$AJ$62,0))</f>
        <v>0</v>
      </c>
      <c r="X340" s="680"/>
      <c r="Y340" s="70">
        <f>IF($H$343=$DV$57,IF(AND(W322&lt;1,AG322&lt;1,W340&gt;0),((W340-1)*$BM$68*0.5)+$BM$68,W340*0.5*$BM$68),W340*0.5*$BM$68)</f>
        <v>0</v>
      </c>
      <c r="Z340" s="70">
        <f>IF(W340&gt;0,1,0)*$A$62</f>
        <v>0</v>
      </c>
      <c r="AA340" s="679">
        <f>W340*$BK$68</f>
        <v>0</v>
      </c>
      <c r="AB340" s="680"/>
      <c r="AC340" s="83"/>
      <c r="AD340" s="691"/>
      <c r="AE340" s="692"/>
      <c r="AF340" s="51"/>
      <c r="AG340" s="679">
        <f>SUM(IF($C$1="Residência",0,$C$62),IF($F$1="Residência",0,$F$62),IF($I$1="Residência",0,$I$62),IF($L$1="Residência",0,$L$62),IF($O$1="Residência",0,$O$62),IF($R$1="Residência",0,$R$62),IF($U$1="Residência",0,$U$62),IF($X$1="Residência",0,$X$62),IF($AA$1="Residência",0,$AA$62),IF($AD$1="Residência",0,$AD$62),IF($AG$1="Residência",0,$AG$62),IF($AJ$1="Residência",0,$AJ$62))</f>
        <v>0</v>
      </c>
      <c r="AH340" s="680"/>
      <c r="AI340" s="70">
        <f>IF($H$343=$DV$57,IF(AND(AG322&lt;1,W322&lt;1,AG340&gt;0,W340&lt;1),((AG340-1)*$BM$68*0.5)+$BM$68,AG340*0.5*$BM$68),AG340*0.5*$BM$68)</f>
        <v>0</v>
      </c>
      <c r="AJ340" s="70">
        <f>IF(AG340&gt;0,1,0)*$A$62</f>
        <v>0</v>
      </c>
      <c r="AK340" s="679">
        <f>AG340*$BK$68</f>
        <v>0</v>
      </c>
      <c r="AL340" s="680"/>
      <c r="AT340" s="22">
        <v>10</v>
      </c>
      <c r="AU340" s="83">
        <f>$B$62</f>
        <v>0.8</v>
      </c>
      <c r="AV340" s="679">
        <f t="shared" si="218"/>
        <v>0</v>
      </c>
      <c r="AW340" s="680"/>
      <c r="AX340" s="70">
        <f>IF($H$343=$DV$57,IF(AND(AV322&lt;1,BF322&lt;1,AV340&gt;0),((AV340-1)*$BM$68*0.5)+$BM$68,AV340*0.5*$BM$68),AV340*0.5*$BM$68)</f>
        <v>0</v>
      </c>
      <c r="AY340" s="70">
        <f>IF(AV340&gt;0,1,0)*$A$62</f>
        <v>0</v>
      </c>
      <c r="AZ340" s="679">
        <f>AV340*$BK$68</f>
        <v>0</v>
      </c>
      <c r="BA340" s="680"/>
      <c r="BB340" s="83"/>
      <c r="BC340" s="691"/>
      <c r="BD340" s="692"/>
      <c r="BE340" s="51"/>
      <c r="BF340" s="679">
        <f t="shared" si="219"/>
        <v>0</v>
      </c>
      <c r="BG340" s="680"/>
      <c r="BH340" s="70">
        <f>IF($H$343=$DV$57,IF(AND(BF322&lt;1,AV322&lt;1,BF340&gt;0,AV340&lt;1),((BF340-1)*$BM$68*0.5)+$BM$68,BF340*0.5*$BM$68),BF340*0.5*$BM$68)</f>
        <v>0</v>
      </c>
      <c r="BI340" s="70">
        <f>IF(BF340&gt;0,1,0)*$A$62</f>
        <v>0</v>
      </c>
      <c r="BJ340" s="679">
        <f>BF340*$BK$68</f>
        <v>0</v>
      </c>
      <c r="BK340" s="680"/>
      <c r="BL340" s="689"/>
      <c r="BM340" s="690"/>
      <c r="BN340" s="83"/>
      <c r="BO340" s="395"/>
      <c r="BP340" s="396"/>
      <c r="BQ340" s="83"/>
      <c r="BR340" s="691"/>
      <c r="BS340" s="692"/>
      <c r="BU340" s="696"/>
      <c r="BV340" s="696"/>
      <c r="BW340" s="696"/>
      <c r="BX340" s="696"/>
      <c r="BY340" s="51"/>
      <c r="BZ340" s="20"/>
      <c r="CB340"/>
      <c r="CC340"/>
      <c r="CD340"/>
      <c r="CG340"/>
      <c r="CK340" s="22">
        <v>10</v>
      </c>
      <c r="CL340" s="83">
        <f>$B$62</f>
        <v>0.8</v>
      </c>
      <c r="CM340" s="679">
        <f t="shared" si="220"/>
        <v>0</v>
      </c>
      <c r="CN340" s="680"/>
      <c r="CO340" s="70">
        <f>IF($H$343=$DV$57,IF(AND(CM322&lt;1,CW322&lt;1,CM340&gt;0),((CM340-1)*$BM$68*0.5)+$BM$68,CM340*0.5*$BM$68),CM340*0.5*$BM$68)</f>
        <v>0</v>
      </c>
      <c r="CP340" s="70">
        <f>IF(CM340&gt;0,1,0)*$A$62</f>
        <v>0</v>
      </c>
      <c r="CQ340" s="679">
        <f>CM340*$BK$68</f>
        <v>0</v>
      </c>
      <c r="CR340" s="680"/>
      <c r="CS340" s="83"/>
      <c r="CT340" s="691"/>
      <c r="CU340" s="692"/>
      <c r="CV340" s="51"/>
      <c r="CW340" s="679">
        <f t="shared" si="221"/>
        <v>0</v>
      </c>
      <c r="CX340" s="680"/>
      <c r="CY340" s="70">
        <f>IF($H$343=$DV$57,IF(AND(CW322&lt;1,CM322&lt;1,CW340&gt;0,CM340&lt;1),((CW340-1)*$BM$68*0.5)+$BM$68,CW340*0.5*$BM$68),CW340*0.5*$BM$68)</f>
        <v>0</v>
      </c>
      <c r="CZ340" s="70">
        <f>IF(CW340&gt;0,1,0)*$A$62</f>
        <v>0</v>
      </c>
      <c r="DA340" s="679">
        <f>CW340*$BK$68</f>
        <v>0</v>
      </c>
      <c r="DB340" s="680"/>
      <c r="DC340" s="689"/>
      <c r="DD340" s="690"/>
      <c r="DE340" s="83"/>
      <c r="DF340" s="691"/>
      <c r="DG340" s="692"/>
      <c r="DH340" s="83"/>
      <c r="DI340" s="691"/>
      <c r="DJ340" s="692"/>
      <c r="DL340" s="696"/>
      <c r="DM340" s="696"/>
      <c r="DN340" s="696"/>
      <c r="DO340" s="696"/>
      <c r="DP340" s="51"/>
      <c r="DQ340" s="20"/>
      <c r="DR340"/>
      <c r="DS340"/>
      <c r="DT340"/>
      <c r="DV340"/>
      <c r="DW340"/>
      <c r="DX340"/>
      <c r="DY340"/>
    </row>
    <row r="341" spans="1:129" ht="13.5" thickBot="1" x14ac:dyDescent="0.25">
      <c r="B341"/>
      <c r="C341" s="22">
        <v>12.5</v>
      </c>
      <c r="D341" s="83">
        <f>$B$63</f>
        <v>0.78</v>
      </c>
      <c r="E341" s="679">
        <f>SUM(IF($C$1="Residência",$C$63,0),IF($F$1="Residência",$F$63,0),IF($I$1="Residência",$I$63,0),IF($L$1="Residência",$L$63,0),IF($O$1="Residência",$O$63,0),IF($R$1="Residência",$R$63,0),IF($U$1="Residência",$U$63,0),IF($X$1="Residência",$X$63,0),IF($AA$1="Residência",$AA$63,0),IF($AD$1="Residência",$AD$63,0),IF($AG$1="Residência",$AG$63,0),IF($AJ$1="Residência",$AJ$63,0))</f>
        <v>0</v>
      </c>
      <c r="F341" s="680"/>
      <c r="G341" s="70">
        <f>IF($H$343=$DV$58,IF(AND(E323&lt;1,O323&lt;1,E341&gt;0),((E341-1)*$BM$69*0.5)+$BM$69,E341*0.5*$BM$69),E341*0.5*$BM$69)</f>
        <v>0</v>
      </c>
      <c r="H341" s="70">
        <f>IF(E341&gt;0,1,0)*$A$63</f>
        <v>0</v>
      </c>
      <c r="I341" s="679">
        <f>E341*$BK$69</f>
        <v>0</v>
      </c>
      <c r="J341" s="680"/>
      <c r="K341" s="83"/>
      <c r="L341" s="691"/>
      <c r="M341" s="692"/>
      <c r="N341" s="51"/>
      <c r="O341" s="679">
        <f>SUM(IF($C$1="Residência",0,$C$63),IF($F$1="Residência",0,$F$63),IF($I$1="Residência",0,$I$63),IF($L$1="Residência",0,$L$63),IF($O$1="Residência",0,$O$63),IF($R$1="Residência",0,$R$63),IF($U$1="Residência",0,$U$63),IF($X$1="Residência",0,$X$63),IF($AA$1="Residência",0,$AA$63),IF($AD$1="Residência",0,$AD$63),IF($AG$1="Residência",0,$AG$63),IF($AJ$1="Residência",0,$AJ$63))</f>
        <v>0</v>
      </c>
      <c r="P341" s="680"/>
      <c r="Q341" s="70">
        <f>IF($H$343=$DV$58,IF(AND(O323&lt;1,E323&lt;1,O341&gt;0,E341&lt;1),((O341-1)*$BM$69*0.5)+$BM$69,O341*0.5*$BM$69),O341*0.5*$BM$69)</f>
        <v>0</v>
      </c>
      <c r="R341" s="70">
        <f>IF(O341&gt;0,1,0)*$A$63</f>
        <v>0</v>
      </c>
      <c r="S341" s="679">
        <f>O341*$BK$69</f>
        <v>0</v>
      </c>
      <c r="T341" s="680"/>
      <c r="U341" s="689"/>
      <c r="V341" s="690"/>
      <c r="W341" s="679">
        <f>SUM(IF($C$1="Residência",$C$63,0),IF($F$1="Residência",$F$63,0),IF($I$1="Residência",$I$63,0),IF($L$1="Residência",$L$63,0),IF($O$1="Residência",$O$63,0),IF($R$1="Residência",$R$63,0),IF($U$1="Residência",$U$63,0),IF($X$1="Residência",$X$63,0),IF($AA$1="Residência",$AA$63,0),IF($AD$1="Residência",$AD$63,0),IF($AG$1="Residência",$AG$63,0),IF($AJ$1="Residência",$AJ$63,0))</f>
        <v>0</v>
      </c>
      <c r="X341" s="680"/>
      <c r="Y341" s="70">
        <f>IF($H$343=$DV$58,IF(AND(W323&lt;1,AG323&lt;1,W341&gt;0),((W341-1)*$BM$69*0.5)+$BM$69,W341*0.5*$BM$69),W341*0.5*$BM$69)</f>
        <v>0</v>
      </c>
      <c r="Z341" s="70">
        <f>IF(W341&gt;0,1,0)*$A$63</f>
        <v>0</v>
      </c>
      <c r="AA341" s="679">
        <f>W341*$BK$69</f>
        <v>0</v>
      </c>
      <c r="AB341" s="680"/>
      <c r="AC341" s="83"/>
      <c r="AD341" s="691"/>
      <c r="AE341" s="692"/>
      <c r="AF341" s="51"/>
      <c r="AG341" s="679">
        <f>SUM(IF($C$1="Residência",0,$C$63),IF($F$1="Residência",0,$F$63),IF($I$1="Residência",0,$I$63),IF($L$1="Residência",0,$L$63),IF($O$1="Residência",0,$O$63),IF($R$1="Residência",0,$R$63),IF($U$1="Residência",0,$U$63),IF($X$1="Residência",0,$X$63),IF($AA$1="Residência",0,$AA$63),IF($AD$1="Residência",0,$AD$63),IF($AG$1="Residência",0,$AG$63),IF($AJ$1="Residência",0,$AJ$63))</f>
        <v>0</v>
      </c>
      <c r="AH341" s="680"/>
      <c r="AI341" s="70">
        <f>IF($H$343=$DV$58,IF(AND(AG323&lt;1,W323&lt;1,AG341&gt;0,W341&lt;1),((AG341-1)*$BM$69*0.5)+$BM$69,AG341*0.5*$BM$69),AG341*0.5*$BM$69)</f>
        <v>0</v>
      </c>
      <c r="AJ341" s="70">
        <f>IF(AG341&gt;0,1,0)*$A$63</f>
        <v>0</v>
      </c>
      <c r="AK341" s="679">
        <f>AG341*$BK$69</f>
        <v>0</v>
      </c>
      <c r="AL341" s="680"/>
      <c r="AT341" s="22">
        <v>12.5</v>
      </c>
      <c r="AU341" s="83">
        <f>$B$63</f>
        <v>0.78</v>
      </c>
      <c r="AV341" s="679">
        <f t="shared" si="218"/>
        <v>0</v>
      </c>
      <c r="AW341" s="680"/>
      <c r="AX341" s="70">
        <f>IF($H$343=$DV$58,IF(AND(AV323&lt;1,BF323&lt;1,AV341&gt;0),((AV341-1)*$BM$69*0.5)+$BM$69,AV341*0.5*$BM$69),AV341*0.5*$BM$69)</f>
        <v>0</v>
      </c>
      <c r="AY341" s="70">
        <f>IF(AV341&gt;0,1,0)*$A$63</f>
        <v>0</v>
      </c>
      <c r="AZ341" s="679">
        <f>AV341*$BK$69</f>
        <v>0</v>
      </c>
      <c r="BA341" s="680"/>
      <c r="BB341" s="83"/>
      <c r="BC341" s="691"/>
      <c r="BD341" s="692"/>
      <c r="BE341" s="51"/>
      <c r="BF341" s="679">
        <f t="shared" si="219"/>
        <v>0</v>
      </c>
      <c r="BG341" s="680"/>
      <c r="BH341" s="70">
        <f>IF($H$343=$DV$58,IF(AND(BF323&lt;1,AV323&lt;1,BF341&gt;0,AV341&lt;1),((BF341-1)*$BM$69*0.5)+$BM$69,BF341*0.5*$BM$69),BF341*0.5*$BM$69)</f>
        <v>0</v>
      </c>
      <c r="BI341" s="70">
        <f>IF(BF341&gt;0,1,0)*$A$63</f>
        <v>0</v>
      </c>
      <c r="BJ341" s="679">
        <f>BF341*$BK$69</f>
        <v>0</v>
      </c>
      <c r="BK341" s="680"/>
      <c r="BL341" s="689"/>
      <c r="BM341" s="690"/>
      <c r="BN341" s="83"/>
      <c r="BO341" s="395"/>
      <c r="BP341" s="396"/>
      <c r="BQ341" s="83"/>
      <c r="BR341" s="691"/>
      <c r="BS341" s="692"/>
      <c r="BY341" s="116"/>
      <c r="BZ341" s="51"/>
      <c r="CB341"/>
      <c r="CC341"/>
      <c r="CD341"/>
      <c r="CG341"/>
      <c r="CK341" s="22">
        <v>12.5</v>
      </c>
      <c r="CL341" s="83">
        <f>$B$63</f>
        <v>0.78</v>
      </c>
      <c r="CM341" s="679">
        <f t="shared" si="220"/>
        <v>0</v>
      </c>
      <c r="CN341" s="680"/>
      <c r="CO341" s="70">
        <f>IF($H$343=$DV$58,IF(AND(CM323&lt;1,CW323&lt;1,CM341&gt;0),((CM341-1)*$BM$69*0.5)+$BM$69,CM341*0.5*$BM$69),CM341*0.5*$BM$69)</f>
        <v>0</v>
      </c>
      <c r="CP341" s="70">
        <f>IF(CM341&gt;0,1,0)*$A$63</f>
        <v>0</v>
      </c>
      <c r="CQ341" s="679">
        <f>CM341*$BK$69</f>
        <v>0</v>
      </c>
      <c r="CR341" s="680"/>
      <c r="CS341" s="83"/>
      <c r="CT341" s="691"/>
      <c r="CU341" s="692"/>
      <c r="CV341" s="51"/>
      <c r="CW341" s="679">
        <f t="shared" si="221"/>
        <v>0</v>
      </c>
      <c r="CX341" s="680"/>
      <c r="CY341" s="70">
        <f>IF($H$343=$DV$58,IF(AND(CW323&lt;1,CM323&lt;1,CW341&gt;0,CM341&lt;1),((CW341-1)*$BM$69*0.5)+$BM$69,CW341*0.5*$BM$69),CW341*0.5*$BM$69)</f>
        <v>0</v>
      </c>
      <c r="CZ341" s="70">
        <f>IF(CW341&gt;0,1,0)*$A$63</f>
        <v>0</v>
      </c>
      <c r="DA341" s="679">
        <f>CW341*$BK$69</f>
        <v>0</v>
      </c>
      <c r="DB341" s="680"/>
      <c r="DC341" s="689"/>
      <c r="DD341" s="690"/>
      <c r="DE341" s="83"/>
      <c r="DF341" s="691"/>
      <c r="DG341" s="692"/>
      <c r="DH341" s="83"/>
      <c r="DI341" s="691"/>
      <c r="DJ341" s="692"/>
      <c r="DP341" s="116"/>
      <c r="DQ341" s="51"/>
      <c r="DR341"/>
      <c r="DS341"/>
      <c r="DT341"/>
      <c r="DV341"/>
      <c r="DW341"/>
      <c r="DX341"/>
      <c r="DY341"/>
    </row>
    <row r="342" spans="1:129" ht="13.5" thickBot="1" x14ac:dyDescent="0.25">
      <c r="B342"/>
      <c r="C342" s="23">
        <v>15</v>
      </c>
      <c r="D342" s="83">
        <f>$B$64</f>
        <v>0.81</v>
      </c>
      <c r="E342" s="679">
        <f>SUM(IF($C$1="Residência",$C$64,0),IF($F$1="Residência",$F$64,0),IF($I$1="Residência",$I$64,0),IF($L$1="Residência",$L$64,0),IF($O$1="Residência",$O$64,0),IF($R$1="Residência",$R$64,0),IF($U$1="Residência",$U$64,0),IF($X$1="Residência",$X$64,0),IF($AA$1="Residência",$AA$64,0),IF($AD$1="Residência",$AD$64,0),IF($AG$1="Residência",$AG$64,0),IF($AJ$1="Residência",$AJ$64,0))</f>
        <v>0</v>
      </c>
      <c r="F342" s="680"/>
      <c r="G342" s="70">
        <f>IF($H$343=$DV$59,IF(AND(E324&lt;1,O324&lt;1,E342&gt;0),((E342-1)*$BM$70*0.5)+$BM$70,E342*0.5*$BM$70),E342*0.5*$BM$70)</f>
        <v>0</v>
      </c>
      <c r="H342" s="70">
        <f>IF(E342&gt;0,1,0)*$A$64</f>
        <v>0</v>
      </c>
      <c r="I342" s="679">
        <f>E342*$BK$70</f>
        <v>0</v>
      </c>
      <c r="J342" s="680"/>
      <c r="K342" s="83"/>
      <c r="L342" s="691"/>
      <c r="M342" s="692"/>
      <c r="N342" s="51"/>
      <c r="O342" s="679">
        <f>SUM(IF($C$1="Residência",0,$C$64),IF($F$1="Residência",0,$F$64),IF($I$1="Residência",0,$I$64),IF($L$1="Residência",0,$L$64),IF($O$1="Residência",0,$O$64),IF($R$1="Residência",0,$R$64),IF($U$1="Residência",0,$U$64),IF($X$1="Residência",0,$X$64),IF($AA$1="Residência",0,$AA$64),IF($AD$1="Residência",0,$AD$64),IF($AG$1="Residência",0,$AG$64),IF($AJ$1="Residência",0,$AJ$64))</f>
        <v>0</v>
      </c>
      <c r="P342" s="680"/>
      <c r="Q342" s="70">
        <f>IF($H$343=$DV$59,IF(AND(O324&lt;1,E324&lt;1,O342&gt;0,E342&lt;1),((O342-1)*$BM$70*0.5)+$BM$70,O342*0.5*$BM$70),O342*0.5*$BM$70)</f>
        <v>0</v>
      </c>
      <c r="R342" s="70">
        <f>IF(O342&gt;0,1,0)*$A$64</f>
        <v>0</v>
      </c>
      <c r="S342" s="679">
        <f>O342*$BK$70</f>
        <v>0</v>
      </c>
      <c r="T342" s="680"/>
      <c r="U342" s="689"/>
      <c r="V342" s="690"/>
      <c r="W342" s="679">
        <f>SUM(IF($C$1="Residência",$C$64,0),IF($F$1="Residência",$F$64,0),IF($I$1="Residência",$I$64,0),IF($L$1="Residência",$L$64,0),IF($O$1="Residência",$O$64,0),IF($R$1="Residência",$R$64,0),IF($U$1="Residência",$U$64,0),IF($X$1="Residência",$X$64,0),IF($AA$1="Residência",$AA$64,0),IF($AD$1="Residência",$AD$64,0),IF($AG$1="Residência",$AG$64,0),IF($AJ$1="Residência",$AJ$64,0))</f>
        <v>0</v>
      </c>
      <c r="X342" s="680"/>
      <c r="Y342" s="70">
        <f>IF($H$343=$DV$59,IF(AND(W324&lt;1,AG324&lt;1,W342&gt;0),((W342-1)*$BM$70*0.5)+$BM$70,W342*0.5*$BM$70),W342*0.5*$BM$70)</f>
        <v>0</v>
      </c>
      <c r="Z342" s="70">
        <f>IF(W342&gt;0,1,0)*$A$64</f>
        <v>0</v>
      </c>
      <c r="AA342" s="679">
        <f>W342*$BK$70</f>
        <v>0</v>
      </c>
      <c r="AB342" s="680"/>
      <c r="AC342" s="83"/>
      <c r="AD342" s="691"/>
      <c r="AE342" s="692"/>
      <c r="AF342" s="51"/>
      <c r="AG342" s="679">
        <f>SUM(IF($C$1="Residência",0,$C$64),IF($F$1="Residência",0,$F$64),IF($I$1="Residência",0,$I$64),IF($L$1="Residência",0,$L$64),IF($O$1="Residência",0,$O$64),IF($R$1="Residência",0,$R$64),IF($U$1="Residência",0,$U$64),IF($X$1="Residência",0,$X$64),IF($AA$1="Residência",0,$AA$64),IF($AD$1="Residência",0,$AD$64),IF($AG$1="Residência",0,$AG$64),IF($AJ$1="Residência",0,$AJ$64))</f>
        <v>0</v>
      </c>
      <c r="AH342" s="680"/>
      <c r="AI342" s="70">
        <f>IF($H$343=$DV$59,IF(AND(AG324&lt;1,W324&lt;1,AG342&gt;0,W342&lt;1),((AG342-1)*$BM$70*0.5)+$BM$70,AG342*0.5*$BM$70),AG342*0.5*$BM$70)</f>
        <v>0</v>
      </c>
      <c r="AJ342" s="70">
        <f>IF(AG342&gt;0,1,0)*$A$64</f>
        <v>0</v>
      </c>
      <c r="AK342" s="679">
        <f>AG342*$BK$70</f>
        <v>0</v>
      </c>
      <c r="AL342" s="680"/>
      <c r="AT342" s="23">
        <v>15</v>
      </c>
      <c r="AU342" s="83">
        <f>$B$64</f>
        <v>0.81</v>
      </c>
      <c r="AV342" s="679">
        <f t="shared" si="218"/>
        <v>0</v>
      </c>
      <c r="AW342" s="680"/>
      <c r="AX342" s="70">
        <f>IF($H$343=$DV$59,IF(AND(AV324&lt;1,BF324&lt;1,AV342&gt;0),((AV342-1)*$BM$70*0.5)+$BM$70,AV342*0.5*$BM$70),AV342*0.5*$BM$70)</f>
        <v>0</v>
      </c>
      <c r="AY342" s="70">
        <f>IF(AV342&gt;0,1,0)*$A$64</f>
        <v>0</v>
      </c>
      <c r="AZ342" s="679">
        <f>AV342*$BK$70</f>
        <v>0</v>
      </c>
      <c r="BA342" s="680"/>
      <c r="BB342" s="83"/>
      <c r="BC342" s="691"/>
      <c r="BD342" s="692"/>
      <c r="BE342" s="51"/>
      <c r="BF342" s="679">
        <f t="shared" si="219"/>
        <v>0</v>
      </c>
      <c r="BG342" s="680"/>
      <c r="BH342" s="70">
        <f>IF($H$343=$DV$59,IF(AND(BF324&lt;1,AV324&lt;1,BF342&gt;0,AV342&lt;1),((BF342-1)*$BM$70*0.5)+$BM$70,BF342*0.5*$BM$70),BF342*0.5*$BM$70)</f>
        <v>0</v>
      </c>
      <c r="BI342" s="70">
        <f>IF(BF342&gt;0,1,0)*$A$64</f>
        <v>0</v>
      </c>
      <c r="BJ342" s="679">
        <f>BF342*$BK$70</f>
        <v>0</v>
      </c>
      <c r="BK342" s="680"/>
      <c r="BL342" s="689"/>
      <c r="BM342" s="690"/>
      <c r="BN342" s="83"/>
      <c r="BO342" s="395"/>
      <c r="BP342" s="396"/>
      <c r="BQ342" s="83"/>
      <c r="BR342" s="691"/>
      <c r="BS342" s="692"/>
      <c r="BY342" s="116"/>
      <c r="BZ342" s="51"/>
      <c r="CB342"/>
      <c r="CC342"/>
      <c r="CD342"/>
      <c r="CG342"/>
      <c r="CK342" s="23">
        <v>15</v>
      </c>
      <c r="CL342" s="83">
        <f>$B$64</f>
        <v>0.81</v>
      </c>
      <c r="CM342" s="679">
        <f t="shared" si="220"/>
        <v>0</v>
      </c>
      <c r="CN342" s="680"/>
      <c r="CO342" s="70">
        <f>IF($H$343=$DV$59,IF(AND(CM324&lt;1,CW324&lt;1,CM342&gt;0),((CM342-1)*$BM$70*0.5)+$BM$70,CM342*0.5*$BM$70),CM342*0.5*$BM$70)</f>
        <v>0</v>
      </c>
      <c r="CP342" s="70">
        <f>IF(CM342&gt;0,1,0)*$A$64</f>
        <v>0</v>
      </c>
      <c r="CQ342" s="679">
        <f>CM342*$BK$70</f>
        <v>0</v>
      </c>
      <c r="CR342" s="680"/>
      <c r="CS342" s="83"/>
      <c r="CT342" s="691"/>
      <c r="CU342" s="692"/>
      <c r="CV342" s="51"/>
      <c r="CW342" s="679">
        <f t="shared" si="221"/>
        <v>0</v>
      </c>
      <c r="CX342" s="680"/>
      <c r="CY342" s="70">
        <f>IF($H$343=$DV$59,IF(AND(CW324&lt;1,CM324&lt;1,CW342&gt;0,CM342&lt;1),((CW342-1)*$BM$70*0.5)+$BM$70,CW342*0.5*$BM$70),CW342*0.5*$BM$70)</f>
        <v>0</v>
      </c>
      <c r="CZ342" s="70">
        <f>IF(CW342&gt;0,1,0)*$A$64</f>
        <v>0</v>
      </c>
      <c r="DA342" s="679">
        <f>CW342*$BK$70</f>
        <v>0</v>
      </c>
      <c r="DB342" s="680"/>
      <c r="DC342" s="689"/>
      <c r="DD342" s="690"/>
      <c r="DE342" s="83"/>
      <c r="DF342" s="691"/>
      <c r="DG342" s="692"/>
      <c r="DH342" s="83"/>
      <c r="DI342" s="691"/>
      <c r="DJ342" s="692"/>
      <c r="DP342" s="116"/>
      <c r="DQ342" s="51"/>
      <c r="DR342"/>
      <c r="DS342"/>
      <c r="DT342"/>
      <c r="DV342"/>
      <c r="DW342"/>
      <c r="DX342"/>
      <c r="DY342"/>
    </row>
    <row r="343" spans="1:129" ht="13.5" thickBot="1" x14ac:dyDescent="0.25">
      <c r="B343"/>
      <c r="C343" s="25"/>
      <c r="D343" s="87"/>
      <c r="E343" s="170"/>
      <c r="F343" s="170"/>
      <c r="G343" s="92"/>
      <c r="H343" s="87">
        <f>LARGE(I343:R343,1)</f>
        <v>0</v>
      </c>
      <c r="I343" s="298">
        <f>LARGE(H311:H342,1)</f>
        <v>0</v>
      </c>
      <c r="J343" s="35"/>
      <c r="K343" s="87"/>
      <c r="L343" s="35"/>
      <c r="M343" s="35"/>
      <c r="N343" s="87"/>
      <c r="O343" s="35"/>
      <c r="P343" s="35"/>
      <c r="Q343" s="87"/>
      <c r="R343" s="170">
        <f>LARGE(R311:R342,1)</f>
        <v>0</v>
      </c>
      <c r="S343" s="35"/>
      <c r="T343" s="87"/>
      <c r="U343" s="170"/>
      <c r="V343" s="170"/>
      <c r="W343" s="170"/>
      <c r="X343" s="170"/>
      <c r="Y343" s="92"/>
      <c r="Z343" s="87">
        <f>LARGE(AA343:AJ343,1)</f>
        <v>0</v>
      </c>
      <c r="AA343" s="298">
        <f>LARGE(Z311:Z342,1)</f>
        <v>0</v>
      </c>
      <c r="AB343" s="35"/>
      <c r="AC343" s="87"/>
      <c r="AD343" s="35"/>
      <c r="AE343" s="35"/>
      <c r="AF343" s="87"/>
      <c r="AG343" s="35"/>
      <c r="AH343" s="35"/>
      <c r="AI343" s="87"/>
      <c r="AJ343" s="170">
        <f>LARGE(AJ311:AJ342,1)</f>
        <v>0</v>
      </c>
      <c r="AK343" s="35"/>
      <c r="AL343" s="87"/>
      <c r="AT343" s="25"/>
      <c r="AU343" s="87"/>
      <c r="AV343" s="170"/>
      <c r="AW343" s="170"/>
      <c r="AX343" s="92"/>
      <c r="AY343" s="87">
        <f>LARGE(AZ343:BI343,1)</f>
        <v>0</v>
      </c>
      <c r="AZ343" s="298">
        <f>LARGE(AY311:AY342,1)</f>
        <v>0</v>
      </c>
      <c r="BA343" s="35"/>
      <c r="BB343" s="87"/>
      <c r="BC343" s="35"/>
      <c r="BD343" s="35"/>
      <c r="BE343" s="87"/>
      <c r="BF343" s="35"/>
      <c r="BG343" s="35"/>
      <c r="BH343" s="87"/>
      <c r="BI343" s="170">
        <f>LARGE(BI311:BI342,1)</f>
        <v>0</v>
      </c>
      <c r="BJ343" s="35"/>
      <c r="BK343" s="87"/>
      <c r="BL343" s="170"/>
      <c r="BM343" s="170"/>
      <c r="BN343" s="87"/>
      <c r="BO343" s="35"/>
      <c r="BP343" s="35"/>
      <c r="BQ343" s="92"/>
      <c r="BR343" s="33"/>
      <c r="BS343" s="33"/>
      <c r="BY343" s="116"/>
      <c r="BZ343" s="51"/>
      <c r="CB343"/>
      <c r="CC343"/>
      <c r="CD343"/>
      <c r="CG343"/>
      <c r="CK343" s="25"/>
      <c r="CL343" s="87"/>
      <c r="CM343" s="170"/>
      <c r="CN343" s="170"/>
      <c r="CO343" s="92"/>
      <c r="CP343" s="87">
        <f>LARGE(CQ343:CZ343,1)</f>
        <v>0</v>
      </c>
      <c r="CQ343" s="298">
        <f>LARGE(CP311:CP342,1)</f>
        <v>0</v>
      </c>
      <c r="CR343" s="35"/>
      <c r="CS343" s="87"/>
      <c r="CT343" s="35"/>
      <c r="CU343" s="35"/>
      <c r="CV343" s="87"/>
      <c r="CW343" s="35"/>
      <c r="CX343" s="35"/>
      <c r="CY343" s="87"/>
      <c r="CZ343" s="170">
        <f>LARGE(CZ311:CZ342,1)</f>
        <v>0</v>
      </c>
      <c r="DA343" s="35"/>
      <c r="DB343" s="87"/>
      <c r="DC343" s="170"/>
      <c r="DD343" s="170"/>
      <c r="DE343" s="87"/>
      <c r="DF343" s="35"/>
      <c r="DG343" s="35"/>
      <c r="DH343" s="92"/>
      <c r="DI343" s="33"/>
      <c r="DJ343" s="33"/>
      <c r="DP343" s="116"/>
      <c r="DQ343" s="51"/>
      <c r="DR343"/>
      <c r="DS343"/>
      <c r="DT343"/>
      <c r="DV343"/>
      <c r="DW343"/>
      <c r="DX343"/>
      <c r="DY343"/>
    </row>
    <row r="344" spans="1:129" ht="13.5" thickBot="1" x14ac:dyDescent="0.25">
      <c r="G344" s="204">
        <f>SUM(G330:G342,G311:G327,$G$309,$F$289)*$B$285</f>
        <v>0</v>
      </c>
      <c r="H344" s="194"/>
      <c r="I344" s="194"/>
      <c r="J344" s="194"/>
      <c r="K344" s="194"/>
      <c r="L344" s="194"/>
      <c r="M344" s="194"/>
      <c r="N344" s="194"/>
      <c r="O344" s="194"/>
      <c r="P344" s="194"/>
      <c r="Q344" s="299">
        <f>SUM(Q330:Q342,Q311:Q327,$AE$291,$AJ$289,$AG$289,$AD$289,$AA$289,$X$289,$U$289,$R$289,$O$289,$L$289,$I$289,S309)</f>
        <v>0</v>
      </c>
      <c r="W344" s="88"/>
      <c r="Y344" s="204">
        <f>SUM(Y330:Y342,Y311:Y327,$G$309,$F$289)*$B$285</f>
        <v>0</v>
      </c>
      <c r="Z344" s="194"/>
      <c r="AA344" s="194"/>
      <c r="AB344" s="194"/>
      <c r="AC344" s="194"/>
      <c r="AD344" s="194"/>
      <c r="AE344" s="194"/>
      <c r="AF344" s="194"/>
      <c r="AG344" s="194"/>
      <c r="AH344" s="194"/>
      <c r="AI344" s="299">
        <f>SUM(AI330:AI342,AI311:AI327,$AE$291,$AJ$289,$AG$289,$AD$289,$AA$289,$X$289,$U$289,$R$289,$O$289,$L$289,$I$289,S309)</f>
        <v>0</v>
      </c>
      <c r="AS344" s="88"/>
      <c r="AV344" s="88"/>
      <c r="AX344" s="204">
        <f>SUM(AX330:AX342,AX311:AX327,AX309,AW289)*AS285</f>
        <v>0</v>
      </c>
      <c r="AY344" s="194"/>
      <c r="AZ344" s="194"/>
      <c r="BA344" s="194"/>
      <c r="BB344" s="194"/>
      <c r="BC344" s="194"/>
      <c r="BD344" s="194"/>
      <c r="BE344" s="194"/>
      <c r="BF344" s="194"/>
      <c r="BG344" s="194"/>
      <c r="BH344" s="299">
        <f>SUM(BH330:BH342,BH311:BH327,BV291,CA289,BX289,BU289,BR289,BO289,BL289,BI289,BF289,BC289,AZ289,BJ309)</f>
        <v>0</v>
      </c>
      <c r="BJ344"/>
      <c r="CB344"/>
      <c r="CC344"/>
      <c r="CD344"/>
      <c r="CG344"/>
      <c r="CJ344" s="88"/>
      <c r="CM344" s="88"/>
      <c r="CO344" s="204">
        <f>SUM(CO330:CO342,CO311:CO327,CO309,CN289)*CJ285</f>
        <v>0</v>
      </c>
      <c r="CP344" s="194"/>
      <c r="CQ344" s="194"/>
      <c r="CR344" s="194"/>
      <c r="CS344" s="194"/>
      <c r="CT344" s="194"/>
      <c r="CU344" s="194"/>
      <c r="CV344" s="194"/>
      <c r="CW344" s="194"/>
      <c r="CX344" s="194"/>
      <c r="CY344" s="299">
        <f>SUM(CY330:CY342,CY311:CY327,DM291,DR289,DO289,DL289,DI289,DF289,DC289,CZ289,CW289,CT289,CQ289,DA309)</f>
        <v>0</v>
      </c>
      <c r="DP344"/>
      <c r="DQ344"/>
      <c r="DR344"/>
      <c r="DS344"/>
      <c r="DT344"/>
      <c r="DV344"/>
      <c r="DW344"/>
      <c r="DX344"/>
      <c r="DY344"/>
    </row>
  </sheetData>
  <customSheetViews>
    <customSheetView guid="{3D0BF824-B70B-411D-8F8F-CCBEF08DF0BD}" scale="80" state="hidden" topLeftCell="BD1">
      <selection activeCell="BP36" sqref="BP36"/>
      <pageMargins left="0.511811024" right="0.511811024" top="0.78740157499999996" bottom="0.78740157499999996" header="0.31496062000000002" footer="0.31496062000000002"/>
      <pageSetup paperSize="9" orientation="portrait" r:id="rId1"/>
    </customSheetView>
  </customSheetViews>
  <mergeCells count="5596">
    <mergeCell ref="AD276:AE276"/>
    <mergeCell ref="AG276:AH276"/>
    <mergeCell ref="AK276:AL276"/>
    <mergeCell ref="W277:X277"/>
    <mergeCell ref="AD277:AE277"/>
    <mergeCell ref="AG277:AH277"/>
    <mergeCell ref="AK277:AL277"/>
    <mergeCell ref="W278:X278"/>
    <mergeCell ref="AD278:AE278"/>
    <mergeCell ref="AG278:AH278"/>
    <mergeCell ref="AK278:AL278"/>
    <mergeCell ref="W279:X279"/>
    <mergeCell ref="AD279:AE279"/>
    <mergeCell ref="AG279:AH279"/>
    <mergeCell ref="AK279:AL279"/>
    <mergeCell ref="W280:X280"/>
    <mergeCell ref="AD280:AE280"/>
    <mergeCell ref="AG280:AH280"/>
    <mergeCell ref="AK280:AL280"/>
    <mergeCell ref="AA276:AB276"/>
    <mergeCell ref="AD271:AE271"/>
    <mergeCell ref="AG271:AH271"/>
    <mergeCell ref="AK271:AL271"/>
    <mergeCell ref="W272:X272"/>
    <mergeCell ref="AD272:AE272"/>
    <mergeCell ref="AG272:AH272"/>
    <mergeCell ref="AK272:AL272"/>
    <mergeCell ref="W273:X273"/>
    <mergeCell ref="AD273:AE273"/>
    <mergeCell ref="AG273:AH273"/>
    <mergeCell ref="AK273:AL273"/>
    <mergeCell ref="W274:X274"/>
    <mergeCell ref="AD274:AE274"/>
    <mergeCell ref="AG274:AH274"/>
    <mergeCell ref="AK274:AL274"/>
    <mergeCell ref="W275:X275"/>
    <mergeCell ref="AD275:AE275"/>
    <mergeCell ref="AG275:AH275"/>
    <mergeCell ref="AK275:AL275"/>
    <mergeCell ref="AA272:AB272"/>
    <mergeCell ref="AG263:AH263"/>
    <mergeCell ref="AK263:AL263"/>
    <mergeCell ref="W264:X264"/>
    <mergeCell ref="AG264:AH264"/>
    <mergeCell ref="AK264:AL264"/>
    <mergeCell ref="W265:X265"/>
    <mergeCell ref="AG265:AH265"/>
    <mergeCell ref="AK265:AL265"/>
    <mergeCell ref="W266:X266"/>
    <mergeCell ref="AG266:AH266"/>
    <mergeCell ref="AK266:AL266"/>
    <mergeCell ref="W269:X269"/>
    <mergeCell ref="AD269:AE269"/>
    <mergeCell ref="AG269:AH269"/>
    <mergeCell ref="AK269:AL269"/>
    <mergeCell ref="W270:X270"/>
    <mergeCell ref="AD270:AE270"/>
    <mergeCell ref="AG270:AH270"/>
    <mergeCell ref="AK270:AL270"/>
    <mergeCell ref="AA269:AB269"/>
    <mergeCell ref="AA264:AB264"/>
    <mergeCell ref="AA265:AB265"/>
    <mergeCell ref="AA266:AB266"/>
    <mergeCell ref="AG257:AH257"/>
    <mergeCell ref="AK257:AL257"/>
    <mergeCell ref="W258:X258"/>
    <mergeCell ref="AG258:AH258"/>
    <mergeCell ref="AK258:AL258"/>
    <mergeCell ref="W259:X259"/>
    <mergeCell ref="AG259:AH259"/>
    <mergeCell ref="AK259:AL259"/>
    <mergeCell ref="W260:X260"/>
    <mergeCell ref="AG260:AH260"/>
    <mergeCell ref="AK260:AL260"/>
    <mergeCell ref="W261:X261"/>
    <mergeCell ref="AG261:AH261"/>
    <mergeCell ref="AK261:AL261"/>
    <mergeCell ref="W262:X262"/>
    <mergeCell ref="AG262:AH262"/>
    <mergeCell ref="AK262:AL262"/>
    <mergeCell ref="AA257:AB257"/>
    <mergeCell ref="AG251:AH251"/>
    <mergeCell ref="AK251:AL251"/>
    <mergeCell ref="W252:X252"/>
    <mergeCell ref="AG252:AH252"/>
    <mergeCell ref="AK252:AL252"/>
    <mergeCell ref="W253:X253"/>
    <mergeCell ref="AG253:AH253"/>
    <mergeCell ref="AK253:AL253"/>
    <mergeCell ref="W254:X254"/>
    <mergeCell ref="AG254:AH254"/>
    <mergeCell ref="AK254:AL254"/>
    <mergeCell ref="W255:X255"/>
    <mergeCell ref="AG255:AH255"/>
    <mergeCell ref="AK255:AL255"/>
    <mergeCell ref="W256:X256"/>
    <mergeCell ref="AG256:AH256"/>
    <mergeCell ref="AK256:AL256"/>
    <mergeCell ref="AA253:AB253"/>
    <mergeCell ref="GF170:GG170"/>
    <mergeCell ref="GJ170:GK170"/>
    <mergeCell ref="GM170:GN170"/>
    <mergeCell ref="GP170:GQ170"/>
    <mergeCell ref="GS170:GT170"/>
    <mergeCell ref="GV170:GW170"/>
    <mergeCell ref="GY170:GZ170"/>
    <mergeCell ref="HB170:HC170"/>
    <mergeCell ref="GF171:GG171"/>
    <mergeCell ref="GJ171:GK171"/>
    <mergeCell ref="GM171:GN171"/>
    <mergeCell ref="GP171:GQ171"/>
    <mergeCell ref="GS171:GT171"/>
    <mergeCell ref="GV171:GW171"/>
    <mergeCell ref="GY171:GZ171"/>
    <mergeCell ref="HB171:HC171"/>
    <mergeCell ref="GJ167:GK167"/>
    <mergeCell ref="GM167:GN167"/>
    <mergeCell ref="GP167:GQ167"/>
    <mergeCell ref="GS167:GT167"/>
    <mergeCell ref="GV167:GW167"/>
    <mergeCell ref="GY167:GZ167"/>
    <mergeCell ref="HB167:HC167"/>
    <mergeCell ref="GF168:GG168"/>
    <mergeCell ref="GJ168:GK168"/>
    <mergeCell ref="GM168:GN168"/>
    <mergeCell ref="GP168:GQ168"/>
    <mergeCell ref="GS168:GT168"/>
    <mergeCell ref="GV168:GW168"/>
    <mergeCell ref="GY168:GZ168"/>
    <mergeCell ref="HB168:HC168"/>
    <mergeCell ref="GF169:GG169"/>
    <mergeCell ref="CV31:CW31"/>
    <mergeCell ref="CV32:CW32"/>
    <mergeCell ref="CV33:CW33"/>
    <mergeCell ref="CV34:CW34"/>
    <mergeCell ref="CV35:CW35"/>
    <mergeCell ref="CV36:CW36"/>
    <mergeCell ref="CV37:CW37"/>
    <mergeCell ref="CV38:CW38"/>
    <mergeCell ref="CV39:CW39"/>
    <mergeCell ref="CV40:CW40"/>
    <mergeCell ref="CV41:CW41"/>
    <mergeCell ref="CV42:CW42"/>
    <mergeCell ref="CV43:CW43"/>
    <mergeCell ref="GF167:GG167"/>
    <mergeCell ref="GF162:GG162"/>
    <mergeCell ref="GF159:GG159"/>
    <mergeCell ref="GF156:GG156"/>
    <mergeCell ref="GF152:GG152"/>
    <mergeCell ref="GF150:GG150"/>
    <mergeCell ref="GF149:GG149"/>
    <mergeCell ref="GF141:GG141"/>
    <mergeCell ref="GF136:GG136"/>
    <mergeCell ref="GF133:GG133"/>
    <mergeCell ref="GF130:GG130"/>
    <mergeCell ref="GF127:GG127"/>
    <mergeCell ref="GF124:GG124"/>
    <mergeCell ref="GF121:GG121"/>
    <mergeCell ref="GF97:GG97"/>
    <mergeCell ref="GD94:GD96"/>
    <mergeCell ref="CV60:CW60"/>
    <mergeCell ref="GE94:GE96"/>
    <mergeCell ref="DQ165:DR165"/>
    <mergeCell ref="GJ169:GK169"/>
    <mergeCell ref="GM169:GN169"/>
    <mergeCell ref="GP169:GQ169"/>
    <mergeCell ref="GS169:GT169"/>
    <mergeCell ref="GV169:GW169"/>
    <mergeCell ref="GY169:GZ169"/>
    <mergeCell ref="HB169:HC169"/>
    <mergeCell ref="GF165:GG165"/>
    <mergeCell ref="GJ165:GK165"/>
    <mergeCell ref="GM165:GN165"/>
    <mergeCell ref="GP165:GQ165"/>
    <mergeCell ref="GS165:GT165"/>
    <mergeCell ref="GV165:GW165"/>
    <mergeCell ref="GY165:GZ165"/>
    <mergeCell ref="HB165:HC165"/>
    <mergeCell ref="HE165:HH165"/>
    <mergeCell ref="GF166:GG166"/>
    <mergeCell ref="GJ166:GK166"/>
    <mergeCell ref="GM166:GN166"/>
    <mergeCell ref="GP166:GQ166"/>
    <mergeCell ref="GS166:GT166"/>
    <mergeCell ref="GV166:GW166"/>
    <mergeCell ref="GY166:GZ166"/>
    <mergeCell ref="HB166:HC166"/>
    <mergeCell ref="GJ162:GK162"/>
    <mergeCell ref="GM162:GN162"/>
    <mergeCell ref="GP162:GQ162"/>
    <mergeCell ref="GS162:GT162"/>
    <mergeCell ref="GV162:GW162"/>
    <mergeCell ref="GY162:GZ162"/>
    <mergeCell ref="HB162:HC162"/>
    <mergeCell ref="GF163:GG163"/>
    <mergeCell ref="GJ163:GK163"/>
    <mergeCell ref="GM163:GN163"/>
    <mergeCell ref="GP163:GQ163"/>
    <mergeCell ref="GS163:GT163"/>
    <mergeCell ref="GV163:GW163"/>
    <mergeCell ref="GY163:GZ163"/>
    <mergeCell ref="HB163:HC163"/>
    <mergeCell ref="GF164:GG164"/>
    <mergeCell ref="GJ164:GK164"/>
    <mergeCell ref="GM164:GN164"/>
    <mergeCell ref="GP164:GQ164"/>
    <mergeCell ref="GS164:GT164"/>
    <mergeCell ref="GV164:GW164"/>
    <mergeCell ref="GY164:GZ164"/>
    <mergeCell ref="HB164:HC164"/>
    <mergeCell ref="GJ159:GK159"/>
    <mergeCell ref="GM159:GN159"/>
    <mergeCell ref="GP159:GQ159"/>
    <mergeCell ref="GS159:GT159"/>
    <mergeCell ref="GV159:GW159"/>
    <mergeCell ref="GY159:GZ159"/>
    <mergeCell ref="HB159:HC159"/>
    <mergeCell ref="GF160:GG160"/>
    <mergeCell ref="GJ160:GK160"/>
    <mergeCell ref="GM160:GN160"/>
    <mergeCell ref="GP160:GQ160"/>
    <mergeCell ref="GS160:GT160"/>
    <mergeCell ref="GV160:GW160"/>
    <mergeCell ref="GY160:GZ160"/>
    <mergeCell ref="HB160:HC160"/>
    <mergeCell ref="GF161:GG161"/>
    <mergeCell ref="GJ161:GK161"/>
    <mergeCell ref="GM161:GN161"/>
    <mergeCell ref="GP161:GQ161"/>
    <mergeCell ref="GS161:GT161"/>
    <mergeCell ref="GV161:GW161"/>
    <mergeCell ref="GY161:GZ161"/>
    <mergeCell ref="HB161:HC161"/>
    <mergeCell ref="GJ156:GK156"/>
    <mergeCell ref="GM156:GN156"/>
    <mergeCell ref="GP156:GQ156"/>
    <mergeCell ref="GS156:GT156"/>
    <mergeCell ref="GV156:GW156"/>
    <mergeCell ref="GY156:GZ156"/>
    <mergeCell ref="HB156:HC156"/>
    <mergeCell ref="GF157:GG157"/>
    <mergeCell ref="GJ157:GK157"/>
    <mergeCell ref="GM157:GN157"/>
    <mergeCell ref="GP157:GQ157"/>
    <mergeCell ref="GS157:GT157"/>
    <mergeCell ref="GV157:GW157"/>
    <mergeCell ref="GY157:GZ157"/>
    <mergeCell ref="HB157:HC157"/>
    <mergeCell ref="GF158:GG158"/>
    <mergeCell ref="GJ158:GK158"/>
    <mergeCell ref="GM158:GN158"/>
    <mergeCell ref="GP158:GQ158"/>
    <mergeCell ref="GS158:GT158"/>
    <mergeCell ref="GV158:GW158"/>
    <mergeCell ref="GY158:GZ158"/>
    <mergeCell ref="HB158:HC158"/>
    <mergeCell ref="GJ152:GK152"/>
    <mergeCell ref="GM152:GN152"/>
    <mergeCell ref="GP152:GQ152"/>
    <mergeCell ref="GS152:GT152"/>
    <mergeCell ref="GV152:GW152"/>
    <mergeCell ref="GY152:GZ152"/>
    <mergeCell ref="HB152:HC152"/>
    <mergeCell ref="GF153:GG153"/>
    <mergeCell ref="GF154:GG154"/>
    <mergeCell ref="GF155:GG155"/>
    <mergeCell ref="GJ155:GK155"/>
    <mergeCell ref="GM155:GN155"/>
    <mergeCell ref="GP155:GQ155"/>
    <mergeCell ref="GS155:GT155"/>
    <mergeCell ref="GV155:GW155"/>
    <mergeCell ref="GY155:GZ155"/>
    <mergeCell ref="HB155:HC155"/>
    <mergeCell ref="GJ150:GK150"/>
    <mergeCell ref="GM150:GN150"/>
    <mergeCell ref="GP150:GQ150"/>
    <mergeCell ref="GS150:GT150"/>
    <mergeCell ref="GV150:GW150"/>
    <mergeCell ref="GY150:GZ150"/>
    <mergeCell ref="HB150:HC150"/>
    <mergeCell ref="HE150:HH150"/>
    <mergeCell ref="GF151:GG151"/>
    <mergeCell ref="GJ151:GK151"/>
    <mergeCell ref="GM151:GN151"/>
    <mergeCell ref="GP151:GQ151"/>
    <mergeCell ref="GS151:GT151"/>
    <mergeCell ref="GV151:GW151"/>
    <mergeCell ref="GY151:GZ151"/>
    <mergeCell ref="HB151:HC151"/>
    <mergeCell ref="GF147:GG147"/>
    <mergeCell ref="GJ147:GK147"/>
    <mergeCell ref="GM147:GN147"/>
    <mergeCell ref="GP147:GQ147"/>
    <mergeCell ref="GS147:GT147"/>
    <mergeCell ref="GV147:GW147"/>
    <mergeCell ref="GY147:GZ147"/>
    <mergeCell ref="HB147:HC147"/>
    <mergeCell ref="GF148:GG148"/>
    <mergeCell ref="GJ148:GK148"/>
    <mergeCell ref="GM148:GN148"/>
    <mergeCell ref="GP148:GQ148"/>
    <mergeCell ref="GS148:GT148"/>
    <mergeCell ref="GV148:GW148"/>
    <mergeCell ref="GY148:GZ148"/>
    <mergeCell ref="HB148:HC148"/>
    <mergeCell ref="GJ149:GK149"/>
    <mergeCell ref="GM149:GN149"/>
    <mergeCell ref="GP149:GQ149"/>
    <mergeCell ref="GS149:GT149"/>
    <mergeCell ref="GV149:GW149"/>
    <mergeCell ref="GY149:GZ149"/>
    <mergeCell ref="HB149:HC149"/>
    <mergeCell ref="GF144:GG144"/>
    <mergeCell ref="GJ144:GK144"/>
    <mergeCell ref="GM144:GN144"/>
    <mergeCell ref="GP144:GQ144"/>
    <mergeCell ref="GS144:GT144"/>
    <mergeCell ref="GV144:GW144"/>
    <mergeCell ref="GY144:GZ144"/>
    <mergeCell ref="HB144:HC144"/>
    <mergeCell ref="GF145:GG145"/>
    <mergeCell ref="GJ145:GK145"/>
    <mergeCell ref="GM145:GN145"/>
    <mergeCell ref="GP145:GQ145"/>
    <mergeCell ref="GS145:GT145"/>
    <mergeCell ref="GV145:GW145"/>
    <mergeCell ref="GY145:GZ145"/>
    <mergeCell ref="HB145:HC145"/>
    <mergeCell ref="GF146:GG146"/>
    <mergeCell ref="GJ146:GK146"/>
    <mergeCell ref="GM146:GN146"/>
    <mergeCell ref="GP146:GQ146"/>
    <mergeCell ref="GS146:GT146"/>
    <mergeCell ref="GV146:GW146"/>
    <mergeCell ref="GY146:GZ146"/>
    <mergeCell ref="HB146:HC146"/>
    <mergeCell ref="GJ141:GK141"/>
    <mergeCell ref="GM141:GN141"/>
    <mergeCell ref="GP141:GQ141"/>
    <mergeCell ref="GS141:GT141"/>
    <mergeCell ref="GV141:GW141"/>
    <mergeCell ref="GY141:GZ141"/>
    <mergeCell ref="HB141:HC141"/>
    <mergeCell ref="GF142:GG142"/>
    <mergeCell ref="GJ142:GK142"/>
    <mergeCell ref="GM142:GN142"/>
    <mergeCell ref="GP142:GQ142"/>
    <mergeCell ref="GS142:GT142"/>
    <mergeCell ref="GV142:GW142"/>
    <mergeCell ref="GY142:GZ142"/>
    <mergeCell ref="HB142:HC142"/>
    <mergeCell ref="GF143:GG143"/>
    <mergeCell ref="GJ143:GK143"/>
    <mergeCell ref="GM143:GN143"/>
    <mergeCell ref="GP143:GQ143"/>
    <mergeCell ref="GS143:GT143"/>
    <mergeCell ref="GV143:GW143"/>
    <mergeCell ref="GY143:GZ143"/>
    <mergeCell ref="HB143:HC143"/>
    <mergeCell ref="GJ136:GK136"/>
    <mergeCell ref="GP136:GQ136"/>
    <mergeCell ref="GS136:GT136"/>
    <mergeCell ref="GV136:GW136"/>
    <mergeCell ref="GY136:GZ136"/>
    <mergeCell ref="HB136:HC136"/>
    <mergeCell ref="GF137:GG137"/>
    <mergeCell ref="GJ137:GK137"/>
    <mergeCell ref="GP137:GQ137"/>
    <mergeCell ref="GS137:GT137"/>
    <mergeCell ref="GV137:GW137"/>
    <mergeCell ref="GY137:GZ137"/>
    <mergeCell ref="HB137:HC137"/>
    <mergeCell ref="GF138:GG138"/>
    <mergeCell ref="GF139:GG139"/>
    <mergeCell ref="GF140:GG140"/>
    <mergeCell ref="GJ140:GK140"/>
    <mergeCell ref="GM140:GN140"/>
    <mergeCell ref="GP140:GQ140"/>
    <mergeCell ref="GS140:GT140"/>
    <mergeCell ref="GV140:GW140"/>
    <mergeCell ref="GY140:GZ140"/>
    <mergeCell ref="HB140:HC140"/>
    <mergeCell ref="GJ133:GK133"/>
    <mergeCell ref="GP133:GQ133"/>
    <mergeCell ref="GS133:GT133"/>
    <mergeCell ref="GV133:GW133"/>
    <mergeCell ref="GY133:GZ133"/>
    <mergeCell ref="HB133:HC133"/>
    <mergeCell ref="GF134:GG134"/>
    <mergeCell ref="GJ134:GK134"/>
    <mergeCell ref="GP134:GQ134"/>
    <mergeCell ref="GS134:GT134"/>
    <mergeCell ref="GV134:GW134"/>
    <mergeCell ref="GY134:GZ134"/>
    <mergeCell ref="HB134:HC134"/>
    <mergeCell ref="GF135:GG135"/>
    <mergeCell ref="GJ135:GK135"/>
    <mergeCell ref="GP135:GQ135"/>
    <mergeCell ref="GS135:GT135"/>
    <mergeCell ref="GV135:GW135"/>
    <mergeCell ref="GY135:GZ135"/>
    <mergeCell ref="HB135:HC135"/>
    <mergeCell ref="GJ130:GK130"/>
    <mergeCell ref="GP130:GQ130"/>
    <mergeCell ref="GS130:GT130"/>
    <mergeCell ref="GV130:GW130"/>
    <mergeCell ref="GY130:GZ130"/>
    <mergeCell ref="HB130:HC130"/>
    <mergeCell ref="GF131:GG131"/>
    <mergeCell ref="GJ131:GK131"/>
    <mergeCell ref="GP131:GQ131"/>
    <mergeCell ref="GS131:GT131"/>
    <mergeCell ref="GV131:GW131"/>
    <mergeCell ref="GY131:GZ131"/>
    <mergeCell ref="HB131:HC131"/>
    <mergeCell ref="HE131:HH131"/>
    <mergeCell ref="GF132:GG132"/>
    <mergeCell ref="GJ132:GK132"/>
    <mergeCell ref="GP132:GQ132"/>
    <mergeCell ref="GS132:GT132"/>
    <mergeCell ref="GV132:GW132"/>
    <mergeCell ref="GY132:GZ132"/>
    <mergeCell ref="HB132:HC132"/>
    <mergeCell ref="GJ127:GK127"/>
    <mergeCell ref="GP127:GQ127"/>
    <mergeCell ref="GS127:GT127"/>
    <mergeCell ref="GV127:GW127"/>
    <mergeCell ref="GY127:GZ127"/>
    <mergeCell ref="HB127:HC127"/>
    <mergeCell ref="GF128:GG128"/>
    <mergeCell ref="GJ128:GK128"/>
    <mergeCell ref="GP128:GQ128"/>
    <mergeCell ref="GS128:GT128"/>
    <mergeCell ref="GV128:GW128"/>
    <mergeCell ref="GY128:GZ128"/>
    <mergeCell ref="HB128:HC128"/>
    <mergeCell ref="GF129:GG129"/>
    <mergeCell ref="GJ129:GK129"/>
    <mergeCell ref="GP129:GQ129"/>
    <mergeCell ref="GS129:GT129"/>
    <mergeCell ref="GV129:GW129"/>
    <mergeCell ref="GY129:GZ129"/>
    <mergeCell ref="HB129:HC129"/>
    <mergeCell ref="GJ124:GK124"/>
    <mergeCell ref="GP124:GQ124"/>
    <mergeCell ref="GS124:GT124"/>
    <mergeCell ref="GV124:GW124"/>
    <mergeCell ref="GY124:GZ124"/>
    <mergeCell ref="HB124:HC124"/>
    <mergeCell ref="GF125:GG125"/>
    <mergeCell ref="GJ125:GK125"/>
    <mergeCell ref="GP125:GQ125"/>
    <mergeCell ref="GS125:GT125"/>
    <mergeCell ref="GV125:GW125"/>
    <mergeCell ref="GY125:GZ125"/>
    <mergeCell ref="HB125:HC125"/>
    <mergeCell ref="GF126:GG126"/>
    <mergeCell ref="GJ126:GK126"/>
    <mergeCell ref="GP126:GQ126"/>
    <mergeCell ref="GS126:GT126"/>
    <mergeCell ref="GV126:GW126"/>
    <mergeCell ref="GY126:GZ126"/>
    <mergeCell ref="HB126:HC126"/>
    <mergeCell ref="GJ121:GK121"/>
    <mergeCell ref="GP121:GQ121"/>
    <mergeCell ref="GS121:GT121"/>
    <mergeCell ref="GV121:GW121"/>
    <mergeCell ref="GY121:GZ121"/>
    <mergeCell ref="HB121:HC121"/>
    <mergeCell ref="GF122:GG122"/>
    <mergeCell ref="GJ122:GK122"/>
    <mergeCell ref="GP122:GQ122"/>
    <mergeCell ref="GS122:GT122"/>
    <mergeCell ref="GV122:GW122"/>
    <mergeCell ref="GY122:GZ122"/>
    <mergeCell ref="HB122:HC122"/>
    <mergeCell ref="GF123:GG123"/>
    <mergeCell ref="GJ123:GK123"/>
    <mergeCell ref="GP123:GQ123"/>
    <mergeCell ref="GS123:GT123"/>
    <mergeCell ref="GV123:GW123"/>
    <mergeCell ref="GY123:GZ123"/>
    <mergeCell ref="HB123:HC123"/>
    <mergeCell ref="GI97:GJ97"/>
    <mergeCell ref="GL97:GM97"/>
    <mergeCell ref="GO97:GP97"/>
    <mergeCell ref="GR97:GS97"/>
    <mergeCell ref="GU97:GV97"/>
    <mergeCell ref="GX97:GY97"/>
    <mergeCell ref="HA97:HB97"/>
    <mergeCell ref="HD97:HE97"/>
    <mergeCell ref="HG97:HH97"/>
    <mergeCell ref="HJ97:HK97"/>
    <mergeCell ref="GF98:GG98"/>
    <mergeCell ref="GI98:GJ98"/>
    <mergeCell ref="GL98:GM98"/>
    <mergeCell ref="GO98:GP98"/>
    <mergeCell ref="GR98:GS98"/>
    <mergeCell ref="GU98:GV98"/>
    <mergeCell ref="GX98:GY98"/>
    <mergeCell ref="HA98:HB98"/>
    <mergeCell ref="HD98:HE98"/>
    <mergeCell ref="HG98:HH98"/>
    <mergeCell ref="HJ98:HK98"/>
    <mergeCell ref="HC94:HC96"/>
    <mergeCell ref="HD94:HE95"/>
    <mergeCell ref="HF94:HF96"/>
    <mergeCell ref="HG94:HH95"/>
    <mergeCell ref="HI94:HI96"/>
    <mergeCell ref="HJ94:HK95"/>
    <mergeCell ref="GF96:GG96"/>
    <mergeCell ref="GI96:GJ96"/>
    <mergeCell ref="GL96:GM96"/>
    <mergeCell ref="GO96:GP96"/>
    <mergeCell ref="GR96:GS96"/>
    <mergeCell ref="GU96:GV96"/>
    <mergeCell ref="GX96:GY96"/>
    <mergeCell ref="HA96:HB96"/>
    <mergeCell ref="HD96:HE96"/>
    <mergeCell ref="HG96:HH96"/>
    <mergeCell ref="HJ96:HK96"/>
    <mergeCell ref="GF94:GG95"/>
    <mergeCell ref="GH94:GH96"/>
    <mergeCell ref="GI94:GJ95"/>
    <mergeCell ref="GK94:GK96"/>
    <mergeCell ref="GL94:GM95"/>
    <mergeCell ref="GN94:GN96"/>
    <mergeCell ref="GO94:GP95"/>
    <mergeCell ref="GQ94:GQ96"/>
    <mergeCell ref="GR94:GS95"/>
    <mergeCell ref="GT94:GT96"/>
    <mergeCell ref="GU94:GV95"/>
    <mergeCell ref="GW94:GW96"/>
    <mergeCell ref="GX94:GY95"/>
    <mergeCell ref="GZ94:GZ96"/>
    <mergeCell ref="HA94:HB95"/>
    <mergeCell ref="AF225:AG225"/>
    <mergeCell ref="AI225:AJ225"/>
    <mergeCell ref="E281:F281"/>
    <mergeCell ref="I281:J281"/>
    <mergeCell ref="L281:M281"/>
    <mergeCell ref="O281:P281"/>
    <mergeCell ref="S281:T281"/>
    <mergeCell ref="U281:V281"/>
    <mergeCell ref="E280:F280"/>
    <mergeCell ref="I280:J280"/>
    <mergeCell ref="L280:M280"/>
    <mergeCell ref="O280:P280"/>
    <mergeCell ref="S280:T280"/>
    <mergeCell ref="U280:V280"/>
    <mergeCell ref="AA280:AB280"/>
    <mergeCell ref="AA278:AB278"/>
    <mergeCell ref="E279:F279"/>
    <mergeCell ref="I279:J279"/>
    <mergeCell ref="L279:M279"/>
    <mergeCell ref="O279:P279"/>
    <mergeCell ref="S279:T279"/>
    <mergeCell ref="U279:V279"/>
    <mergeCell ref="AA279:AB279"/>
    <mergeCell ref="E278:F278"/>
    <mergeCell ref="I278:J278"/>
    <mergeCell ref="L278:M278"/>
    <mergeCell ref="O278:P278"/>
    <mergeCell ref="S278:T278"/>
    <mergeCell ref="U278:V278"/>
    <mergeCell ref="W281:X281"/>
    <mergeCell ref="E277:F277"/>
    <mergeCell ref="I277:J277"/>
    <mergeCell ref="L277:M277"/>
    <mergeCell ref="O277:P277"/>
    <mergeCell ref="S277:T277"/>
    <mergeCell ref="U277:V277"/>
    <mergeCell ref="AA277:AB277"/>
    <mergeCell ref="E276:F276"/>
    <mergeCell ref="I276:J276"/>
    <mergeCell ref="L276:M276"/>
    <mergeCell ref="O276:P276"/>
    <mergeCell ref="S276:T276"/>
    <mergeCell ref="U276:V276"/>
    <mergeCell ref="AA274:AB274"/>
    <mergeCell ref="E275:F275"/>
    <mergeCell ref="I275:J275"/>
    <mergeCell ref="L275:M275"/>
    <mergeCell ref="O275:P275"/>
    <mergeCell ref="S275:T275"/>
    <mergeCell ref="U275:V275"/>
    <mergeCell ref="AA275:AB275"/>
    <mergeCell ref="E274:F274"/>
    <mergeCell ref="I274:J274"/>
    <mergeCell ref="L274:M274"/>
    <mergeCell ref="O274:P274"/>
    <mergeCell ref="S274:T274"/>
    <mergeCell ref="U274:V274"/>
    <mergeCell ref="W276:X276"/>
    <mergeCell ref="E273:F273"/>
    <mergeCell ref="I273:J273"/>
    <mergeCell ref="L273:M273"/>
    <mergeCell ref="O273:P273"/>
    <mergeCell ref="S273:T273"/>
    <mergeCell ref="U273:V273"/>
    <mergeCell ref="AA273:AB273"/>
    <mergeCell ref="E272:F272"/>
    <mergeCell ref="I272:J272"/>
    <mergeCell ref="L272:M272"/>
    <mergeCell ref="O272:P272"/>
    <mergeCell ref="S272:T272"/>
    <mergeCell ref="U272:V272"/>
    <mergeCell ref="AA270:AB270"/>
    <mergeCell ref="E271:F271"/>
    <mergeCell ref="I271:J271"/>
    <mergeCell ref="L271:M271"/>
    <mergeCell ref="O271:P271"/>
    <mergeCell ref="S271:T271"/>
    <mergeCell ref="U271:V271"/>
    <mergeCell ref="AA271:AB271"/>
    <mergeCell ref="W271:X271"/>
    <mergeCell ref="E266:F266"/>
    <mergeCell ref="E270:F270"/>
    <mergeCell ref="I270:J270"/>
    <mergeCell ref="L270:M270"/>
    <mergeCell ref="O270:P270"/>
    <mergeCell ref="S270:T270"/>
    <mergeCell ref="U270:V270"/>
    <mergeCell ref="E269:F269"/>
    <mergeCell ref="I269:J269"/>
    <mergeCell ref="L269:M269"/>
    <mergeCell ref="O269:P269"/>
    <mergeCell ref="S269:T269"/>
    <mergeCell ref="U269:V269"/>
    <mergeCell ref="I266:J266"/>
    <mergeCell ref="O266:P266"/>
    <mergeCell ref="S266:T266"/>
    <mergeCell ref="U266:V266"/>
    <mergeCell ref="E265:F265"/>
    <mergeCell ref="I265:J265"/>
    <mergeCell ref="O265:P265"/>
    <mergeCell ref="S265:T265"/>
    <mergeCell ref="U265:V265"/>
    <mergeCell ref="E264:F264"/>
    <mergeCell ref="I264:J264"/>
    <mergeCell ref="O264:P264"/>
    <mergeCell ref="S264:T264"/>
    <mergeCell ref="U264:V264"/>
    <mergeCell ref="AA262:AB262"/>
    <mergeCell ref="E263:F263"/>
    <mergeCell ref="I263:J263"/>
    <mergeCell ref="O263:P263"/>
    <mergeCell ref="S263:T263"/>
    <mergeCell ref="U263:V263"/>
    <mergeCell ref="AA263:AB263"/>
    <mergeCell ref="E262:F262"/>
    <mergeCell ref="I262:J262"/>
    <mergeCell ref="O262:P262"/>
    <mergeCell ref="S262:T262"/>
    <mergeCell ref="U262:V262"/>
    <mergeCell ref="W263:X263"/>
    <mergeCell ref="E261:F261"/>
    <mergeCell ref="I261:J261"/>
    <mergeCell ref="O261:P261"/>
    <mergeCell ref="S261:T261"/>
    <mergeCell ref="U261:V261"/>
    <mergeCell ref="AA261:AB261"/>
    <mergeCell ref="AA259:AB259"/>
    <mergeCell ref="E260:F260"/>
    <mergeCell ref="I260:J260"/>
    <mergeCell ref="O260:P260"/>
    <mergeCell ref="S260:T260"/>
    <mergeCell ref="U260:V260"/>
    <mergeCell ref="AA260:AB260"/>
    <mergeCell ref="E259:F259"/>
    <mergeCell ref="I259:J259"/>
    <mergeCell ref="O259:P259"/>
    <mergeCell ref="S259:T259"/>
    <mergeCell ref="U259:V259"/>
    <mergeCell ref="E258:F258"/>
    <mergeCell ref="I258:J258"/>
    <mergeCell ref="O258:P258"/>
    <mergeCell ref="S258:T258"/>
    <mergeCell ref="U258:V258"/>
    <mergeCell ref="AA258:AB258"/>
    <mergeCell ref="E257:F257"/>
    <mergeCell ref="I257:J257"/>
    <mergeCell ref="O257:P257"/>
    <mergeCell ref="S257:T257"/>
    <mergeCell ref="U257:V257"/>
    <mergeCell ref="AA255:AB255"/>
    <mergeCell ref="E256:F256"/>
    <mergeCell ref="I256:J256"/>
    <mergeCell ref="O256:P256"/>
    <mergeCell ref="S256:T256"/>
    <mergeCell ref="U256:V256"/>
    <mergeCell ref="AA256:AB256"/>
    <mergeCell ref="E255:F255"/>
    <mergeCell ref="I255:J255"/>
    <mergeCell ref="O255:P255"/>
    <mergeCell ref="S255:T255"/>
    <mergeCell ref="U255:V255"/>
    <mergeCell ref="W257:X257"/>
    <mergeCell ref="E254:F254"/>
    <mergeCell ref="I254:J254"/>
    <mergeCell ref="O254:P254"/>
    <mergeCell ref="S254:T254"/>
    <mergeCell ref="U254:V254"/>
    <mergeCell ref="AA254:AB254"/>
    <mergeCell ref="E253:F253"/>
    <mergeCell ref="I253:J253"/>
    <mergeCell ref="O253:P253"/>
    <mergeCell ref="S253:T253"/>
    <mergeCell ref="U253:V253"/>
    <mergeCell ref="AA251:AB251"/>
    <mergeCell ref="E252:F252"/>
    <mergeCell ref="I252:J252"/>
    <mergeCell ref="O252:P252"/>
    <mergeCell ref="S252:T252"/>
    <mergeCell ref="U252:V252"/>
    <mergeCell ref="AA252:AB252"/>
    <mergeCell ref="E251:F251"/>
    <mergeCell ref="I251:J251"/>
    <mergeCell ref="O251:P251"/>
    <mergeCell ref="S251:T251"/>
    <mergeCell ref="U251:V251"/>
    <mergeCell ref="W251:X251"/>
    <mergeCell ref="N226:O226"/>
    <mergeCell ref="Q226:R226"/>
    <mergeCell ref="T226:U226"/>
    <mergeCell ref="W226:X226"/>
    <mergeCell ref="AF223:AG224"/>
    <mergeCell ref="AH223:AH225"/>
    <mergeCell ref="AI223:AJ224"/>
    <mergeCell ref="AM227:AQ227"/>
    <mergeCell ref="AM228:AQ228"/>
    <mergeCell ref="E250:F250"/>
    <mergeCell ref="I250:J250"/>
    <mergeCell ref="O250:P250"/>
    <mergeCell ref="S250:T250"/>
    <mergeCell ref="U250:V250"/>
    <mergeCell ref="AA250:AB250"/>
    <mergeCell ref="W227:X227"/>
    <mergeCell ref="Z227:AA227"/>
    <mergeCell ref="AC227:AD227"/>
    <mergeCell ref="AF227:AG227"/>
    <mergeCell ref="AI227:AJ227"/>
    <mergeCell ref="AK227:AL227"/>
    <mergeCell ref="AC226:AD226"/>
    <mergeCell ref="AF226:AG226"/>
    <mergeCell ref="AI226:AJ226"/>
    <mergeCell ref="Z226:AA226"/>
    <mergeCell ref="AE223:AE225"/>
    <mergeCell ref="W225:X225"/>
    <mergeCell ref="Z225:AA225"/>
    <mergeCell ref="W250:X250"/>
    <mergeCell ref="AG250:AH250"/>
    <mergeCell ref="AK250:AL250"/>
    <mergeCell ref="Q223:R224"/>
    <mergeCell ref="S223:S225"/>
    <mergeCell ref="T223:U224"/>
    <mergeCell ref="V223:V225"/>
    <mergeCell ref="T225:U225"/>
    <mergeCell ref="A227:B227"/>
    <mergeCell ref="E227:F227"/>
    <mergeCell ref="H227:I227"/>
    <mergeCell ref="K227:L227"/>
    <mergeCell ref="N227:O227"/>
    <mergeCell ref="Q227:R227"/>
    <mergeCell ref="T227:U227"/>
    <mergeCell ref="DF219:DG219"/>
    <mergeCell ref="DI219:DJ219"/>
    <mergeCell ref="C223:C225"/>
    <mergeCell ref="D223:D225"/>
    <mergeCell ref="E223:F224"/>
    <mergeCell ref="G223:G225"/>
    <mergeCell ref="H223:I224"/>
    <mergeCell ref="J223:J225"/>
    <mergeCell ref="K223:L224"/>
    <mergeCell ref="M223:M225"/>
    <mergeCell ref="CM219:CN219"/>
    <mergeCell ref="CQ219:CR219"/>
    <mergeCell ref="CT219:CU219"/>
    <mergeCell ref="CW219:CX219"/>
    <mergeCell ref="DA219:DB219"/>
    <mergeCell ref="DC219:DD219"/>
    <mergeCell ref="BH225:BI225"/>
    <mergeCell ref="E226:F226"/>
    <mergeCell ref="H226:I226"/>
    <mergeCell ref="K226:L226"/>
    <mergeCell ref="BB225:BC225"/>
    <mergeCell ref="DL217:DO217"/>
    <mergeCell ref="CM218:CN218"/>
    <mergeCell ref="CQ218:CR218"/>
    <mergeCell ref="CT218:CU218"/>
    <mergeCell ref="CW218:CX218"/>
    <mergeCell ref="DA218:DB218"/>
    <mergeCell ref="DC218:DD218"/>
    <mergeCell ref="DF218:DG218"/>
    <mergeCell ref="DI218:DJ218"/>
    <mergeCell ref="AV219:AW219"/>
    <mergeCell ref="AZ219:BA219"/>
    <mergeCell ref="BC219:BD219"/>
    <mergeCell ref="BF219:BG219"/>
    <mergeCell ref="BJ219:BK219"/>
    <mergeCell ref="BL219:BM219"/>
    <mergeCell ref="AV218:AW218"/>
    <mergeCell ref="DF216:DG216"/>
    <mergeCell ref="DI216:DJ216"/>
    <mergeCell ref="CM217:CN217"/>
    <mergeCell ref="CQ217:CR217"/>
    <mergeCell ref="CT217:CU217"/>
    <mergeCell ref="CW217:CX217"/>
    <mergeCell ref="DA217:DB217"/>
    <mergeCell ref="DC217:DD217"/>
    <mergeCell ref="DF217:DG217"/>
    <mergeCell ref="DI217:DJ217"/>
    <mergeCell ref="CM216:CN216"/>
    <mergeCell ref="CQ216:CR216"/>
    <mergeCell ref="CT216:CU216"/>
    <mergeCell ref="CW216:CX216"/>
    <mergeCell ref="DA216:DB216"/>
    <mergeCell ref="DC216:DD216"/>
    <mergeCell ref="DF214:DG214"/>
    <mergeCell ref="DI214:DJ214"/>
    <mergeCell ref="CM215:CN215"/>
    <mergeCell ref="CQ215:CR215"/>
    <mergeCell ref="CT215:CU215"/>
    <mergeCell ref="CW215:CX215"/>
    <mergeCell ref="DA215:DB215"/>
    <mergeCell ref="DC215:DD215"/>
    <mergeCell ref="DF215:DG215"/>
    <mergeCell ref="DI215:DJ215"/>
    <mergeCell ref="CM214:CN214"/>
    <mergeCell ref="CQ214:CR214"/>
    <mergeCell ref="CT214:CU214"/>
    <mergeCell ref="CW214:CX214"/>
    <mergeCell ref="DA214:DB214"/>
    <mergeCell ref="DC214:DD214"/>
    <mergeCell ref="DF212:DG212"/>
    <mergeCell ref="DI212:DJ212"/>
    <mergeCell ref="CM213:CN213"/>
    <mergeCell ref="CQ213:CR213"/>
    <mergeCell ref="CT213:CU213"/>
    <mergeCell ref="CW213:CX213"/>
    <mergeCell ref="DA213:DB213"/>
    <mergeCell ref="DC213:DD213"/>
    <mergeCell ref="DF213:DG213"/>
    <mergeCell ref="DI213:DJ213"/>
    <mergeCell ref="CM212:CN212"/>
    <mergeCell ref="CQ212:CR212"/>
    <mergeCell ref="CT212:CU212"/>
    <mergeCell ref="CW212:CX212"/>
    <mergeCell ref="DA212:DB212"/>
    <mergeCell ref="DC212:DD212"/>
    <mergeCell ref="DF210:DG210"/>
    <mergeCell ref="DI210:DJ210"/>
    <mergeCell ref="CM211:CN211"/>
    <mergeCell ref="CQ211:CR211"/>
    <mergeCell ref="CT211:CU211"/>
    <mergeCell ref="CW211:CX211"/>
    <mergeCell ref="DA211:DB211"/>
    <mergeCell ref="DC211:DD211"/>
    <mergeCell ref="DF211:DG211"/>
    <mergeCell ref="DI211:DJ211"/>
    <mergeCell ref="CM210:CN210"/>
    <mergeCell ref="CQ210:CR210"/>
    <mergeCell ref="CT210:CU210"/>
    <mergeCell ref="CW210:CX210"/>
    <mergeCell ref="DA210:DB210"/>
    <mergeCell ref="DC210:DD210"/>
    <mergeCell ref="DI208:DJ208"/>
    <mergeCell ref="CM209:CN209"/>
    <mergeCell ref="CQ209:CR209"/>
    <mergeCell ref="CT209:CU209"/>
    <mergeCell ref="CW209:CX209"/>
    <mergeCell ref="DA209:DB209"/>
    <mergeCell ref="DC209:DD209"/>
    <mergeCell ref="DF209:DG209"/>
    <mergeCell ref="DI209:DJ209"/>
    <mergeCell ref="DF207:DG207"/>
    <mergeCell ref="DI207:DJ207"/>
    <mergeCell ref="CM204:CN204"/>
    <mergeCell ref="CM208:CN208"/>
    <mergeCell ref="CQ208:CR208"/>
    <mergeCell ref="CT208:CU208"/>
    <mergeCell ref="CW208:CX208"/>
    <mergeCell ref="DA208:DB208"/>
    <mergeCell ref="DC208:DD208"/>
    <mergeCell ref="DF208:DG208"/>
    <mergeCell ref="CM207:CN207"/>
    <mergeCell ref="CQ207:CR207"/>
    <mergeCell ref="CT207:CU207"/>
    <mergeCell ref="CW207:CX207"/>
    <mergeCell ref="DA207:DB207"/>
    <mergeCell ref="DC207:DD207"/>
    <mergeCell ref="CQ204:CR204"/>
    <mergeCell ref="CW204:CX204"/>
    <mergeCell ref="DA204:DB204"/>
    <mergeCell ref="DC204:DD204"/>
    <mergeCell ref="DF204:DG204"/>
    <mergeCell ref="DI202:DJ202"/>
    <mergeCell ref="DI203:DJ203"/>
    <mergeCell ref="DI204:DJ204"/>
    <mergeCell ref="CM203:CN203"/>
    <mergeCell ref="CQ203:CR203"/>
    <mergeCell ref="CW203:CX203"/>
    <mergeCell ref="DA203:DB203"/>
    <mergeCell ref="DC203:DD203"/>
    <mergeCell ref="DF203:DG203"/>
    <mergeCell ref="DI201:DJ201"/>
    <mergeCell ref="CM200:CN200"/>
    <mergeCell ref="CQ200:CR200"/>
    <mergeCell ref="CM202:CN202"/>
    <mergeCell ref="CQ202:CR202"/>
    <mergeCell ref="CW202:CX202"/>
    <mergeCell ref="DA202:DB202"/>
    <mergeCell ref="DC202:DD202"/>
    <mergeCell ref="DF202:DG202"/>
    <mergeCell ref="CM201:CN201"/>
    <mergeCell ref="CQ201:CR201"/>
    <mergeCell ref="CW201:CX201"/>
    <mergeCell ref="DA201:DB201"/>
    <mergeCell ref="DC201:DD201"/>
    <mergeCell ref="DF201:DG201"/>
    <mergeCell ref="CW200:CX200"/>
    <mergeCell ref="DA200:DB200"/>
    <mergeCell ref="DC200:DD200"/>
    <mergeCell ref="DF200:DG200"/>
    <mergeCell ref="DI198:DJ198"/>
    <mergeCell ref="DL198:DO198"/>
    <mergeCell ref="DI199:DJ199"/>
    <mergeCell ref="DI200:DJ200"/>
    <mergeCell ref="CM199:CN199"/>
    <mergeCell ref="CQ199:CR199"/>
    <mergeCell ref="CW199:CX199"/>
    <mergeCell ref="DA199:DB199"/>
    <mergeCell ref="DC199:DD199"/>
    <mergeCell ref="DF199:DG199"/>
    <mergeCell ref="CM198:CN198"/>
    <mergeCell ref="CQ198:CR198"/>
    <mergeCell ref="CW198:CX198"/>
    <mergeCell ref="DA198:DB198"/>
    <mergeCell ref="DC198:DD198"/>
    <mergeCell ref="DF198:DG198"/>
    <mergeCell ref="DI196:DJ196"/>
    <mergeCell ref="CM197:CN197"/>
    <mergeCell ref="CQ197:CR197"/>
    <mergeCell ref="CW197:CX197"/>
    <mergeCell ref="DA197:DB197"/>
    <mergeCell ref="DC197:DD197"/>
    <mergeCell ref="DF197:DG197"/>
    <mergeCell ref="DI197:DJ197"/>
    <mergeCell ref="CM196:CN196"/>
    <mergeCell ref="CQ196:CR196"/>
    <mergeCell ref="CW196:CX196"/>
    <mergeCell ref="DA196:DB196"/>
    <mergeCell ref="DC196:DD196"/>
    <mergeCell ref="DF196:DG196"/>
    <mergeCell ref="DI194:DJ194"/>
    <mergeCell ref="CM195:CN195"/>
    <mergeCell ref="CQ195:CR195"/>
    <mergeCell ref="CW195:CX195"/>
    <mergeCell ref="DA195:DB195"/>
    <mergeCell ref="DC195:DD195"/>
    <mergeCell ref="DF195:DG195"/>
    <mergeCell ref="DI195:DJ195"/>
    <mergeCell ref="CM194:CN194"/>
    <mergeCell ref="CQ194:CR194"/>
    <mergeCell ref="CW194:CX194"/>
    <mergeCell ref="DA194:DB194"/>
    <mergeCell ref="DC194:DD194"/>
    <mergeCell ref="DF194:DG194"/>
    <mergeCell ref="DI192:DJ192"/>
    <mergeCell ref="CM193:CN193"/>
    <mergeCell ref="CQ193:CR193"/>
    <mergeCell ref="CW193:CX193"/>
    <mergeCell ref="DA193:DB193"/>
    <mergeCell ref="DC193:DD193"/>
    <mergeCell ref="DF193:DG193"/>
    <mergeCell ref="DI193:DJ193"/>
    <mergeCell ref="CM192:CN192"/>
    <mergeCell ref="CQ192:CR192"/>
    <mergeCell ref="CW192:CX192"/>
    <mergeCell ref="DA192:DB192"/>
    <mergeCell ref="DC192:DD192"/>
    <mergeCell ref="DF192:DG192"/>
    <mergeCell ref="DI190:DJ190"/>
    <mergeCell ref="CM191:CN191"/>
    <mergeCell ref="CQ191:CR191"/>
    <mergeCell ref="CW191:CX191"/>
    <mergeCell ref="DA191:DB191"/>
    <mergeCell ref="DC191:DD191"/>
    <mergeCell ref="DF191:DG191"/>
    <mergeCell ref="DI191:DJ191"/>
    <mergeCell ref="CM190:CN190"/>
    <mergeCell ref="CQ190:CR190"/>
    <mergeCell ref="CW190:CX190"/>
    <mergeCell ref="DA190:DB190"/>
    <mergeCell ref="DC190:DD190"/>
    <mergeCell ref="DF190:DG190"/>
    <mergeCell ref="DI188:DJ188"/>
    <mergeCell ref="CM189:CN189"/>
    <mergeCell ref="CQ189:CR189"/>
    <mergeCell ref="CW189:CX189"/>
    <mergeCell ref="DA189:DB189"/>
    <mergeCell ref="DC189:DD189"/>
    <mergeCell ref="DF189:DG189"/>
    <mergeCell ref="DI189:DJ189"/>
    <mergeCell ref="DS165:DT165"/>
    <mergeCell ref="DU165:DY165"/>
    <mergeCell ref="DU166:DY166"/>
    <mergeCell ref="CM188:CN188"/>
    <mergeCell ref="CQ188:CR188"/>
    <mergeCell ref="CW188:CX188"/>
    <mergeCell ref="DA188:DB188"/>
    <mergeCell ref="DC188:DD188"/>
    <mergeCell ref="DF188:DG188"/>
    <mergeCell ref="CY165:CZ165"/>
    <mergeCell ref="DB165:DC165"/>
    <mergeCell ref="DE165:DF165"/>
    <mergeCell ref="DH165:DI165"/>
    <mergeCell ref="DK165:DL165"/>
    <mergeCell ref="DN165:DO165"/>
    <mergeCell ref="DE164:DF164"/>
    <mergeCell ref="DH164:DI164"/>
    <mergeCell ref="DK164:DL164"/>
    <mergeCell ref="DN164:DO164"/>
    <mergeCell ref="DQ164:DR164"/>
    <mergeCell ref="CI165:CJ165"/>
    <mergeCell ref="CM165:CN165"/>
    <mergeCell ref="CP165:CQ165"/>
    <mergeCell ref="CS165:CT165"/>
    <mergeCell ref="CV165:CW165"/>
    <mergeCell ref="CM164:CN164"/>
    <mergeCell ref="CP164:CQ164"/>
    <mergeCell ref="CS164:CT164"/>
    <mergeCell ref="CV164:CW164"/>
    <mergeCell ref="CY164:CZ164"/>
    <mergeCell ref="DB164:DC164"/>
    <mergeCell ref="DK161:DL162"/>
    <mergeCell ref="DM161:DM163"/>
    <mergeCell ref="DN161:DO162"/>
    <mergeCell ref="DP161:DP163"/>
    <mergeCell ref="DQ161:DR162"/>
    <mergeCell ref="DK163:DL163"/>
    <mergeCell ref="DN163:DO163"/>
    <mergeCell ref="DQ163:DR163"/>
    <mergeCell ref="DB161:DC162"/>
    <mergeCell ref="DD161:DD163"/>
    <mergeCell ref="DE161:DF162"/>
    <mergeCell ref="DG161:DG163"/>
    <mergeCell ref="DH161:DI162"/>
    <mergeCell ref="DJ161:DJ163"/>
    <mergeCell ref="DB163:DC163"/>
    <mergeCell ref="DE163:DF163"/>
    <mergeCell ref="DH163:DI163"/>
    <mergeCell ref="CS161:CT162"/>
    <mergeCell ref="CU161:CU163"/>
    <mergeCell ref="CV161:CW162"/>
    <mergeCell ref="CX161:CX163"/>
    <mergeCell ref="CY161:CZ162"/>
    <mergeCell ref="DA161:DA163"/>
    <mergeCell ref="CS163:CT163"/>
    <mergeCell ref="CV163:CW163"/>
    <mergeCell ref="CY163:CZ163"/>
    <mergeCell ref="CK161:CK163"/>
    <mergeCell ref="CL161:CL163"/>
    <mergeCell ref="CM161:CN162"/>
    <mergeCell ref="CO161:CO163"/>
    <mergeCell ref="CP161:CQ162"/>
    <mergeCell ref="CR161:CR163"/>
    <mergeCell ref="CM163:CN163"/>
    <mergeCell ref="CP163:CQ163"/>
    <mergeCell ref="BR219:BS219"/>
    <mergeCell ref="BU217:BX217"/>
    <mergeCell ref="BR214:BS214"/>
    <mergeCell ref="BR210:BS210"/>
    <mergeCell ref="BR207:BS207"/>
    <mergeCell ref="BR202:BS202"/>
    <mergeCell ref="BR203:BS203"/>
    <mergeCell ref="BR204:BS204"/>
    <mergeCell ref="BR198:BS198"/>
    <mergeCell ref="BU198:BX198"/>
    <mergeCell ref="BR199:BS199"/>
    <mergeCell ref="BR194:BS194"/>
    <mergeCell ref="BR190:BS190"/>
    <mergeCell ref="BZ165:CA165"/>
    <mergeCell ref="CB165:CC165"/>
    <mergeCell ref="CD165:CH165"/>
    <mergeCell ref="CD166:CH166"/>
    <mergeCell ref="BT161:BU162"/>
    <mergeCell ref="BV161:BV163"/>
    <mergeCell ref="BC218:BD218"/>
    <mergeCell ref="BF218:BG218"/>
    <mergeCell ref="BJ218:BK218"/>
    <mergeCell ref="BL218:BM218"/>
    <mergeCell ref="BR218:BS218"/>
    <mergeCell ref="BR216:BS216"/>
    <mergeCell ref="AV217:AW217"/>
    <mergeCell ref="AZ217:BA217"/>
    <mergeCell ref="BC217:BD217"/>
    <mergeCell ref="BF217:BG217"/>
    <mergeCell ref="BJ217:BK217"/>
    <mergeCell ref="BL217:BM217"/>
    <mergeCell ref="BR217:BS217"/>
    <mergeCell ref="AV216:AW216"/>
    <mergeCell ref="AZ216:BA216"/>
    <mergeCell ref="BC216:BD216"/>
    <mergeCell ref="BF216:BG216"/>
    <mergeCell ref="BJ216:BK216"/>
    <mergeCell ref="BL216:BM216"/>
    <mergeCell ref="AV215:AW215"/>
    <mergeCell ref="AZ215:BA215"/>
    <mergeCell ref="BC215:BD215"/>
    <mergeCell ref="BF215:BG215"/>
    <mergeCell ref="BJ215:BK215"/>
    <mergeCell ref="BL215:BM215"/>
    <mergeCell ref="BR215:BS215"/>
    <mergeCell ref="AV214:AW214"/>
    <mergeCell ref="AZ214:BA214"/>
    <mergeCell ref="BC214:BD214"/>
    <mergeCell ref="BF214:BG214"/>
    <mergeCell ref="BJ214:BK214"/>
    <mergeCell ref="BL214:BM214"/>
    <mergeCell ref="BR212:BS212"/>
    <mergeCell ref="AV213:AW213"/>
    <mergeCell ref="AZ213:BA213"/>
    <mergeCell ref="BC213:BD213"/>
    <mergeCell ref="BF213:BG213"/>
    <mergeCell ref="BJ213:BK213"/>
    <mergeCell ref="BL213:BM213"/>
    <mergeCell ref="BR213:BS213"/>
    <mergeCell ref="AV212:AW212"/>
    <mergeCell ref="AZ212:BA212"/>
    <mergeCell ref="BC212:BD212"/>
    <mergeCell ref="BF212:BG212"/>
    <mergeCell ref="BJ212:BK212"/>
    <mergeCell ref="BL212:BM212"/>
    <mergeCell ref="AV211:AW211"/>
    <mergeCell ref="AZ211:BA211"/>
    <mergeCell ref="BC211:BD211"/>
    <mergeCell ref="BF211:BG211"/>
    <mergeCell ref="BJ211:BK211"/>
    <mergeCell ref="BL211:BM211"/>
    <mergeCell ref="BR211:BS211"/>
    <mergeCell ref="AV210:AW210"/>
    <mergeCell ref="AZ210:BA210"/>
    <mergeCell ref="BC210:BD210"/>
    <mergeCell ref="BF210:BG210"/>
    <mergeCell ref="BJ210:BK210"/>
    <mergeCell ref="BL210:BM210"/>
    <mergeCell ref="BR208:BS208"/>
    <mergeCell ref="AV209:AW209"/>
    <mergeCell ref="AZ209:BA209"/>
    <mergeCell ref="BC209:BD209"/>
    <mergeCell ref="BF209:BG209"/>
    <mergeCell ref="BJ209:BK209"/>
    <mergeCell ref="BL209:BM209"/>
    <mergeCell ref="BR209:BS209"/>
    <mergeCell ref="AV204:AW204"/>
    <mergeCell ref="AV208:AW208"/>
    <mergeCell ref="AZ208:BA208"/>
    <mergeCell ref="BC208:BD208"/>
    <mergeCell ref="BF208:BG208"/>
    <mergeCell ref="BJ208:BK208"/>
    <mergeCell ref="BL208:BM208"/>
    <mergeCell ref="AV207:AW207"/>
    <mergeCell ref="AZ207:BA207"/>
    <mergeCell ref="BC207:BD207"/>
    <mergeCell ref="BF207:BG207"/>
    <mergeCell ref="BJ207:BK207"/>
    <mergeCell ref="BL207:BM207"/>
    <mergeCell ref="AZ204:BA204"/>
    <mergeCell ref="BF204:BG204"/>
    <mergeCell ref="BJ204:BK204"/>
    <mergeCell ref="BL204:BM204"/>
    <mergeCell ref="AV203:AW203"/>
    <mergeCell ref="AZ203:BA203"/>
    <mergeCell ref="BF203:BG203"/>
    <mergeCell ref="BJ203:BK203"/>
    <mergeCell ref="BL203:BM203"/>
    <mergeCell ref="BR201:BS201"/>
    <mergeCell ref="AV200:AW200"/>
    <mergeCell ref="AZ200:BA200"/>
    <mergeCell ref="AV202:AW202"/>
    <mergeCell ref="AZ202:BA202"/>
    <mergeCell ref="BF202:BG202"/>
    <mergeCell ref="BJ202:BK202"/>
    <mergeCell ref="BL202:BM202"/>
    <mergeCell ref="AV201:AW201"/>
    <mergeCell ref="AZ201:BA201"/>
    <mergeCell ref="BF201:BG201"/>
    <mergeCell ref="BJ201:BK201"/>
    <mergeCell ref="BL201:BM201"/>
    <mergeCell ref="BF200:BG200"/>
    <mergeCell ref="BJ200:BK200"/>
    <mergeCell ref="BL200:BM200"/>
    <mergeCell ref="BR200:BS200"/>
    <mergeCell ref="AV199:AW199"/>
    <mergeCell ref="AZ199:BA199"/>
    <mergeCell ref="BF199:BG199"/>
    <mergeCell ref="BJ199:BK199"/>
    <mergeCell ref="BL199:BM199"/>
    <mergeCell ref="AV198:AW198"/>
    <mergeCell ref="AZ198:BA198"/>
    <mergeCell ref="BF198:BG198"/>
    <mergeCell ref="BJ198:BK198"/>
    <mergeCell ref="BL198:BM198"/>
    <mergeCell ref="BR196:BS196"/>
    <mergeCell ref="AV197:AW197"/>
    <mergeCell ref="AZ197:BA197"/>
    <mergeCell ref="BF197:BG197"/>
    <mergeCell ref="BJ197:BK197"/>
    <mergeCell ref="BL197:BM197"/>
    <mergeCell ref="BR197:BS197"/>
    <mergeCell ref="AV196:AW196"/>
    <mergeCell ref="AZ196:BA196"/>
    <mergeCell ref="BF196:BG196"/>
    <mergeCell ref="BJ196:BK196"/>
    <mergeCell ref="BL196:BM196"/>
    <mergeCell ref="AV195:AW195"/>
    <mergeCell ref="AZ195:BA195"/>
    <mergeCell ref="BF195:BG195"/>
    <mergeCell ref="BJ195:BK195"/>
    <mergeCell ref="BL195:BM195"/>
    <mergeCell ref="BR195:BS195"/>
    <mergeCell ref="AV194:AW194"/>
    <mergeCell ref="AZ194:BA194"/>
    <mergeCell ref="BF194:BG194"/>
    <mergeCell ref="BJ194:BK194"/>
    <mergeCell ref="BL194:BM194"/>
    <mergeCell ref="BR192:BS192"/>
    <mergeCell ref="AV193:AW193"/>
    <mergeCell ref="AZ193:BA193"/>
    <mergeCell ref="BF193:BG193"/>
    <mergeCell ref="BJ193:BK193"/>
    <mergeCell ref="BL193:BM193"/>
    <mergeCell ref="BR193:BS193"/>
    <mergeCell ref="AV192:AW192"/>
    <mergeCell ref="AZ192:BA192"/>
    <mergeCell ref="BF192:BG192"/>
    <mergeCell ref="BJ192:BK192"/>
    <mergeCell ref="BL192:BM192"/>
    <mergeCell ref="AV191:AW191"/>
    <mergeCell ref="AZ191:BA191"/>
    <mergeCell ref="BF191:BG191"/>
    <mergeCell ref="BJ191:BK191"/>
    <mergeCell ref="BL191:BM191"/>
    <mergeCell ref="BR191:BS191"/>
    <mergeCell ref="AV190:AW190"/>
    <mergeCell ref="AZ190:BA190"/>
    <mergeCell ref="BF190:BG190"/>
    <mergeCell ref="BJ190:BK190"/>
    <mergeCell ref="BL190:BM190"/>
    <mergeCell ref="BR188:BS188"/>
    <mergeCell ref="AV189:AW189"/>
    <mergeCell ref="AZ189:BA189"/>
    <mergeCell ref="BF189:BG189"/>
    <mergeCell ref="BJ189:BK189"/>
    <mergeCell ref="BL189:BM189"/>
    <mergeCell ref="BR189:BS189"/>
    <mergeCell ref="AV188:AW188"/>
    <mergeCell ref="AZ188:BA188"/>
    <mergeCell ref="BF188:BG188"/>
    <mergeCell ref="BJ188:BK188"/>
    <mergeCell ref="BL188:BM188"/>
    <mergeCell ref="BH165:BI165"/>
    <mergeCell ref="BK165:BL165"/>
    <mergeCell ref="BN165:BO165"/>
    <mergeCell ref="BQ165:BR165"/>
    <mergeCell ref="BT165:BU165"/>
    <mergeCell ref="BW165:BX165"/>
    <mergeCell ref="BN164:BO164"/>
    <mergeCell ref="BQ164:BR164"/>
    <mergeCell ref="BT164:BU164"/>
    <mergeCell ref="BW164:BX164"/>
    <mergeCell ref="BZ164:CA164"/>
    <mergeCell ref="AR165:AS165"/>
    <mergeCell ref="AV165:AW165"/>
    <mergeCell ref="AY165:AZ165"/>
    <mergeCell ref="BB165:BC165"/>
    <mergeCell ref="BE165:BF165"/>
    <mergeCell ref="AV164:AW164"/>
    <mergeCell ref="AY164:AZ164"/>
    <mergeCell ref="BB164:BC164"/>
    <mergeCell ref="BE164:BF164"/>
    <mergeCell ref="BH164:BI164"/>
    <mergeCell ref="BK164:BL164"/>
    <mergeCell ref="BW161:BX162"/>
    <mergeCell ref="BY161:BY163"/>
    <mergeCell ref="BZ161:CA162"/>
    <mergeCell ref="CD161:CH161"/>
    <mergeCell ref="CD162:CH162"/>
    <mergeCell ref="BT163:BU163"/>
    <mergeCell ref="BW163:BX163"/>
    <mergeCell ref="BZ163:CA163"/>
    <mergeCell ref="BK161:BL162"/>
    <mergeCell ref="BM161:BM163"/>
    <mergeCell ref="BN161:BO162"/>
    <mergeCell ref="BP161:BP163"/>
    <mergeCell ref="BQ161:BR162"/>
    <mergeCell ref="BS161:BS163"/>
    <mergeCell ref="BK163:BL163"/>
    <mergeCell ref="BN163:BO163"/>
    <mergeCell ref="BQ163:BR163"/>
    <mergeCell ref="BB161:BC162"/>
    <mergeCell ref="BD161:BD163"/>
    <mergeCell ref="BE161:BF162"/>
    <mergeCell ref="BG161:BG163"/>
    <mergeCell ref="BH161:BI162"/>
    <mergeCell ref="BJ161:BJ163"/>
    <mergeCell ref="BB163:BC163"/>
    <mergeCell ref="BE163:BF163"/>
    <mergeCell ref="BH163:BI163"/>
    <mergeCell ref="AT161:AT163"/>
    <mergeCell ref="AU161:AU163"/>
    <mergeCell ref="AV161:AW162"/>
    <mergeCell ref="AX161:AX163"/>
    <mergeCell ref="AY161:AZ162"/>
    <mergeCell ref="BA161:BA163"/>
    <mergeCell ref="AV163:AW163"/>
    <mergeCell ref="AY163:AZ163"/>
    <mergeCell ref="HY59:HZ59"/>
    <mergeCell ref="IB59:IC59"/>
    <mergeCell ref="HF59:HG59"/>
    <mergeCell ref="HJ59:HK59"/>
    <mergeCell ref="HM59:HN59"/>
    <mergeCell ref="HP59:HQ59"/>
    <mergeCell ref="HS59:HT59"/>
    <mergeCell ref="HV59:HW59"/>
    <mergeCell ref="GH59:GI59"/>
    <mergeCell ref="GK59:GL59"/>
    <mergeCell ref="CM77:CN77"/>
    <mergeCell ref="CQ77:CR77"/>
    <mergeCell ref="CM78:CN78"/>
    <mergeCell ref="CQ78:CR78"/>
    <mergeCell ref="CQ68:CR68"/>
    <mergeCell ref="CM69:CN69"/>
    <mergeCell ref="CQ69:CR69"/>
    <mergeCell ref="CQ73:CR73"/>
    <mergeCell ref="CM64:CN64"/>
    <mergeCell ref="CQ64:CR64"/>
    <mergeCell ref="CM65:CN65"/>
    <mergeCell ref="CQ65:CR65"/>
    <mergeCell ref="CM66:CN66"/>
    <mergeCell ref="CQ66:CR66"/>
    <mergeCell ref="CM59:CN59"/>
    <mergeCell ref="CQ59:CR59"/>
    <mergeCell ref="CM62:CN62"/>
    <mergeCell ref="CQ62:CR62"/>
    <mergeCell ref="CM63:CN63"/>
    <mergeCell ref="CQ63:CR63"/>
    <mergeCell ref="CM60:CN60"/>
    <mergeCell ref="CM61:CN61"/>
    <mergeCell ref="IE57:IH57"/>
    <mergeCell ref="HF58:HG58"/>
    <mergeCell ref="HJ58:HK58"/>
    <mergeCell ref="HM58:HN58"/>
    <mergeCell ref="HP58:HQ58"/>
    <mergeCell ref="HS58:HT58"/>
    <mergeCell ref="HV58:HW58"/>
    <mergeCell ref="HY58:HZ58"/>
    <mergeCell ref="IB58:IC58"/>
    <mergeCell ref="HY56:HZ56"/>
    <mergeCell ref="IB56:IC56"/>
    <mergeCell ref="HF57:HG57"/>
    <mergeCell ref="HJ57:HK57"/>
    <mergeCell ref="HM57:HN57"/>
    <mergeCell ref="HP57:HQ57"/>
    <mergeCell ref="HS57:HT57"/>
    <mergeCell ref="HV57:HW57"/>
    <mergeCell ref="HY57:HZ57"/>
    <mergeCell ref="IB57:IC57"/>
    <mergeCell ref="HF56:HG56"/>
    <mergeCell ref="HJ56:HK56"/>
    <mergeCell ref="HM56:HN56"/>
    <mergeCell ref="HP56:HQ56"/>
    <mergeCell ref="HS56:HT56"/>
    <mergeCell ref="HV56:HW56"/>
    <mergeCell ref="HY54:HZ54"/>
    <mergeCell ref="IB54:IC54"/>
    <mergeCell ref="HF55:HG55"/>
    <mergeCell ref="HJ55:HK55"/>
    <mergeCell ref="HM55:HN55"/>
    <mergeCell ref="HP55:HQ55"/>
    <mergeCell ref="HS55:HT55"/>
    <mergeCell ref="HV55:HW55"/>
    <mergeCell ref="HY55:HZ55"/>
    <mergeCell ref="IB55:IC55"/>
    <mergeCell ref="HF54:HG54"/>
    <mergeCell ref="HJ54:HK54"/>
    <mergeCell ref="HM54:HN54"/>
    <mergeCell ref="HP54:HQ54"/>
    <mergeCell ref="HS54:HT54"/>
    <mergeCell ref="HV54:HW54"/>
    <mergeCell ref="HY52:HZ52"/>
    <mergeCell ref="IB52:IC52"/>
    <mergeCell ref="HF53:HG53"/>
    <mergeCell ref="HJ53:HK53"/>
    <mergeCell ref="HM53:HN53"/>
    <mergeCell ref="HP53:HQ53"/>
    <mergeCell ref="HS53:HT53"/>
    <mergeCell ref="HV53:HW53"/>
    <mergeCell ref="HY53:HZ53"/>
    <mergeCell ref="IB53:IC53"/>
    <mergeCell ref="HF52:HG52"/>
    <mergeCell ref="HJ52:HK52"/>
    <mergeCell ref="HM52:HN52"/>
    <mergeCell ref="HP52:HQ52"/>
    <mergeCell ref="HS52:HT52"/>
    <mergeCell ref="HV52:HW52"/>
    <mergeCell ref="HY50:HZ50"/>
    <mergeCell ref="IB50:IC50"/>
    <mergeCell ref="HF51:HG51"/>
    <mergeCell ref="HJ51:HK51"/>
    <mergeCell ref="HM51:HN51"/>
    <mergeCell ref="HP51:HQ51"/>
    <mergeCell ref="HS51:HT51"/>
    <mergeCell ref="HV51:HW51"/>
    <mergeCell ref="HY51:HZ51"/>
    <mergeCell ref="IB51:IC51"/>
    <mergeCell ref="HF50:HG50"/>
    <mergeCell ref="HJ50:HK50"/>
    <mergeCell ref="HM50:HN50"/>
    <mergeCell ref="HP50:HQ50"/>
    <mergeCell ref="HS50:HT50"/>
    <mergeCell ref="HV50:HW50"/>
    <mergeCell ref="IB48:IC48"/>
    <mergeCell ref="HF49:HG49"/>
    <mergeCell ref="HJ49:HK49"/>
    <mergeCell ref="HM49:HN49"/>
    <mergeCell ref="HP49:HQ49"/>
    <mergeCell ref="HS49:HT49"/>
    <mergeCell ref="HV49:HW49"/>
    <mergeCell ref="HY49:HZ49"/>
    <mergeCell ref="IB49:IC49"/>
    <mergeCell ref="HY47:HZ47"/>
    <mergeCell ref="IB47:IC47"/>
    <mergeCell ref="HF44:HG44"/>
    <mergeCell ref="HF48:HG48"/>
    <mergeCell ref="HJ48:HK48"/>
    <mergeCell ref="HM48:HN48"/>
    <mergeCell ref="HP48:HQ48"/>
    <mergeCell ref="HS48:HT48"/>
    <mergeCell ref="HV48:HW48"/>
    <mergeCell ref="HY48:HZ48"/>
    <mergeCell ref="HF47:HG47"/>
    <mergeCell ref="HJ47:HK47"/>
    <mergeCell ref="HM47:HN47"/>
    <mergeCell ref="HP47:HQ47"/>
    <mergeCell ref="HS47:HT47"/>
    <mergeCell ref="HV47:HW47"/>
    <mergeCell ref="HJ44:HK44"/>
    <mergeCell ref="HP44:HQ44"/>
    <mergeCell ref="HS44:HT44"/>
    <mergeCell ref="HV44:HW44"/>
    <mergeCell ref="HY44:HZ44"/>
    <mergeCell ref="IB42:IC42"/>
    <mergeCell ref="IB43:IC43"/>
    <mergeCell ref="IB44:IC44"/>
    <mergeCell ref="HF43:HG43"/>
    <mergeCell ref="HJ43:HK43"/>
    <mergeCell ref="HP43:HQ43"/>
    <mergeCell ref="HS43:HT43"/>
    <mergeCell ref="HV43:HW43"/>
    <mergeCell ref="HY43:HZ43"/>
    <mergeCell ref="HF42:HG42"/>
    <mergeCell ref="HJ42:HK42"/>
    <mergeCell ref="HP42:HQ42"/>
    <mergeCell ref="HS42:HT42"/>
    <mergeCell ref="HV42:HW42"/>
    <mergeCell ref="HY42:HZ42"/>
    <mergeCell ref="IB40:IC40"/>
    <mergeCell ref="HF41:HG41"/>
    <mergeCell ref="HJ41:HK41"/>
    <mergeCell ref="HP41:HQ41"/>
    <mergeCell ref="HS41:HT41"/>
    <mergeCell ref="HV41:HW41"/>
    <mergeCell ref="HY41:HZ41"/>
    <mergeCell ref="IB41:IC41"/>
    <mergeCell ref="HF40:HG40"/>
    <mergeCell ref="HJ40:HK40"/>
    <mergeCell ref="HP40:HQ40"/>
    <mergeCell ref="HS40:HT40"/>
    <mergeCell ref="HV40:HW40"/>
    <mergeCell ref="HY40:HZ40"/>
    <mergeCell ref="IE38:IH38"/>
    <mergeCell ref="HF39:HG39"/>
    <mergeCell ref="HJ39:HK39"/>
    <mergeCell ref="HP39:HQ39"/>
    <mergeCell ref="HS39:HT39"/>
    <mergeCell ref="HV39:HW39"/>
    <mergeCell ref="HY39:HZ39"/>
    <mergeCell ref="IB39:IC39"/>
    <mergeCell ref="IB37:IC37"/>
    <mergeCell ref="HF38:HG38"/>
    <mergeCell ref="HJ38:HK38"/>
    <mergeCell ref="HP38:HQ38"/>
    <mergeCell ref="HS38:HT38"/>
    <mergeCell ref="HV38:HW38"/>
    <mergeCell ref="HY38:HZ38"/>
    <mergeCell ref="IB38:IC38"/>
    <mergeCell ref="HF37:HG37"/>
    <mergeCell ref="HJ37:HK37"/>
    <mergeCell ref="HP37:HQ37"/>
    <mergeCell ref="HS37:HT37"/>
    <mergeCell ref="HV37:HW37"/>
    <mergeCell ref="HY37:HZ37"/>
    <mergeCell ref="IB35:IC35"/>
    <mergeCell ref="HF36:HG36"/>
    <mergeCell ref="HJ36:HK36"/>
    <mergeCell ref="HP36:HQ36"/>
    <mergeCell ref="HS36:HT36"/>
    <mergeCell ref="HV36:HW36"/>
    <mergeCell ref="HY36:HZ36"/>
    <mergeCell ref="IB36:IC36"/>
    <mergeCell ref="HF35:HG35"/>
    <mergeCell ref="HJ35:HK35"/>
    <mergeCell ref="HP35:HQ35"/>
    <mergeCell ref="HS35:HT35"/>
    <mergeCell ref="HV35:HW35"/>
    <mergeCell ref="HY35:HZ35"/>
    <mergeCell ref="IB33:IC33"/>
    <mergeCell ref="HF34:HG34"/>
    <mergeCell ref="HJ34:HK34"/>
    <mergeCell ref="HP34:HQ34"/>
    <mergeCell ref="HS34:HT34"/>
    <mergeCell ref="HV34:HW34"/>
    <mergeCell ref="HY34:HZ34"/>
    <mergeCell ref="IB34:IC34"/>
    <mergeCell ref="HF33:HG33"/>
    <mergeCell ref="HJ33:HK33"/>
    <mergeCell ref="HP33:HQ33"/>
    <mergeCell ref="HS33:HT33"/>
    <mergeCell ref="HV33:HW33"/>
    <mergeCell ref="HY33:HZ33"/>
    <mergeCell ref="HJ32:HK32"/>
    <mergeCell ref="HP32:HQ32"/>
    <mergeCell ref="HS32:HT32"/>
    <mergeCell ref="HV32:HW32"/>
    <mergeCell ref="HY32:HZ32"/>
    <mergeCell ref="IB32:IC32"/>
    <mergeCell ref="HJ31:HK31"/>
    <mergeCell ref="HP31:HQ31"/>
    <mergeCell ref="HS31:HT31"/>
    <mergeCell ref="HV31:HW31"/>
    <mergeCell ref="HY31:HZ31"/>
    <mergeCell ref="IB31:IC31"/>
    <mergeCell ref="HJ30:HK30"/>
    <mergeCell ref="HP30:HQ30"/>
    <mergeCell ref="HS30:HT30"/>
    <mergeCell ref="HV30:HW30"/>
    <mergeCell ref="HY30:HZ30"/>
    <mergeCell ref="IB30:IC30"/>
    <mergeCell ref="HJ29:HK29"/>
    <mergeCell ref="HP29:HQ29"/>
    <mergeCell ref="HS29:HT29"/>
    <mergeCell ref="HV29:HW29"/>
    <mergeCell ref="HY29:HZ29"/>
    <mergeCell ref="IB29:IC29"/>
    <mergeCell ref="IN6:IR6"/>
    <mergeCell ref="HF28:HG28"/>
    <mergeCell ref="HJ28:HK28"/>
    <mergeCell ref="HP28:HQ28"/>
    <mergeCell ref="HS28:HT28"/>
    <mergeCell ref="HV28:HW28"/>
    <mergeCell ref="HY28:HZ28"/>
    <mergeCell ref="IB28:IC28"/>
    <mergeCell ref="IA5:IB5"/>
    <mergeCell ref="ID5:IE5"/>
    <mergeCell ref="IG5:IH5"/>
    <mergeCell ref="IJ5:IK5"/>
    <mergeCell ref="IL5:IM5"/>
    <mergeCell ref="IN5:IR5"/>
    <mergeCell ref="HF29:HG29"/>
    <mergeCell ref="IG4:IH4"/>
    <mergeCell ref="IJ4:IK4"/>
    <mergeCell ref="HB5:HC5"/>
    <mergeCell ref="HF5:HG5"/>
    <mergeCell ref="HI5:HJ5"/>
    <mergeCell ref="HL5:HM5"/>
    <mergeCell ref="HO5:HP5"/>
    <mergeCell ref="HR5:HS5"/>
    <mergeCell ref="HU5:HV5"/>
    <mergeCell ref="HX5:HY5"/>
    <mergeCell ref="IJ3:IK3"/>
    <mergeCell ref="HF4:HG4"/>
    <mergeCell ref="HI4:HJ4"/>
    <mergeCell ref="HL4:HM4"/>
    <mergeCell ref="HO4:HP4"/>
    <mergeCell ref="HR4:HS4"/>
    <mergeCell ref="HU4:HV4"/>
    <mergeCell ref="HX4:HY4"/>
    <mergeCell ref="IA4:IB4"/>
    <mergeCell ref="ID4:IE4"/>
    <mergeCell ref="HD1:HD3"/>
    <mergeCell ref="HE1:HE3"/>
    <mergeCell ref="HH1:HH3"/>
    <mergeCell ref="IJ1:IK2"/>
    <mergeCell ref="IN1:IR1"/>
    <mergeCell ref="IN2:IR2"/>
    <mergeCell ref="HF3:HG3"/>
    <mergeCell ref="HI3:HJ3"/>
    <mergeCell ref="HL3:HM3"/>
    <mergeCell ref="HO3:HP3"/>
    <mergeCell ref="HR3:HS3"/>
    <mergeCell ref="HU3:HV3"/>
    <mergeCell ref="HX3:HY3"/>
    <mergeCell ref="IA1:IB2"/>
    <mergeCell ref="IC1:IC3"/>
    <mergeCell ref="ID1:IE2"/>
    <mergeCell ref="IF1:IF3"/>
    <mergeCell ref="IG1:IH2"/>
    <mergeCell ref="II1:II3"/>
    <mergeCell ref="IA3:IB3"/>
    <mergeCell ref="ID3:IE3"/>
    <mergeCell ref="IG3:IH3"/>
    <mergeCell ref="HR1:HS2"/>
    <mergeCell ref="HT1:HT3"/>
    <mergeCell ref="HU1:HV2"/>
    <mergeCell ref="HW1:HW3"/>
    <mergeCell ref="HX1:HY2"/>
    <mergeCell ref="HZ1:HZ3"/>
    <mergeCell ref="HI1:HJ2"/>
    <mergeCell ref="HK1:HK3"/>
    <mergeCell ref="HL1:HM2"/>
    <mergeCell ref="HN1:HN3"/>
    <mergeCell ref="HO1:HP2"/>
    <mergeCell ref="HQ1:HQ3"/>
    <mergeCell ref="HF1:HG2"/>
    <mergeCell ref="HF30:HG30"/>
    <mergeCell ref="HF31:HG31"/>
    <mergeCell ref="HF32:HG32"/>
    <mergeCell ref="FO59:FP59"/>
    <mergeCell ref="FS59:FT59"/>
    <mergeCell ref="FV59:FW59"/>
    <mergeCell ref="FY59:FZ59"/>
    <mergeCell ref="GB59:GC59"/>
    <mergeCell ref="GE59:GF59"/>
    <mergeCell ref="GN57:GQ57"/>
    <mergeCell ref="FO58:FP58"/>
    <mergeCell ref="FS58:FT58"/>
    <mergeCell ref="FV58:FW58"/>
    <mergeCell ref="FY58:FZ58"/>
    <mergeCell ref="GB58:GC58"/>
    <mergeCell ref="GE58:GF58"/>
    <mergeCell ref="GH58:GI58"/>
    <mergeCell ref="GK58:GL58"/>
    <mergeCell ref="GH56:GI56"/>
    <mergeCell ref="GK56:GL56"/>
    <mergeCell ref="FO57:FP57"/>
    <mergeCell ref="FS57:FT57"/>
    <mergeCell ref="FV57:FW57"/>
    <mergeCell ref="FY57:FZ57"/>
    <mergeCell ref="GB57:GC57"/>
    <mergeCell ref="GE57:GF57"/>
    <mergeCell ref="GH57:GI57"/>
    <mergeCell ref="GK57:GL57"/>
    <mergeCell ref="FO56:FP56"/>
    <mergeCell ref="FS56:FT56"/>
    <mergeCell ref="FV56:FW56"/>
    <mergeCell ref="FY56:FZ56"/>
    <mergeCell ref="GB56:GC56"/>
    <mergeCell ref="GE56:GF56"/>
    <mergeCell ref="GH54:GI54"/>
    <mergeCell ref="GK54:GL54"/>
    <mergeCell ref="FO55:FP55"/>
    <mergeCell ref="FS55:FT55"/>
    <mergeCell ref="FV55:FW55"/>
    <mergeCell ref="FY55:FZ55"/>
    <mergeCell ref="GB55:GC55"/>
    <mergeCell ref="GE55:GF55"/>
    <mergeCell ref="GH55:GI55"/>
    <mergeCell ref="GK55:GL55"/>
    <mergeCell ref="FO54:FP54"/>
    <mergeCell ref="FS54:FT54"/>
    <mergeCell ref="FV54:FW54"/>
    <mergeCell ref="FY54:FZ54"/>
    <mergeCell ref="GB54:GC54"/>
    <mergeCell ref="GE54:GF54"/>
    <mergeCell ref="GH52:GI52"/>
    <mergeCell ref="GK52:GL52"/>
    <mergeCell ref="FO53:FP53"/>
    <mergeCell ref="FS53:FT53"/>
    <mergeCell ref="FV53:FW53"/>
    <mergeCell ref="FY53:FZ53"/>
    <mergeCell ref="GB53:GC53"/>
    <mergeCell ref="GE53:GF53"/>
    <mergeCell ref="GH53:GI53"/>
    <mergeCell ref="GK53:GL53"/>
    <mergeCell ref="FO52:FP52"/>
    <mergeCell ref="FS52:FT52"/>
    <mergeCell ref="FV52:FW52"/>
    <mergeCell ref="FY52:FZ52"/>
    <mergeCell ref="GB52:GC52"/>
    <mergeCell ref="GE52:GF52"/>
    <mergeCell ref="GH50:GI50"/>
    <mergeCell ref="GK50:GL50"/>
    <mergeCell ref="FO51:FP51"/>
    <mergeCell ref="FS51:FT51"/>
    <mergeCell ref="FV51:FW51"/>
    <mergeCell ref="FY51:FZ51"/>
    <mergeCell ref="GB51:GC51"/>
    <mergeCell ref="GE51:GF51"/>
    <mergeCell ref="GH51:GI51"/>
    <mergeCell ref="GK51:GL51"/>
    <mergeCell ref="FO50:FP50"/>
    <mergeCell ref="FS50:FT50"/>
    <mergeCell ref="FV50:FW50"/>
    <mergeCell ref="FY50:FZ50"/>
    <mergeCell ref="GB50:GC50"/>
    <mergeCell ref="GE50:GF50"/>
    <mergeCell ref="GK48:GL48"/>
    <mergeCell ref="FO49:FP49"/>
    <mergeCell ref="FS49:FT49"/>
    <mergeCell ref="FV49:FW49"/>
    <mergeCell ref="FY49:FZ49"/>
    <mergeCell ref="GB49:GC49"/>
    <mergeCell ref="GE49:GF49"/>
    <mergeCell ref="GH49:GI49"/>
    <mergeCell ref="GK49:GL49"/>
    <mergeCell ref="GH47:GI47"/>
    <mergeCell ref="GK47:GL47"/>
    <mergeCell ref="FO44:FP44"/>
    <mergeCell ref="FO48:FP48"/>
    <mergeCell ref="FS48:FT48"/>
    <mergeCell ref="FV48:FW48"/>
    <mergeCell ref="FY48:FZ48"/>
    <mergeCell ref="GB48:GC48"/>
    <mergeCell ref="GE48:GF48"/>
    <mergeCell ref="GH48:GI48"/>
    <mergeCell ref="FO47:FP47"/>
    <mergeCell ref="FS47:FT47"/>
    <mergeCell ref="FV47:FW47"/>
    <mergeCell ref="FY47:FZ47"/>
    <mergeCell ref="GB47:GC47"/>
    <mergeCell ref="GE47:GF47"/>
    <mergeCell ref="FS44:FT44"/>
    <mergeCell ref="FY44:FZ44"/>
    <mergeCell ref="GB44:GC44"/>
    <mergeCell ref="GE44:GF44"/>
    <mergeCell ref="GH44:GI44"/>
    <mergeCell ref="GK42:GL42"/>
    <mergeCell ref="GK43:GL43"/>
    <mergeCell ref="GK44:GL44"/>
    <mergeCell ref="FO43:FP43"/>
    <mergeCell ref="FS43:FT43"/>
    <mergeCell ref="FY43:FZ43"/>
    <mergeCell ref="GB43:GC43"/>
    <mergeCell ref="GE43:GF43"/>
    <mergeCell ref="GH43:GI43"/>
    <mergeCell ref="GK41:GL41"/>
    <mergeCell ref="FO40:FP40"/>
    <mergeCell ref="FS40:FT40"/>
    <mergeCell ref="FO42:FP42"/>
    <mergeCell ref="FS42:FT42"/>
    <mergeCell ref="FY42:FZ42"/>
    <mergeCell ref="GB42:GC42"/>
    <mergeCell ref="GE42:GF42"/>
    <mergeCell ref="GH42:GI42"/>
    <mergeCell ref="FO41:FP41"/>
    <mergeCell ref="FS41:FT41"/>
    <mergeCell ref="FY41:FZ41"/>
    <mergeCell ref="GB41:GC41"/>
    <mergeCell ref="GE41:GF41"/>
    <mergeCell ref="GH41:GI41"/>
    <mergeCell ref="FY40:FZ40"/>
    <mergeCell ref="GB40:GC40"/>
    <mergeCell ref="GE40:GF40"/>
    <mergeCell ref="GH40:GI40"/>
    <mergeCell ref="GK38:GL38"/>
    <mergeCell ref="GN38:GQ38"/>
    <mergeCell ref="GK39:GL39"/>
    <mergeCell ref="GK40:GL40"/>
    <mergeCell ref="FO39:FP39"/>
    <mergeCell ref="FS39:FT39"/>
    <mergeCell ref="FY39:FZ39"/>
    <mergeCell ref="GB39:GC39"/>
    <mergeCell ref="GE39:GF39"/>
    <mergeCell ref="GH39:GI39"/>
    <mergeCell ref="FO38:FP38"/>
    <mergeCell ref="FS38:FT38"/>
    <mergeCell ref="FY38:FZ38"/>
    <mergeCell ref="GB38:GC38"/>
    <mergeCell ref="GE38:GF38"/>
    <mergeCell ref="GH38:GI38"/>
    <mergeCell ref="GK36:GL36"/>
    <mergeCell ref="FO37:FP37"/>
    <mergeCell ref="FS37:FT37"/>
    <mergeCell ref="FY37:FZ37"/>
    <mergeCell ref="GB37:GC37"/>
    <mergeCell ref="GE37:GF37"/>
    <mergeCell ref="GH37:GI37"/>
    <mergeCell ref="GK37:GL37"/>
    <mergeCell ref="FO36:FP36"/>
    <mergeCell ref="FS36:FT36"/>
    <mergeCell ref="FY36:FZ36"/>
    <mergeCell ref="GB36:GC36"/>
    <mergeCell ref="GE36:GF36"/>
    <mergeCell ref="GH36:GI36"/>
    <mergeCell ref="GK34:GL34"/>
    <mergeCell ref="FO35:FP35"/>
    <mergeCell ref="FS35:FT35"/>
    <mergeCell ref="FY35:FZ35"/>
    <mergeCell ref="GB35:GC35"/>
    <mergeCell ref="GE35:GF35"/>
    <mergeCell ref="GH35:GI35"/>
    <mergeCell ref="GK35:GL35"/>
    <mergeCell ref="FO34:FP34"/>
    <mergeCell ref="FS34:FT34"/>
    <mergeCell ref="FY34:FZ34"/>
    <mergeCell ref="GB34:GC34"/>
    <mergeCell ref="GE34:GF34"/>
    <mergeCell ref="GH34:GI34"/>
    <mergeCell ref="GK32:GL32"/>
    <mergeCell ref="FO33:FP33"/>
    <mergeCell ref="FS33:FT33"/>
    <mergeCell ref="FY33:FZ33"/>
    <mergeCell ref="GB33:GC33"/>
    <mergeCell ref="GE33:GF33"/>
    <mergeCell ref="GH33:GI33"/>
    <mergeCell ref="GK33:GL33"/>
    <mergeCell ref="FO32:FP32"/>
    <mergeCell ref="FS32:FT32"/>
    <mergeCell ref="FY32:FZ32"/>
    <mergeCell ref="GB32:GC32"/>
    <mergeCell ref="GE32:GF32"/>
    <mergeCell ref="GH32:GI32"/>
    <mergeCell ref="GK30:GL30"/>
    <mergeCell ref="FO31:FP31"/>
    <mergeCell ref="FS31:FT31"/>
    <mergeCell ref="FY31:FZ31"/>
    <mergeCell ref="GB31:GC31"/>
    <mergeCell ref="GE31:GF31"/>
    <mergeCell ref="GH31:GI31"/>
    <mergeCell ref="GK31:GL31"/>
    <mergeCell ref="FO30:FP30"/>
    <mergeCell ref="FS30:FT30"/>
    <mergeCell ref="FY30:FZ30"/>
    <mergeCell ref="GB30:GC30"/>
    <mergeCell ref="GE30:GF30"/>
    <mergeCell ref="GH30:GI30"/>
    <mergeCell ref="GK28:GL28"/>
    <mergeCell ref="FO29:FP29"/>
    <mergeCell ref="FS29:FT29"/>
    <mergeCell ref="FY29:FZ29"/>
    <mergeCell ref="GB29:GC29"/>
    <mergeCell ref="GE29:GF29"/>
    <mergeCell ref="GH29:GI29"/>
    <mergeCell ref="GK29:GL29"/>
    <mergeCell ref="GS5:GT5"/>
    <mergeCell ref="GU5:GV5"/>
    <mergeCell ref="GW5:HA5"/>
    <mergeCell ref="GW6:HA6"/>
    <mergeCell ref="FO28:FP28"/>
    <mergeCell ref="FS28:FT28"/>
    <mergeCell ref="FY28:FZ28"/>
    <mergeCell ref="GB28:GC28"/>
    <mergeCell ref="GE28:GF28"/>
    <mergeCell ref="GH28:GI28"/>
    <mergeCell ref="GA5:GB5"/>
    <mergeCell ref="GD5:GE5"/>
    <mergeCell ref="GG5:GH5"/>
    <mergeCell ref="GJ5:GK5"/>
    <mergeCell ref="GM5:GN5"/>
    <mergeCell ref="GP5:GQ5"/>
    <mergeCell ref="GG4:GH4"/>
    <mergeCell ref="GJ4:GK4"/>
    <mergeCell ref="GM4:GN4"/>
    <mergeCell ref="GP4:GQ4"/>
    <mergeCell ref="GS4:GT4"/>
    <mergeCell ref="FK5:FL5"/>
    <mergeCell ref="FO5:FP5"/>
    <mergeCell ref="FR5:FS5"/>
    <mergeCell ref="FU5:FV5"/>
    <mergeCell ref="FX5:FY5"/>
    <mergeCell ref="FO4:FP4"/>
    <mergeCell ref="FR4:FS4"/>
    <mergeCell ref="FU4:FV4"/>
    <mergeCell ref="FX4:FY4"/>
    <mergeCell ref="GA4:GB4"/>
    <mergeCell ref="GD4:GE4"/>
    <mergeCell ref="GM1:GN2"/>
    <mergeCell ref="GO1:GO3"/>
    <mergeCell ref="GP1:GQ2"/>
    <mergeCell ref="GR1:GR3"/>
    <mergeCell ref="GS1:GT2"/>
    <mergeCell ref="GW1:HA1"/>
    <mergeCell ref="GW2:HA2"/>
    <mergeCell ref="GM3:GN3"/>
    <mergeCell ref="GP3:GQ3"/>
    <mergeCell ref="GS3:GT3"/>
    <mergeCell ref="GD1:GE2"/>
    <mergeCell ref="GF1:GF3"/>
    <mergeCell ref="GG1:GH2"/>
    <mergeCell ref="GI1:GI3"/>
    <mergeCell ref="GJ1:GK2"/>
    <mergeCell ref="GL1:GL3"/>
    <mergeCell ref="GD3:GE3"/>
    <mergeCell ref="GG3:GH3"/>
    <mergeCell ref="GJ3:GK3"/>
    <mergeCell ref="FU1:FV2"/>
    <mergeCell ref="FW1:FW3"/>
    <mergeCell ref="FX1:FY2"/>
    <mergeCell ref="FZ1:FZ3"/>
    <mergeCell ref="GA1:GB2"/>
    <mergeCell ref="GC1:GC3"/>
    <mergeCell ref="FU3:FV3"/>
    <mergeCell ref="FX3:FY3"/>
    <mergeCell ref="GA3:GB3"/>
    <mergeCell ref="FM1:FM3"/>
    <mergeCell ref="FN1:FN3"/>
    <mergeCell ref="FO1:FP2"/>
    <mergeCell ref="FQ1:FQ3"/>
    <mergeCell ref="FR1:FS2"/>
    <mergeCell ref="FT1:FT3"/>
    <mergeCell ref="FO3:FP3"/>
    <mergeCell ref="FR3:FS3"/>
    <mergeCell ref="CM74:CN74"/>
    <mergeCell ref="CM76:CN76"/>
    <mergeCell ref="CQ76:CR76"/>
    <mergeCell ref="DT5:DU5"/>
    <mergeCell ref="CQ72:CR72"/>
    <mergeCell ref="CM73:CN73"/>
    <mergeCell ref="CM67:CN67"/>
    <mergeCell ref="CQ67:CR67"/>
    <mergeCell ref="CQ74:CR74"/>
    <mergeCell ref="CM75:CN75"/>
    <mergeCell ref="CQ75:CR75"/>
    <mergeCell ref="CM70:CN70"/>
    <mergeCell ref="CQ70:CR70"/>
    <mergeCell ref="CM71:CN71"/>
    <mergeCell ref="CQ71:CR71"/>
    <mergeCell ref="CM72:CN72"/>
    <mergeCell ref="CM68:CN68"/>
    <mergeCell ref="DL57:DO57"/>
    <mergeCell ref="CM58:CN58"/>
    <mergeCell ref="CQ58:CR58"/>
    <mergeCell ref="CZ58:DA58"/>
    <mergeCell ref="DC58:DD58"/>
    <mergeCell ref="DF58:DG58"/>
    <mergeCell ref="DI58:DJ58"/>
    <mergeCell ref="CT71:CU71"/>
    <mergeCell ref="CW71:CX71"/>
    <mergeCell ref="CZ71:DA71"/>
    <mergeCell ref="DC71:DD71"/>
    <mergeCell ref="DF71:DG71"/>
    <mergeCell ref="DI71:DJ71"/>
    <mergeCell ref="CT70:CU70"/>
    <mergeCell ref="CW70:CX70"/>
    <mergeCell ref="CZ70:DA70"/>
    <mergeCell ref="DC70:DD70"/>
    <mergeCell ref="DF70:DG70"/>
    <mergeCell ref="DI70:DJ70"/>
    <mergeCell ref="CT69:CU69"/>
    <mergeCell ref="CW69:CX69"/>
    <mergeCell ref="CZ69:DA69"/>
    <mergeCell ref="DC69:DD69"/>
    <mergeCell ref="DF69:DG69"/>
    <mergeCell ref="DI69:DJ69"/>
    <mergeCell ref="CT68:CU68"/>
    <mergeCell ref="CW68:CX68"/>
    <mergeCell ref="CZ68:DA68"/>
    <mergeCell ref="DC68:DD68"/>
    <mergeCell ref="DF68:DG68"/>
    <mergeCell ref="DI68:DJ68"/>
    <mergeCell ref="CT67:CU67"/>
    <mergeCell ref="CM55:CN55"/>
    <mergeCell ref="CQ55:CR55"/>
    <mergeCell ref="CM56:CN56"/>
    <mergeCell ref="CQ56:CR56"/>
    <mergeCell ref="CM57:CN57"/>
    <mergeCell ref="CQ57:CR57"/>
    <mergeCell ref="CM52:CN52"/>
    <mergeCell ref="CQ52:CR52"/>
    <mergeCell ref="CM53:CN53"/>
    <mergeCell ref="CQ53:CR53"/>
    <mergeCell ref="CM54:CN54"/>
    <mergeCell ref="CQ54:CR54"/>
    <mergeCell ref="CM49:CN49"/>
    <mergeCell ref="CQ49:CR49"/>
    <mergeCell ref="CM50:CN50"/>
    <mergeCell ref="CQ50:CR50"/>
    <mergeCell ref="CM51:CN51"/>
    <mergeCell ref="CQ51:CR51"/>
    <mergeCell ref="CM44:CN44"/>
    <mergeCell ref="CQ44:CR44"/>
    <mergeCell ref="CM47:CN47"/>
    <mergeCell ref="CQ47:CR47"/>
    <mergeCell ref="CM48:CN48"/>
    <mergeCell ref="CQ48:CR48"/>
    <mergeCell ref="CM45:CN45"/>
    <mergeCell ref="CM46:CN46"/>
    <mergeCell ref="CM41:CN41"/>
    <mergeCell ref="CQ41:CR41"/>
    <mergeCell ref="CM42:CN42"/>
    <mergeCell ref="CQ42:CR42"/>
    <mergeCell ref="CM43:CN43"/>
    <mergeCell ref="CQ43:CR43"/>
    <mergeCell ref="CM38:CN38"/>
    <mergeCell ref="CQ38:CR38"/>
    <mergeCell ref="CM39:CN39"/>
    <mergeCell ref="CQ39:CR39"/>
    <mergeCell ref="CM40:CN40"/>
    <mergeCell ref="CQ40:CR40"/>
    <mergeCell ref="CQ34:CR34"/>
    <mergeCell ref="CM35:CN35"/>
    <mergeCell ref="CQ35:CR35"/>
    <mergeCell ref="CM36:CN36"/>
    <mergeCell ref="CQ36:CR36"/>
    <mergeCell ref="CM37:CN37"/>
    <mergeCell ref="CQ37:CR37"/>
    <mergeCell ref="CQ30:CR30"/>
    <mergeCell ref="CM31:CN31"/>
    <mergeCell ref="CQ31:CR31"/>
    <mergeCell ref="CM32:CN32"/>
    <mergeCell ref="CQ32:CR32"/>
    <mergeCell ref="CM33:CN33"/>
    <mergeCell ref="CQ33:CR33"/>
    <mergeCell ref="CP5:CQ5"/>
    <mergeCell ref="CM28:CN28"/>
    <mergeCell ref="CQ28:CR28"/>
    <mergeCell ref="CM30:CN30"/>
    <mergeCell ref="CM34:CN34"/>
    <mergeCell ref="CM29:CN29"/>
    <mergeCell ref="CQ29:CR29"/>
    <mergeCell ref="CM4:CN4"/>
    <mergeCell ref="CP4:CQ4"/>
    <mergeCell ref="DB1:DC2"/>
    <mergeCell ref="DD1:DD3"/>
    <mergeCell ref="DE1:DF2"/>
    <mergeCell ref="DG1:DG3"/>
    <mergeCell ref="CM1:CN2"/>
    <mergeCell ref="CO1:CO3"/>
    <mergeCell ref="CP1:CQ2"/>
    <mergeCell ref="CR1:CR3"/>
    <mergeCell ref="DK1:DL2"/>
    <mergeCell ref="DM1:DM3"/>
    <mergeCell ref="CM3:CN3"/>
    <mergeCell ref="CP3:CQ3"/>
    <mergeCell ref="CZ29:DA29"/>
    <mergeCell ref="DC29:DD29"/>
    <mergeCell ref="DF29:DG29"/>
    <mergeCell ref="DI29:DJ29"/>
    <mergeCell ref="CM5:CN5"/>
    <mergeCell ref="CV28:CW28"/>
    <mergeCell ref="CV29:CW29"/>
    <mergeCell ref="CT78:CU78"/>
    <mergeCell ref="CW78:CX78"/>
    <mergeCell ref="CZ78:DA78"/>
    <mergeCell ref="DC78:DD78"/>
    <mergeCell ref="DF78:DG78"/>
    <mergeCell ref="DI78:DJ78"/>
    <mergeCell ref="CT77:CU77"/>
    <mergeCell ref="CW77:CX77"/>
    <mergeCell ref="CZ77:DA77"/>
    <mergeCell ref="DC77:DD77"/>
    <mergeCell ref="DF77:DG77"/>
    <mergeCell ref="DI77:DJ77"/>
    <mergeCell ref="CT76:CU76"/>
    <mergeCell ref="CW76:CX76"/>
    <mergeCell ref="CZ76:DA76"/>
    <mergeCell ref="DC76:DD76"/>
    <mergeCell ref="DF76:DG76"/>
    <mergeCell ref="DI76:DJ76"/>
    <mergeCell ref="CT75:CU75"/>
    <mergeCell ref="CW75:CX75"/>
    <mergeCell ref="CZ75:DA75"/>
    <mergeCell ref="DC75:DD75"/>
    <mergeCell ref="DF75:DG75"/>
    <mergeCell ref="DI75:DJ75"/>
    <mergeCell ref="CT74:CU74"/>
    <mergeCell ref="CW74:CX74"/>
    <mergeCell ref="CZ74:DA74"/>
    <mergeCell ref="DC74:DD74"/>
    <mergeCell ref="DF74:DG74"/>
    <mergeCell ref="DI74:DJ74"/>
    <mergeCell ref="DL72:DO72"/>
    <mergeCell ref="CT73:CU73"/>
    <mergeCell ref="CW73:CX73"/>
    <mergeCell ref="CZ73:DA73"/>
    <mergeCell ref="DC73:DD73"/>
    <mergeCell ref="DF73:DG73"/>
    <mergeCell ref="DI73:DJ73"/>
    <mergeCell ref="CT72:CU72"/>
    <mergeCell ref="CW72:CX72"/>
    <mergeCell ref="CZ72:DA72"/>
    <mergeCell ref="DC72:DD72"/>
    <mergeCell ref="DF72:DG72"/>
    <mergeCell ref="DI72:DJ72"/>
    <mergeCell ref="CW67:CX67"/>
    <mergeCell ref="CZ67:DA67"/>
    <mergeCell ref="DC67:DD67"/>
    <mergeCell ref="DF67:DG67"/>
    <mergeCell ref="DI67:DJ67"/>
    <mergeCell ref="CT66:CU66"/>
    <mergeCell ref="CW66:CX66"/>
    <mergeCell ref="CZ66:DA66"/>
    <mergeCell ref="DC66:DD66"/>
    <mergeCell ref="DF66:DG66"/>
    <mergeCell ref="DI66:DJ66"/>
    <mergeCell ref="CT65:CU65"/>
    <mergeCell ref="CW65:CX65"/>
    <mergeCell ref="CZ65:DA65"/>
    <mergeCell ref="DC65:DD65"/>
    <mergeCell ref="DF65:DG65"/>
    <mergeCell ref="DI65:DJ65"/>
    <mergeCell ref="CT64:CU64"/>
    <mergeCell ref="CW64:CX64"/>
    <mergeCell ref="CZ64:DA64"/>
    <mergeCell ref="DC64:DD64"/>
    <mergeCell ref="DF64:DG64"/>
    <mergeCell ref="DI64:DJ64"/>
    <mergeCell ref="CT63:CU63"/>
    <mergeCell ref="CW63:CX63"/>
    <mergeCell ref="CZ63:DA63"/>
    <mergeCell ref="DC63:DD63"/>
    <mergeCell ref="DF63:DG63"/>
    <mergeCell ref="DI63:DJ63"/>
    <mergeCell ref="CT62:CU62"/>
    <mergeCell ref="CW62:CX62"/>
    <mergeCell ref="CZ62:DA62"/>
    <mergeCell ref="DC62:DD62"/>
    <mergeCell ref="DF62:DG62"/>
    <mergeCell ref="DI62:DJ62"/>
    <mergeCell ref="CZ59:DA59"/>
    <mergeCell ref="DC59:DD59"/>
    <mergeCell ref="DF59:DG59"/>
    <mergeCell ref="DI59:DJ59"/>
    <mergeCell ref="CZ57:DA57"/>
    <mergeCell ref="DC57:DD57"/>
    <mergeCell ref="DF57:DG57"/>
    <mergeCell ref="DI57:DJ57"/>
    <mergeCell ref="CZ56:DA56"/>
    <mergeCell ref="DC56:DD56"/>
    <mergeCell ref="DF56:DG56"/>
    <mergeCell ref="DI56:DJ56"/>
    <mergeCell ref="CV56:CW56"/>
    <mergeCell ref="CV57:CW57"/>
    <mergeCell ref="CV58:CW58"/>
    <mergeCell ref="CV59:CW59"/>
    <mergeCell ref="CZ55:DA55"/>
    <mergeCell ref="DC55:DD55"/>
    <mergeCell ref="DF55:DG55"/>
    <mergeCell ref="DI55:DJ55"/>
    <mergeCell ref="CZ54:DA54"/>
    <mergeCell ref="DC54:DD54"/>
    <mergeCell ref="DF54:DG54"/>
    <mergeCell ref="DI54:DJ54"/>
    <mergeCell ref="CZ53:DA53"/>
    <mergeCell ref="DC53:DD53"/>
    <mergeCell ref="DF53:DG53"/>
    <mergeCell ref="DI53:DJ53"/>
    <mergeCell ref="CV53:CW53"/>
    <mergeCell ref="CV54:CW54"/>
    <mergeCell ref="CV55:CW55"/>
    <mergeCell ref="CZ52:DA52"/>
    <mergeCell ref="DC52:DD52"/>
    <mergeCell ref="DF52:DG52"/>
    <mergeCell ref="DI52:DJ52"/>
    <mergeCell ref="CZ51:DA51"/>
    <mergeCell ref="DC51:DD51"/>
    <mergeCell ref="DF51:DG51"/>
    <mergeCell ref="DI51:DJ51"/>
    <mergeCell ref="CZ50:DA50"/>
    <mergeCell ref="DC50:DD50"/>
    <mergeCell ref="DF50:DG50"/>
    <mergeCell ref="DI50:DJ50"/>
    <mergeCell ref="CV50:CW50"/>
    <mergeCell ref="CV51:CW51"/>
    <mergeCell ref="CV52:CW52"/>
    <mergeCell ref="CZ49:DA49"/>
    <mergeCell ref="DC49:DD49"/>
    <mergeCell ref="DF49:DG49"/>
    <mergeCell ref="DI49:DJ49"/>
    <mergeCell ref="CV49:CW49"/>
    <mergeCell ref="DI47:DJ47"/>
    <mergeCell ref="CZ48:DA48"/>
    <mergeCell ref="DC48:DD48"/>
    <mergeCell ref="DF48:DG48"/>
    <mergeCell ref="DI48:DJ48"/>
    <mergeCell ref="CZ44:DA44"/>
    <mergeCell ref="DC44:DD44"/>
    <mergeCell ref="DF44:DG44"/>
    <mergeCell ref="DI44:DJ44"/>
    <mergeCell ref="CZ47:DA47"/>
    <mergeCell ref="DC47:DD47"/>
    <mergeCell ref="DF47:DG47"/>
    <mergeCell ref="CV44:CW44"/>
    <mergeCell ref="CV45:CW45"/>
    <mergeCell ref="CV46:CW46"/>
    <mergeCell ref="CV47:CW47"/>
    <mergeCell ref="CV48:CW48"/>
    <mergeCell ref="CZ42:DA42"/>
    <mergeCell ref="DC42:DD42"/>
    <mergeCell ref="DF42:DG42"/>
    <mergeCell ref="DI42:DJ42"/>
    <mergeCell ref="CZ43:DA43"/>
    <mergeCell ref="DC43:DD43"/>
    <mergeCell ref="DF43:DG43"/>
    <mergeCell ref="DI43:DJ43"/>
    <mergeCell ref="CZ40:DA40"/>
    <mergeCell ref="DC40:DD40"/>
    <mergeCell ref="DF40:DG40"/>
    <mergeCell ref="DI40:DJ40"/>
    <mergeCell ref="CZ41:DA41"/>
    <mergeCell ref="DC41:DD41"/>
    <mergeCell ref="DF41:DG41"/>
    <mergeCell ref="DI41:DJ41"/>
    <mergeCell ref="DL38:DO38"/>
    <mergeCell ref="CZ39:DA39"/>
    <mergeCell ref="DC39:DD39"/>
    <mergeCell ref="DF39:DG39"/>
    <mergeCell ref="DI39:DJ39"/>
    <mergeCell ref="CZ37:DA37"/>
    <mergeCell ref="DC37:DD37"/>
    <mergeCell ref="DF37:DG37"/>
    <mergeCell ref="DI37:DJ37"/>
    <mergeCell ref="CZ38:DA38"/>
    <mergeCell ref="DC38:DD38"/>
    <mergeCell ref="DF38:DG38"/>
    <mergeCell ref="DI38:DJ38"/>
    <mergeCell ref="CZ35:DA35"/>
    <mergeCell ref="DC35:DD35"/>
    <mergeCell ref="DF35:DG35"/>
    <mergeCell ref="DI35:DJ35"/>
    <mergeCell ref="CZ36:DA36"/>
    <mergeCell ref="DC36:DD36"/>
    <mergeCell ref="DF36:DG36"/>
    <mergeCell ref="DI36:DJ36"/>
    <mergeCell ref="CZ33:DA33"/>
    <mergeCell ref="DC33:DD33"/>
    <mergeCell ref="DF33:DG33"/>
    <mergeCell ref="DI33:DJ33"/>
    <mergeCell ref="CZ34:DA34"/>
    <mergeCell ref="DC34:DD34"/>
    <mergeCell ref="DF34:DG34"/>
    <mergeCell ref="DI34:DJ34"/>
    <mergeCell ref="CZ31:DA31"/>
    <mergeCell ref="DC31:DD31"/>
    <mergeCell ref="DF31:DG31"/>
    <mergeCell ref="DI31:DJ31"/>
    <mergeCell ref="CZ32:DA32"/>
    <mergeCell ref="DC32:DD32"/>
    <mergeCell ref="DF32:DG32"/>
    <mergeCell ref="DI32:DJ32"/>
    <mergeCell ref="CZ30:DA30"/>
    <mergeCell ref="DC30:DD30"/>
    <mergeCell ref="DF30:DG30"/>
    <mergeCell ref="DI30:DJ30"/>
    <mergeCell ref="DK5:DL5"/>
    <mergeCell ref="DN5:DO5"/>
    <mergeCell ref="DQ5:DR5"/>
    <mergeCell ref="CZ28:DA28"/>
    <mergeCell ref="DC28:DD28"/>
    <mergeCell ref="DF28:DG28"/>
    <mergeCell ref="DI28:DJ28"/>
    <mergeCell ref="DQ3:DR3"/>
    <mergeCell ref="CS4:CT4"/>
    <mergeCell ref="CV4:CW4"/>
    <mergeCell ref="CY4:CZ4"/>
    <mergeCell ref="DB4:DC4"/>
    <mergeCell ref="DE4:DF4"/>
    <mergeCell ref="DH4:DI4"/>
    <mergeCell ref="DK4:DL4"/>
    <mergeCell ref="DN4:DO4"/>
    <mergeCell ref="DQ4:DR4"/>
    <mergeCell ref="DP1:DP3"/>
    <mergeCell ref="DQ1:DR2"/>
    <mergeCell ref="CS3:CT3"/>
    <mergeCell ref="CV3:CW3"/>
    <mergeCell ref="CY3:CZ3"/>
    <mergeCell ref="DB3:DC3"/>
    <mergeCell ref="DE3:DF3"/>
    <mergeCell ref="DH3:DI3"/>
    <mergeCell ref="DK3:DL3"/>
    <mergeCell ref="DN3:DO3"/>
    <mergeCell ref="CV30:CW30"/>
    <mergeCell ref="BJ71:BN71"/>
    <mergeCell ref="BM38:BP38"/>
    <mergeCell ref="BM57:BP57"/>
    <mergeCell ref="AY5:AY10"/>
    <mergeCell ref="AZ2:BA2"/>
    <mergeCell ref="BA5:BA10"/>
    <mergeCell ref="AR1:AY1"/>
    <mergeCell ref="AT2:AU2"/>
    <mergeCell ref="AV2:AW2"/>
    <mergeCell ref="CE1:CI1"/>
    <mergeCell ref="CE2:CI2"/>
    <mergeCell ref="CE16:CI16"/>
    <mergeCell ref="CE17:CI17"/>
    <mergeCell ref="BV38:BZ38"/>
    <mergeCell ref="BQ1:BU1"/>
    <mergeCell ref="BF71:BI71"/>
    <mergeCell ref="BQ57:BU57"/>
    <mergeCell ref="BQ18:BU18"/>
    <mergeCell ref="BQ2:CC2"/>
    <mergeCell ref="AR11:AY11"/>
    <mergeCell ref="AS5:AS10"/>
    <mergeCell ref="BH11:BO11"/>
    <mergeCell ref="AZ11:BG11"/>
    <mergeCell ref="BH2:BI2"/>
    <mergeCell ref="BJ2:BK2"/>
    <mergeCell ref="BL2:BM2"/>
    <mergeCell ref="BN2:BO2"/>
    <mergeCell ref="BH3:BO3"/>
    <mergeCell ref="BI5:BI10"/>
    <mergeCell ref="BK5:BK10"/>
    <mergeCell ref="BM5:BM10"/>
    <mergeCell ref="BB2:BC2"/>
    <mergeCell ref="BM72:BP72"/>
    <mergeCell ref="BA91:BD91"/>
    <mergeCell ref="BV57:BZ57"/>
    <mergeCell ref="BQ17:BU17"/>
    <mergeCell ref="BO5:BO10"/>
    <mergeCell ref="BD2:BE2"/>
    <mergeCell ref="AX2:AY2"/>
    <mergeCell ref="AR3:AY3"/>
    <mergeCell ref="BQ38:BU38"/>
    <mergeCell ref="AU5:AU10"/>
    <mergeCell ref="AW5:AW10"/>
    <mergeCell ref="C6:D6"/>
    <mergeCell ref="F6:G6"/>
    <mergeCell ref="I6:J6"/>
    <mergeCell ref="L6:M6"/>
    <mergeCell ref="C7:D7"/>
    <mergeCell ref="A1:A3"/>
    <mergeCell ref="B1:B3"/>
    <mergeCell ref="C1:D2"/>
    <mergeCell ref="E1:E3"/>
    <mergeCell ref="F1:G2"/>
    <mergeCell ref="H1:H3"/>
    <mergeCell ref="C3:D3"/>
    <mergeCell ref="I3:J3"/>
    <mergeCell ref="L3:M3"/>
    <mergeCell ref="I1:J2"/>
    <mergeCell ref="K1:K3"/>
    <mergeCell ref="L1:M2"/>
    <mergeCell ref="F7:G7"/>
    <mergeCell ref="I7:J7"/>
    <mergeCell ref="L7:M7"/>
    <mergeCell ref="AR2:AS2"/>
    <mergeCell ref="C5:D5"/>
    <mergeCell ref="F5:G5"/>
    <mergeCell ref="I5:J5"/>
    <mergeCell ref="L5:M5"/>
    <mergeCell ref="C4:D4"/>
    <mergeCell ref="F4:G4"/>
    <mergeCell ref="I4:J4"/>
    <mergeCell ref="L4:M4"/>
    <mergeCell ref="F3:G3"/>
    <mergeCell ref="C10:D10"/>
    <mergeCell ref="F10:G10"/>
    <mergeCell ref="I10:J10"/>
    <mergeCell ref="L10:M10"/>
    <mergeCell ref="C9:D9"/>
    <mergeCell ref="F9:G9"/>
    <mergeCell ref="I9:J9"/>
    <mergeCell ref="L9:M9"/>
    <mergeCell ref="C34:D34"/>
    <mergeCell ref="F34:G34"/>
    <mergeCell ref="I34:J34"/>
    <mergeCell ref="L34:M34"/>
    <mergeCell ref="C32:M32"/>
    <mergeCell ref="C33:D33"/>
    <mergeCell ref="F33:G33"/>
    <mergeCell ref="I33:J33"/>
    <mergeCell ref="L33:M33"/>
    <mergeCell ref="C36:D36"/>
    <mergeCell ref="F36:G36"/>
    <mergeCell ref="I36:J36"/>
    <mergeCell ref="L36:M36"/>
    <mergeCell ref="C35:D35"/>
    <mergeCell ref="F35:G35"/>
    <mergeCell ref="I35:J35"/>
    <mergeCell ref="L35:M35"/>
    <mergeCell ref="C38:D38"/>
    <mergeCell ref="F38:G38"/>
    <mergeCell ref="I38:J38"/>
    <mergeCell ref="L38:M38"/>
    <mergeCell ref="C37:D37"/>
    <mergeCell ref="F37:G37"/>
    <mergeCell ref="I37:J37"/>
    <mergeCell ref="L37:M37"/>
    <mergeCell ref="C40:D40"/>
    <mergeCell ref="F40:G40"/>
    <mergeCell ref="I40:J40"/>
    <mergeCell ref="L40:M40"/>
    <mergeCell ref="C39:D39"/>
    <mergeCell ref="F39:G39"/>
    <mergeCell ref="I39:J39"/>
    <mergeCell ref="L39:M39"/>
    <mergeCell ref="C42:D42"/>
    <mergeCell ref="F42:G42"/>
    <mergeCell ref="I42:J42"/>
    <mergeCell ref="L42:M42"/>
    <mergeCell ref="C41:D41"/>
    <mergeCell ref="F41:G41"/>
    <mergeCell ref="I41:J41"/>
    <mergeCell ref="L41:M41"/>
    <mergeCell ref="C44:D44"/>
    <mergeCell ref="F44:G44"/>
    <mergeCell ref="I44:J44"/>
    <mergeCell ref="L44:M44"/>
    <mergeCell ref="C43:D43"/>
    <mergeCell ref="F43:G43"/>
    <mergeCell ref="I43:J43"/>
    <mergeCell ref="L43:M43"/>
    <mergeCell ref="I46:J46"/>
    <mergeCell ref="L46:M46"/>
    <mergeCell ref="C45:D45"/>
    <mergeCell ref="F45:G45"/>
    <mergeCell ref="I45:J45"/>
    <mergeCell ref="L45:M45"/>
    <mergeCell ref="C46:D46"/>
    <mergeCell ref="F46:G46"/>
    <mergeCell ref="C48:D48"/>
    <mergeCell ref="F48:G48"/>
    <mergeCell ref="I48:J48"/>
    <mergeCell ref="L48:M48"/>
    <mergeCell ref="C47:D47"/>
    <mergeCell ref="F47:G47"/>
    <mergeCell ref="I47:J47"/>
    <mergeCell ref="L47:M47"/>
    <mergeCell ref="C51:M51"/>
    <mergeCell ref="C52:D52"/>
    <mergeCell ref="F52:G52"/>
    <mergeCell ref="I52:J52"/>
    <mergeCell ref="L52:M52"/>
    <mergeCell ref="C49:D49"/>
    <mergeCell ref="F49:G49"/>
    <mergeCell ref="I49:J49"/>
    <mergeCell ref="L49:M49"/>
    <mergeCell ref="C54:D54"/>
    <mergeCell ref="F54:G54"/>
    <mergeCell ref="I54:J54"/>
    <mergeCell ref="L54:M54"/>
    <mergeCell ref="C53:D53"/>
    <mergeCell ref="F53:G53"/>
    <mergeCell ref="I53:J53"/>
    <mergeCell ref="L53:M53"/>
    <mergeCell ref="C56:D56"/>
    <mergeCell ref="F56:G56"/>
    <mergeCell ref="I56:J56"/>
    <mergeCell ref="L56:M56"/>
    <mergeCell ref="C55:D55"/>
    <mergeCell ref="F55:G55"/>
    <mergeCell ref="I55:J55"/>
    <mergeCell ref="L55:M55"/>
    <mergeCell ref="C58:D58"/>
    <mergeCell ref="F58:G58"/>
    <mergeCell ref="I58:J58"/>
    <mergeCell ref="L58:M58"/>
    <mergeCell ref="C57:D57"/>
    <mergeCell ref="F57:G57"/>
    <mergeCell ref="I57:J57"/>
    <mergeCell ref="L57:M57"/>
    <mergeCell ref="C60:D60"/>
    <mergeCell ref="F60:G60"/>
    <mergeCell ref="I60:J60"/>
    <mergeCell ref="L60:M60"/>
    <mergeCell ref="C59:D59"/>
    <mergeCell ref="F59:G59"/>
    <mergeCell ref="I59:J59"/>
    <mergeCell ref="L59:M59"/>
    <mergeCell ref="C62:D62"/>
    <mergeCell ref="F62:G62"/>
    <mergeCell ref="I62:J62"/>
    <mergeCell ref="L62:M62"/>
    <mergeCell ref="C61:D61"/>
    <mergeCell ref="F61:G61"/>
    <mergeCell ref="I61:J61"/>
    <mergeCell ref="L61:M61"/>
    <mergeCell ref="C64:D64"/>
    <mergeCell ref="F64:G64"/>
    <mergeCell ref="I64:J64"/>
    <mergeCell ref="L64:M64"/>
    <mergeCell ref="C63:D63"/>
    <mergeCell ref="F63:G63"/>
    <mergeCell ref="I63:J63"/>
    <mergeCell ref="L63:M63"/>
    <mergeCell ref="C68:D68"/>
    <mergeCell ref="F68:G68"/>
    <mergeCell ref="I68:J68"/>
    <mergeCell ref="L68:M68"/>
    <mergeCell ref="C66:M66"/>
    <mergeCell ref="C67:D67"/>
    <mergeCell ref="F67:G67"/>
    <mergeCell ref="I67:J67"/>
    <mergeCell ref="L67:M67"/>
    <mergeCell ref="C70:D70"/>
    <mergeCell ref="F70:G70"/>
    <mergeCell ref="I70:J70"/>
    <mergeCell ref="L70:M70"/>
    <mergeCell ref="C69:D69"/>
    <mergeCell ref="F69:G69"/>
    <mergeCell ref="I69:J69"/>
    <mergeCell ref="L69:M69"/>
    <mergeCell ref="C72:D72"/>
    <mergeCell ref="F72:G72"/>
    <mergeCell ref="I72:J72"/>
    <mergeCell ref="L72:M72"/>
    <mergeCell ref="C71:D71"/>
    <mergeCell ref="F71:G71"/>
    <mergeCell ref="I71:J71"/>
    <mergeCell ref="L71:M71"/>
    <mergeCell ref="C74:D74"/>
    <mergeCell ref="F74:G74"/>
    <mergeCell ref="I74:J74"/>
    <mergeCell ref="L74:M74"/>
    <mergeCell ref="C73:D73"/>
    <mergeCell ref="F73:G73"/>
    <mergeCell ref="I73:J73"/>
    <mergeCell ref="L73:M73"/>
    <mergeCell ref="C76:D76"/>
    <mergeCell ref="F76:G76"/>
    <mergeCell ref="I76:J76"/>
    <mergeCell ref="L76:M76"/>
    <mergeCell ref="C75:D75"/>
    <mergeCell ref="F75:G75"/>
    <mergeCell ref="I75:J75"/>
    <mergeCell ref="L75:M75"/>
    <mergeCell ref="C78:D78"/>
    <mergeCell ref="F78:G78"/>
    <mergeCell ref="I78:J78"/>
    <mergeCell ref="L78:M78"/>
    <mergeCell ref="C77:D77"/>
    <mergeCell ref="F77:G77"/>
    <mergeCell ref="I77:J77"/>
    <mergeCell ref="L77:M77"/>
    <mergeCell ref="C80:D80"/>
    <mergeCell ref="F80:G80"/>
    <mergeCell ref="I80:J80"/>
    <mergeCell ref="L80:M80"/>
    <mergeCell ref="C79:D79"/>
    <mergeCell ref="F79:G79"/>
    <mergeCell ref="I79:J79"/>
    <mergeCell ref="L79:M79"/>
    <mergeCell ref="C82:D82"/>
    <mergeCell ref="F82:G82"/>
    <mergeCell ref="I82:J82"/>
    <mergeCell ref="L82:M82"/>
    <mergeCell ref="C81:D81"/>
    <mergeCell ref="F81:G81"/>
    <mergeCell ref="I81:J81"/>
    <mergeCell ref="L81:M81"/>
    <mergeCell ref="C85:M85"/>
    <mergeCell ref="C86:D86"/>
    <mergeCell ref="F86:G86"/>
    <mergeCell ref="I86:J86"/>
    <mergeCell ref="L86:M86"/>
    <mergeCell ref="C83:D83"/>
    <mergeCell ref="F83:G83"/>
    <mergeCell ref="I83:J83"/>
    <mergeCell ref="L83:M83"/>
    <mergeCell ref="C87:D87"/>
    <mergeCell ref="F87:G87"/>
    <mergeCell ref="I87:J87"/>
    <mergeCell ref="L87:M87"/>
    <mergeCell ref="C90:D90"/>
    <mergeCell ref="F90:G90"/>
    <mergeCell ref="I90:J90"/>
    <mergeCell ref="L90:M90"/>
    <mergeCell ref="C89:D89"/>
    <mergeCell ref="F89:G89"/>
    <mergeCell ref="I89:J89"/>
    <mergeCell ref="L89:M89"/>
    <mergeCell ref="C92:D92"/>
    <mergeCell ref="F92:G92"/>
    <mergeCell ref="I92:J92"/>
    <mergeCell ref="L92:M92"/>
    <mergeCell ref="C91:D91"/>
    <mergeCell ref="F91:G91"/>
    <mergeCell ref="I91:J91"/>
    <mergeCell ref="L91:M91"/>
    <mergeCell ref="C96:D96"/>
    <mergeCell ref="F96:G96"/>
    <mergeCell ref="I96:J96"/>
    <mergeCell ref="L96:M96"/>
    <mergeCell ref="C95:D95"/>
    <mergeCell ref="F95:G95"/>
    <mergeCell ref="I95:J95"/>
    <mergeCell ref="L95:M95"/>
    <mergeCell ref="C98:D98"/>
    <mergeCell ref="F98:G98"/>
    <mergeCell ref="I98:J98"/>
    <mergeCell ref="L98:M98"/>
    <mergeCell ref="C97:D97"/>
    <mergeCell ref="F97:G97"/>
    <mergeCell ref="I97:J97"/>
    <mergeCell ref="L97:M97"/>
    <mergeCell ref="C88:D88"/>
    <mergeCell ref="F88:G88"/>
    <mergeCell ref="I88:J88"/>
    <mergeCell ref="L88:M88"/>
    <mergeCell ref="O6:P6"/>
    <mergeCell ref="R6:S6"/>
    <mergeCell ref="U6:V6"/>
    <mergeCell ref="X6:Y6"/>
    <mergeCell ref="F100:G100"/>
    <mergeCell ref="I100:J100"/>
    <mergeCell ref="L100:M100"/>
    <mergeCell ref="C99:D99"/>
    <mergeCell ref="F99:G99"/>
    <mergeCell ref="I99:J99"/>
    <mergeCell ref="L99:M99"/>
    <mergeCell ref="C100:D100"/>
    <mergeCell ref="C102:D102"/>
    <mergeCell ref="F102:G102"/>
    <mergeCell ref="I102:J102"/>
    <mergeCell ref="L102:M102"/>
    <mergeCell ref="C101:D101"/>
    <mergeCell ref="F101:G101"/>
    <mergeCell ref="I101:J101"/>
    <mergeCell ref="L101:M101"/>
    <mergeCell ref="C8:D8"/>
    <mergeCell ref="F8:G8"/>
    <mergeCell ref="I8:J8"/>
    <mergeCell ref="L8:M8"/>
    <mergeCell ref="C94:D94"/>
    <mergeCell ref="F94:G94"/>
    <mergeCell ref="I94:J94"/>
    <mergeCell ref="L94:M94"/>
    <mergeCell ref="C93:D93"/>
    <mergeCell ref="F93:G93"/>
    <mergeCell ref="I93:J93"/>
    <mergeCell ref="L93:M93"/>
    <mergeCell ref="FB84:FC84"/>
    <mergeCell ref="DX85:DY85"/>
    <mergeCell ref="EA85:EB85"/>
    <mergeCell ref="ED85:EE85"/>
    <mergeCell ref="FB85:FC85"/>
    <mergeCell ref="EJ84:EK84"/>
    <mergeCell ref="EV84:EW84"/>
    <mergeCell ref="DX82:DY82"/>
    <mergeCell ref="EA82:EB82"/>
    <mergeCell ref="ED82:EE82"/>
    <mergeCell ref="FB82:FC82"/>
    <mergeCell ref="DX83:DY83"/>
    <mergeCell ref="EA83:EB83"/>
    <mergeCell ref="ED83:EE83"/>
    <mergeCell ref="FB83:FC83"/>
    <mergeCell ref="EM82:EN82"/>
    <mergeCell ref="EV83:EW83"/>
    <mergeCell ref="EJ82:EK82"/>
    <mergeCell ref="EJ83:EK83"/>
    <mergeCell ref="EG83:EH83"/>
    <mergeCell ref="EG82:EH82"/>
    <mergeCell ref="EJ85:EK85"/>
    <mergeCell ref="EM84:EN84"/>
    <mergeCell ref="EM85:EN85"/>
    <mergeCell ref="ET77:EU77"/>
    <mergeCell ref="DX78:DY78"/>
    <mergeCell ref="ET78:EU78"/>
    <mergeCell ref="DX80:FC80"/>
    <mergeCell ref="DX81:DY81"/>
    <mergeCell ref="EA81:EB81"/>
    <mergeCell ref="ED81:EE81"/>
    <mergeCell ref="FB81:FC81"/>
    <mergeCell ref="EB77:EC77"/>
    <mergeCell ref="DX74:DY74"/>
    <mergeCell ref="ET74:EU74"/>
    <mergeCell ref="DX75:DY75"/>
    <mergeCell ref="ET75:EU75"/>
    <mergeCell ref="DX76:DY76"/>
    <mergeCell ref="ET76:EU76"/>
    <mergeCell ref="EB74:EC74"/>
    <mergeCell ref="EB75:EC75"/>
    <mergeCell ref="EB76:EC76"/>
    <mergeCell ref="EK74:EL74"/>
    <mergeCell ref="EH77:EI77"/>
    <mergeCell ref="EH78:EI78"/>
    <mergeCell ref="EK77:EL77"/>
    <mergeCell ref="EJ81:EK81"/>
    <mergeCell ref="EG81:EH81"/>
    <mergeCell ref="EQ75:ER75"/>
    <mergeCell ref="EQ78:ER78"/>
    <mergeCell ref="EN74:EO74"/>
    <mergeCell ref="EQ76:ER76"/>
    <mergeCell ref="EP81:EQ81"/>
    <mergeCell ref="EN76:EO76"/>
    <mergeCell ref="EQ77:ER77"/>
    <mergeCell ref="EN75:EO75"/>
    <mergeCell ref="ET72:EU72"/>
    <mergeCell ref="DX73:DY73"/>
    <mergeCell ref="ET73:EU73"/>
    <mergeCell ref="EB72:EC72"/>
    <mergeCell ref="EB73:EC73"/>
    <mergeCell ref="EE71:EF71"/>
    <mergeCell ref="EE72:EF72"/>
    <mergeCell ref="EH72:EI72"/>
    <mergeCell ref="ET68:EU68"/>
    <mergeCell ref="DX69:DY69"/>
    <mergeCell ref="ET69:EU69"/>
    <mergeCell ref="EB69:EC69"/>
    <mergeCell ref="DX70:DY70"/>
    <mergeCell ref="ET70:EU70"/>
    <mergeCell ref="EE70:EF70"/>
    <mergeCell ref="EH70:EI70"/>
    <mergeCell ref="EN68:EO68"/>
    <mergeCell ref="EK70:EL70"/>
    <mergeCell ref="EH68:EI68"/>
    <mergeCell ref="EH69:EI69"/>
    <mergeCell ref="EN69:EO69"/>
    <mergeCell ref="EN70:EO70"/>
    <mergeCell ref="EN71:EO71"/>
    <mergeCell ref="EN72:EO72"/>
    <mergeCell ref="EN73:EO73"/>
    <mergeCell ref="EB68:EC68"/>
    <mergeCell ref="EB70:EC70"/>
    <mergeCell ref="EB71:EC71"/>
    <mergeCell ref="EH71:EI71"/>
    <mergeCell ref="DX71:DY71"/>
    <mergeCell ref="EK69:EL69"/>
    <mergeCell ref="EK71:EL71"/>
    <mergeCell ref="DX67:DY67"/>
    <mergeCell ref="ET67:EU67"/>
    <mergeCell ref="EE67:EF67"/>
    <mergeCell ref="EH67:EI67"/>
    <mergeCell ref="EQ66:ER66"/>
    <mergeCell ref="EQ67:ER67"/>
    <mergeCell ref="EK66:EL66"/>
    <mergeCell ref="EK67:EL67"/>
    <mergeCell ref="ET66:EU66"/>
    <mergeCell ref="DX64:DY64"/>
    <mergeCell ref="ET64:EU64"/>
    <mergeCell ref="DX65:DY65"/>
    <mergeCell ref="ET65:EU65"/>
    <mergeCell ref="EK64:EL64"/>
    <mergeCell ref="EK65:EL65"/>
    <mergeCell ref="EB64:EC64"/>
    <mergeCell ref="EB59:EC59"/>
    <mergeCell ref="EB62:EC62"/>
    <mergeCell ref="EH64:EI64"/>
    <mergeCell ref="DX63:DY63"/>
    <mergeCell ref="ET63:EU63"/>
    <mergeCell ref="EB63:EC63"/>
    <mergeCell ref="EK63:EL63"/>
    <mergeCell ref="EK62:EL62"/>
    <mergeCell ref="EE63:EF63"/>
    <mergeCell ref="EB65:EC65"/>
    <mergeCell ref="EB66:EC66"/>
    <mergeCell ref="EB67:EC67"/>
    <mergeCell ref="EE64:EF64"/>
    <mergeCell ref="EE65:EF65"/>
    <mergeCell ref="EH65:EI65"/>
    <mergeCell ref="DX56:DY56"/>
    <mergeCell ref="ET56:EU56"/>
    <mergeCell ref="DX57:DY57"/>
    <mergeCell ref="ET57:EU57"/>
    <mergeCell ref="EB55:EC55"/>
    <mergeCell ref="EB56:EC56"/>
    <mergeCell ref="EB57:EC57"/>
    <mergeCell ref="EE55:EF55"/>
    <mergeCell ref="EE56:EF56"/>
    <mergeCell ref="EH63:EI63"/>
    <mergeCell ref="EN57:EO57"/>
    <mergeCell ref="EN58:EO58"/>
    <mergeCell ref="EN56:EO56"/>
    <mergeCell ref="EL56:EM56"/>
    <mergeCell ref="EL57:EM57"/>
    <mergeCell ref="EL58:EM58"/>
    <mergeCell ref="EH59:EI59"/>
    <mergeCell ref="EH55:EI55"/>
    <mergeCell ref="EH56:EI56"/>
    <mergeCell ref="EH57:EI57"/>
    <mergeCell ref="EH58:EI58"/>
    <mergeCell ref="EH62:EI62"/>
    <mergeCell ref="EP55:EQ55"/>
    <mergeCell ref="EP56:EQ56"/>
    <mergeCell ref="EP57:EQ57"/>
    <mergeCell ref="EP58:EQ58"/>
    <mergeCell ref="EP59:EQ59"/>
    <mergeCell ref="EL55:EM55"/>
    <mergeCell ref="EN59:EO59"/>
    <mergeCell ref="DX53:DY53"/>
    <mergeCell ref="ET53:EU53"/>
    <mergeCell ref="EB53:EC53"/>
    <mergeCell ref="EE52:EF52"/>
    <mergeCell ref="DX54:DY54"/>
    <mergeCell ref="ET54:EU54"/>
    <mergeCell ref="EE54:EF54"/>
    <mergeCell ref="EH53:EI53"/>
    <mergeCell ref="EH54:EI54"/>
    <mergeCell ref="EN54:EO54"/>
    <mergeCell ref="DX51:DY51"/>
    <mergeCell ref="ET51:EU51"/>
    <mergeCell ref="EE50:EF50"/>
    <mergeCell ref="EE51:EF51"/>
    <mergeCell ref="DX52:DY52"/>
    <mergeCell ref="ET52:EU52"/>
    <mergeCell ref="EB51:EC51"/>
    <mergeCell ref="EB52:EC52"/>
    <mergeCell ref="EH52:EI52"/>
    <mergeCell ref="EN51:EO51"/>
    <mergeCell ref="EL51:EM51"/>
    <mergeCell ref="EB54:EC54"/>
    <mergeCell ref="EL52:EM52"/>
    <mergeCell ref="EH51:EI51"/>
    <mergeCell ref="EP53:EQ53"/>
    <mergeCell ref="EP54:EQ54"/>
    <mergeCell ref="EL53:EM53"/>
    <mergeCell ref="EL54:EM54"/>
    <mergeCell ref="EP51:EQ51"/>
    <mergeCell ref="EP52:EQ52"/>
    <mergeCell ref="DX49:DY49"/>
    <mergeCell ref="ET49:EU49"/>
    <mergeCell ref="EE49:EF49"/>
    <mergeCell ref="DX50:DY50"/>
    <mergeCell ref="ET50:EU50"/>
    <mergeCell ref="EB49:EC49"/>
    <mergeCell ref="EB50:EC50"/>
    <mergeCell ref="EN50:EO50"/>
    <mergeCell ref="EH50:EI50"/>
    <mergeCell ref="DX44:DY44"/>
    <mergeCell ref="ET44:EU44"/>
    <mergeCell ref="DX47:DY47"/>
    <mergeCell ref="ET47:EU47"/>
    <mergeCell ref="EB44:EC44"/>
    <mergeCell ref="DX48:DY48"/>
    <mergeCell ref="ET48:EU48"/>
    <mergeCell ref="EB47:EC47"/>
    <mergeCell ref="EB48:EC48"/>
    <mergeCell ref="EE47:EF47"/>
    <mergeCell ref="EH44:EI44"/>
    <mergeCell ref="EL48:EM48"/>
    <mergeCell ref="EL49:EM49"/>
    <mergeCell ref="EN44:EO44"/>
    <mergeCell ref="EE48:EF48"/>
    <mergeCell ref="EH47:EI47"/>
    <mergeCell ref="EH48:EI48"/>
    <mergeCell ref="EH49:EI49"/>
    <mergeCell ref="EN49:EO49"/>
    <mergeCell ref="EP47:EQ47"/>
    <mergeCell ref="EP48:EQ48"/>
    <mergeCell ref="EP49:EQ49"/>
    <mergeCell ref="EP50:EQ50"/>
    <mergeCell ref="DX42:DY42"/>
    <mergeCell ref="ET42:EU42"/>
    <mergeCell ref="DX43:DY43"/>
    <mergeCell ref="ET43:EU43"/>
    <mergeCell ref="EB42:EC42"/>
    <mergeCell ref="EB43:EC43"/>
    <mergeCell ref="EH42:EI42"/>
    <mergeCell ref="EH43:EI43"/>
    <mergeCell ref="EN42:EO42"/>
    <mergeCell ref="EN43:EO43"/>
    <mergeCell ref="DX40:DY40"/>
    <mergeCell ref="ET40:EU40"/>
    <mergeCell ref="DX41:DY41"/>
    <mergeCell ref="ET41:EU41"/>
    <mergeCell ref="EB40:EC40"/>
    <mergeCell ref="EB41:EC41"/>
    <mergeCell ref="EH40:EI40"/>
    <mergeCell ref="EH41:EI41"/>
    <mergeCell ref="EL40:EM40"/>
    <mergeCell ref="EN40:EO40"/>
    <mergeCell ref="EN41:EO41"/>
    <mergeCell ref="DX38:DY38"/>
    <mergeCell ref="ET38:EU38"/>
    <mergeCell ref="DX39:DY39"/>
    <mergeCell ref="ET39:EU39"/>
    <mergeCell ref="EB38:EC38"/>
    <mergeCell ref="EB39:EC39"/>
    <mergeCell ref="EN38:EO38"/>
    <mergeCell ref="EN39:EO39"/>
    <mergeCell ref="DX35:DY35"/>
    <mergeCell ref="ET35:EU35"/>
    <mergeCell ref="EB35:EC35"/>
    <mergeCell ref="DX36:DY36"/>
    <mergeCell ref="ET36:EU36"/>
    <mergeCell ref="DX37:DY37"/>
    <mergeCell ref="ET37:EU37"/>
    <mergeCell ref="EB36:EC36"/>
    <mergeCell ref="EB37:EC37"/>
    <mergeCell ref="EN37:EO37"/>
    <mergeCell ref="EL37:EM37"/>
    <mergeCell ref="EL38:EM38"/>
    <mergeCell ref="EL39:EM39"/>
    <mergeCell ref="EH35:EI35"/>
    <mergeCell ref="EL35:EM35"/>
    <mergeCell ref="EH36:EI36"/>
    <mergeCell ref="EH37:EI37"/>
    <mergeCell ref="EH38:EI38"/>
    <mergeCell ref="EH39:EI39"/>
    <mergeCell ref="EN35:EO35"/>
    <mergeCell ref="EN36:EO36"/>
    <mergeCell ref="EL36:EM36"/>
    <mergeCell ref="DX32:DY32"/>
    <mergeCell ref="ET32:EU32"/>
    <mergeCell ref="DX33:DY33"/>
    <mergeCell ref="ET33:EU33"/>
    <mergeCell ref="EH32:EI32"/>
    <mergeCell ref="DX34:DY34"/>
    <mergeCell ref="ET34:EU34"/>
    <mergeCell ref="EB32:EC32"/>
    <mergeCell ref="EB33:EC33"/>
    <mergeCell ref="EB34:EC34"/>
    <mergeCell ref="DX30:DY30"/>
    <mergeCell ref="ET30:EU30"/>
    <mergeCell ref="DX31:DY31"/>
    <mergeCell ref="ET31:EU31"/>
    <mergeCell ref="EH31:EI31"/>
    <mergeCell ref="EN30:EO30"/>
    <mergeCell ref="EB30:EC30"/>
    <mergeCell ref="EB31:EC31"/>
    <mergeCell ref="EN31:EO31"/>
    <mergeCell ref="EH30:EI30"/>
    <mergeCell ref="EL32:EM32"/>
    <mergeCell ref="EL33:EM33"/>
    <mergeCell ref="EN33:EO33"/>
    <mergeCell ref="EN32:EO32"/>
    <mergeCell ref="EH34:EI34"/>
    <mergeCell ref="EH33:EI33"/>
    <mergeCell ref="EL30:EM30"/>
    <mergeCell ref="EL31:EM31"/>
    <mergeCell ref="EL34:EM34"/>
    <mergeCell ref="EN34:EO34"/>
    <mergeCell ref="EP32:EQ32"/>
    <mergeCell ref="EP31:EQ31"/>
    <mergeCell ref="DX28:DY28"/>
    <mergeCell ref="ET28:EU28"/>
    <mergeCell ref="DX29:DY29"/>
    <mergeCell ref="ET29:EU29"/>
    <mergeCell ref="EB28:EC28"/>
    <mergeCell ref="EB29:EC29"/>
    <mergeCell ref="EH28:EI28"/>
    <mergeCell ref="ED1:EE2"/>
    <mergeCell ref="FA1:FA3"/>
    <mergeCell ref="ED3:EE3"/>
    <mergeCell ref="DX4:DY4"/>
    <mergeCell ref="EA4:EB4"/>
    <mergeCell ref="ED4:EE4"/>
    <mergeCell ref="EM1:EN2"/>
    <mergeCell ref="EM3:EN3"/>
    <mergeCell ref="EM4:EN4"/>
    <mergeCell ref="EU1:EU3"/>
    <mergeCell ref="EP3:EQ3"/>
    <mergeCell ref="EP4:EQ4"/>
    <mergeCell ref="EP5:EQ5"/>
    <mergeCell ref="EN28:EO28"/>
    <mergeCell ref="EN29:EO29"/>
    <mergeCell ref="EL28:EM28"/>
    <mergeCell ref="EL29:EM29"/>
    <mergeCell ref="EH29:EI29"/>
    <mergeCell ref="EV4:EW4"/>
    <mergeCell ref="EV5:EW5"/>
    <mergeCell ref="ER1:ER3"/>
    <mergeCell ref="EY1:EZ2"/>
    <mergeCell ref="EY3:EZ3"/>
    <mergeCell ref="EY4:EZ4"/>
    <mergeCell ref="EY5:EZ5"/>
    <mergeCell ref="DV1:DV3"/>
    <mergeCell ref="DW1:DW3"/>
    <mergeCell ref="DX1:DY2"/>
    <mergeCell ref="DZ1:DZ3"/>
    <mergeCell ref="EA1:EB2"/>
    <mergeCell ref="EC1:EC3"/>
    <mergeCell ref="DX3:DY3"/>
    <mergeCell ref="EA3:EB3"/>
    <mergeCell ref="FF5:FJ5"/>
    <mergeCell ref="FF6:FJ6"/>
    <mergeCell ref="EW72:EZ72"/>
    <mergeCell ref="EY86:EZ86"/>
    <mergeCell ref="FB5:FC5"/>
    <mergeCell ref="FD5:FE5"/>
    <mergeCell ref="EV81:EW81"/>
    <mergeCell ref="EV82:EW82"/>
    <mergeCell ref="DX62:DY62"/>
    <mergeCell ref="EB58:EC58"/>
    <mergeCell ref="DX66:DY66"/>
    <mergeCell ref="DX68:DY68"/>
    <mergeCell ref="EE57:EF57"/>
    <mergeCell ref="EE58:EF58"/>
    <mergeCell ref="EE59:EF59"/>
    <mergeCell ref="EE62:EF62"/>
    <mergeCell ref="EL59:EM59"/>
    <mergeCell ref="EM81:EN81"/>
    <mergeCell ref="EN77:EO77"/>
    <mergeCell ref="EN78:EO78"/>
    <mergeCell ref="EK76:EL76"/>
    <mergeCell ref="EH74:EI74"/>
    <mergeCell ref="EA5:EB5"/>
    <mergeCell ref="ED5:EE5"/>
    <mergeCell ref="FF1:FJ1"/>
    <mergeCell ref="FF2:FJ2"/>
    <mergeCell ref="EJ1:EK2"/>
    <mergeCell ref="EJ3:EK3"/>
    <mergeCell ref="EJ4:EK4"/>
    <mergeCell ref="EJ5:EK5"/>
    <mergeCell ref="FB1:FC2"/>
    <mergeCell ref="FB3:FC3"/>
    <mergeCell ref="FB4:FC4"/>
    <mergeCell ref="FB92:FC92"/>
    <mergeCell ref="DX93:DY93"/>
    <mergeCell ref="EA93:EB93"/>
    <mergeCell ref="ED93:EE93"/>
    <mergeCell ref="FB93:FC93"/>
    <mergeCell ref="DX92:DY92"/>
    <mergeCell ref="EA92:EB92"/>
    <mergeCell ref="EG92:EH92"/>
    <mergeCell ref="EG93:EH93"/>
    <mergeCell ref="EP92:EQ92"/>
    <mergeCell ref="EJ88:EK88"/>
    <mergeCell ref="EJ89:EK89"/>
    <mergeCell ref="EV90:EW90"/>
    <mergeCell ref="EJ91:EK91"/>
    <mergeCell ref="ET55:EU55"/>
    <mergeCell ref="ET58:EU58"/>
    <mergeCell ref="ET59:EU59"/>
    <mergeCell ref="ET62:EU62"/>
    <mergeCell ref="EE53:EF53"/>
    <mergeCell ref="DX55:DY55"/>
    <mergeCell ref="DX58:DY58"/>
    <mergeCell ref="DX59:DY59"/>
    <mergeCell ref="DX5:DY5"/>
    <mergeCell ref="ED92:EE92"/>
    <mergeCell ref="ED86:EE86"/>
    <mergeCell ref="DX94:DY94"/>
    <mergeCell ref="EA94:EB94"/>
    <mergeCell ref="ED94:EE94"/>
    <mergeCell ref="FB94:FC94"/>
    <mergeCell ref="DX95:DY95"/>
    <mergeCell ref="EA95:EB95"/>
    <mergeCell ref="ED95:EE95"/>
    <mergeCell ref="FB95:FC95"/>
    <mergeCell ref="EG94:EH94"/>
    <mergeCell ref="DX96:DY96"/>
    <mergeCell ref="EA96:EB96"/>
    <mergeCell ref="ED96:EE96"/>
    <mergeCell ref="FB96:FC96"/>
    <mergeCell ref="DX97:DY97"/>
    <mergeCell ref="EA97:EB97"/>
    <mergeCell ref="ED97:EE97"/>
    <mergeCell ref="FB97:FC97"/>
    <mergeCell ref="EG96:EH96"/>
    <mergeCell ref="EJ87:EK87"/>
    <mergeCell ref="EY89:EZ89"/>
    <mergeCell ref="DX87:DY87"/>
    <mergeCell ref="EA87:EB87"/>
    <mergeCell ref="ED87:EE87"/>
    <mergeCell ref="FB87:FC87"/>
    <mergeCell ref="EG87:EH87"/>
    <mergeCell ref="EY87:EZ87"/>
    <mergeCell ref="ES87:ET87"/>
    <mergeCell ref="ES86:ET86"/>
    <mergeCell ref="ES97:ET97"/>
    <mergeCell ref="ES91:ET91"/>
    <mergeCell ref="ES81:ET81"/>
    <mergeCell ref="ES82:ET82"/>
    <mergeCell ref="ES83:ET83"/>
    <mergeCell ref="ES84:ET84"/>
    <mergeCell ref="EP95:EQ95"/>
    <mergeCell ref="EJ96:EK96"/>
    <mergeCell ref="EP97:EQ97"/>
    <mergeCell ref="EP88:EQ88"/>
    <mergeCell ref="EP89:EQ89"/>
    <mergeCell ref="EM97:EN97"/>
    <mergeCell ref="EJ97:EK97"/>
    <mergeCell ref="EJ90:EK90"/>
    <mergeCell ref="EP93:EQ93"/>
    <mergeCell ref="EP82:EQ82"/>
    <mergeCell ref="EP83:EQ83"/>
    <mergeCell ref="EP84:EQ84"/>
    <mergeCell ref="EP85:EQ85"/>
    <mergeCell ref="EP96:EQ96"/>
    <mergeCell ref="EM88:EN88"/>
    <mergeCell ref="EM89:EN89"/>
    <mergeCell ref="EM93:EN93"/>
    <mergeCell ref="EM90:EN90"/>
    <mergeCell ref="EJ95:EK95"/>
    <mergeCell ref="EJ92:EK92"/>
    <mergeCell ref="EP90:EQ90"/>
    <mergeCell ref="EM86:EN86"/>
    <mergeCell ref="EM87:EN87"/>
    <mergeCell ref="EJ94:EK94"/>
    <mergeCell ref="EM94:EN94"/>
    <mergeCell ref="EM83:EN83"/>
    <mergeCell ref="EP91:EQ91"/>
    <mergeCell ref="EP86:EQ86"/>
    <mergeCell ref="EP87:EQ87"/>
    <mergeCell ref="EM92:EN92"/>
    <mergeCell ref="EJ86:EK86"/>
    <mergeCell ref="EJ93:EK93"/>
    <mergeCell ref="EX1:EX3"/>
    <mergeCell ref="EV1:EW2"/>
    <mergeCell ref="EV3:EW3"/>
    <mergeCell ref="EQ62:ER62"/>
    <mergeCell ref="EQ63:ER63"/>
    <mergeCell ref="EQ64:ER64"/>
    <mergeCell ref="EQ65:ER65"/>
    <mergeCell ref="ES95:ET95"/>
    <mergeCell ref="EP94:EQ94"/>
    <mergeCell ref="EV95:EW95"/>
    <mergeCell ref="EY82:EZ82"/>
    <mergeCell ref="EY83:EZ83"/>
    <mergeCell ref="EY84:EZ84"/>
    <mergeCell ref="EV91:EW91"/>
    <mergeCell ref="EY95:EZ95"/>
    <mergeCell ref="EP40:EQ40"/>
    <mergeCell ref="EP41:EQ41"/>
    <mergeCell ref="EP42:EQ42"/>
    <mergeCell ref="EP43:EQ43"/>
    <mergeCell ref="EP44:EQ44"/>
    <mergeCell ref="ES85:ET85"/>
    <mergeCell ref="ES89:ET89"/>
    <mergeCell ref="EQ71:ER71"/>
    <mergeCell ref="EQ70:ER70"/>
    <mergeCell ref="EP36:EQ36"/>
    <mergeCell ref="EP35:EQ35"/>
    <mergeCell ref="EP34:EQ34"/>
    <mergeCell ref="EP33:EQ33"/>
    <mergeCell ref="EP30:EQ30"/>
    <mergeCell ref="EP29:EQ29"/>
    <mergeCell ref="O7:P7"/>
    <mergeCell ref="R7:S7"/>
    <mergeCell ref="U7:V7"/>
    <mergeCell ref="EV96:EW96"/>
    <mergeCell ref="EQ69:ER69"/>
    <mergeCell ref="X7:Y7"/>
    <mergeCell ref="O8:P8"/>
    <mergeCell ref="R8:S8"/>
    <mergeCell ref="U8:V8"/>
    <mergeCell ref="X8:Y8"/>
    <mergeCell ref="O9:P9"/>
    <mergeCell ref="FH79:FI79"/>
    <mergeCell ref="EV92:EW92"/>
    <mergeCell ref="EV89:EW89"/>
    <mergeCell ref="EV93:EW93"/>
    <mergeCell ref="FB90:FC90"/>
    <mergeCell ref="ES92:ET92"/>
    <mergeCell ref="ES93:ET93"/>
    <mergeCell ref="EV88:EW88"/>
    <mergeCell ref="ES88:ET88"/>
    <mergeCell ref="EV86:EW86"/>
    <mergeCell ref="EV87:EW87"/>
    <mergeCell ref="EV94:EW94"/>
    <mergeCell ref="EY91:EZ91"/>
    <mergeCell ref="EY92:EZ92"/>
    <mergeCell ref="EY93:EZ93"/>
    <mergeCell ref="EY94:EZ94"/>
    <mergeCell ref="EY85:EZ85"/>
    <mergeCell ref="EV85:EW85"/>
    <mergeCell ref="EY81:EZ81"/>
    <mergeCell ref="FB86:FC86"/>
    <mergeCell ref="ET71:EU71"/>
    <mergeCell ref="N1:N3"/>
    <mergeCell ref="O1:P2"/>
    <mergeCell ref="Q1:Q3"/>
    <mergeCell ref="R1:S2"/>
    <mergeCell ref="T1:T3"/>
    <mergeCell ref="U1:V2"/>
    <mergeCell ref="W1:W3"/>
    <mergeCell ref="X1:Y2"/>
    <mergeCell ref="O3:P3"/>
    <mergeCell ref="R3:S3"/>
    <mergeCell ref="U3:V3"/>
    <mergeCell ref="X3:Y3"/>
    <mergeCell ref="O4:P4"/>
    <mergeCell ref="R4:S4"/>
    <mergeCell ref="U4:V4"/>
    <mergeCell ref="X4:Y4"/>
    <mergeCell ref="O5:P5"/>
    <mergeCell ref="R5:S5"/>
    <mergeCell ref="U5:V5"/>
    <mergeCell ref="X5:Y5"/>
    <mergeCell ref="R9:S9"/>
    <mergeCell ref="U9:V9"/>
    <mergeCell ref="X9:Y9"/>
    <mergeCell ref="O10:P10"/>
    <mergeCell ref="R10:S10"/>
    <mergeCell ref="U10:V10"/>
    <mergeCell ref="X10:Y10"/>
    <mergeCell ref="O32:Y32"/>
    <mergeCell ref="O33:P33"/>
    <mergeCell ref="R33:S33"/>
    <mergeCell ref="U33:V33"/>
    <mergeCell ref="X33:Y33"/>
    <mergeCell ref="O34:P34"/>
    <mergeCell ref="R34:S34"/>
    <mergeCell ref="U34:V34"/>
    <mergeCell ref="X34:Y34"/>
    <mergeCell ref="O35:P35"/>
    <mergeCell ref="R35:S35"/>
    <mergeCell ref="U35:V35"/>
    <mergeCell ref="X35:Y35"/>
    <mergeCell ref="O36:P36"/>
    <mergeCell ref="R36:S36"/>
    <mergeCell ref="U36:V36"/>
    <mergeCell ref="X36:Y36"/>
    <mergeCell ref="O37:P37"/>
    <mergeCell ref="R37:S37"/>
    <mergeCell ref="U37:V37"/>
    <mergeCell ref="X37:Y37"/>
    <mergeCell ref="O38:P38"/>
    <mergeCell ref="R38:S38"/>
    <mergeCell ref="U38:V38"/>
    <mergeCell ref="X38:Y38"/>
    <mergeCell ref="O39:P39"/>
    <mergeCell ref="R39:S39"/>
    <mergeCell ref="U39:V39"/>
    <mergeCell ref="X39:Y39"/>
    <mergeCell ref="O40:P40"/>
    <mergeCell ref="R40:S40"/>
    <mergeCell ref="U40:V40"/>
    <mergeCell ref="X40:Y40"/>
    <mergeCell ref="O41:P41"/>
    <mergeCell ref="R41:S41"/>
    <mergeCell ref="U41:V41"/>
    <mergeCell ref="X41:Y41"/>
    <mergeCell ref="O42:P42"/>
    <mergeCell ref="R42:S42"/>
    <mergeCell ref="U42:V42"/>
    <mergeCell ref="X42:Y42"/>
    <mergeCell ref="O43:P43"/>
    <mergeCell ref="R43:S43"/>
    <mergeCell ref="U43:V43"/>
    <mergeCell ref="X43:Y43"/>
    <mergeCell ref="O44:P44"/>
    <mergeCell ref="R44:S44"/>
    <mergeCell ref="U44:V44"/>
    <mergeCell ref="X44:Y44"/>
    <mergeCell ref="O45:P45"/>
    <mergeCell ref="R45:S45"/>
    <mergeCell ref="U45:V45"/>
    <mergeCell ref="X45:Y45"/>
    <mergeCell ref="O46:P46"/>
    <mergeCell ref="R46:S46"/>
    <mergeCell ref="U46:V46"/>
    <mergeCell ref="X46:Y46"/>
    <mergeCell ref="O47:P47"/>
    <mergeCell ref="R47:S47"/>
    <mergeCell ref="U47:V47"/>
    <mergeCell ref="X47:Y47"/>
    <mergeCell ref="O48:P48"/>
    <mergeCell ref="R48:S48"/>
    <mergeCell ref="U48:V48"/>
    <mergeCell ref="X48:Y48"/>
    <mergeCell ref="O49:P49"/>
    <mergeCell ref="R49:S49"/>
    <mergeCell ref="U49:V49"/>
    <mergeCell ref="X49:Y49"/>
    <mergeCell ref="O51:Y51"/>
    <mergeCell ref="O52:P52"/>
    <mergeCell ref="R52:S52"/>
    <mergeCell ref="U52:V52"/>
    <mergeCell ref="X52:Y52"/>
    <mergeCell ref="O53:P53"/>
    <mergeCell ref="R53:S53"/>
    <mergeCell ref="U53:V53"/>
    <mergeCell ref="X53:Y53"/>
    <mergeCell ref="O54:P54"/>
    <mergeCell ref="R54:S54"/>
    <mergeCell ref="U54:V54"/>
    <mergeCell ref="X54:Y54"/>
    <mergeCell ref="O55:P55"/>
    <mergeCell ref="R55:S55"/>
    <mergeCell ref="U55:V55"/>
    <mergeCell ref="X55:Y55"/>
    <mergeCell ref="O56:P56"/>
    <mergeCell ref="R56:S56"/>
    <mergeCell ref="U56:V56"/>
    <mergeCell ref="X56:Y56"/>
    <mergeCell ref="O57:P57"/>
    <mergeCell ref="R57:S57"/>
    <mergeCell ref="U57:V57"/>
    <mergeCell ref="X57:Y57"/>
    <mergeCell ref="O58:P58"/>
    <mergeCell ref="R58:S58"/>
    <mergeCell ref="U58:V58"/>
    <mergeCell ref="X58:Y58"/>
    <mergeCell ref="O59:P59"/>
    <mergeCell ref="R59:S59"/>
    <mergeCell ref="U59:V59"/>
    <mergeCell ref="X59:Y59"/>
    <mergeCell ref="O60:P60"/>
    <mergeCell ref="R60:S60"/>
    <mergeCell ref="U60:V60"/>
    <mergeCell ref="X60:Y60"/>
    <mergeCell ref="O61:P61"/>
    <mergeCell ref="R61:S61"/>
    <mergeCell ref="U61:V61"/>
    <mergeCell ref="X61:Y61"/>
    <mergeCell ref="O62:P62"/>
    <mergeCell ref="R62:S62"/>
    <mergeCell ref="U62:V62"/>
    <mergeCell ref="X62:Y62"/>
    <mergeCell ref="O63:P63"/>
    <mergeCell ref="R63:S63"/>
    <mergeCell ref="U63:V63"/>
    <mergeCell ref="X63:Y63"/>
    <mergeCell ref="O64:P64"/>
    <mergeCell ref="R64:S64"/>
    <mergeCell ref="U64:V64"/>
    <mergeCell ref="X64:Y64"/>
    <mergeCell ref="R75:S75"/>
    <mergeCell ref="U75:V75"/>
    <mergeCell ref="X75:Y75"/>
    <mergeCell ref="O66:Y66"/>
    <mergeCell ref="O67:P67"/>
    <mergeCell ref="R67:S67"/>
    <mergeCell ref="U67:V67"/>
    <mergeCell ref="X67:Y67"/>
    <mergeCell ref="O68:P68"/>
    <mergeCell ref="R68:S68"/>
    <mergeCell ref="U68:V68"/>
    <mergeCell ref="X68:Y68"/>
    <mergeCell ref="O69:P69"/>
    <mergeCell ref="R69:S69"/>
    <mergeCell ref="U69:V69"/>
    <mergeCell ref="X69:Y69"/>
    <mergeCell ref="O70:P70"/>
    <mergeCell ref="R70:S70"/>
    <mergeCell ref="U70:V70"/>
    <mergeCell ref="X70:Y70"/>
    <mergeCell ref="O79:P79"/>
    <mergeCell ref="R79:S79"/>
    <mergeCell ref="U79:V79"/>
    <mergeCell ref="X79:Y79"/>
    <mergeCell ref="O80:P80"/>
    <mergeCell ref="R80:S80"/>
    <mergeCell ref="U80:V80"/>
    <mergeCell ref="X80:Y80"/>
    <mergeCell ref="O71:P71"/>
    <mergeCell ref="R71:S71"/>
    <mergeCell ref="U71:V71"/>
    <mergeCell ref="X71:Y71"/>
    <mergeCell ref="O72:P72"/>
    <mergeCell ref="R72:S72"/>
    <mergeCell ref="U72:V72"/>
    <mergeCell ref="X72:Y72"/>
    <mergeCell ref="O73:P73"/>
    <mergeCell ref="R73:S73"/>
    <mergeCell ref="U73:V73"/>
    <mergeCell ref="X73:Y73"/>
    <mergeCell ref="O74:P74"/>
    <mergeCell ref="R74:S74"/>
    <mergeCell ref="U74:V74"/>
    <mergeCell ref="X74:Y74"/>
    <mergeCell ref="O75:P75"/>
    <mergeCell ref="X82:Y82"/>
    <mergeCell ref="O83:P83"/>
    <mergeCell ref="R83:S83"/>
    <mergeCell ref="U83:V83"/>
    <mergeCell ref="X83:Y83"/>
    <mergeCell ref="Z1:Z3"/>
    <mergeCell ref="AA1:AB2"/>
    <mergeCell ref="AA3:AB3"/>
    <mergeCell ref="AA4:AB4"/>
    <mergeCell ref="AA6:AB6"/>
    <mergeCell ref="AA8:AB8"/>
    <mergeCell ref="AA7:AB7"/>
    <mergeCell ref="AA34:AB34"/>
    <mergeCell ref="AA39:AB39"/>
    <mergeCell ref="AA44:AB44"/>
    <mergeCell ref="AA49:AB49"/>
    <mergeCell ref="AA56:AB56"/>
    <mergeCell ref="AA61:AB61"/>
    <mergeCell ref="AA68:AB68"/>
    <mergeCell ref="AA73:AB73"/>
    <mergeCell ref="O76:P76"/>
    <mergeCell ref="R76:S76"/>
    <mergeCell ref="U76:V76"/>
    <mergeCell ref="X76:Y76"/>
    <mergeCell ref="O77:P77"/>
    <mergeCell ref="R77:S77"/>
    <mergeCell ref="U77:V77"/>
    <mergeCell ref="X77:Y77"/>
    <mergeCell ref="O78:P78"/>
    <mergeCell ref="R78:S78"/>
    <mergeCell ref="U78:V78"/>
    <mergeCell ref="X78:Y78"/>
    <mergeCell ref="AC1:AC3"/>
    <mergeCell ref="AD1:AE2"/>
    <mergeCell ref="AF1:AF3"/>
    <mergeCell ref="AG1:AH2"/>
    <mergeCell ref="AI1:AI3"/>
    <mergeCell ref="AJ1:AK2"/>
    <mergeCell ref="AD3:AE3"/>
    <mergeCell ref="AG3:AH3"/>
    <mergeCell ref="AJ3:AK3"/>
    <mergeCell ref="AD4:AE4"/>
    <mergeCell ref="AG4:AH4"/>
    <mergeCell ref="AJ4:AK4"/>
    <mergeCell ref="AA5:AB5"/>
    <mergeCell ref="AD5:AE5"/>
    <mergeCell ref="AG5:AH5"/>
    <mergeCell ref="AJ5:AK5"/>
    <mergeCell ref="AD6:AE6"/>
    <mergeCell ref="AG6:AH6"/>
    <mergeCell ref="AJ6:AK6"/>
    <mergeCell ref="AD7:AE7"/>
    <mergeCell ref="AG7:AH7"/>
    <mergeCell ref="AJ7:AK7"/>
    <mergeCell ref="AD8:AE8"/>
    <mergeCell ref="AG8:AH8"/>
    <mergeCell ref="AJ8:AK8"/>
    <mergeCell ref="AA9:AB9"/>
    <mergeCell ref="AD9:AE9"/>
    <mergeCell ref="AG9:AH9"/>
    <mergeCell ref="AJ9:AK9"/>
    <mergeCell ref="AA10:AB10"/>
    <mergeCell ref="AD10:AE10"/>
    <mergeCell ref="AG10:AH10"/>
    <mergeCell ref="AJ10:AK10"/>
    <mergeCell ref="AA32:AK32"/>
    <mergeCell ref="AA33:AB33"/>
    <mergeCell ref="AD33:AE33"/>
    <mergeCell ref="AG33:AH33"/>
    <mergeCell ref="AJ33:AK33"/>
    <mergeCell ref="AD34:AE34"/>
    <mergeCell ref="AG34:AH34"/>
    <mergeCell ref="AJ34:AK34"/>
    <mergeCell ref="AA35:AB35"/>
    <mergeCell ref="AD35:AE35"/>
    <mergeCell ref="AG35:AH35"/>
    <mergeCell ref="AJ35:AK35"/>
    <mergeCell ref="AA36:AB36"/>
    <mergeCell ref="AD36:AE36"/>
    <mergeCell ref="AG36:AH36"/>
    <mergeCell ref="AJ36:AK36"/>
    <mergeCell ref="AA37:AB37"/>
    <mergeCell ref="AD37:AE37"/>
    <mergeCell ref="AG37:AH37"/>
    <mergeCell ref="AJ37:AK37"/>
    <mergeCell ref="AA38:AB38"/>
    <mergeCell ref="AD38:AE38"/>
    <mergeCell ref="AG38:AH38"/>
    <mergeCell ref="AJ38:AK38"/>
    <mergeCell ref="AD39:AE39"/>
    <mergeCell ref="AG39:AH39"/>
    <mergeCell ref="AJ39:AK39"/>
    <mergeCell ref="AA40:AB40"/>
    <mergeCell ref="AD40:AE40"/>
    <mergeCell ref="AG40:AH40"/>
    <mergeCell ref="AJ40:AK40"/>
    <mergeCell ref="AA41:AB41"/>
    <mergeCell ref="AD41:AE41"/>
    <mergeCell ref="AG41:AH41"/>
    <mergeCell ref="AJ41:AK41"/>
    <mergeCell ref="AA42:AB42"/>
    <mergeCell ref="AD42:AE42"/>
    <mergeCell ref="AG42:AH42"/>
    <mergeCell ref="AJ42:AK42"/>
    <mergeCell ref="AA43:AB43"/>
    <mergeCell ref="AD43:AE43"/>
    <mergeCell ref="AG43:AH43"/>
    <mergeCell ref="AJ43:AK43"/>
    <mergeCell ref="AD44:AE44"/>
    <mergeCell ref="AG44:AH44"/>
    <mergeCell ref="AJ44:AK44"/>
    <mergeCell ref="AA45:AB45"/>
    <mergeCell ref="AD45:AE45"/>
    <mergeCell ref="AG45:AH45"/>
    <mergeCell ref="AJ45:AK45"/>
    <mergeCell ref="AA46:AB46"/>
    <mergeCell ref="AD46:AE46"/>
    <mergeCell ref="AG46:AH46"/>
    <mergeCell ref="AJ46:AK46"/>
    <mergeCell ref="AA47:AB47"/>
    <mergeCell ref="AD47:AE47"/>
    <mergeCell ref="AG47:AH47"/>
    <mergeCell ref="AJ47:AK47"/>
    <mergeCell ref="AA48:AB48"/>
    <mergeCell ref="AD48:AE48"/>
    <mergeCell ref="AG48:AH48"/>
    <mergeCell ref="AJ48:AK48"/>
    <mergeCell ref="AD49:AE49"/>
    <mergeCell ref="AG49:AH49"/>
    <mergeCell ref="AJ49:AK49"/>
    <mergeCell ref="AA51:AK51"/>
    <mergeCell ref="AA52:AB52"/>
    <mergeCell ref="AD52:AE52"/>
    <mergeCell ref="AG52:AH52"/>
    <mergeCell ref="AJ52:AK52"/>
    <mergeCell ref="AA53:AB53"/>
    <mergeCell ref="AD53:AE53"/>
    <mergeCell ref="AG53:AH53"/>
    <mergeCell ref="AJ53:AK53"/>
    <mergeCell ref="AA54:AB54"/>
    <mergeCell ref="AD54:AE54"/>
    <mergeCell ref="AG54:AH54"/>
    <mergeCell ref="AJ54:AK54"/>
    <mergeCell ref="AA55:AB55"/>
    <mergeCell ref="AD55:AE55"/>
    <mergeCell ref="AG55:AH55"/>
    <mergeCell ref="AJ55:AK55"/>
    <mergeCell ref="AJ67:AK67"/>
    <mergeCell ref="AD68:AE68"/>
    <mergeCell ref="AG68:AH68"/>
    <mergeCell ref="AJ68:AK68"/>
    <mergeCell ref="AA69:AB69"/>
    <mergeCell ref="AD69:AE69"/>
    <mergeCell ref="AG69:AH69"/>
    <mergeCell ref="AJ69:AK69"/>
    <mergeCell ref="AA70:AB70"/>
    <mergeCell ref="AD56:AE56"/>
    <mergeCell ref="AG56:AH56"/>
    <mergeCell ref="AJ56:AK56"/>
    <mergeCell ref="AA57:AB57"/>
    <mergeCell ref="AD57:AE57"/>
    <mergeCell ref="AG57:AH57"/>
    <mergeCell ref="AJ57:AK57"/>
    <mergeCell ref="AA58:AB58"/>
    <mergeCell ref="AD58:AE58"/>
    <mergeCell ref="AG58:AH58"/>
    <mergeCell ref="AJ58:AK58"/>
    <mergeCell ref="AA59:AB59"/>
    <mergeCell ref="AD59:AE59"/>
    <mergeCell ref="AG59:AH59"/>
    <mergeCell ref="AJ59:AK59"/>
    <mergeCell ref="AA60:AB60"/>
    <mergeCell ref="AD60:AE60"/>
    <mergeCell ref="AG60:AH60"/>
    <mergeCell ref="AJ60:AK60"/>
    <mergeCell ref="AG77:AH77"/>
    <mergeCell ref="AJ77:AK77"/>
    <mergeCell ref="AD78:AE78"/>
    <mergeCell ref="AG78:AH78"/>
    <mergeCell ref="AJ78:AK78"/>
    <mergeCell ref="AA79:AB79"/>
    <mergeCell ref="AD79:AE79"/>
    <mergeCell ref="AG79:AH79"/>
    <mergeCell ref="AJ79:AK79"/>
    <mergeCell ref="AA72:AB72"/>
    <mergeCell ref="AD72:AE72"/>
    <mergeCell ref="AG72:AH72"/>
    <mergeCell ref="AJ72:AK72"/>
    <mergeCell ref="AD61:AE61"/>
    <mergeCell ref="AG61:AH61"/>
    <mergeCell ref="AJ61:AK61"/>
    <mergeCell ref="AA62:AB62"/>
    <mergeCell ref="AD62:AE62"/>
    <mergeCell ref="AG62:AH62"/>
    <mergeCell ref="AJ62:AK62"/>
    <mergeCell ref="AA63:AB63"/>
    <mergeCell ref="AD63:AE63"/>
    <mergeCell ref="AG63:AH63"/>
    <mergeCell ref="AJ63:AK63"/>
    <mergeCell ref="AA64:AB64"/>
    <mergeCell ref="AD64:AE64"/>
    <mergeCell ref="AG64:AH64"/>
    <mergeCell ref="AJ64:AK64"/>
    <mergeCell ref="AA66:AK66"/>
    <mergeCell ref="AA67:AB67"/>
    <mergeCell ref="AD67:AE67"/>
    <mergeCell ref="AG67:AH67"/>
    <mergeCell ref="G161:G163"/>
    <mergeCell ref="H161:I162"/>
    <mergeCell ref="J161:J163"/>
    <mergeCell ref="E163:F163"/>
    <mergeCell ref="H163:I163"/>
    <mergeCell ref="K161:L162"/>
    <mergeCell ref="M161:M163"/>
    <mergeCell ref="N161:O162"/>
    <mergeCell ref="P161:P163"/>
    <mergeCell ref="Q161:R162"/>
    <mergeCell ref="S161:S163"/>
    <mergeCell ref="K163:L163"/>
    <mergeCell ref="N163:O163"/>
    <mergeCell ref="Q163:R163"/>
    <mergeCell ref="AA81:AB81"/>
    <mergeCell ref="AD81:AE81"/>
    <mergeCell ref="AD73:AE73"/>
    <mergeCell ref="AA74:AB74"/>
    <mergeCell ref="AD74:AE74"/>
    <mergeCell ref="AA75:AB75"/>
    <mergeCell ref="AD75:AE75"/>
    <mergeCell ref="AA76:AB76"/>
    <mergeCell ref="AD76:AE76"/>
    <mergeCell ref="AA77:AB77"/>
    <mergeCell ref="AD77:AE77"/>
    <mergeCell ref="O81:P81"/>
    <mergeCell ref="R81:S81"/>
    <mergeCell ref="U81:V81"/>
    <mergeCell ref="X81:Y81"/>
    <mergeCell ref="O82:P82"/>
    <mergeCell ref="R82:S82"/>
    <mergeCell ref="U82:V82"/>
    <mergeCell ref="BF2:BG2"/>
    <mergeCell ref="AZ3:BG3"/>
    <mergeCell ref="AA82:AB82"/>
    <mergeCell ref="AD82:AE82"/>
    <mergeCell ref="AG82:AH82"/>
    <mergeCell ref="AJ82:AK82"/>
    <mergeCell ref="AG81:AH81"/>
    <mergeCell ref="AJ81:AK81"/>
    <mergeCell ref="AA78:AB78"/>
    <mergeCell ref="BC5:BC10"/>
    <mergeCell ref="BE5:BE10"/>
    <mergeCell ref="BG5:BG10"/>
    <mergeCell ref="AA83:AB83"/>
    <mergeCell ref="AD83:AE83"/>
    <mergeCell ref="AG83:AH83"/>
    <mergeCell ref="AJ83:AK83"/>
    <mergeCell ref="AA80:AB80"/>
    <mergeCell ref="AD70:AE70"/>
    <mergeCell ref="AG70:AH70"/>
    <mergeCell ref="AJ70:AK70"/>
    <mergeCell ref="AA71:AB71"/>
    <mergeCell ref="AD71:AE71"/>
    <mergeCell ref="AG71:AH71"/>
    <mergeCell ref="AJ71:AK71"/>
    <mergeCell ref="AG73:AH73"/>
    <mergeCell ref="AJ73:AK73"/>
    <mergeCell ref="AG74:AH74"/>
    <mergeCell ref="AJ74:AK74"/>
    <mergeCell ref="AG75:AH75"/>
    <mergeCell ref="AJ75:AK75"/>
    <mergeCell ref="AG76:AH76"/>
    <mergeCell ref="AJ76:AK76"/>
    <mergeCell ref="A165:B165"/>
    <mergeCell ref="E165:F165"/>
    <mergeCell ref="H165:I165"/>
    <mergeCell ref="K165:L165"/>
    <mergeCell ref="N165:O165"/>
    <mergeCell ref="Q165:R165"/>
    <mergeCell ref="T165:U165"/>
    <mergeCell ref="W165:X165"/>
    <mergeCell ref="Z165:AA165"/>
    <mergeCell ref="AC165:AD165"/>
    <mergeCell ref="AF165:AG165"/>
    <mergeCell ref="AI165:AJ165"/>
    <mergeCell ref="T161:U162"/>
    <mergeCell ref="V161:V163"/>
    <mergeCell ref="W161:X162"/>
    <mergeCell ref="Y161:Y163"/>
    <mergeCell ref="Z161:AA162"/>
    <mergeCell ref="AB161:AB163"/>
    <mergeCell ref="T163:U163"/>
    <mergeCell ref="W163:X163"/>
    <mergeCell ref="Z163:AA163"/>
    <mergeCell ref="AC161:AD162"/>
    <mergeCell ref="AE161:AE163"/>
    <mergeCell ref="AF161:AG162"/>
    <mergeCell ref="AH161:AH163"/>
    <mergeCell ref="AI161:AJ162"/>
    <mergeCell ref="AC163:AD163"/>
    <mergeCell ref="AF163:AG163"/>
    <mergeCell ref="AI163:AJ163"/>
    <mergeCell ref="C161:C163"/>
    <mergeCell ref="D161:D163"/>
    <mergeCell ref="E161:F162"/>
    <mergeCell ref="E188:F188"/>
    <mergeCell ref="I188:J188"/>
    <mergeCell ref="O188:P188"/>
    <mergeCell ref="S188:T188"/>
    <mergeCell ref="U188:V188"/>
    <mergeCell ref="AA188:AB188"/>
    <mergeCell ref="E189:F189"/>
    <mergeCell ref="I189:J189"/>
    <mergeCell ref="O189:P189"/>
    <mergeCell ref="S189:T189"/>
    <mergeCell ref="U189:V189"/>
    <mergeCell ref="AA189:AB189"/>
    <mergeCell ref="W188:X188"/>
    <mergeCell ref="W189:X189"/>
    <mergeCell ref="AK188:AL188"/>
    <mergeCell ref="AK189:AL189"/>
    <mergeCell ref="E164:F164"/>
    <mergeCell ref="H164:I164"/>
    <mergeCell ref="K164:L164"/>
    <mergeCell ref="N164:O164"/>
    <mergeCell ref="Q164:R164"/>
    <mergeCell ref="T164:U164"/>
    <mergeCell ref="W164:X164"/>
    <mergeCell ref="Z164:AA164"/>
    <mergeCell ref="AC164:AD164"/>
    <mergeCell ref="AF164:AG164"/>
    <mergeCell ref="AI164:AJ164"/>
    <mergeCell ref="E190:F190"/>
    <mergeCell ref="I190:J190"/>
    <mergeCell ref="O190:P190"/>
    <mergeCell ref="S190:T190"/>
    <mergeCell ref="U190:V190"/>
    <mergeCell ref="O192:P192"/>
    <mergeCell ref="S192:T192"/>
    <mergeCell ref="U192:V192"/>
    <mergeCell ref="AA190:AB190"/>
    <mergeCell ref="E191:F191"/>
    <mergeCell ref="I191:J191"/>
    <mergeCell ref="O191:P191"/>
    <mergeCell ref="S191:T191"/>
    <mergeCell ref="U191:V191"/>
    <mergeCell ref="AA192:AB192"/>
    <mergeCell ref="W190:X190"/>
    <mergeCell ref="W191:X191"/>
    <mergeCell ref="E193:F193"/>
    <mergeCell ref="I193:J193"/>
    <mergeCell ref="O193:P193"/>
    <mergeCell ref="S193:T193"/>
    <mergeCell ref="U193:V193"/>
    <mergeCell ref="AA193:AB193"/>
    <mergeCell ref="E192:F192"/>
    <mergeCell ref="I192:J192"/>
    <mergeCell ref="AA195:AB195"/>
    <mergeCell ref="E194:F194"/>
    <mergeCell ref="I194:J194"/>
    <mergeCell ref="O194:P194"/>
    <mergeCell ref="S194:T194"/>
    <mergeCell ref="U194:V194"/>
    <mergeCell ref="W192:X192"/>
    <mergeCell ref="W193:X193"/>
    <mergeCell ref="AA191:AB191"/>
    <mergeCell ref="O196:P196"/>
    <mergeCell ref="S196:T196"/>
    <mergeCell ref="U196:V196"/>
    <mergeCell ref="AA194:AB194"/>
    <mergeCell ref="E195:F195"/>
    <mergeCell ref="I195:J195"/>
    <mergeCell ref="O195:P195"/>
    <mergeCell ref="S195:T195"/>
    <mergeCell ref="U195:V195"/>
    <mergeCell ref="AA196:AB196"/>
    <mergeCell ref="E197:F197"/>
    <mergeCell ref="I197:J197"/>
    <mergeCell ref="O197:P197"/>
    <mergeCell ref="S197:T197"/>
    <mergeCell ref="U197:V197"/>
    <mergeCell ref="AA197:AB197"/>
    <mergeCell ref="E196:F196"/>
    <mergeCell ref="I196:J196"/>
    <mergeCell ref="W194:X194"/>
    <mergeCell ref="W195:X195"/>
    <mergeCell ref="W196:X196"/>
    <mergeCell ref="W197:X197"/>
    <mergeCell ref="E198:F198"/>
    <mergeCell ref="I198:J198"/>
    <mergeCell ref="O198:P198"/>
    <mergeCell ref="S198:T198"/>
    <mergeCell ref="U198:V198"/>
    <mergeCell ref="AA198:AB198"/>
    <mergeCell ref="AA199:AB199"/>
    <mergeCell ref="AA200:AB200"/>
    <mergeCell ref="E199:F199"/>
    <mergeCell ref="I199:J199"/>
    <mergeCell ref="O199:P199"/>
    <mergeCell ref="S199:T199"/>
    <mergeCell ref="U199:V199"/>
    <mergeCell ref="I201:J201"/>
    <mergeCell ref="O201:P201"/>
    <mergeCell ref="S201:T201"/>
    <mergeCell ref="U201:V201"/>
    <mergeCell ref="O200:P200"/>
    <mergeCell ref="S200:T200"/>
    <mergeCell ref="U200:V200"/>
    <mergeCell ref="AA201:AB201"/>
    <mergeCell ref="E200:F200"/>
    <mergeCell ref="I200:J200"/>
    <mergeCell ref="E201:F201"/>
    <mergeCell ref="W198:X198"/>
    <mergeCell ref="W199:X199"/>
    <mergeCell ref="W200:X200"/>
    <mergeCell ref="W201:X201"/>
    <mergeCell ref="AA202:AB202"/>
    <mergeCell ref="AA203:AB203"/>
    <mergeCell ref="AA204:AB204"/>
    <mergeCell ref="E207:F207"/>
    <mergeCell ref="I207:J207"/>
    <mergeCell ref="L207:M207"/>
    <mergeCell ref="O207:P207"/>
    <mergeCell ref="S207:T207"/>
    <mergeCell ref="U207:V207"/>
    <mergeCell ref="AA207:AB207"/>
    <mergeCell ref="E204:F204"/>
    <mergeCell ref="E208:F208"/>
    <mergeCell ref="I208:J208"/>
    <mergeCell ref="L208:M208"/>
    <mergeCell ref="O208:P208"/>
    <mergeCell ref="S208:T208"/>
    <mergeCell ref="U208:V208"/>
    <mergeCell ref="AA208:AB208"/>
    <mergeCell ref="E202:F202"/>
    <mergeCell ref="I202:J202"/>
    <mergeCell ref="O202:P202"/>
    <mergeCell ref="S202:T202"/>
    <mergeCell ref="U202:V202"/>
    <mergeCell ref="E203:F203"/>
    <mergeCell ref="I203:J203"/>
    <mergeCell ref="O203:P203"/>
    <mergeCell ref="S203:T203"/>
    <mergeCell ref="U203:V203"/>
    <mergeCell ref="I204:J204"/>
    <mergeCell ref="O204:P204"/>
    <mergeCell ref="S204:T204"/>
    <mergeCell ref="U204:V204"/>
    <mergeCell ref="E209:F209"/>
    <mergeCell ref="I209:J209"/>
    <mergeCell ref="L209:M209"/>
    <mergeCell ref="O209:P209"/>
    <mergeCell ref="S209:T209"/>
    <mergeCell ref="U209:V209"/>
    <mergeCell ref="AA209:AB209"/>
    <mergeCell ref="E210:F210"/>
    <mergeCell ref="I210:J210"/>
    <mergeCell ref="L210:M210"/>
    <mergeCell ref="O210:P210"/>
    <mergeCell ref="S210:T210"/>
    <mergeCell ref="U210:V210"/>
    <mergeCell ref="AA210:AB210"/>
    <mergeCell ref="E211:F211"/>
    <mergeCell ref="I211:J211"/>
    <mergeCell ref="L211:M211"/>
    <mergeCell ref="O211:P211"/>
    <mergeCell ref="S211:T211"/>
    <mergeCell ref="U211:V211"/>
    <mergeCell ref="AA211:AB211"/>
    <mergeCell ref="S217:T217"/>
    <mergeCell ref="U217:V217"/>
    <mergeCell ref="AA217:AB217"/>
    <mergeCell ref="E212:F212"/>
    <mergeCell ref="I212:J212"/>
    <mergeCell ref="L212:M212"/>
    <mergeCell ref="O212:P212"/>
    <mergeCell ref="S212:T212"/>
    <mergeCell ref="U212:V212"/>
    <mergeCell ref="AA212:AB212"/>
    <mergeCell ref="E213:F213"/>
    <mergeCell ref="I213:J213"/>
    <mergeCell ref="L213:M213"/>
    <mergeCell ref="O213:P213"/>
    <mergeCell ref="S213:T213"/>
    <mergeCell ref="U213:V213"/>
    <mergeCell ref="AA213:AB213"/>
    <mergeCell ref="E214:F214"/>
    <mergeCell ref="I214:J214"/>
    <mergeCell ref="L214:M214"/>
    <mergeCell ref="O214:P214"/>
    <mergeCell ref="S214:T214"/>
    <mergeCell ref="U214:V214"/>
    <mergeCell ref="AA214:AB214"/>
    <mergeCell ref="AM224:AQ224"/>
    <mergeCell ref="E225:F225"/>
    <mergeCell ref="H225:I225"/>
    <mergeCell ref="K225:L225"/>
    <mergeCell ref="N225:O225"/>
    <mergeCell ref="Q225:R225"/>
    <mergeCell ref="W223:X224"/>
    <mergeCell ref="Y223:Y225"/>
    <mergeCell ref="Z223:AA224"/>
    <mergeCell ref="AB223:AB225"/>
    <mergeCell ref="AC223:AD224"/>
    <mergeCell ref="AC225:AD225"/>
    <mergeCell ref="N223:O224"/>
    <mergeCell ref="P223:P225"/>
    <mergeCell ref="E215:F215"/>
    <mergeCell ref="I215:J215"/>
    <mergeCell ref="L215:M215"/>
    <mergeCell ref="O215:P215"/>
    <mergeCell ref="S215:T215"/>
    <mergeCell ref="U215:V215"/>
    <mergeCell ref="AA215:AB215"/>
    <mergeCell ref="E216:F216"/>
    <mergeCell ref="I216:J216"/>
    <mergeCell ref="L216:M216"/>
    <mergeCell ref="O216:P216"/>
    <mergeCell ref="S216:T216"/>
    <mergeCell ref="U216:V216"/>
    <mergeCell ref="AA216:AB216"/>
    <mergeCell ref="E217:F217"/>
    <mergeCell ref="I217:J217"/>
    <mergeCell ref="L217:M217"/>
    <mergeCell ref="O217:P217"/>
    <mergeCell ref="AV226:AW226"/>
    <mergeCell ref="AY226:AZ226"/>
    <mergeCell ref="BB226:BC226"/>
    <mergeCell ref="BE226:BF226"/>
    <mergeCell ref="BZ223:CA224"/>
    <mergeCell ref="CD223:CH223"/>
    <mergeCell ref="CD224:CH224"/>
    <mergeCell ref="BT225:BU225"/>
    <mergeCell ref="BW225:BX225"/>
    <mergeCell ref="BZ225:CA225"/>
    <mergeCell ref="BH226:BI226"/>
    <mergeCell ref="BK226:BL226"/>
    <mergeCell ref="BT223:BU224"/>
    <mergeCell ref="BY223:BY225"/>
    <mergeCell ref="E218:F218"/>
    <mergeCell ref="I218:J218"/>
    <mergeCell ref="L218:M218"/>
    <mergeCell ref="O218:P218"/>
    <mergeCell ref="S218:T218"/>
    <mergeCell ref="U218:V218"/>
    <mergeCell ref="AA218:AB218"/>
    <mergeCell ref="AV225:AW225"/>
    <mergeCell ref="AY225:AZ225"/>
    <mergeCell ref="AA219:AB219"/>
    <mergeCell ref="E219:F219"/>
    <mergeCell ref="I219:J219"/>
    <mergeCell ref="L219:M219"/>
    <mergeCell ref="O219:P219"/>
    <mergeCell ref="S219:T219"/>
    <mergeCell ref="U219:V219"/>
    <mergeCell ref="AZ218:BA218"/>
    <mergeCell ref="AM223:AQ223"/>
    <mergeCell ref="BJ223:BJ225"/>
    <mergeCell ref="AV251:AW251"/>
    <mergeCell ref="AZ251:BA251"/>
    <mergeCell ref="BF251:BG251"/>
    <mergeCell ref="BL251:BM251"/>
    <mergeCell ref="AV253:AW253"/>
    <mergeCell ref="AZ253:BA253"/>
    <mergeCell ref="BF253:BG253"/>
    <mergeCell ref="BL253:BM253"/>
    <mergeCell ref="AV252:AW252"/>
    <mergeCell ref="AZ252:BA252"/>
    <mergeCell ref="BF252:BG252"/>
    <mergeCell ref="BL252:BM252"/>
    <mergeCell ref="BE225:BF225"/>
    <mergeCell ref="CD227:CH227"/>
    <mergeCell ref="BW227:BX227"/>
    <mergeCell ref="AT223:AT225"/>
    <mergeCell ref="AU223:AU225"/>
    <mergeCell ref="AV223:AW224"/>
    <mergeCell ref="AX223:AX225"/>
    <mergeCell ref="AY223:AZ224"/>
    <mergeCell ref="BA223:BA225"/>
    <mergeCell ref="BQ223:BR224"/>
    <mergeCell ref="BS223:BS225"/>
    <mergeCell ref="BK225:BL225"/>
    <mergeCell ref="BN225:BO225"/>
    <mergeCell ref="BQ225:BR225"/>
    <mergeCell ref="BB223:BC224"/>
    <mergeCell ref="BD223:BD225"/>
    <mergeCell ref="BE223:BF224"/>
    <mergeCell ref="BG223:BG225"/>
    <mergeCell ref="BH223:BI224"/>
    <mergeCell ref="AR227:AS227"/>
    <mergeCell ref="AV227:AW227"/>
    <mergeCell ref="AY227:AZ227"/>
    <mergeCell ref="BB227:BC227"/>
    <mergeCell ref="BE227:BF227"/>
    <mergeCell ref="AV250:AW250"/>
    <mergeCell ref="AZ250:BA250"/>
    <mergeCell ref="BF250:BG250"/>
    <mergeCell ref="BL250:BM250"/>
    <mergeCell ref="BH227:BI227"/>
    <mergeCell ref="BK227:BL227"/>
    <mergeCell ref="BN227:BO227"/>
    <mergeCell ref="BR257:BS257"/>
    <mergeCell ref="AV258:AW258"/>
    <mergeCell ref="AZ258:BA258"/>
    <mergeCell ref="BF258:BG258"/>
    <mergeCell ref="BL258:BM258"/>
    <mergeCell ref="DC253:DD253"/>
    <mergeCell ref="BR252:BS252"/>
    <mergeCell ref="DD223:DD225"/>
    <mergeCell ref="BR250:BS250"/>
    <mergeCell ref="DA223:DA225"/>
    <mergeCell ref="BR254:BS254"/>
    <mergeCell ref="AV255:AW255"/>
    <mergeCell ref="AZ255:BA255"/>
    <mergeCell ref="BF255:BG255"/>
    <mergeCell ref="BL255:BM255"/>
    <mergeCell ref="BR255:BS255"/>
    <mergeCell ref="AV254:AW254"/>
    <mergeCell ref="AZ254:BA254"/>
    <mergeCell ref="CY223:CZ224"/>
    <mergeCell ref="CZ251:DA251"/>
    <mergeCell ref="CZ253:DA253"/>
    <mergeCell ref="CZ255:DA255"/>
    <mergeCell ref="CY226:CZ226"/>
    <mergeCell ref="DB226:DC226"/>
    <mergeCell ref="CZ250:DA250"/>
    <mergeCell ref="DC250:DD250"/>
    <mergeCell ref="DC255:DD255"/>
    <mergeCell ref="BZ227:CA227"/>
    <mergeCell ref="CB227:CC227"/>
    <mergeCell ref="CP223:CQ224"/>
    <mergeCell ref="CQ251:CR251"/>
    <mergeCell ref="CQ253:CR253"/>
    <mergeCell ref="CQ255:CR255"/>
    <mergeCell ref="CY225:CZ225"/>
    <mergeCell ref="BV223:BV225"/>
    <mergeCell ref="BW223:BX224"/>
    <mergeCell ref="CV223:CW224"/>
    <mergeCell ref="CO223:CO225"/>
    <mergeCell ref="CM259:CN259"/>
    <mergeCell ref="CM262:CN262"/>
    <mergeCell ref="CM223:CN224"/>
    <mergeCell ref="CM251:CN251"/>
    <mergeCell ref="CM253:CN253"/>
    <mergeCell ref="CL223:CL225"/>
    <mergeCell ref="BL259:BM259"/>
    <mergeCell ref="BR259:BS259"/>
    <mergeCell ref="BI258:BJ258"/>
    <mergeCell ref="BI259:BJ259"/>
    <mergeCell ref="BI260:BJ260"/>
    <mergeCell ref="AV260:AW260"/>
    <mergeCell ref="AZ260:BA260"/>
    <mergeCell ref="BF260:BG260"/>
    <mergeCell ref="BL260:BM260"/>
    <mergeCell ref="AV256:AW256"/>
    <mergeCell ref="AZ256:BA256"/>
    <mergeCell ref="BF256:BG256"/>
    <mergeCell ref="BL256:BM256"/>
    <mergeCell ref="BR256:BS256"/>
    <mergeCell ref="AV257:AW257"/>
    <mergeCell ref="AZ257:BA257"/>
    <mergeCell ref="BF257:BG257"/>
    <mergeCell ref="BL257:BM257"/>
    <mergeCell ref="AV259:AW259"/>
    <mergeCell ref="AZ259:BA259"/>
    <mergeCell ref="BF259:BG259"/>
    <mergeCell ref="BK223:BL224"/>
    <mergeCell ref="BM223:BM225"/>
    <mergeCell ref="BN223:BO224"/>
    <mergeCell ref="BP223:BP225"/>
    <mergeCell ref="AV261:AW261"/>
    <mergeCell ref="AZ261:BA261"/>
    <mergeCell ref="BF261:BG261"/>
    <mergeCell ref="BL261:BM261"/>
    <mergeCell ref="BR270:BS270"/>
    <mergeCell ref="BR266:BS266"/>
    <mergeCell ref="BR269:BS269"/>
    <mergeCell ref="CW251:CX251"/>
    <mergeCell ref="CW253:CX253"/>
    <mergeCell ref="CW255:CX255"/>
    <mergeCell ref="CW257:CX257"/>
    <mergeCell ref="BR260:BS260"/>
    <mergeCell ref="BU260:BX260"/>
    <mergeCell ref="CX223:CX225"/>
    <mergeCell ref="BR262:BS262"/>
    <mergeCell ref="CV226:CW226"/>
    <mergeCell ref="CW250:CX250"/>
    <mergeCell ref="CW262:CX262"/>
    <mergeCell ref="CW259:CX259"/>
    <mergeCell ref="BR258:BS258"/>
    <mergeCell ref="BR253:BS253"/>
    <mergeCell ref="BQ226:BR226"/>
    <mergeCell ref="BT226:BU226"/>
    <mergeCell ref="BW226:BX226"/>
    <mergeCell ref="CD228:CH228"/>
    <mergeCell ref="BQ227:BR227"/>
    <mergeCell ref="BT227:BU227"/>
    <mergeCell ref="CP225:CQ225"/>
    <mergeCell ref="CS225:CT225"/>
    <mergeCell ref="CV225:CW225"/>
    <mergeCell ref="CQ257:CR257"/>
    <mergeCell ref="CR223:CR225"/>
    <mergeCell ref="BR272:BS272"/>
    <mergeCell ref="CI227:CJ227"/>
    <mergeCell ref="CM227:CN227"/>
    <mergeCell ref="CP227:CQ227"/>
    <mergeCell ref="BR274:BS274"/>
    <mergeCell ref="CP226:CQ226"/>
    <mergeCell ref="CQ250:CR250"/>
    <mergeCell ref="CQ273:CR273"/>
    <mergeCell ref="BR271:BS271"/>
    <mergeCell ref="CM258:CN258"/>
    <mergeCell ref="CQ258:CR258"/>
    <mergeCell ref="BF254:BG254"/>
    <mergeCell ref="BL254:BM254"/>
    <mergeCell ref="BR251:BS251"/>
    <mergeCell ref="BR276:BS276"/>
    <mergeCell ref="BR273:BS273"/>
    <mergeCell ref="CQ252:CR252"/>
    <mergeCell ref="CQ276:CR276"/>
    <mergeCell ref="BF270:BG270"/>
    <mergeCell ref="BL270:BM270"/>
    <mergeCell ref="BI270:BJ270"/>
    <mergeCell ref="BF271:BG271"/>
    <mergeCell ref="BR263:BS263"/>
    <mergeCell ref="BF262:BG262"/>
    <mergeCell ref="BL265:BM265"/>
    <mergeCell ref="BR265:BS265"/>
    <mergeCell ref="BF264:BG264"/>
    <mergeCell ref="BL264:BM264"/>
    <mergeCell ref="BR261:BS261"/>
    <mergeCell ref="BL262:BM262"/>
    <mergeCell ref="BZ226:CA226"/>
    <mergeCell ref="BC274:BD274"/>
    <mergeCell ref="BF274:BG274"/>
    <mergeCell ref="BL274:BM274"/>
    <mergeCell ref="BN226:BO226"/>
    <mergeCell ref="AV266:AW266"/>
    <mergeCell ref="AZ266:BA266"/>
    <mergeCell ref="BF266:BG266"/>
    <mergeCell ref="BL266:BM266"/>
    <mergeCell ref="AV270:AW270"/>
    <mergeCell ref="AZ270:BA270"/>
    <mergeCell ref="BC270:BD270"/>
    <mergeCell ref="AV271:AW271"/>
    <mergeCell ref="AZ271:BA271"/>
    <mergeCell ref="BC271:BD271"/>
    <mergeCell ref="BL271:BM271"/>
    <mergeCell ref="AZ265:BA265"/>
    <mergeCell ref="BF265:BG265"/>
    <mergeCell ref="AV269:AW269"/>
    <mergeCell ref="AZ269:BA269"/>
    <mergeCell ref="BC269:BD269"/>
    <mergeCell ref="BF269:BG269"/>
    <mergeCell ref="BL269:BM269"/>
    <mergeCell ref="BI269:BJ269"/>
    <mergeCell ref="AV263:AW263"/>
    <mergeCell ref="AZ263:BA263"/>
    <mergeCell ref="BF263:BG263"/>
    <mergeCell ref="BL263:BM263"/>
    <mergeCell ref="BC273:BD273"/>
    <mergeCell ref="AV262:AW262"/>
    <mergeCell ref="AZ262:BA262"/>
    <mergeCell ref="AV264:AW264"/>
    <mergeCell ref="AZ264:BA264"/>
    <mergeCell ref="CK223:CK225"/>
    <mergeCell ref="CM226:CN226"/>
    <mergeCell ref="CM250:CN250"/>
    <mergeCell ref="CM273:CN273"/>
    <mergeCell ref="CM276:CN276"/>
    <mergeCell ref="AV275:AW275"/>
    <mergeCell ref="AZ275:BA275"/>
    <mergeCell ref="BC275:BD275"/>
    <mergeCell ref="BF275:BG275"/>
    <mergeCell ref="BL275:BM275"/>
    <mergeCell ref="BR275:BS275"/>
    <mergeCell ref="AV274:AW274"/>
    <mergeCell ref="AZ274:BA274"/>
    <mergeCell ref="AZ276:BA276"/>
    <mergeCell ref="BC276:BD276"/>
    <mergeCell ref="BR264:BS264"/>
    <mergeCell ref="AV265:AW265"/>
    <mergeCell ref="CM225:CN225"/>
    <mergeCell ref="CM252:CN252"/>
    <mergeCell ref="AV272:AW272"/>
    <mergeCell ref="AZ272:BA272"/>
    <mergeCell ref="BC272:BD272"/>
    <mergeCell ref="BF272:BG272"/>
    <mergeCell ref="BL272:BM272"/>
    <mergeCell ref="AV273:AW273"/>
    <mergeCell ref="BI271:BJ271"/>
    <mergeCell ref="BI272:BJ272"/>
    <mergeCell ref="BI273:BJ273"/>
    <mergeCell ref="BF273:BG273"/>
    <mergeCell ref="BL273:BM273"/>
    <mergeCell ref="BI274:BJ274"/>
    <mergeCell ref="AZ273:BA273"/>
    <mergeCell ref="AV279:AW279"/>
    <mergeCell ref="AZ279:BA279"/>
    <mergeCell ref="BC279:BD279"/>
    <mergeCell ref="BF279:BG279"/>
    <mergeCell ref="BL279:BM279"/>
    <mergeCell ref="BF280:BG280"/>
    <mergeCell ref="BL280:BM280"/>
    <mergeCell ref="BR280:BS280"/>
    <mergeCell ref="BR278:BS278"/>
    <mergeCell ref="BR279:BS279"/>
    <mergeCell ref="AV277:AW277"/>
    <mergeCell ref="AZ277:BA277"/>
    <mergeCell ref="BC277:BD277"/>
    <mergeCell ref="BF277:BG277"/>
    <mergeCell ref="BL277:BM277"/>
    <mergeCell ref="BR277:BS277"/>
    <mergeCell ref="AV276:AW276"/>
    <mergeCell ref="AV278:AW278"/>
    <mergeCell ref="AZ278:BA278"/>
    <mergeCell ref="BC278:BD278"/>
    <mergeCell ref="BF278:BG278"/>
    <mergeCell ref="BL278:BM278"/>
    <mergeCell ref="BF276:BG276"/>
    <mergeCell ref="BL276:BM276"/>
    <mergeCell ref="DN225:DO225"/>
    <mergeCell ref="DQ225:DR225"/>
    <mergeCell ref="BU279:BX279"/>
    <mergeCell ref="AV280:AW280"/>
    <mergeCell ref="AZ280:BA280"/>
    <mergeCell ref="BC280:BD280"/>
    <mergeCell ref="BR281:BS281"/>
    <mergeCell ref="BI250:BJ250"/>
    <mergeCell ref="BI251:BJ251"/>
    <mergeCell ref="BI252:BJ252"/>
    <mergeCell ref="BI253:BJ253"/>
    <mergeCell ref="BI254:BJ254"/>
    <mergeCell ref="BI255:BJ255"/>
    <mergeCell ref="BI256:BJ256"/>
    <mergeCell ref="BI257:BJ257"/>
    <mergeCell ref="BI275:BJ275"/>
    <mergeCell ref="BI276:BJ276"/>
    <mergeCell ref="BI261:BJ261"/>
    <mergeCell ref="BI262:BJ262"/>
    <mergeCell ref="BI263:BJ263"/>
    <mergeCell ref="BI264:BJ264"/>
    <mergeCell ref="BI265:BJ265"/>
    <mergeCell ref="BI266:BJ266"/>
    <mergeCell ref="BI277:BJ277"/>
    <mergeCell ref="BI278:BJ278"/>
    <mergeCell ref="BI279:BJ279"/>
    <mergeCell ref="DE226:DF226"/>
    <mergeCell ref="CU223:CU225"/>
    <mergeCell ref="CS227:CT227"/>
    <mergeCell ref="CV227:CW227"/>
    <mergeCell ref="CY227:CZ227"/>
    <mergeCell ref="DN227:DO227"/>
    <mergeCell ref="DB227:DC227"/>
    <mergeCell ref="DQ227:DR227"/>
    <mergeCell ref="DS227:DT227"/>
    <mergeCell ref="DK226:DL226"/>
    <mergeCell ref="DN226:DO226"/>
    <mergeCell ref="DQ226:DR226"/>
    <mergeCell ref="DH226:DI226"/>
    <mergeCell ref="DF250:DG250"/>
    <mergeCell ref="DI250:DJ250"/>
    <mergeCell ref="DF251:DG251"/>
    <mergeCell ref="DI251:DJ251"/>
    <mergeCell ref="CW252:CX252"/>
    <mergeCell ref="CZ252:DA252"/>
    <mergeCell ref="DC252:DD252"/>
    <mergeCell ref="DF252:DG252"/>
    <mergeCell ref="DI252:DJ252"/>
    <mergeCell ref="DC251:DD251"/>
    <mergeCell ref="DF253:DG253"/>
    <mergeCell ref="DI253:DJ253"/>
    <mergeCell ref="CM254:CN254"/>
    <mergeCell ref="CQ254:CR254"/>
    <mergeCell ref="DU227:DY227"/>
    <mergeCell ref="DU228:DY228"/>
    <mergeCell ref="DE223:DF224"/>
    <mergeCell ref="DG223:DG225"/>
    <mergeCell ref="DH223:DI224"/>
    <mergeCell ref="DJ223:DJ225"/>
    <mergeCell ref="DK223:DL224"/>
    <mergeCell ref="DM223:DM225"/>
    <mergeCell ref="DE225:DF225"/>
    <mergeCell ref="DH225:DI225"/>
    <mergeCell ref="DK225:DL225"/>
    <mergeCell ref="DN223:DO224"/>
    <mergeCell ref="DP223:DP225"/>
    <mergeCell ref="DQ223:DR224"/>
    <mergeCell ref="DU223:DY223"/>
    <mergeCell ref="DU224:DY224"/>
    <mergeCell ref="CS223:CT224"/>
    <mergeCell ref="DE227:DF227"/>
    <mergeCell ref="CS226:CT226"/>
    <mergeCell ref="DB223:DC224"/>
    <mergeCell ref="DB225:DC225"/>
    <mergeCell ref="CW254:CX254"/>
    <mergeCell ref="CZ254:DA254"/>
    <mergeCell ref="DC254:DD254"/>
    <mergeCell ref="DF254:DG254"/>
    <mergeCell ref="DI254:DJ254"/>
    <mergeCell ref="DH227:DI227"/>
    <mergeCell ref="DK227:DL227"/>
    <mergeCell ref="DF255:DG255"/>
    <mergeCell ref="DI255:DJ255"/>
    <mergeCell ref="CM256:CN256"/>
    <mergeCell ref="CQ256:CR256"/>
    <mergeCell ref="CW256:CX256"/>
    <mergeCell ref="CZ256:DA256"/>
    <mergeCell ref="DC256:DD256"/>
    <mergeCell ref="DF256:DG256"/>
    <mergeCell ref="DI256:DJ256"/>
    <mergeCell ref="DC257:DD257"/>
    <mergeCell ref="DF257:DG257"/>
    <mergeCell ref="DI257:DJ257"/>
    <mergeCell ref="CZ258:DA258"/>
    <mergeCell ref="DC258:DD258"/>
    <mergeCell ref="DF258:DG258"/>
    <mergeCell ref="DI258:DJ258"/>
    <mergeCell ref="CW258:CX258"/>
    <mergeCell ref="CZ257:DA257"/>
    <mergeCell ref="CM255:CN255"/>
    <mergeCell ref="CM257:CN257"/>
    <mergeCell ref="DC259:DD259"/>
    <mergeCell ref="DF259:DG259"/>
    <mergeCell ref="DI259:DJ259"/>
    <mergeCell ref="CM260:CN260"/>
    <mergeCell ref="CQ260:CR260"/>
    <mergeCell ref="CW260:CX260"/>
    <mergeCell ref="CZ260:DA260"/>
    <mergeCell ref="DC260:DD260"/>
    <mergeCell ref="DF260:DG260"/>
    <mergeCell ref="DI260:DJ260"/>
    <mergeCell ref="DL260:DO260"/>
    <mergeCell ref="CM261:CN261"/>
    <mergeCell ref="CQ261:CR261"/>
    <mergeCell ref="CW261:CX261"/>
    <mergeCell ref="CZ261:DA261"/>
    <mergeCell ref="DC261:DD261"/>
    <mergeCell ref="DF261:DG261"/>
    <mergeCell ref="DI261:DJ261"/>
    <mergeCell ref="CQ259:CR259"/>
    <mergeCell ref="CZ259:DA259"/>
    <mergeCell ref="CZ262:DA262"/>
    <mergeCell ref="DC262:DD262"/>
    <mergeCell ref="DF262:DG262"/>
    <mergeCell ref="DI262:DJ262"/>
    <mergeCell ref="CM263:CN263"/>
    <mergeCell ref="CQ263:CR263"/>
    <mergeCell ref="CW263:CX263"/>
    <mergeCell ref="CZ263:DA263"/>
    <mergeCell ref="DC263:DD263"/>
    <mergeCell ref="DF263:DG263"/>
    <mergeCell ref="DI263:DJ263"/>
    <mergeCell ref="CM264:CN264"/>
    <mergeCell ref="CQ264:CR264"/>
    <mergeCell ref="CW264:CX264"/>
    <mergeCell ref="CZ264:DA264"/>
    <mergeCell ref="DC264:DD264"/>
    <mergeCell ref="DF264:DG264"/>
    <mergeCell ref="DI264:DJ264"/>
    <mergeCell ref="CQ262:CR262"/>
    <mergeCell ref="CW265:CX265"/>
    <mergeCell ref="CZ265:DA265"/>
    <mergeCell ref="DC265:DD265"/>
    <mergeCell ref="DF265:DG265"/>
    <mergeCell ref="DI265:DJ265"/>
    <mergeCell ref="CM266:CN266"/>
    <mergeCell ref="CQ266:CR266"/>
    <mergeCell ref="CW266:CX266"/>
    <mergeCell ref="CZ266:DA266"/>
    <mergeCell ref="DC266:DD266"/>
    <mergeCell ref="DF266:DG266"/>
    <mergeCell ref="DI266:DJ266"/>
    <mergeCell ref="CM269:CN269"/>
    <mergeCell ref="CQ269:CR269"/>
    <mergeCell ref="CT269:CU269"/>
    <mergeCell ref="CW269:CX269"/>
    <mergeCell ref="CZ269:DA269"/>
    <mergeCell ref="DC269:DD269"/>
    <mergeCell ref="DF269:DG269"/>
    <mergeCell ref="DI269:DJ269"/>
    <mergeCell ref="CM265:CN265"/>
    <mergeCell ref="CQ265:CR265"/>
    <mergeCell ref="CT270:CU270"/>
    <mergeCell ref="CW270:CX270"/>
    <mergeCell ref="CZ270:DA270"/>
    <mergeCell ref="DC270:DD270"/>
    <mergeCell ref="DF270:DG270"/>
    <mergeCell ref="DI270:DJ270"/>
    <mergeCell ref="CM271:CN271"/>
    <mergeCell ref="CQ271:CR271"/>
    <mergeCell ref="CT271:CU271"/>
    <mergeCell ref="CW271:CX271"/>
    <mergeCell ref="CZ271:DA271"/>
    <mergeCell ref="DC271:DD271"/>
    <mergeCell ref="DF271:DG271"/>
    <mergeCell ref="DI271:DJ271"/>
    <mergeCell ref="CM272:CN272"/>
    <mergeCell ref="CQ272:CR272"/>
    <mergeCell ref="CT272:CU272"/>
    <mergeCell ref="CW272:CX272"/>
    <mergeCell ref="CZ272:DA272"/>
    <mergeCell ref="DC272:DD272"/>
    <mergeCell ref="DF272:DG272"/>
    <mergeCell ref="DI272:DJ272"/>
    <mergeCell ref="CM270:CN270"/>
    <mergeCell ref="CQ270:CR270"/>
    <mergeCell ref="CT273:CU273"/>
    <mergeCell ref="CW273:CX273"/>
    <mergeCell ref="CZ273:DA273"/>
    <mergeCell ref="DC273:DD273"/>
    <mergeCell ref="DF273:DG273"/>
    <mergeCell ref="DI273:DJ273"/>
    <mergeCell ref="CM274:CN274"/>
    <mergeCell ref="CQ274:CR274"/>
    <mergeCell ref="CT274:CU274"/>
    <mergeCell ref="CW274:CX274"/>
    <mergeCell ref="CZ274:DA274"/>
    <mergeCell ref="DC274:DD274"/>
    <mergeCell ref="DF274:DG274"/>
    <mergeCell ref="DI274:DJ274"/>
    <mergeCell ref="CM275:CN275"/>
    <mergeCell ref="CQ275:CR275"/>
    <mergeCell ref="CT275:CU275"/>
    <mergeCell ref="CW275:CX275"/>
    <mergeCell ref="CZ275:DA275"/>
    <mergeCell ref="DC275:DD275"/>
    <mergeCell ref="DF275:DG275"/>
    <mergeCell ref="DI275:DJ275"/>
    <mergeCell ref="CT276:CU276"/>
    <mergeCell ref="CW276:CX276"/>
    <mergeCell ref="CZ276:DA276"/>
    <mergeCell ref="DC276:DD276"/>
    <mergeCell ref="DF276:DG276"/>
    <mergeCell ref="DI276:DJ276"/>
    <mergeCell ref="CM277:CN277"/>
    <mergeCell ref="CQ277:CR277"/>
    <mergeCell ref="CT277:CU277"/>
    <mergeCell ref="CW277:CX277"/>
    <mergeCell ref="CZ277:DA277"/>
    <mergeCell ref="DC277:DD277"/>
    <mergeCell ref="DF277:DG277"/>
    <mergeCell ref="DI277:DJ277"/>
    <mergeCell ref="CM278:CN278"/>
    <mergeCell ref="CQ278:CR278"/>
    <mergeCell ref="CT278:CU278"/>
    <mergeCell ref="CW278:CX278"/>
    <mergeCell ref="CZ278:DA278"/>
    <mergeCell ref="DC278:DD278"/>
    <mergeCell ref="DF278:DG278"/>
    <mergeCell ref="DI278:DJ278"/>
    <mergeCell ref="Z284:AA285"/>
    <mergeCell ref="AB284:AB286"/>
    <mergeCell ref="T286:U286"/>
    <mergeCell ref="CM279:CN279"/>
    <mergeCell ref="CQ279:CR279"/>
    <mergeCell ref="CT279:CU279"/>
    <mergeCell ref="CW279:CX279"/>
    <mergeCell ref="CZ279:DA279"/>
    <mergeCell ref="DC279:DD279"/>
    <mergeCell ref="DF279:DG279"/>
    <mergeCell ref="DI279:DJ279"/>
    <mergeCell ref="DL279:DO279"/>
    <mergeCell ref="CM280:CN280"/>
    <mergeCell ref="CQ280:CR280"/>
    <mergeCell ref="CT280:CU280"/>
    <mergeCell ref="CW280:CX280"/>
    <mergeCell ref="CZ280:DA280"/>
    <mergeCell ref="DC280:DD280"/>
    <mergeCell ref="DF280:DG280"/>
    <mergeCell ref="DI280:DJ280"/>
    <mergeCell ref="BI280:BJ280"/>
    <mergeCell ref="BI281:BJ281"/>
    <mergeCell ref="AV281:AW281"/>
    <mergeCell ref="AZ281:BA281"/>
    <mergeCell ref="BC281:BD281"/>
    <mergeCell ref="BF281:BG281"/>
    <mergeCell ref="BL281:BM281"/>
    <mergeCell ref="AD281:AE281"/>
    <mergeCell ref="AG281:AH281"/>
    <mergeCell ref="AK281:AL281"/>
    <mergeCell ref="AA281:AB281"/>
    <mergeCell ref="AT284:AT286"/>
    <mergeCell ref="AC287:AD287"/>
    <mergeCell ref="AF287:AG287"/>
    <mergeCell ref="AI287:AJ287"/>
    <mergeCell ref="CM281:CN281"/>
    <mergeCell ref="CQ281:CR281"/>
    <mergeCell ref="CT281:CU281"/>
    <mergeCell ref="CW281:CX281"/>
    <mergeCell ref="CZ281:DA281"/>
    <mergeCell ref="DC281:DD281"/>
    <mergeCell ref="DF281:DG281"/>
    <mergeCell ref="DI281:DJ281"/>
    <mergeCell ref="C284:C286"/>
    <mergeCell ref="D284:D286"/>
    <mergeCell ref="E284:F285"/>
    <mergeCell ref="G284:G286"/>
    <mergeCell ref="H284:I285"/>
    <mergeCell ref="J284:J286"/>
    <mergeCell ref="E286:F286"/>
    <mergeCell ref="H286:I286"/>
    <mergeCell ref="K284:L285"/>
    <mergeCell ref="M284:M286"/>
    <mergeCell ref="N284:O285"/>
    <mergeCell ref="P284:P286"/>
    <mergeCell ref="Q284:R285"/>
    <mergeCell ref="S284:S286"/>
    <mergeCell ref="K286:L286"/>
    <mergeCell ref="N286:O286"/>
    <mergeCell ref="Q286:R286"/>
    <mergeCell ref="T284:U285"/>
    <mergeCell ref="V284:V286"/>
    <mergeCell ref="W284:X285"/>
    <mergeCell ref="Y284:Y286"/>
    <mergeCell ref="AK288:AL288"/>
    <mergeCell ref="AM288:AQ288"/>
    <mergeCell ref="AM289:AQ289"/>
    <mergeCell ref="E311:F311"/>
    <mergeCell ref="I311:J311"/>
    <mergeCell ref="O311:P311"/>
    <mergeCell ref="S311:T311"/>
    <mergeCell ref="U311:V311"/>
    <mergeCell ref="AA311:AB311"/>
    <mergeCell ref="W311:X311"/>
    <mergeCell ref="AG311:AH311"/>
    <mergeCell ref="AK311:AL311"/>
    <mergeCell ref="W286:X286"/>
    <mergeCell ref="Z286:AA286"/>
    <mergeCell ref="AC284:AD285"/>
    <mergeCell ref="AE284:AE286"/>
    <mergeCell ref="AF284:AG285"/>
    <mergeCell ref="AH284:AH286"/>
    <mergeCell ref="AI284:AJ285"/>
    <mergeCell ref="AM284:AQ284"/>
    <mergeCell ref="AM285:AQ285"/>
    <mergeCell ref="AC286:AD286"/>
    <mergeCell ref="AF286:AG286"/>
    <mergeCell ref="AI286:AJ286"/>
    <mergeCell ref="E287:F287"/>
    <mergeCell ref="H287:I287"/>
    <mergeCell ref="K287:L287"/>
    <mergeCell ref="N287:O287"/>
    <mergeCell ref="Q287:R287"/>
    <mergeCell ref="T287:U287"/>
    <mergeCell ref="W287:X287"/>
    <mergeCell ref="Z287:AA287"/>
    <mergeCell ref="O314:P314"/>
    <mergeCell ref="S314:T314"/>
    <mergeCell ref="U314:V314"/>
    <mergeCell ref="AA315:AB315"/>
    <mergeCell ref="W312:X312"/>
    <mergeCell ref="A288:B288"/>
    <mergeCell ref="E288:F288"/>
    <mergeCell ref="H288:I288"/>
    <mergeCell ref="K288:L288"/>
    <mergeCell ref="N288:O288"/>
    <mergeCell ref="Q288:R288"/>
    <mergeCell ref="T288:U288"/>
    <mergeCell ref="W288:X288"/>
    <mergeCell ref="Z288:AA288"/>
    <mergeCell ref="AC288:AD288"/>
    <mergeCell ref="AF288:AG288"/>
    <mergeCell ref="AI288:AJ288"/>
    <mergeCell ref="AG312:AH312"/>
    <mergeCell ref="E316:F316"/>
    <mergeCell ref="I316:J316"/>
    <mergeCell ref="O316:P316"/>
    <mergeCell ref="S316:T316"/>
    <mergeCell ref="U316:V316"/>
    <mergeCell ref="AA316:AB316"/>
    <mergeCell ref="E315:F315"/>
    <mergeCell ref="I315:J315"/>
    <mergeCell ref="AA318:AB318"/>
    <mergeCell ref="E317:F317"/>
    <mergeCell ref="I317:J317"/>
    <mergeCell ref="O317:P317"/>
    <mergeCell ref="S317:T317"/>
    <mergeCell ref="U317:V317"/>
    <mergeCell ref="E312:F312"/>
    <mergeCell ref="I312:J312"/>
    <mergeCell ref="O312:P312"/>
    <mergeCell ref="S312:T312"/>
    <mergeCell ref="U312:V312"/>
    <mergeCell ref="AA312:AB312"/>
    <mergeCell ref="AA314:AB314"/>
    <mergeCell ref="E313:F313"/>
    <mergeCell ref="I313:J313"/>
    <mergeCell ref="O313:P313"/>
    <mergeCell ref="S313:T313"/>
    <mergeCell ref="U313:V313"/>
    <mergeCell ref="O315:P315"/>
    <mergeCell ref="S315:T315"/>
    <mergeCell ref="U315:V315"/>
    <mergeCell ref="AA313:AB313"/>
    <mergeCell ref="E314:F314"/>
    <mergeCell ref="I314:J314"/>
    <mergeCell ref="O319:P319"/>
    <mergeCell ref="S319:T319"/>
    <mergeCell ref="U319:V319"/>
    <mergeCell ref="AA317:AB317"/>
    <mergeCell ref="E318:F318"/>
    <mergeCell ref="I318:J318"/>
    <mergeCell ref="O318:P318"/>
    <mergeCell ref="S318:T318"/>
    <mergeCell ref="U318:V318"/>
    <mergeCell ref="AA319:AB319"/>
    <mergeCell ref="E320:F320"/>
    <mergeCell ref="I320:J320"/>
    <mergeCell ref="O320:P320"/>
    <mergeCell ref="S320:T320"/>
    <mergeCell ref="U320:V320"/>
    <mergeCell ref="AA320:AB320"/>
    <mergeCell ref="E319:F319"/>
    <mergeCell ref="I319:J319"/>
    <mergeCell ref="W318:X318"/>
    <mergeCell ref="W319:X319"/>
    <mergeCell ref="E321:F321"/>
    <mergeCell ref="I321:J321"/>
    <mergeCell ref="O321:P321"/>
    <mergeCell ref="S321:T321"/>
    <mergeCell ref="U321:V321"/>
    <mergeCell ref="AA321:AB321"/>
    <mergeCell ref="AA322:AB322"/>
    <mergeCell ref="AA323:AB323"/>
    <mergeCell ref="E322:F322"/>
    <mergeCell ref="I322:J322"/>
    <mergeCell ref="O322:P322"/>
    <mergeCell ref="S322:T322"/>
    <mergeCell ref="U322:V322"/>
    <mergeCell ref="I324:J324"/>
    <mergeCell ref="O324:P324"/>
    <mergeCell ref="S324:T324"/>
    <mergeCell ref="U324:V324"/>
    <mergeCell ref="O323:P323"/>
    <mergeCell ref="S323:T323"/>
    <mergeCell ref="U323:V323"/>
    <mergeCell ref="AA324:AB324"/>
    <mergeCell ref="E323:F323"/>
    <mergeCell ref="I323:J323"/>
    <mergeCell ref="E324:F324"/>
    <mergeCell ref="W324:X324"/>
    <mergeCell ref="E330:F330"/>
    <mergeCell ref="I330:J330"/>
    <mergeCell ref="L330:M330"/>
    <mergeCell ref="O330:P330"/>
    <mergeCell ref="S330:T330"/>
    <mergeCell ref="U330:V330"/>
    <mergeCell ref="AA330:AB330"/>
    <mergeCell ref="E327:F327"/>
    <mergeCell ref="E331:F331"/>
    <mergeCell ref="I331:J331"/>
    <mergeCell ref="L331:M331"/>
    <mergeCell ref="O331:P331"/>
    <mergeCell ref="S331:T331"/>
    <mergeCell ref="U331:V331"/>
    <mergeCell ref="AA331:AB331"/>
    <mergeCell ref="E325:F325"/>
    <mergeCell ref="I325:J325"/>
    <mergeCell ref="O325:P325"/>
    <mergeCell ref="S325:T325"/>
    <mergeCell ref="U325:V325"/>
    <mergeCell ref="E326:F326"/>
    <mergeCell ref="I326:J326"/>
    <mergeCell ref="O326:P326"/>
    <mergeCell ref="S326:T326"/>
    <mergeCell ref="U326:V326"/>
    <mergeCell ref="I327:J327"/>
    <mergeCell ref="O327:P327"/>
    <mergeCell ref="S327:T327"/>
    <mergeCell ref="U327:V327"/>
    <mergeCell ref="W326:X326"/>
    <mergeCell ref="E332:F332"/>
    <mergeCell ref="I332:J332"/>
    <mergeCell ref="L332:M332"/>
    <mergeCell ref="O332:P332"/>
    <mergeCell ref="S332:T332"/>
    <mergeCell ref="U332:V332"/>
    <mergeCell ref="AA332:AB332"/>
    <mergeCell ref="E333:F333"/>
    <mergeCell ref="I333:J333"/>
    <mergeCell ref="L333:M333"/>
    <mergeCell ref="O333:P333"/>
    <mergeCell ref="S333:T333"/>
    <mergeCell ref="U333:V333"/>
    <mergeCell ref="AA333:AB333"/>
    <mergeCell ref="E334:F334"/>
    <mergeCell ref="I334:J334"/>
    <mergeCell ref="L334:M334"/>
    <mergeCell ref="O334:P334"/>
    <mergeCell ref="S334:T334"/>
    <mergeCell ref="U334:V334"/>
    <mergeCell ref="AA334:AB334"/>
    <mergeCell ref="W332:X332"/>
    <mergeCell ref="W333:X333"/>
    <mergeCell ref="E335:F335"/>
    <mergeCell ref="I335:J335"/>
    <mergeCell ref="L335:M335"/>
    <mergeCell ref="O335:P335"/>
    <mergeCell ref="S335:T335"/>
    <mergeCell ref="U335:V335"/>
    <mergeCell ref="AA335:AB335"/>
    <mergeCell ref="E336:F336"/>
    <mergeCell ref="I336:J336"/>
    <mergeCell ref="L336:M336"/>
    <mergeCell ref="O336:P336"/>
    <mergeCell ref="S336:T336"/>
    <mergeCell ref="U336:V336"/>
    <mergeCell ref="AA336:AB336"/>
    <mergeCell ref="E337:F337"/>
    <mergeCell ref="I337:J337"/>
    <mergeCell ref="L337:M337"/>
    <mergeCell ref="O337:P337"/>
    <mergeCell ref="S337:T337"/>
    <mergeCell ref="U337:V337"/>
    <mergeCell ref="AA337:AB337"/>
    <mergeCell ref="W337:X337"/>
    <mergeCell ref="E338:F338"/>
    <mergeCell ref="I338:J338"/>
    <mergeCell ref="L338:M338"/>
    <mergeCell ref="O338:P338"/>
    <mergeCell ref="S338:T338"/>
    <mergeCell ref="U338:V338"/>
    <mergeCell ref="AA338:AB338"/>
    <mergeCell ref="E339:F339"/>
    <mergeCell ref="I339:J339"/>
    <mergeCell ref="L339:M339"/>
    <mergeCell ref="O339:P339"/>
    <mergeCell ref="S339:T339"/>
    <mergeCell ref="U339:V339"/>
    <mergeCell ref="AA339:AB339"/>
    <mergeCell ref="E340:F340"/>
    <mergeCell ref="I340:J340"/>
    <mergeCell ref="L340:M340"/>
    <mergeCell ref="O340:P340"/>
    <mergeCell ref="S340:T340"/>
    <mergeCell ref="U340:V340"/>
    <mergeCell ref="AA340:AB340"/>
    <mergeCell ref="E341:F341"/>
    <mergeCell ref="I341:J341"/>
    <mergeCell ref="L341:M341"/>
    <mergeCell ref="O341:P341"/>
    <mergeCell ref="S341:T341"/>
    <mergeCell ref="U341:V341"/>
    <mergeCell ref="AA341:AB341"/>
    <mergeCell ref="AA342:AB342"/>
    <mergeCell ref="E342:F342"/>
    <mergeCell ref="I342:J342"/>
    <mergeCell ref="L342:M342"/>
    <mergeCell ref="O342:P342"/>
    <mergeCell ref="S342:T342"/>
    <mergeCell ref="U342:V342"/>
    <mergeCell ref="W342:X342"/>
    <mergeCell ref="AD342:AE342"/>
    <mergeCell ref="AG342:AH342"/>
    <mergeCell ref="AD341:AE341"/>
    <mergeCell ref="AG341:AH341"/>
    <mergeCell ref="W341:X341"/>
    <mergeCell ref="AU284:AU286"/>
    <mergeCell ref="AV284:AW285"/>
    <mergeCell ref="AX284:AX286"/>
    <mergeCell ref="AY284:AZ285"/>
    <mergeCell ref="BA284:BA286"/>
    <mergeCell ref="AV286:AW286"/>
    <mergeCell ref="AY286:AZ286"/>
    <mergeCell ref="BB284:BC285"/>
    <mergeCell ref="BD284:BD286"/>
    <mergeCell ref="BE284:BF285"/>
    <mergeCell ref="BG284:BG286"/>
    <mergeCell ref="BH284:BI285"/>
    <mergeCell ref="BJ284:BJ286"/>
    <mergeCell ref="BB286:BC286"/>
    <mergeCell ref="BE286:BF286"/>
    <mergeCell ref="BH286:BI286"/>
    <mergeCell ref="BK284:BL285"/>
    <mergeCell ref="BM284:BM286"/>
    <mergeCell ref="BN284:BO285"/>
    <mergeCell ref="BP284:BP286"/>
    <mergeCell ref="BQ284:BR285"/>
    <mergeCell ref="BS284:BS286"/>
    <mergeCell ref="BK286:BL286"/>
    <mergeCell ref="BN286:BO286"/>
    <mergeCell ref="BQ286:BR286"/>
    <mergeCell ref="BT284:BU285"/>
    <mergeCell ref="BV284:BV286"/>
    <mergeCell ref="BW284:BX285"/>
    <mergeCell ref="BY284:BY286"/>
    <mergeCell ref="BZ284:CA285"/>
    <mergeCell ref="CD284:CH284"/>
    <mergeCell ref="CD285:CH285"/>
    <mergeCell ref="BT286:BU286"/>
    <mergeCell ref="BW286:BX286"/>
    <mergeCell ref="BZ286:CA286"/>
    <mergeCell ref="AV287:AW287"/>
    <mergeCell ref="AY287:AZ287"/>
    <mergeCell ref="BB287:BC287"/>
    <mergeCell ref="BE287:BF287"/>
    <mergeCell ref="BH287:BI287"/>
    <mergeCell ref="BK287:BL287"/>
    <mergeCell ref="BN287:BO287"/>
    <mergeCell ref="BQ287:BR287"/>
    <mergeCell ref="BT287:BU287"/>
    <mergeCell ref="BW287:BX287"/>
    <mergeCell ref="BZ287:CA287"/>
    <mergeCell ref="AR288:AS288"/>
    <mergeCell ref="AV288:AW288"/>
    <mergeCell ref="AY288:AZ288"/>
    <mergeCell ref="BB288:BC288"/>
    <mergeCell ref="BE288:BF288"/>
    <mergeCell ref="BH288:BI288"/>
    <mergeCell ref="BK288:BL288"/>
    <mergeCell ref="BN288:BO288"/>
    <mergeCell ref="BQ288:BR288"/>
    <mergeCell ref="BT288:BU288"/>
    <mergeCell ref="BW288:BX288"/>
    <mergeCell ref="BZ288:CA288"/>
    <mergeCell ref="CB288:CC288"/>
    <mergeCell ref="CD288:CH288"/>
    <mergeCell ref="CD289:CH289"/>
    <mergeCell ref="AV311:AW311"/>
    <mergeCell ref="AZ311:BA311"/>
    <mergeCell ref="BF311:BG311"/>
    <mergeCell ref="BJ311:BK311"/>
    <mergeCell ref="BL311:BM311"/>
    <mergeCell ref="BR311:BS311"/>
    <mergeCell ref="AV312:AW312"/>
    <mergeCell ref="AZ312:BA312"/>
    <mergeCell ref="BF312:BG312"/>
    <mergeCell ref="BJ312:BK312"/>
    <mergeCell ref="BL312:BM312"/>
    <mergeCell ref="BR312:BS312"/>
    <mergeCell ref="BR314:BS314"/>
    <mergeCell ref="AV313:AW313"/>
    <mergeCell ref="AZ313:BA313"/>
    <mergeCell ref="BF313:BG313"/>
    <mergeCell ref="BJ313:BK313"/>
    <mergeCell ref="BL313:BM313"/>
    <mergeCell ref="BF315:BG315"/>
    <mergeCell ref="BJ315:BK315"/>
    <mergeCell ref="BL315:BM315"/>
    <mergeCell ref="BR313:BS313"/>
    <mergeCell ref="AV314:AW314"/>
    <mergeCell ref="AZ314:BA314"/>
    <mergeCell ref="BF314:BG314"/>
    <mergeCell ref="BJ314:BK314"/>
    <mergeCell ref="BL314:BM314"/>
    <mergeCell ref="BR315:BS315"/>
    <mergeCell ref="AV316:AW316"/>
    <mergeCell ref="AZ316:BA316"/>
    <mergeCell ref="BF316:BG316"/>
    <mergeCell ref="BJ316:BK316"/>
    <mergeCell ref="BL316:BM316"/>
    <mergeCell ref="BR316:BS316"/>
    <mergeCell ref="AV315:AW315"/>
    <mergeCell ref="AZ315:BA315"/>
    <mergeCell ref="BR318:BS318"/>
    <mergeCell ref="AV317:AW317"/>
    <mergeCell ref="AZ317:BA317"/>
    <mergeCell ref="BF317:BG317"/>
    <mergeCell ref="BJ317:BK317"/>
    <mergeCell ref="BL317:BM317"/>
    <mergeCell ref="AZ323:BA323"/>
    <mergeCell ref="AV324:AW324"/>
    <mergeCell ref="BF319:BG319"/>
    <mergeCell ref="BJ319:BK319"/>
    <mergeCell ref="BL319:BM319"/>
    <mergeCell ref="BR317:BS317"/>
    <mergeCell ref="AV318:AW318"/>
    <mergeCell ref="AZ318:BA318"/>
    <mergeCell ref="BF318:BG318"/>
    <mergeCell ref="BJ318:BK318"/>
    <mergeCell ref="BL318:BM318"/>
    <mergeCell ref="BR319:BS319"/>
    <mergeCell ref="AV320:AW320"/>
    <mergeCell ref="AZ320:BA320"/>
    <mergeCell ref="BF320:BG320"/>
    <mergeCell ref="BJ320:BK320"/>
    <mergeCell ref="BL320:BM320"/>
    <mergeCell ref="BR320:BS320"/>
    <mergeCell ref="AV319:AW319"/>
    <mergeCell ref="AZ319:BA319"/>
    <mergeCell ref="AV321:AW321"/>
    <mergeCell ref="AZ321:BA321"/>
    <mergeCell ref="BF321:BG321"/>
    <mergeCell ref="BJ321:BK321"/>
    <mergeCell ref="BL321:BM321"/>
    <mergeCell ref="BR321:BS321"/>
    <mergeCell ref="BU321:BX321"/>
    <mergeCell ref="BR322:BS322"/>
    <mergeCell ref="BR323:BS323"/>
    <mergeCell ref="AV322:AW322"/>
    <mergeCell ref="AZ322:BA322"/>
    <mergeCell ref="BF322:BG322"/>
    <mergeCell ref="BJ322:BK322"/>
    <mergeCell ref="BL322:BM322"/>
    <mergeCell ref="AZ324:BA324"/>
    <mergeCell ref="BF324:BG324"/>
    <mergeCell ref="BJ324:BK324"/>
    <mergeCell ref="BL324:BM324"/>
    <mergeCell ref="BF323:BG323"/>
    <mergeCell ref="BJ323:BK323"/>
    <mergeCell ref="BL323:BM323"/>
    <mergeCell ref="BR324:BS324"/>
    <mergeCell ref="AV323:AW323"/>
    <mergeCell ref="AV330:AW330"/>
    <mergeCell ref="AZ330:BA330"/>
    <mergeCell ref="BC330:BD330"/>
    <mergeCell ref="BF330:BG330"/>
    <mergeCell ref="BJ330:BK330"/>
    <mergeCell ref="BL330:BM330"/>
    <mergeCell ref="BR330:BS330"/>
    <mergeCell ref="AV327:AW327"/>
    <mergeCell ref="AV331:AW331"/>
    <mergeCell ref="AZ331:BA331"/>
    <mergeCell ref="BC331:BD331"/>
    <mergeCell ref="BF331:BG331"/>
    <mergeCell ref="BJ331:BK331"/>
    <mergeCell ref="BL331:BM331"/>
    <mergeCell ref="BR331:BS331"/>
    <mergeCell ref="AV325:AW325"/>
    <mergeCell ref="AZ325:BA325"/>
    <mergeCell ref="BF325:BG325"/>
    <mergeCell ref="BJ325:BK325"/>
    <mergeCell ref="BL325:BM325"/>
    <mergeCell ref="AV326:AW326"/>
    <mergeCell ref="AZ326:BA326"/>
    <mergeCell ref="BF326:BG326"/>
    <mergeCell ref="BJ326:BK326"/>
    <mergeCell ref="BL326:BM326"/>
    <mergeCell ref="AZ327:BA327"/>
    <mergeCell ref="BF327:BG327"/>
    <mergeCell ref="BJ327:BK327"/>
    <mergeCell ref="BL327:BM327"/>
    <mergeCell ref="BR325:BS325"/>
    <mergeCell ref="BR326:BS326"/>
    <mergeCell ref="BR327:BS327"/>
    <mergeCell ref="AV337:AW337"/>
    <mergeCell ref="AZ337:BA337"/>
    <mergeCell ref="BC337:BD337"/>
    <mergeCell ref="BF337:BG337"/>
    <mergeCell ref="BJ337:BK337"/>
    <mergeCell ref="BL337:BM337"/>
    <mergeCell ref="BR337:BS337"/>
    <mergeCell ref="AV332:AW332"/>
    <mergeCell ref="AZ332:BA332"/>
    <mergeCell ref="BC332:BD332"/>
    <mergeCell ref="BF332:BG332"/>
    <mergeCell ref="BJ332:BK332"/>
    <mergeCell ref="BL332:BM332"/>
    <mergeCell ref="BR332:BS332"/>
    <mergeCell ref="AV333:AW333"/>
    <mergeCell ref="AZ333:BA333"/>
    <mergeCell ref="BC333:BD333"/>
    <mergeCell ref="BF333:BG333"/>
    <mergeCell ref="BJ333:BK333"/>
    <mergeCell ref="BL333:BM333"/>
    <mergeCell ref="BR333:BS333"/>
    <mergeCell ref="AV334:AW334"/>
    <mergeCell ref="AZ334:BA334"/>
    <mergeCell ref="BC334:BD334"/>
    <mergeCell ref="BF334:BG334"/>
    <mergeCell ref="BJ334:BK334"/>
    <mergeCell ref="BL334:BM334"/>
    <mergeCell ref="BR334:BS334"/>
    <mergeCell ref="AV342:AW342"/>
    <mergeCell ref="AZ342:BA342"/>
    <mergeCell ref="BC342:BD342"/>
    <mergeCell ref="BF342:BG342"/>
    <mergeCell ref="BJ342:BK342"/>
    <mergeCell ref="BL342:BM342"/>
    <mergeCell ref="BR342:BS342"/>
    <mergeCell ref="CK284:CK286"/>
    <mergeCell ref="CL284:CL286"/>
    <mergeCell ref="AV338:AW338"/>
    <mergeCell ref="AZ338:BA338"/>
    <mergeCell ref="BC338:BD338"/>
    <mergeCell ref="BF338:BG338"/>
    <mergeCell ref="BJ338:BK338"/>
    <mergeCell ref="BL338:BM338"/>
    <mergeCell ref="BR338:BS338"/>
    <mergeCell ref="AV339:AW339"/>
    <mergeCell ref="AZ339:BA339"/>
    <mergeCell ref="BC339:BD339"/>
    <mergeCell ref="BF339:BG339"/>
    <mergeCell ref="BJ339:BK339"/>
    <mergeCell ref="BL339:BM339"/>
    <mergeCell ref="BR339:BS339"/>
    <mergeCell ref="AV340:AW340"/>
    <mergeCell ref="AZ340:BA340"/>
    <mergeCell ref="BC340:BD340"/>
    <mergeCell ref="BF340:BG340"/>
    <mergeCell ref="BJ340:BK340"/>
    <mergeCell ref="BL340:BM340"/>
    <mergeCell ref="BR340:BS340"/>
    <mergeCell ref="AV335:AW335"/>
    <mergeCell ref="AZ335:BA335"/>
    <mergeCell ref="DB284:DC285"/>
    <mergeCell ref="CM287:CN287"/>
    <mergeCell ref="CP287:CQ287"/>
    <mergeCell ref="CS287:CT287"/>
    <mergeCell ref="CV287:CW287"/>
    <mergeCell ref="CY287:CZ287"/>
    <mergeCell ref="DB287:DC287"/>
    <mergeCell ref="CQ314:CR314"/>
    <mergeCell ref="CW314:CX314"/>
    <mergeCell ref="DA314:DB314"/>
    <mergeCell ref="DC314:DD314"/>
    <mergeCell ref="DD284:DD286"/>
    <mergeCell ref="BU340:BX340"/>
    <mergeCell ref="AV341:AW341"/>
    <mergeCell ref="AZ341:BA341"/>
    <mergeCell ref="BC341:BD341"/>
    <mergeCell ref="BF341:BG341"/>
    <mergeCell ref="BJ341:BK341"/>
    <mergeCell ref="BL341:BM341"/>
    <mergeCell ref="BR341:BS341"/>
    <mergeCell ref="BC335:BD335"/>
    <mergeCell ref="BF335:BG335"/>
    <mergeCell ref="BJ335:BK335"/>
    <mergeCell ref="BL335:BM335"/>
    <mergeCell ref="BR335:BS335"/>
    <mergeCell ref="AV336:AW336"/>
    <mergeCell ref="AZ336:BA336"/>
    <mergeCell ref="BC336:BD336"/>
    <mergeCell ref="BF336:BG336"/>
    <mergeCell ref="BJ336:BK336"/>
    <mergeCell ref="BL336:BM336"/>
    <mergeCell ref="BR336:BS336"/>
    <mergeCell ref="DE284:DF285"/>
    <mergeCell ref="DG284:DG286"/>
    <mergeCell ref="DH284:DI285"/>
    <mergeCell ref="DJ284:DJ286"/>
    <mergeCell ref="DK284:DL285"/>
    <mergeCell ref="DM284:DM286"/>
    <mergeCell ref="DN284:DO285"/>
    <mergeCell ref="DP284:DP286"/>
    <mergeCell ref="DH286:DI286"/>
    <mergeCell ref="DK286:DL286"/>
    <mergeCell ref="DN286:DO286"/>
    <mergeCell ref="DQ284:DR285"/>
    <mergeCell ref="DU284:DY284"/>
    <mergeCell ref="DU285:DY285"/>
    <mergeCell ref="CM286:CN286"/>
    <mergeCell ref="CP286:CQ286"/>
    <mergeCell ref="CS286:CT286"/>
    <mergeCell ref="CV286:CW286"/>
    <mergeCell ref="CY286:CZ286"/>
    <mergeCell ref="DB286:DC286"/>
    <mergeCell ref="DE286:DF286"/>
    <mergeCell ref="DQ286:DR286"/>
    <mergeCell ref="CM284:CN285"/>
    <mergeCell ref="CO284:CO286"/>
    <mergeCell ref="CP284:CQ285"/>
    <mergeCell ref="CR284:CR286"/>
    <mergeCell ref="CS284:CT285"/>
    <mergeCell ref="CU284:CU286"/>
    <mergeCell ref="CV284:CW285"/>
    <mergeCell ref="CX284:CX286"/>
    <mergeCell ref="CY284:CZ285"/>
    <mergeCell ref="DA284:DA286"/>
    <mergeCell ref="DE287:DF287"/>
    <mergeCell ref="DH287:DI287"/>
    <mergeCell ref="DK287:DL287"/>
    <mergeCell ref="DN287:DO287"/>
    <mergeCell ref="DQ287:DR287"/>
    <mergeCell ref="CI288:CJ288"/>
    <mergeCell ref="CM288:CN288"/>
    <mergeCell ref="CP288:CQ288"/>
    <mergeCell ref="CS288:CT288"/>
    <mergeCell ref="CV288:CW288"/>
    <mergeCell ref="CY288:CZ288"/>
    <mergeCell ref="DB288:DC288"/>
    <mergeCell ref="DE288:DF288"/>
    <mergeCell ref="DH288:DI288"/>
    <mergeCell ref="DK288:DL288"/>
    <mergeCell ref="DN288:DO288"/>
    <mergeCell ref="DQ288:DR288"/>
    <mergeCell ref="DS288:DT288"/>
    <mergeCell ref="DU288:DY288"/>
    <mergeCell ref="DU289:DY289"/>
    <mergeCell ref="CM311:CN311"/>
    <mergeCell ref="CQ311:CR311"/>
    <mergeCell ref="CW311:CX311"/>
    <mergeCell ref="DA311:DB311"/>
    <mergeCell ref="DC311:DD311"/>
    <mergeCell ref="DF311:DG311"/>
    <mergeCell ref="DI311:DJ311"/>
    <mergeCell ref="CQ312:CR312"/>
    <mergeCell ref="CW312:CX312"/>
    <mergeCell ref="DA312:DB312"/>
    <mergeCell ref="DC312:DD312"/>
    <mergeCell ref="DF312:DG312"/>
    <mergeCell ref="DI312:DJ312"/>
    <mergeCell ref="CQ313:CR313"/>
    <mergeCell ref="CW313:CX313"/>
    <mergeCell ref="DA313:DB313"/>
    <mergeCell ref="DC313:DD313"/>
    <mergeCell ref="DF313:DG313"/>
    <mergeCell ref="DI313:DJ313"/>
    <mergeCell ref="CM312:CN312"/>
    <mergeCell ref="CM313:CN313"/>
    <mergeCell ref="DF314:DG314"/>
    <mergeCell ref="DI314:DJ314"/>
    <mergeCell ref="CQ315:CR315"/>
    <mergeCell ref="CW315:CX315"/>
    <mergeCell ref="DA315:DB315"/>
    <mergeCell ref="DC315:DD315"/>
    <mergeCell ref="DF315:DG315"/>
    <mergeCell ref="DI315:DJ315"/>
    <mergeCell ref="DF317:DG317"/>
    <mergeCell ref="DI317:DJ317"/>
    <mergeCell ref="CM316:CN316"/>
    <mergeCell ref="CQ316:CR316"/>
    <mergeCell ref="CW316:CX316"/>
    <mergeCell ref="DA316:DB316"/>
    <mergeCell ref="DC316:DD316"/>
    <mergeCell ref="DF316:DG316"/>
    <mergeCell ref="CW318:CX318"/>
    <mergeCell ref="DA318:DB318"/>
    <mergeCell ref="DC318:DD318"/>
    <mergeCell ref="DF318:DG318"/>
    <mergeCell ref="DI316:DJ316"/>
    <mergeCell ref="CM317:CN317"/>
    <mergeCell ref="CQ317:CR317"/>
    <mergeCell ref="CW317:CX317"/>
    <mergeCell ref="DA317:DB317"/>
    <mergeCell ref="DC317:DD317"/>
    <mergeCell ref="DI318:DJ318"/>
    <mergeCell ref="CM314:CN314"/>
    <mergeCell ref="CM315:CN315"/>
    <mergeCell ref="CM319:CN319"/>
    <mergeCell ref="CQ319:CR319"/>
    <mergeCell ref="CW319:CX319"/>
    <mergeCell ref="DA319:DB319"/>
    <mergeCell ref="DC319:DD319"/>
    <mergeCell ref="DF319:DG319"/>
    <mergeCell ref="DI319:DJ319"/>
    <mergeCell ref="CM318:CN318"/>
    <mergeCell ref="CQ318:CR318"/>
    <mergeCell ref="CM320:CN320"/>
    <mergeCell ref="CQ320:CR320"/>
    <mergeCell ref="CW320:CX320"/>
    <mergeCell ref="DA320:DB320"/>
    <mergeCell ref="DC320:DD320"/>
    <mergeCell ref="DF320:DG320"/>
    <mergeCell ref="DF322:DG322"/>
    <mergeCell ref="DI322:DJ322"/>
    <mergeCell ref="DI320:DJ320"/>
    <mergeCell ref="CM321:CN321"/>
    <mergeCell ref="CQ321:CR321"/>
    <mergeCell ref="CW321:CX321"/>
    <mergeCell ref="DA321:DB321"/>
    <mergeCell ref="DC321:DD321"/>
    <mergeCell ref="DF321:DG321"/>
    <mergeCell ref="DI321:DJ321"/>
    <mergeCell ref="DL321:DO321"/>
    <mergeCell ref="CM322:CN322"/>
    <mergeCell ref="CQ322:CR322"/>
    <mergeCell ref="CW322:CX322"/>
    <mergeCell ref="DA322:DB322"/>
    <mergeCell ref="DC322:DD322"/>
    <mergeCell ref="DI323:DJ323"/>
    <mergeCell ref="CM324:CN324"/>
    <mergeCell ref="CQ324:CR324"/>
    <mergeCell ref="CW324:CX324"/>
    <mergeCell ref="DA324:DB324"/>
    <mergeCell ref="DC324:DD324"/>
    <mergeCell ref="DF324:DG324"/>
    <mergeCell ref="DI324:DJ324"/>
    <mergeCell ref="CM323:CN323"/>
    <mergeCell ref="CQ323:CR323"/>
    <mergeCell ref="DI325:DJ325"/>
    <mergeCell ref="CM325:CN325"/>
    <mergeCell ref="CQ325:CR325"/>
    <mergeCell ref="CW325:CX325"/>
    <mergeCell ref="DA325:DB325"/>
    <mergeCell ref="CM327:CN327"/>
    <mergeCell ref="CM331:CN331"/>
    <mergeCell ref="CQ331:CR331"/>
    <mergeCell ref="CT331:CU331"/>
    <mergeCell ref="CW331:CX331"/>
    <mergeCell ref="DA331:DB331"/>
    <mergeCell ref="DC331:DD331"/>
    <mergeCell ref="DF331:DG331"/>
    <mergeCell ref="DI331:DJ331"/>
    <mergeCell ref="CQ327:CR327"/>
    <mergeCell ref="CW327:CX327"/>
    <mergeCell ref="DA327:DB327"/>
    <mergeCell ref="DC327:DD327"/>
    <mergeCell ref="DF327:DG327"/>
    <mergeCell ref="CW323:CX323"/>
    <mergeCell ref="DA323:DB323"/>
    <mergeCell ref="DC323:DD323"/>
    <mergeCell ref="DF323:DG323"/>
    <mergeCell ref="DI326:DJ326"/>
    <mergeCell ref="DI327:DJ327"/>
    <mergeCell ref="DC325:DD325"/>
    <mergeCell ref="DF325:DG325"/>
    <mergeCell ref="CM326:CN326"/>
    <mergeCell ref="CQ326:CR326"/>
    <mergeCell ref="CW326:CX326"/>
    <mergeCell ref="DA326:DB326"/>
    <mergeCell ref="DC326:DD326"/>
    <mergeCell ref="DF326:DG326"/>
    <mergeCell ref="CW332:CX332"/>
    <mergeCell ref="DA332:DB332"/>
    <mergeCell ref="DC332:DD332"/>
    <mergeCell ref="DF332:DG332"/>
    <mergeCell ref="DI332:DJ332"/>
    <mergeCell ref="CM333:CN333"/>
    <mergeCell ref="CQ333:CR333"/>
    <mergeCell ref="CT333:CU333"/>
    <mergeCell ref="CW333:CX333"/>
    <mergeCell ref="DA333:DB333"/>
    <mergeCell ref="DC333:DD333"/>
    <mergeCell ref="DF333:DG333"/>
    <mergeCell ref="DI333:DJ333"/>
    <mergeCell ref="CM330:CN330"/>
    <mergeCell ref="CQ330:CR330"/>
    <mergeCell ref="CT330:CU330"/>
    <mergeCell ref="CW330:CX330"/>
    <mergeCell ref="DA330:DB330"/>
    <mergeCell ref="DC330:DD330"/>
    <mergeCell ref="DF330:DG330"/>
    <mergeCell ref="DI330:DJ330"/>
    <mergeCell ref="DI334:DJ334"/>
    <mergeCell ref="CM335:CN335"/>
    <mergeCell ref="CQ335:CR335"/>
    <mergeCell ref="CT335:CU335"/>
    <mergeCell ref="CW335:CX335"/>
    <mergeCell ref="DA335:DB335"/>
    <mergeCell ref="DC335:DD335"/>
    <mergeCell ref="DF335:DG335"/>
    <mergeCell ref="DI335:DJ335"/>
    <mergeCell ref="CM336:CN336"/>
    <mergeCell ref="CQ336:CR336"/>
    <mergeCell ref="CT336:CU336"/>
    <mergeCell ref="CW336:CX336"/>
    <mergeCell ref="DA336:DB336"/>
    <mergeCell ref="DC336:DD336"/>
    <mergeCell ref="DF336:DG336"/>
    <mergeCell ref="DI336:DJ336"/>
    <mergeCell ref="DI337:DJ337"/>
    <mergeCell ref="CM338:CN338"/>
    <mergeCell ref="CQ338:CR338"/>
    <mergeCell ref="CT338:CU338"/>
    <mergeCell ref="CW338:CX338"/>
    <mergeCell ref="DA338:DB338"/>
    <mergeCell ref="DC338:DD338"/>
    <mergeCell ref="DF338:DG338"/>
    <mergeCell ref="DI338:DJ338"/>
    <mergeCell ref="CM339:CN339"/>
    <mergeCell ref="CQ339:CR339"/>
    <mergeCell ref="CT339:CU339"/>
    <mergeCell ref="CW339:CX339"/>
    <mergeCell ref="DA339:DB339"/>
    <mergeCell ref="DC339:DD339"/>
    <mergeCell ref="DF339:DG339"/>
    <mergeCell ref="DI339:DJ339"/>
    <mergeCell ref="CM337:CN337"/>
    <mergeCell ref="CQ337:CR337"/>
    <mergeCell ref="DI342:DJ342"/>
    <mergeCell ref="CM342:CN342"/>
    <mergeCell ref="CQ342:CR342"/>
    <mergeCell ref="CT342:CU342"/>
    <mergeCell ref="CW342:CX342"/>
    <mergeCell ref="DA342:DB342"/>
    <mergeCell ref="DC342:DD342"/>
    <mergeCell ref="CM340:CN340"/>
    <mergeCell ref="CQ340:CR340"/>
    <mergeCell ref="CT340:CU340"/>
    <mergeCell ref="CW340:CX340"/>
    <mergeCell ref="DA340:DB340"/>
    <mergeCell ref="DC340:DD340"/>
    <mergeCell ref="DF340:DG340"/>
    <mergeCell ref="DI340:DJ340"/>
    <mergeCell ref="DL340:DO340"/>
    <mergeCell ref="CM341:CN341"/>
    <mergeCell ref="CQ341:CR341"/>
    <mergeCell ref="CT341:CU341"/>
    <mergeCell ref="CW341:CX341"/>
    <mergeCell ref="DA341:DB341"/>
    <mergeCell ref="DC341:DD341"/>
    <mergeCell ref="DF341:DG341"/>
    <mergeCell ref="DI341:DJ341"/>
    <mergeCell ref="W202:X202"/>
    <mergeCell ref="W203:X203"/>
    <mergeCell ref="W204:X204"/>
    <mergeCell ref="W207:X207"/>
    <mergeCell ref="W208:X208"/>
    <mergeCell ref="W209:X209"/>
    <mergeCell ref="W210:X210"/>
    <mergeCell ref="W211:X211"/>
    <mergeCell ref="W212:X212"/>
    <mergeCell ref="W213:X213"/>
    <mergeCell ref="W214:X214"/>
    <mergeCell ref="W215:X215"/>
    <mergeCell ref="W216:X216"/>
    <mergeCell ref="W217:X217"/>
    <mergeCell ref="W218:X218"/>
    <mergeCell ref="W219:X219"/>
    <mergeCell ref="DF342:DG342"/>
    <mergeCell ref="CT337:CU337"/>
    <mergeCell ref="CW337:CX337"/>
    <mergeCell ref="DA337:DB337"/>
    <mergeCell ref="DC337:DD337"/>
    <mergeCell ref="DF337:DG337"/>
    <mergeCell ref="CM334:CN334"/>
    <mergeCell ref="CQ334:CR334"/>
    <mergeCell ref="CT334:CU334"/>
    <mergeCell ref="CW334:CX334"/>
    <mergeCell ref="DA334:DB334"/>
    <mergeCell ref="DC334:DD334"/>
    <mergeCell ref="DF334:DG334"/>
    <mergeCell ref="CM332:CN332"/>
    <mergeCell ref="CQ332:CR332"/>
    <mergeCell ref="CT332:CU332"/>
    <mergeCell ref="FA28:FB28"/>
    <mergeCell ref="EW29:EX29"/>
    <mergeCell ref="FA29:FB29"/>
    <mergeCell ref="EW30:EX30"/>
    <mergeCell ref="FA30:FB30"/>
    <mergeCell ref="EW31:EX31"/>
    <mergeCell ref="FA31:FB31"/>
    <mergeCell ref="EW32:EX32"/>
    <mergeCell ref="FA32:FB32"/>
    <mergeCell ref="EW33:EX33"/>
    <mergeCell ref="FA33:FB33"/>
    <mergeCell ref="EW34:EX34"/>
    <mergeCell ref="FA34:FB34"/>
    <mergeCell ref="EW35:EX35"/>
    <mergeCell ref="FA35:FB35"/>
    <mergeCell ref="EW36:EX36"/>
    <mergeCell ref="FA36:FB36"/>
    <mergeCell ref="EW28:EX28"/>
    <mergeCell ref="FA55:FB55"/>
    <mergeCell ref="EW56:EX56"/>
    <mergeCell ref="FA56:FB56"/>
    <mergeCell ref="FA37:FB37"/>
    <mergeCell ref="EW38:EX38"/>
    <mergeCell ref="FA38:FB38"/>
    <mergeCell ref="EW39:EX39"/>
    <mergeCell ref="FA39:FB39"/>
    <mergeCell ref="EW40:EX40"/>
    <mergeCell ref="FA40:FB40"/>
    <mergeCell ref="EW41:EX41"/>
    <mergeCell ref="FA41:FB41"/>
    <mergeCell ref="EW42:EX42"/>
    <mergeCell ref="FA42:FB42"/>
    <mergeCell ref="EW43:EX43"/>
    <mergeCell ref="FA43:FB43"/>
    <mergeCell ref="EW44:EX44"/>
    <mergeCell ref="FA44:FB44"/>
    <mergeCell ref="EW47:EX47"/>
    <mergeCell ref="FA47:FB47"/>
    <mergeCell ref="AD208:AE208"/>
    <mergeCell ref="AD209:AE209"/>
    <mergeCell ref="AD210:AE210"/>
    <mergeCell ref="AD211:AE211"/>
    <mergeCell ref="AG188:AH188"/>
    <mergeCell ref="AG189:AH189"/>
    <mergeCell ref="AG190:AH190"/>
    <mergeCell ref="AG191:AH191"/>
    <mergeCell ref="AG192:AH192"/>
    <mergeCell ref="AG193:AH193"/>
    <mergeCell ref="AG194:AH194"/>
    <mergeCell ref="AK165:AL165"/>
    <mergeCell ref="AM165:AQ165"/>
    <mergeCell ref="AM166:AQ166"/>
    <mergeCell ref="AM161:AQ161"/>
    <mergeCell ref="AM162:AQ162"/>
    <mergeCell ref="AD80:AE80"/>
    <mergeCell ref="AG80:AH80"/>
    <mergeCell ref="AJ80:AK80"/>
    <mergeCell ref="AD218:AE218"/>
    <mergeCell ref="AD219:AE219"/>
    <mergeCell ref="AG195:AH195"/>
    <mergeCell ref="AG196:AH196"/>
    <mergeCell ref="AG197:AH197"/>
    <mergeCell ref="AG198:AH198"/>
    <mergeCell ref="AG199:AH199"/>
    <mergeCell ref="AG200:AH200"/>
    <mergeCell ref="AG201:AH201"/>
    <mergeCell ref="AG202:AH202"/>
    <mergeCell ref="AG203:AH203"/>
    <mergeCell ref="AG204:AH204"/>
    <mergeCell ref="AG207:AH207"/>
    <mergeCell ref="AG208:AH208"/>
    <mergeCell ref="AG209:AH209"/>
    <mergeCell ref="AG210:AH210"/>
    <mergeCell ref="AG211:AH211"/>
    <mergeCell ref="AG212:AH212"/>
    <mergeCell ref="AG213:AH213"/>
    <mergeCell ref="AG214:AH214"/>
    <mergeCell ref="AG215:AH215"/>
    <mergeCell ref="AG216:AH216"/>
    <mergeCell ref="AG217:AH217"/>
    <mergeCell ref="AG218:AH218"/>
    <mergeCell ref="AG219:AH219"/>
    <mergeCell ref="AD212:AE212"/>
    <mergeCell ref="AD213:AE213"/>
    <mergeCell ref="AD214:AE214"/>
    <mergeCell ref="AD215:AE215"/>
    <mergeCell ref="AD216:AE216"/>
    <mergeCell ref="AD217:AE217"/>
    <mergeCell ref="AD207:AE207"/>
    <mergeCell ref="AK218:AL218"/>
    <mergeCell ref="AK219:AL219"/>
    <mergeCell ref="AK190:AL190"/>
    <mergeCell ref="AK191:AL191"/>
    <mergeCell ref="AK192:AL192"/>
    <mergeCell ref="AK193:AL193"/>
    <mergeCell ref="AK194:AL194"/>
    <mergeCell ref="AK195:AL195"/>
    <mergeCell ref="AK196:AL196"/>
    <mergeCell ref="AK197:AL197"/>
    <mergeCell ref="AK198:AL198"/>
    <mergeCell ref="AK199:AL199"/>
    <mergeCell ref="AK200:AL200"/>
    <mergeCell ref="AK201:AL201"/>
    <mergeCell ref="AK202:AL202"/>
    <mergeCell ref="AK203:AL203"/>
    <mergeCell ref="AK204:AL204"/>
    <mergeCell ref="AK207:AL207"/>
    <mergeCell ref="AK208:AL208"/>
    <mergeCell ref="AK209:AL209"/>
    <mergeCell ref="AK210:AL210"/>
    <mergeCell ref="AK211:AL211"/>
    <mergeCell ref="AK212:AL212"/>
    <mergeCell ref="AK213:AL213"/>
    <mergeCell ref="AK214:AL214"/>
    <mergeCell ref="AK215:AL215"/>
    <mergeCell ref="AK216:AL216"/>
    <mergeCell ref="AK217:AL217"/>
    <mergeCell ref="AK312:AL312"/>
    <mergeCell ref="W313:X313"/>
    <mergeCell ref="AG313:AH313"/>
    <mergeCell ref="AK313:AL313"/>
    <mergeCell ref="W314:X314"/>
    <mergeCell ref="AG314:AH314"/>
    <mergeCell ref="AK314:AL314"/>
    <mergeCell ref="W315:X315"/>
    <mergeCell ref="AG315:AH315"/>
    <mergeCell ref="AK315:AL315"/>
    <mergeCell ref="W316:X316"/>
    <mergeCell ref="AG316:AH316"/>
    <mergeCell ref="AK316:AL316"/>
    <mergeCell ref="W317:X317"/>
    <mergeCell ref="AG317:AH317"/>
    <mergeCell ref="AK317:AL317"/>
    <mergeCell ref="AG318:AH318"/>
    <mergeCell ref="AK318:AL318"/>
    <mergeCell ref="AG319:AH319"/>
    <mergeCell ref="AK319:AL319"/>
    <mergeCell ref="W320:X320"/>
    <mergeCell ref="AG320:AH320"/>
    <mergeCell ref="AK320:AL320"/>
    <mergeCell ref="W321:X321"/>
    <mergeCell ref="AG321:AH321"/>
    <mergeCell ref="AK321:AL321"/>
    <mergeCell ref="W322:X322"/>
    <mergeCell ref="AG322:AH322"/>
    <mergeCell ref="AK322:AL322"/>
    <mergeCell ref="W323:X323"/>
    <mergeCell ref="AG323:AH323"/>
    <mergeCell ref="AK323:AL323"/>
    <mergeCell ref="AG324:AH324"/>
    <mergeCell ref="AK324:AL324"/>
    <mergeCell ref="W325:X325"/>
    <mergeCell ref="AG325:AH325"/>
    <mergeCell ref="AK325:AL325"/>
    <mergeCell ref="AG326:AH326"/>
    <mergeCell ref="AK326:AL326"/>
    <mergeCell ref="W327:X327"/>
    <mergeCell ref="AG327:AH327"/>
    <mergeCell ref="AK327:AL327"/>
    <mergeCell ref="W330:X330"/>
    <mergeCell ref="AD330:AE330"/>
    <mergeCell ref="AG330:AH330"/>
    <mergeCell ref="AK330:AL330"/>
    <mergeCell ref="W331:X331"/>
    <mergeCell ref="AD331:AE331"/>
    <mergeCell ref="AG331:AH331"/>
    <mergeCell ref="AK331:AL331"/>
    <mergeCell ref="AA325:AB325"/>
    <mergeCell ref="AA326:AB326"/>
    <mergeCell ref="AA327:AB327"/>
    <mergeCell ref="AD332:AE332"/>
    <mergeCell ref="AG332:AH332"/>
    <mergeCell ref="AK332:AL332"/>
    <mergeCell ref="AK341:AL341"/>
    <mergeCell ref="AD333:AE333"/>
    <mergeCell ref="AG333:AH333"/>
    <mergeCell ref="AK333:AL333"/>
    <mergeCell ref="W334:X334"/>
    <mergeCell ref="AD334:AE334"/>
    <mergeCell ref="AG334:AH334"/>
    <mergeCell ref="AK334:AL334"/>
    <mergeCell ref="W335:X335"/>
    <mergeCell ref="AD335:AE335"/>
    <mergeCell ref="AG335:AH335"/>
    <mergeCell ref="AK335:AL335"/>
    <mergeCell ref="W336:X336"/>
    <mergeCell ref="AD336:AE336"/>
    <mergeCell ref="AG336:AH336"/>
    <mergeCell ref="AK336:AL336"/>
    <mergeCell ref="AK342:AL342"/>
    <mergeCell ref="AD337:AE337"/>
    <mergeCell ref="AG337:AH337"/>
    <mergeCell ref="AK337:AL337"/>
    <mergeCell ref="W338:X338"/>
    <mergeCell ref="AD338:AE338"/>
    <mergeCell ref="AG338:AH338"/>
    <mergeCell ref="AK338:AL338"/>
    <mergeCell ref="W339:X339"/>
    <mergeCell ref="AD339:AE339"/>
    <mergeCell ref="AG339:AH339"/>
    <mergeCell ref="AK339:AL339"/>
    <mergeCell ref="W340:X340"/>
    <mergeCell ref="AD340:AE340"/>
    <mergeCell ref="AG340:AH340"/>
    <mergeCell ref="AK340:AL340"/>
    <mergeCell ref="DU162:DY162"/>
    <mergeCell ref="DU161:DY161"/>
    <mergeCell ref="EY97:EZ97"/>
    <mergeCell ref="EV97:EW97"/>
    <mergeCell ref="FB91:FC91"/>
    <mergeCell ref="EM91:EN91"/>
    <mergeCell ref="ED91:EE91"/>
    <mergeCell ref="EA91:EB91"/>
    <mergeCell ref="DX91:DY91"/>
    <mergeCell ref="FN90:FO90"/>
    <mergeCell ref="EY90:EZ90"/>
    <mergeCell ref="ES90:ET90"/>
    <mergeCell ref="FB89:FC89"/>
    <mergeCell ref="ED89:EE89"/>
    <mergeCell ref="EA89:EB89"/>
    <mergeCell ref="DX89:DY89"/>
    <mergeCell ref="FB88:FC88"/>
    <mergeCell ref="EY88:EZ88"/>
    <mergeCell ref="EG88:EH88"/>
    <mergeCell ref="ED88:EE88"/>
    <mergeCell ref="EA88:EB88"/>
    <mergeCell ref="DX88:DY88"/>
    <mergeCell ref="EY96:EZ96"/>
    <mergeCell ref="FK90:FL90"/>
    <mergeCell ref="EM96:EN96"/>
    <mergeCell ref="ES96:ET96"/>
    <mergeCell ref="ES94:ET94"/>
    <mergeCell ref="EG97:EH97"/>
    <mergeCell ref="EG89:EH89"/>
    <mergeCell ref="EM95:EN95"/>
    <mergeCell ref="EG91:EH91"/>
    <mergeCell ref="EG95:EH95"/>
    <mergeCell ref="EA86:EB86"/>
    <mergeCell ref="DX86:DY86"/>
    <mergeCell ref="EK78:EL78"/>
    <mergeCell ref="EE78:EF78"/>
    <mergeCell ref="EB78:EC78"/>
    <mergeCell ref="EE77:EF77"/>
    <mergeCell ref="EH76:EI76"/>
    <mergeCell ref="EE76:EF76"/>
    <mergeCell ref="EK75:EL75"/>
    <mergeCell ref="EH75:EI75"/>
    <mergeCell ref="EE75:EF75"/>
    <mergeCell ref="EQ74:ER74"/>
    <mergeCell ref="EE74:EF74"/>
    <mergeCell ref="EQ73:ER73"/>
    <mergeCell ref="EH73:EI73"/>
    <mergeCell ref="EE73:EF73"/>
    <mergeCell ref="EQ72:ER72"/>
    <mergeCell ref="EK72:EL72"/>
    <mergeCell ref="EG84:EH84"/>
    <mergeCell ref="EG85:EH85"/>
    <mergeCell ref="EG86:EH86"/>
    <mergeCell ref="DX72:DY72"/>
    <mergeCell ref="DX77:DY77"/>
    <mergeCell ref="DX84:DY84"/>
    <mergeCell ref="EA84:EB84"/>
    <mergeCell ref="ED84:EE84"/>
    <mergeCell ref="EK73:EL73"/>
    <mergeCell ref="EE69:EF69"/>
    <mergeCell ref="EQ68:ER68"/>
    <mergeCell ref="EK68:EL68"/>
    <mergeCell ref="EE68:EF68"/>
    <mergeCell ref="EN67:EO67"/>
    <mergeCell ref="EN66:EO66"/>
    <mergeCell ref="EH66:EI66"/>
    <mergeCell ref="EE66:EF66"/>
    <mergeCell ref="EN65:EO65"/>
    <mergeCell ref="EN64:EO64"/>
    <mergeCell ref="EN63:EO63"/>
    <mergeCell ref="EN62:EO62"/>
    <mergeCell ref="EW60:EX60"/>
    <mergeCell ref="FA59:FB59"/>
    <mergeCell ref="EW59:EX59"/>
    <mergeCell ref="FA58:FB58"/>
    <mergeCell ref="EW58:EX58"/>
    <mergeCell ref="FA57:FB57"/>
    <mergeCell ref="EW57:EX57"/>
    <mergeCell ref="EN55:EO55"/>
    <mergeCell ref="EN53:EO53"/>
    <mergeCell ref="EN52:EO52"/>
    <mergeCell ref="EL50:EM50"/>
    <mergeCell ref="EW48:EX48"/>
    <mergeCell ref="EN48:EO48"/>
    <mergeCell ref="EN47:EO47"/>
    <mergeCell ref="EL47:EM47"/>
    <mergeCell ref="EL44:EM44"/>
    <mergeCell ref="EL43:EM43"/>
    <mergeCell ref="EL42:EM42"/>
    <mergeCell ref="EL41:EM41"/>
    <mergeCell ref="EP39:EQ39"/>
    <mergeCell ref="EP38:EQ38"/>
    <mergeCell ref="EW37:EX37"/>
    <mergeCell ref="EP37:EQ37"/>
    <mergeCell ref="FA48:FB48"/>
    <mergeCell ref="EW49:EX49"/>
    <mergeCell ref="FA49:FB49"/>
    <mergeCell ref="EW50:EX50"/>
    <mergeCell ref="FA50:FB50"/>
    <mergeCell ref="EW51:EX51"/>
    <mergeCell ref="FA51:FB51"/>
    <mergeCell ref="EW52:EX52"/>
    <mergeCell ref="FA52:FB52"/>
    <mergeCell ref="EW53:EX53"/>
    <mergeCell ref="FA53:FB53"/>
    <mergeCell ref="EW54:EX54"/>
    <mergeCell ref="FA54:FB54"/>
    <mergeCell ref="EW55:EX55"/>
    <mergeCell ref="CL1:CL3"/>
    <mergeCell ref="CK1:CK3"/>
    <mergeCell ref="EP28:EQ28"/>
    <mergeCell ref="ES5:ET5"/>
    <mergeCell ref="EG5:EH5"/>
    <mergeCell ref="DH5:DI5"/>
    <mergeCell ref="DE5:DF5"/>
    <mergeCell ref="DB5:DC5"/>
    <mergeCell ref="CY5:CZ5"/>
    <mergeCell ref="CV5:CW5"/>
    <mergeCell ref="CS5:CT5"/>
    <mergeCell ref="ES4:ET4"/>
    <mergeCell ref="EG4:EH4"/>
    <mergeCell ref="ES3:ET3"/>
    <mergeCell ref="EG3:EH3"/>
    <mergeCell ref="ES1:ET2"/>
    <mergeCell ref="EP1:EQ2"/>
    <mergeCell ref="EO1:EO3"/>
    <mergeCell ref="EL1:EL3"/>
    <mergeCell ref="EI1:EI3"/>
    <mergeCell ref="EG1:EH2"/>
    <mergeCell ref="EF1:EF3"/>
    <mergeCell ref="DN1:DO2"/>
    <mergeCell ref="DJ1:DJ3"/>
    <mergeCell ref="DH1:DI2"/>
    <mergeCell ref="DA1:DA3"/>
    <mergeCell ref="CY1:CZ2"/>
    <mergeCell ref="CX1:CX3"/>
    <mergeCell ref="CV1:CW2"/>
    <mergeCell ref="CU1:CU3"/>
    <mergeCell ref="CS1:CT2"/>
    <mergeCell ref="EM5:EN5"/>
  </mergeCells>
  <conditionalFormatting sqref="BR205:BS205 BR267:BS267 BR328:BS328 DX45:DY45 F50:G50 I50:J50 C50:D50 L50:AP50 DI45:DJ45 EB45:EF45 GK45:GL45 FS45:GI45 FO45:FP45 IB45:IC45 HJ45:HZ45 HF45:HG45 E205:F205 I205:M205 AV205:AW205 AZ205:BD205 BF205:BP205 DI205:DJ205 CM205:CN205 CQ205:CU205 CW205:DG205 E267:F267 I267:M267 AZ267:BP267 AV267:AW267 DI267:DJ267 CQ267:DG267 CM267:CN267 E328:F328 I328:M328 AV328:AW328 AZ328:BD328 BF328:BP328 DI328:DJ328 CM328:CN328 CQ328:CU328 CW328:DG328 AG205:AL205 EH45:EU45 O205:AE205 O267:Y267 AA267:AE267 AG267:AL267 O328:Y328 AA328:AE328 AG328:AL328 GJ138:GZ138 HB138:HC138 EW45:FC45 CQ45:CV45 CX45:DG45">
    <cfRule type="cellIs" dxfId="6" priority="183" stopIfTrue="1" operator="notEqual">
      <formula>0</formula>
    </cfRule>
  </conditionalFormatting>
  <conditionalFormatting sqref="BR220:BS220 BY168:BY185 BZ168:CA186 CB167:CB181 CB164:CB165 BZ164:CA166 BR282:BS282 BY230:BY247 BZ230:CA248 CB229:CB243 BZ226:CA228 CB226:CB227 BR343:BS343 BY291:BY308 BZ291:CA309 CB290:CB304 CB287:CB288 BZ287:CA289 BX287 BX289 BW288:BX288 DX79:DY79 DX60:DY60 EA79:EB79 FB79:FC79 FA8:FA25 ED79:EZ79 FB8:FC26 FD7:FD21 C84:D84 C65:D65 L84:AP84 C4:C10 F84:G84 I84:J84 AI31 L65:AP65 N31 Q31 T31 W31 Z31 AC31 AF31 N7:N10 N4:N5 Q7:Q10 Q4:Q5 T7:T10 T4:T5 W7:W10 W4:W5 Z7:Z10 Z4:Z5 AC7:AC10 AC4:AC5 AF7:AF10 AF4:AF5 AI4:AI5 AI7:AI10 DT60:DU60 DY6 CN6 DZ4:EA6 FC6 DF6 EB6 FL6 EE6 CK8:CK26 CL26 GK60:GL60 FO60:FP60 GR8:GR25 FR60:GI60 GS8:GT26 GU7:GU21 FK60:FL60 FP6 FQ4:FR6 FS6 GU4:GU5 FV6 IB60:IC60 HF60:HG60 II8:II25 HI60:HZ60 IJ8:IK26 IL7:IL21 HB60:HC60 HG6 HH4:HI6 HJ6 CX60:DO60 IL4:IL5 HM6 E220:F220 AH168:AH185 AI168:AJ186 AK167:AK181 A220:B220 F166 G164:H166 I166 AK164:AK165 A164:E166 J164:AF166 AG164 AG166 AF165:AG165 AI164:AJ166 AV220:AW220 AY220:BP220 AR220:AS220 AW166 AX164:AY166 AZ166 AR164:AV166 DI220:DJ220 CM220:CN220 DP168:DP185 CP220:DG220 DQ168:DR186 DS167:DS181 CI220:CJ220 CN166 CO164:CP166 CQ166 DS164:DS165 CI164:CM166 DQ164:DR166 E282:F282 AH230:AH247 AI230:AJ248 AK229:AK243 A282:B282 F228 G226:H228 I228 AK226:AK227 A226:E228 J226:AG228 AI226:AJ228 AV282:AW282 AY282:BP282 AR282:AS282 AW228 AX226:AY228 AZ228 AR226:AV228 DI282:DJ282 CM282:CN282 DP230:DP247 CP282:DG282 DQ230:DR248 DS229:DS243 CI282:CJ282 CN228 CO226:CP228 CQ228 DQ226:DR228 DS226:DS227 CI226:CM228 E343:F343 AH291:AH308 AI291:AJ309 AK290:AK304 A343:B343 F289 I289 AK287:AK288 A287:E289 AI287:AJ289 AG287 AG289 J287:AF289 G287:H289 AV343:AW343 AY343:BP343 AR343:AS343 AW289 AZ289 AR287:AV289 AX287:AY289 DI343:DJ343 CM343:CN343 DP291:DP308 CP343:DG343 DQ291:DR309 DS290:DS304 CI343:CJ343 CN289 CQ289 DS287:DS288 CI287:CM289 DQ287:DR289 CO287:CP289 F4:G10 I4:J10 L4:M10 O4:P10 R4:S10 U4:V10 X4:Y10 AA4:AB10 AD4:AE10 AG4:AH10 AJ4:AP10 F33:G49 F52:G65 I33:J49 I52:J65 L33:M49 L52:M64 R33:S49 R52:S64 U33:V49 U52:V64 X33:Y49 X52:Y64 AA33:AB49 AA52:AB64 AD33:AE49 AD52:AE64 AG33:AH49 AG52:AH64 AJ33:AK49 AJ52:AK64 CP70 EA8:EZ26 EA60:EU60 H282:AL282 H343:AL343 GT6 IK6 CR164:DO166 CR226:DO228 CR287:DO289 BA164:BX166 BA226:BX228 BA287:BW289 GG99 GD97:GF99 GH97:HK99 GD101:GD119 GE119 GI153:HH153 GF101:HK119 GI163 EW60:FC60 H220:AL220 CK4:CM6 HC6 C13:D31 F13:G31 I13:J31 L13:M31 O13:P31 U13:V31 X13:Y31 AA13:AB31 AD13:AE31 AG13:AH31 AJ13:AP31 DZ8:DZ23 DZ25:DZ26 CM8:DY26 FK8:GQ26 HB8:IH26 A168:AG186 CI168:DO186 A230:AG248 AR230:BX248 CI230:DO248 A291:AG309 AR291:BX309 CI291:DO309 CP60:CV60 IJ4:IJ6 CQ6 IH6 EC4:ED6 IE6 IF4:IG6 CR4:CS6 IB6 IC4:ID6 CO4:CP6 HY6 HZ4:IA6 EF4:EG6 HV6 HW4:HX6 CU4:CV6 HS6 HT4:HU6 CT6 HP6 HQ4:HR6 DP4:DQ6 HK4:HL6 HN4:HO6 CX4:CY6 HB4:HB6 HD4:HF6 HC4 GS4:GS6 CW6 GQ6 DU6 GN6 GO4:GP6 DA4:DB6 GK6 GL4:GM6 CZ6 GH6 GI4:GJ6 DV4:DX6 GE6 GF4:GG6 DD4:DE6 GB6 GC4:GD6 DC6 FY6 FZ4:GA6 DU4 FT4:FU6 FW4:FX6 DG4:DH6 FK4:FK6 FM4:FO6 FL4 FD4:FD5 FB4:FB6 EZ6 DR6 EW6 EX4:EY6 DJ4:DK6 ET6 EU4:EV6 DI6 EQ6 ER4:ES6 DS4:DT6 EN6 EO4:EP6 DM4:DN6 EK6 EL4:EM6 DL6 EH6 EI4:EJ6 DO6 AR168:BX186 R13:S31">
    <cfRule type="cellIs" dxfId="5" priority="182" stopIfTrue="1" operator="notEqual">
      <formula>0</formula>
    </cfRule>
  </conditionalFormatting>
  <conditionalFormatting sqref="BZ161:CA161 BW161:BX161 BQ161:BR161 BT161:BU161 BZ223:CA223 BW223:BX223 BQ223:BR223 BT223:BU223 BZ284:CA284 BW284:BX284 BQ284:BR284 BT284:BU284 DX1 EA1 FU1 EG1 EJ1 EM1 EP1 ES1 FB1 EV1 EY1 C1 CM1 CP1 ED1 CV1 CY1 DB1 DE1 DH1 DQ1 DK1 DN1 FO1 FR1 HL1 FX1 GA1 GD1 GG1 GJ1 GS1 GM1 GP1 HF1 HI1 AJ1:AP1 HO1 HR1 HU1 HX1 IA1 IJ1 ID1 IG1 E161 H161 AI161:AJ161 K161:L161 N161:O161 Q161:R161 T161:U161 W161:X161 AF161:AG161 Z161:AA161 AC161:AD161 AV161 AY161 BB161:BC161 BE161:BF161 BH161:BI161 BK161:BL161 BN161:BO161 CM161 CP161 DQ161:DR161 CS161:CT161 CV161:CW161 CY161:CZ161 DB161:DC161 DE161:DF161 DN161:DO161 DH161:DI161 DK161:DL161 E223 H223 AI223:AJ223 K223:L223 N223:O223 Q223:R223 T223:U223 W223:X223 AF223:AG223 Z223:AA223 AC223:AD223 AV223 AY223 BB223:BC223 BE223:BF223 BH223:BI223 BK223:BL223 BN223:BO223 CM223 CP223 DQ223:DR223 CS223:CT223 CV223:CW223 CY223:CZ223 DB223:DC223 DE223:DF223 DN223:DO223 DH223:DI223 DK223:DL223 E284 H284 AI284:AJ284 K284:L284 N284:O284 Q284:R284 T284:U284 W284:X284 AF284:AG284 Z284:AA284 AC284:AD284 AV284 AY284 BB284:BC284 BE284:BF284 BH284:BI284 BK284:BL284 BN284:BO284 CM284 CP284 DQ284:DR284 CS284:CT284 CV284:CW284 CY284:CZ284 DB284:DC284 DE284:DF284 DN284:DO284 DH284:DI284 DK284:DL284 GF94 GI94 HJ94:HK94 GL94:GM94 GO94:GP94 GR94:GS94 GU94:GV94 GX94:GY94 HG94:HH94 HA94:HB94 HD94:HE94 F1 I1:J1 L1:M1 O1:P1 R1:S1 U1:V1 X1:Y1 AA1:AB1 AD1:AE1 AG1:AH1 CS1">
    <cfRule type="cellIs" dxfId="4" priority="181" stopIfTrue="1" operator="notEqual">
      <formula>0</formula>
    </cfRule>
  </conditionalFormatting>
  <conditionalFormatting sqref="C1 F1 I1 L1 O1 R1 U1 X1 AA1 AD1 AG1 AJ1">
    <cfRule type="cellIs" dxfId="3" priority="171" stopIfTrue="1" operator="notEqual">
      <formula>0</formula>
    </cfRule>
  </conditionalFormatting>
  <conditionalFormatting sqref="E11:E12 D31:E31 H11:H12 K11:K12 N11:N12 Q11:Q12 T11:T12 W11:W12 Z11:Z12 AC11:AC12 AF11:AF12 AI11:AI12 AL11:AL12 G31:H31 J31:K31 M31:N31 P31:Q31 S31:T31 V31:W31 Y31:Z31 AB31:AC31 AE31:AF31 AH31:AI31 AK31:AL31">
    <cfRule type="cellIs" dxfId="2" priority="72" operator="equal">
      <formula>1</formula>
    </cfRule>
  </conditionalFormatting>
  <conditionalFormatting sqref="DZ24">
    <cfRule type="cellIs" dxfId="1" priority="2" stopIfTrue="1" operator="notEqual">
      <formula>0</formula>
    </cfRule>
  </conditionalFormatting>
  <conditionalFormatting sqref="EL24">
    <cfRule type="cellIs" dxfId="0" priority="1" stopIfTrue="1" operator="notEqual">
      <formula>0</formula>
    </cfRule>
  </conditionalFormatting>
  <pageMargins left="0.511811024" right="0.511811024" top="0.78740157499999996" bottom="0.78740157499999996" header="0.31496062000000002" footer="0.31496062000000002"/>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3</vt:i4>
      </vt:variant>
    </vt:vector>
  </HeadingPairs>
  <TitlesOfParts>
    <vt:vector size="18" baseType="lpstr">
      <vt:lpstr>xCNAEx</vt:lpstr>
      <vt:lpstr>PROJETO_AUTOMÁTICO</vt:lpstr>
      <vt:lpstr>RELAÇÃO_DE_CARGA</vt:lpstr>
      <vt:lpstr>CROQUI</vt:lpstr>
      <vt:lpstr>MEMORIAL</vt:lpstr>
      <vt:lpstr>Check List</vt:lpstr>
      <vt:lpstr>CondutorXcorrenteXproteção</vt:lpstr>
      <vt:lpstr>tab. ilum</vt:lpstr>
      <vt:lpstr>CENTRO_DE_MEDIÇÃO</vt:lpstr>
      <vt:lpstr>Histórico_Revisões</vt:lpstr>
      <vt:lpstr>tab aparelhos</vt:lpstr>
      <vt:lpstr>tab ar</vt:lpstr>
      <vt:lpstr>SIMULTANEIDADE</vt:lpstr>
      <vt:lpstr>Tab. Demanda trafo</vt:lpstr>
      <vt:lpstr>calculo</vt:lpstr>
      <vt:lpstr>CENTRO_DE_MEDIÇÃO!Area_de_impressao</vt:lpstr>
      <vt:lpstr>xCNAEx!cnae_sap</vt:lpstr>
      <vt:lpstr>'tab aparelhos'!Criterios</vt:lpstr>
    </vt:vector>
  </TitlesOfParts>
  <Company>Bandeirante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B095463</dc:creator>
  <cp:lastModifiedBy>Luana De Melo Gomes</cp:lastModifiedBy>
  <cp:lastPrinted>2020-05-22T13:32:15Z</cp:lastPrinted>
  <dcterms:created xsi:type="dcterms:W3CDTF">2005-09-12T12:44:30Z</dcterms:created>
  <dcterms:modified xsi:type="dcterms:W3CDTF">2020-05-26T11:58:00Z</dcterms:modified>
</cp:coreProperties>
</file>